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1.xml" ContentType="application/vnd.openxmlformats-officedocument.spreadsheetml.table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escriptive" sheetId="2" state="visible" r:id="rId2"/>
    <sheet xmlns:r="http://schemas.openxmlformats.org/officeDocument/2006/relationships" name="Diagnostic" sheetId="3" state="visible" r:id="rId3"/>
    <sheet xmlns:r="http://schemas.openxmlformats.org/officeDocument/2006/relationships" name="Predictive" sheetId="4" state="visible" r:id="rId4"/>
    <sheet xmlns:r="http://schemas.openxmlformats.org/officeDocument/2006/relationships" name="Prescriptive" sheetId="5" state="visible" r:id="rId5"/>
    <sheet xmlns:r="http://schemas.openxmlformats.org/officeDocument/2006/relationships" name="Data" sheetId="6" state="visible" r:id="rId6"/>
    <sheet xmlns:r="http://schemas.openxmlformats.org/officeDocument/2006/relationships" name="Calc" sheetId="7" state="visible" r:id="rId7"/>
    <sheet xmlns:r="http://schemas.openxmlformats.org/officeDocument/2006/relationships" name="Rules &amp; Instructions" sheetId="8" state="visible" r:id="rId8"/>
    <sheet xmlns:r="http://schemas.openxmlformats.org/officeDocument/2006/relationships" name="Formulas used" sheetId="9" state="visible" r:id="rId9"/>
    <sheet xmlns:r="http://schemas.openxmlformats.org/officeDocument/2006/relationships" name="Lists" sheetId="10" state="visible" r:id="rId10"/>
  </sheets>
  <definedNames>
    <definedName name="_xlnm.Print_Area" localSheetId="0">'Dashboard'!$A$1:$Z$61</definedName>
    <definedName name="_xlnm.Print_Area" localSheetId="5">'Data'!$A$1:$T$30</definedName>
    <definedName name="_xlnm.Print_Area" localSheetId="6">'Calc'!$A$1:$H$40</definedName>
    <definedName name="_xlnm.Print_Area" localSheetId="7">'Rules &amp; Instructions'!$A$1:$D$40</definedName>
    <definedName name="_xlnm.Print_Area" localSheetId="8">'Formulas used'!$A$1:$C$40</definedName>
    <definedName name="_xlnm.Print_Area" localSheetId="9">'Lists'!$A$1:$D$20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"/>
    <numFmt numFmtId="165" formatCode="dd-mmm-yyyy"/>
    <numFmt numFmtId="166" formatCode="[&gt;=1000000000]&quot;$&quot;#,##0.00,,,&quot;B&quot;;[&gt;=1000000]&quot;$&quot;#,##0.0,,&quot;M&quot;;&quot;$&quot;#,##0"/>
    <numFmt numFmtId="167" formatCode="+0.0%;-0.0%;0.0%"/>
    <numFmt numFmtId="168" formatCode="0.0%"/>
    <numFmt numFmtId="169" formatCode="0.000000"/>
    <numFmt numFmtId="170" formatCode="&quot;$&quot;#,##0"/>
    <numFmt numFmtId="171" formatCode="+0.0%;-0.0%"/>
  </numFmts>
  <fonts count="30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0B1220"/>
      <sz val="11"/>
    </font>
    <font>
      <name val="Calibri"/>
      <i val="1"/>
      <color rgb="00B42318"/>
      <sz val="10"/>
    </font>
    <font>
      <name val="Calibri"/>
      <b val="1"/>
      <color rgb="00FFFFFF"/>
      <sz val="14"/>
    </font>
    <font>
      <name val="Calibri"/>
      <b val="1"/>
      <color rgb="00B42318"/>
      <sz val="10"/>
    </font>
    <font>
      <name val="Calibri"/>
      <color rgb="001F2933"/>
      <sz val="10"/>
    </font>
    <font>
      <name val="Calibri"/>
      <b val="1"/>
      <color rgb="001F2933"/>
      <sz val="11"/>
    </font>
    <font>
      <name val="Calibri"/>
      <b val="1"/>
      <color rgb="000B1220"/>
      <sz val="13"/>
    </font>
    <font>
      <name val="Calibri"/>
      <b val="1"/>
      <color rgb="00FFFFFF"/>
      <sz val="10"/>
    </font>
    <font>
      <name val="Calibri"/>
      <b val="1"/>
      <color rgb="00FFFFFF"/>
      <sz val="20"/>
    </font>
    <font>
      <name val="Calibri"/>
      <color rgb="00CBD5E1"/>
      <sz val="10"/>
    </font>
    <font>
      <name val="Calibri"/>
      <i val="1"/>
      <color rgb="00FBBF24"/>
      <sz val="8"/>
    </font>
    <font>
      <name val="Calibri"/>
      <b val="1"/>
      <color rgb="00CBD5E1"/>
      <sz val="9"/>
    </font>
    <font>
      <name val="Calibri"/>
      <color rgb="00CBD5E1"/>
      <sz val="9"/>
    </font>
    <font>
      <name val="Calibri"/>
      <b val="1"/>
      <color rgb="001F2933"/>
      <sz val="10"/>
    </font>
    <font>
      <name val="Calibri"/>
      <b val="1"/>
      <color rgb="001F2933"/>
      <sz val="9"/>
    </font>
    <font>
      <name val="Calibri"/>
      <b val="1"/>
      <color rgb="00FFFFFF"/>
      <sz val="18"/>
    </font>
    <font>
      <name val="Calibri"/>
      <color rgb="00CBD5E1"/>
      <sz val="8"/>
    </font>
    <font>
      <name val="Calibri"/>
      <color rgb="001F2933"/>
      <sz val="9"/>
    </font>
    <font>
      <name val="Calibri"/>
      <b val="1"/>
      <color rgb="0000A3E0"/>
      <sz val="10"/>
    </font>
    <font>
      <name val="Calibri"/>
      <b val="1"/>
      <color rgb="0000A3E0"/>
      <sz val="11"/>
    </font>
    <font>
      <name val="Calibri"/>
      <color rgb="00FFFFFF"/>
      <sz val="10"/>
    </font>
    <font>
      <name val="Calibri"/>
      <i val="1"/>
      <color rgb="0064748B"/>
      <sz val="8"/>
    </font>
    <font>
      <name val="Calibri"/>
      <b val="1"/>
      <color rgb="00FFFFFF"/>
      <sz val="13"/>
    </font>
    <font>
      <name val="Calibri"/>
      <color rgb="001F2933"/>
      <sz val="11"/>
    </font>
    <font>
      <name val="Calibri"/>
      <b val="1"/>
      <color rgb="00FFFFFF"/>
      <sz val="16"/>
    </font>
    <font>
      <name val="Consolas"/>
      <sz val="10"/>
    </font>
    <font>
      <name val="Calibri"/>
      <b val="1"/>
      <color rgb="000B1220"/>
      <sz val="12"/>
    </font>
    <font>
      <name val="Calibri"/>
      <b val="1"/>
      <color rgb="001F2933"/>
      <sz val="12"/>
    </font>
  </fonts>
  <fills count="8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00A3E0"/>
      </patternFill>
    </fill>
    <fill>
      <patternFill patternType="solid">
        <fgColor rgb="000F172A"/>
      </patternFill>
    </fill>
    <fill>
      <patternFill patternType="solid">
        <fgColor rgb="00FFF4D6"/>
      </patternFill>
    </fill>
    <fill>
      <patternFill patternType="solid">
        <fgColor rgb="001E293B"/>
      </patternFill>
    </fill>
    <fill>
      <patternFill patternType="solid">
        <fgColor rgb="000000C9"/>
      </patternFill>
    </fill>
  </fills>
  <borders count="13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 style="thin">
        <color rgb="0000A3E0"/>
      </left>
      <right style="thin">
        <color rgb="0000A3E0"/>
      </right>
      <top style="thin">
        <color rgb="0000A3E0"/>
      </top>
      <bottom style="thin">
        <color rgb="0000A3E0"/>
      </bottom>
    </border>
    <border>
      <left style="thick">
        <color rgb="0000A3E0"/>
      </left>
    </border>
    <border>
      <right style="thick">
        <color rgb="000F172A"/>
      </right>
    </border>
    <border>
      <left style="thick">
        <color rgb="0000A3E0"/>
      </left>
      <right style="thick">
        <color rgb="000F172A"/>
      </right>
    </border>
    <border>
      <left/>
      <right style="thick">
        <color rgb="000F172A"/>
      </right>
      <top/>
      <bottom/>
      <diagonal/>
    </border>
    <border>
      <left style="thick">
        <color rgb="0000A3E0"/>
      </left>
      <right/>
      <bottom/>
    </border>
    <border>
      <bottom style="thin">
        <color rgb="00334155"/>
      </bottom>
    </border>
    <border>
      <left/>
      <right/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/>
      <diagonal/>
    </border>
    <border>
      <left/>
      <right/>
      <top style="thin">
        <color rgb="00D0D5DD"/>
      </top>
      <bottom style="thin">
        <color rgb="00D0D5DD"/>
      </bottom>
      <diagonal/>
    </border>
    <border>
      <left/>
      <right style="thin">
        <color rgb="00D0D5DD"/>
      </right>
      <top style="thin">
        <color rgb="00D0D5DD"/>
      </top>
      <bottom style="thin">
        <color rgb="00D0D5DD"/>
      </bottom>
      <diagonal/>
    </border>
  </borders>
  <cellStyleXfs count="1">
    <xf numFmtId="0" fontId="0" fillId="0" borderId="0"/>
  </cellStyleXfs>
  <cellXfs count="94">
    <xf numFmtId="0" fontId="0" fillId="0" borderId="0" pivotButton="0" quotePrefix="0" xfId="0"/>
    <xf numFmtId="0" fontId="0" fillId="4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11" fillId="4" borderId="0" applyAlignment="1" pivotButton="0" quotePrefix="0" xfId="0">
      <alignment horizontal="left" vertical="center" wrapText="1"/>
    </xf>
    <xf numFmtId="0" fontId="12" fillId="4" borderId="0" applyAlignment="1" pivotButton="0" quotePrefix="0" xfId="0">
      <alignment horizontal="left" vertical="center" wrapText="1"/>
    </xf>
    <xf numFmtId="0" fontId="13" fillId="4" borderId="0" applyAlignment="1" pivotButton="0" quotePrefix="0" xfId="0">
      <alignment horizontal="right" vertical="center" wrapText="1"/>
    </xf>
    <xf numFmtId="0" fontId="7" fillId="5" borderId="2" applyAlignment="1" pivotButton="0" quotePrefix="0" xfId="0">
      <alignment horizontal="center" vertical="center" wrapText="1"/>
    </xf>
    <xf numFmtId="0" fontId="14" fillId="4" borderId="0" applyAlignment="1" pivotButton="0" quotePrefix="0" xfId="0">
      <alignment horizontal="right" vertical="center"/>
    </xf>
    <xf numFmtId="0" fontId="13" fillId="6" borderId="5" applyAlignment="1" pivotButton="0" quotePrefix="0" xfId="0">
      <alignment horizontal="left" vertical="bottom" indent="1"/>
    </xf>
    <xf numFmtId="0" fontId="13" fillId="0" borderId="0" applyAlignment="1" pivotButton="0" quotePrefix="0" xfId="0">
      <alignment horizontal="left" vertical="bottom" indent="1"/>
    </xf>
    <xf numFmtId="0" fontId="13" fillId="0" borderId="6" applyAlignment="1" pivotButton="0" quotePrefix="0" xfId="0">
      <alignment horizontal="left" vertical="bottom" indent="1"/>
    </xf>
    <xf numFmtId="166" fontId="17" fillId="6" borderId="7" applyAlignment="1" pivotButton="0" quotePrefix="0" xfId="0">
      <alignment horizontal="left" vertical="center" indent="1"/>
    </xf>
    <xf numFmtId="0" fontId="17" fillId="0" borderId="0" applyAlignment="1" pivotButton="0" quotePrefix="0" xfId="0">
      <alignment horizontal="left" vertical="center" indent="1"/>
    </xf>
    <xf numFmtId="0" fontId="0" fillId="6" borderId="4" pivotButton="0" quotePrefix="0" xfId="0"/>
    <xf numFmtId="168" fontId="17" fillId="6" borderId="7" applyAlignment="1" pivotButton="0" quotePrefix="0" xfId="0">
      <alignment horizontal="left" vertical="center" indent="1"/>
    </xf>
    <xf numFmtId="167" fontId="17" fillId="6" borderId="7" applyAlignment="1" pivotButton="0" quotePrefix="0" xfId="0">
      <alignment horizontal="left" vertical="center" indent="1"/>
    </xf>
    <xf numFmtId="3" fontId="17" fillId="6" borderId="7" applyAlignment="1" pivotButton="0" quotePrefix="0" xfId="0">
      <alignment horizontal="left" vertical="center" indent="1"/>
    </xf>
    <xf numFmtId="0" fontId="18" fillId="6" borderId="5" applyAlignment="1" pivotButton="0" quotePrefix="0" xfId="0">
      <alignment horizontal="left" vertical="top" indent="1"/>
    </xf>
    <xf numFmtId="0" fontId="18" fillId="0" borderId="0" applyAlignment="1" pivotButton="0" quotePrefix="0" xfId="0">
      <alignment horizontal="left" vertical="top" indent="1"/>
    </xf>
    <xf numFmtId="0" fontId="18" fillId="0" borderId="6" applyAlignment="1" pivotButton="0" quotePrefix="0" xfId="0">
      <alignment horizontal="left" vertical="top" indent="1"/>
    </xf>
    <xf numFmtId="170" fontId="17" fillId="6" borderId="7" applyAlignment="1" pivotButton="0" quotePrefix="0" xfId="0">
      <alignment horizontal="left" vertical="center" indent="1"/>
    </xf>
    <xf numFmtId="0" fontId="20" fillId="4" borderId="0" applyAlignment="1" pivotButton="0" quotePrefix="0" xfId="0">
      <alignment horizontal="left" vertical="center" wrapText="1"/>
    </xf>
    <xf numFmtId="0" fontId="9" fillId="6" borderId="0" applyAlignment="1" pivotButton="0" quotePrefix="0" xfId="0">
      <alignment horizontal="left" vertical="center" indent="1"/>
    </xf>
    <xf numFmtId="0" fontId="9" fillId="6" borderId="4" applyAlignment="1" pivotButton="0" quotePrefix="0" xfId="0">
      <alignment horizontal="left" vertical="center" indent="1"/>
    </xf>
    <xf numFmtId="0" fontId="21" fillId="4" borderId="0" applyAlignment="1" pivotButton="0" quotePrefix="0" xfId="0">
      <alignment horizontal="left" vertical="center" wrapText="1"/>
    </xf>
    <xf numFmtId="0" fontId="13" fillId="2" borderId="8" applyAlignment="1" pivotButton="0" quotePrefix="0" xfId="0">
      <alignment horizontal="center" vertical="center" wrapText="1"/>
    </xf>
    <xf numFmtId="0" fontId="20" fillId="6" borderId="8" applyAlignment="1" pivotButton="0" quotePrefix="0" xfId="0">
      <alignment horizontal="center" vertical="center" wrapText="1"/>
    </xf>
    <xf numFmtId="49" fontId="9" fillId="6" borderId="8" applyAlignment="1" pivotButton="0" quotePrefix="0" xfId="0">
      <alignment horizontal="center" vertical="center" wrapText="1"/>
    </xf>
    <xf numFmtId="0" fontId="9" fillId="6" borderId="8" applyAlignment="1" pivotButton="0" quotePrefix="0" xfId="0">
      <alignment horizontal="center" vertical="center" wrapText="1"/>
    </xf>
    <xf numFmtId="166" fontId="9" fillId="6" borderId="8" applyAlignment="1" pivotButton="0" quotePrefix="0" xfId="0">
      <alignment horizontal="center" vertical="center" wrapText="1"/>
    </xf>
    <xf numFmtId="3" fontId="9" fillId="6" borderId="8" applyAlignment="1" pivotButton="0" quotePrefix="0" xfId="0">
      <alignment horizontal="center" vertical="center" wrapText="1"/>
    </xf>
    <xf numFmtId="168" fontId="9" fillId="6" borderId="8" applyAlignment="1" pivotButton="0" quotePrefix="0" xfId="0">
      <alignment horizontal="center" vertical="center" wrapText="1"/>
    </xf>
    <xf numFmtId="49" fontId="22" fillId="6" borderId="8" applyAlignment="1" pivotButton="0" quotePrefix="0" xfId="0">
      <alignment horizontal="center" vertical="center" wrapText="1"/>
    </xf>
    <xf numFmtId="0" fontId="22" fillId="6" borderId="8" applyAlignment="1" pivotButton="0" quotePrefix="0" xfId="0">
      <alignment horizontal="center" vertical="center" wrapText="1"/>
    </xf>
    <xf numFmtId="166" fontId="22" fillId="6" borderId="8" applyAlignment="1" pivotButton="0" quotePrefix="0" xfId="0">
      <alignment horizontal="center" vertical="center" wrapText="1"/>
    </xf>
    <xf numFmtId="3" fontId="22" fillId="6" borderId="8" applyAlignment="1" pivotButton="0" quotePrefix="0" xfId="0">
      <alignment horizontal="center" vertical="center" wrapText="1"/>
    </xf>
    <xf numFmtId="168" fontId="22" fillId="6" borderId="8" applyAlignment="1" pivotButton="0" quotePrefix="0" xfId="0">
      <alignment horizontal="center" vertical="center" wrapText="1"/>
    </xf>
    <xf numFmtId="0" fontId="23" fillId="4" borderId="0" applyAlignment="1" pivotButton="0" quotePrefix="0" xfId="0">
      <alignment horizontal="left" vertical="center" wrapText="1"/>
    </xf>
    <xf numFmtId="0" fontId="23" fillId="0" borderId="0" applyAlignment="1" pivotButton="0" quotePrefix="0" xfId="0">
      <alignment horizontal="left" vertical="center" wrapText="1"/>
    </xf>
    <xf numFmtId="0" fontId="17" fillId="2" borderId="0" applyAlignment="1" pivotButton="0" quotePrefix="0" xfId="0">
      <alignment horizontal="left" vertical="center" wrapText="1"/>
    </xf>
    <xf numFmtId="0" fontId="5" fillId="5" borderId="0" applyAlignment="1" pivotButton="0" quotePrefix="0" xfId="0">
      <alignment horizontal="left" vertical="center" wrapText="1"/>
    </xf>
    <xf numFmtId="0" fontId="25" fillId="0" borderId="0" applyAlignment="1" pivotButton="0" quotePrefix="0" xfId="0">
      <alignment horizontal="left" vertical="center" wrapText="1"/>
    </xf>
    <xf numFmtId="0" fontId="28" fillId="3" borderId="0" applyAlignment="1" pivotButton="0" quotePrefix="0" xfId="0">
      <alignment horizontal="left" vertical="center" wrapText="1"/>
    </xf>
    <xf numFmtId="0" fontId="9" fillId="7" borderId="1" applyAlignment="1" pivotButton="0" quotePrefix="0" xfId="0">
      <alignment horizontal="center" vertical="center" wrapText="1"/>
    </xf>
    <xf numFmtId="0" fontId="15" fillId="0" borderId="1" pivotButton="0" quotePrefix="0" xfId="0"/>
    <xf numFmtId="166" fontId="6" fillId="0" borderId="1" pivotButton="0" quotePrefix="0" xfId="0"/>
    <xf numFmtId="166" fontId="15" fillId="0" borderId="1" pivotButton="0" quotePrefix="0" xfId="0"/>
    <xf numFmtId="1" fontId="15" fillId="0" borderId="1" pivotButton="0" quotePrefix="0" xfId="0"/>
    <xf numFmtId="0" fontId="15" fillId="0" borderId="0" pivotButton="0" quotePrefix="0" xfId="0"/>
    <xf numFmtId="0" fontId="6" fillId="0" borderId="1" pivotButton="0" quotePrefix="0" xfId="0"/>
    <xf numFmtId="169" fontId="6" fillId="0" borderId="1" pivotButton="0" quotePrefix="0" xfId="0"/>
    <xf numFmtId="167" fontId="6" fillId="0" borderId="1" pivotButton="0" quotePrefix="0" xfId="0"/>
    <xf numFmtId="168" fontId="6" fillId="0" borderId="1" pivotButton="0" quotePrefix="0" xfId="0"/>
    <xf numFmtId="167" fontId="15" fillId="0" borderId="1" pivotButton="0" quotePrefix="0" xfId="0"/>
    <xf numFmtId="2" fontId="6" fillId="0" borderId="1" pivotButton="0" quotePrefix="0" xfId="0"/>
    <xf numFmtId="1" fontId="6" fillId="0" borderId="1" pivotButton="0" quotePrefix="0" xfId="0"/>
    <xf numFmtId="167" fontId="29" fillId="5" borderId="1" pivotButton="0" quotePrefix="0" xfId="0"/>
    <xf numFmtId="168" fontId="15" fillId="0" borderId="1" pivotButton="0" quotePrefix="0" xfId="0"/>
    <xf numFmtId="168" fontId="6" fillId="5" borderId="1" pivotButton="0" quotePrefix="0" xfId="0"/>
    <xf numFmtId="0" fontId="6" fillId="0" borderId="0" applyAlignment="1" pivotButton="0" quotePrefix="0" xfId="0">
      <alignment horizontal="left" vertical="center" wrapText="1"/>
    </xf>
    <xf numFmtId="171" fontId="15" fillId="0" borderId="1" pivotButton="0" quotePrefix="0" xfId="0"/>
    <xf numFmtId="0" fontId="0" fillId="0" borderId="11" pivotButton="0" quotePrefix="0" xfId="0"/>
    <xf numFmtId="0" fontId="0" fillId="0" borderId="12" pivotButton="0" quotePrefix="0" xfId="0"/>
    <xf numFmtId="0" fontId="4" fillId="2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165" fontId="0" fillId="0" borderId="0" pivotButton="0" quotePrefix="0" xfId="0"/>
    <xf numFmtId="1" fontId="0" fillId="0" borderId="0" pivotButton="0" quotePrefix="0" xfId="0"/>
    <xf numFmtId="3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  <xf numFmtId="0" fontId="16" fillId="0" borderId="0" pivotButton="0" quotePrefix="0" xfId="0"/>
    <xf numFmtId="0" fontId="19" fillId="0" borderId="0" pivotButton="0" quotePrefix="0" xfId="0"/>
    <xf numFmtId="2" fontId="0" fillId="0" borderId="0" pivotButton="0" quotePrefix="0" xfId="0"/>
    <xf numFmtId="0" fontId="8" fillId="0" borderId="0" pivotButton="0" quotePrefix="0" xfId="0"/>
    <xf numFmtId="0" fontId="9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66" fontId="0" fillId="0" borderId="1" pivotButton="0" quotePrefix="0" xfId="0"/>
    <xf numFmtId="167" fontId="0" fillId="0" borderId="1" pivotButton="0" quotePrefix="0" xfId="0"/>
    <xf numFmtId="168" fontId="0" fillId="0" borderId="1" pivotButton="0" quotePrefix="0" xfId="0"/>
    <xf numFmtId="3" fontId="0" fillId="0" borderId="1" pivotButton="0" quotePrefix="0" xfId="0"/>
    <xf numFmtId="169" fontId="0" fillId="0" borderId="1" pivotButton="0" quotePrefix="0" xfId="0"/>
    <xf numFmtId="0" fontId="17" fillId="2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 wrapText="1"/>
    </xf>
    <xf numFmtId="0" fontId="24" fillId="7" borderId="0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center" wrapText="1"/>
    </xf>
    <xf numFmtId="0" fontId="25" fillId="0" borderId="1" applyAlignment="1" pivotButton="0" quotePrefix="0" xfId="0">
      <alignment horizontal="left" vertical="center" wrapText="1"/>
    </xf>
    <xf numFmtId="0" fontId="26" fillId="2" borderId="0" applyAlignment="1" pivotButton="0" quotePrefix="0" xfId="0">
      <alignment horizontal="center" vertical="center" wrapText="1"/>
    </xf>
    <xf numFmtId="0" fontId="1" fillId="7" borderId="0" pivotButton="0" quotePrefix="0" xfId="0"/>
    <xf numFmtId="0" fontId="27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7" fillId="0" borderId="0" pivotButton="0" quotePrefix="0" xfId="0"/>
  </cellXfs>
  <cellStyles count="1">
    <cellStyle name="Normal" xfId="0" builtinId="0" hidden="0"/>
  </cellStyles>
  <dxfs count="5">
    <dxf>
      <font>
        <name val="Calibri"/>
        <b val="1"/>
        <color rgb="00F87171"/>
        <sz val="18"/>
      </font>
    </dxf>
    <dxf>
      <font>
        <name val="Calibri"/>
        <b val="1"/>
        <color rgb="004ADE80"/>
        <sz val="18"/>
      </font>
    </dxf>
    <dxf>
      <font>
        <name val="Calibri"/>
        <b val="1"/>
        <color rgb="00B42318"/>
        <sz val="10"/>
      </font>
    </dxf>
    <dxf>
      <font>
        <name val="Calibri"/>
        <b val="1"/>
        <color rgb="00067647"/>
        <sz val="10"/>
      </font>
    </dxf>
    <dxf>
      <fill>
        <patternFill patternType="solid">
          <fgColor rgb="00FEE4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00A3E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'Calc'!$AE$2:$BB$2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2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00A3E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'Calc'!$AE$3:$BB$3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3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00A3E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'Calc'!$AE$4:$BB$4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00A3E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'Calc'!$AE$5:$BB$5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5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00A3E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'Calc'!$AE$6:$BB$6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6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00A3E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'Calc'!$AE$7:$BB$7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7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00A3E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'Calc'!$AE$8:$BB$8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8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00A3E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'Calc'!$AE$9:$BB$9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9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00A3E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'Calc'!$AE$10:$BB$10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00A3E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'Calc'!$AE$11:$BB$11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1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00A3E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'Calc'!$AE$12:$BB$12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2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00A3E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'Calc'!$AE$13:$BB$13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3.xml><?xml version="1.0" encoding="utf-8"?>
<chartSpace xmlns="http://schemas.openxmlformats.org/drawingml/2006/chart">
  <roundedCorners val="1"/>
  <style val="2"/>
  <chart>
    <plotArea>
      <lineChart>
        <grouping val="standard"/>
        <ser>
          <idx val="0"/>
          <order val="0"/>
          <tx>
            <strRef>
              <f>'Calc'!C4</f>
            </strRef>
          </tx>
          <spPr>
            <a:solidFill xmlns:a="http://schemas.openxmlformats.org/drawingml/2006/main">
              <a:srgbClr val="00A3E0"/>
            </a:solidFill>
            <a:ln xmlns:a="http://schemas.openxmlformats.org/drawingml/2006/main" w="28000">
              <a:solidFill>
                <a:srgbClr val="00A3E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'Calc'!$A$5:$A$16</f>
            </numRef>
          </cat>
          <val>
            <numRef>
              <f>'Calc'!$C$5:$C$16</f>
            </numRef>
          </val>
          <smooth val="0"/>
        </ser>
        <ser>
          <idx val="1"/>
          <order val="1"/>
          <tx>
            <strRef>
              <f>'Calc'!B4</f>
            </strRef>
          </tx>
          <spPr>
            <a:solidFill xmlns:a="http://schemas.openxmlformats.org/drawingml/2006/main">
              <a:srgbClr val="64748B"/>
            </a:solidFill>
            <a:ln xmlns:a="http://schemas.openxmlformats.org/drawingml/2006/main" w="28000">
              <a:solidFill>
                <a:srgbClr val="64748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'Calc'!$A$5:$A$16</f>
            </numRef>
          </cat>
          <val>
            <numRef>
              <f>'Calc'!$B$5:$B$16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6000">
              <a:solidFill>
                <a:srgbClr val="334155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CBD5E1"/>
              </a:solidFill>
              <a:latin typeface="Calibri"/>
            </a:defRPr>
          </a:pPr>
          <a:r>
            <a:t/>
          </a:r>
          <a:endParaRPr sz="800" b="0">
            <a:solidFill>
              <a:srgbClr val="CBD5E1"/>
            </a:solidFill>
            <a:latin typeface="Calibri"/>
          </a:endParaRPr>
        </a:p>
      </txPr>
    </legend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4.xml><?xml version="1.0" encoding="utf-8"?>
<chartSpace xmlns="http://schemas.openxmlformats.org/drawingml/2006/chart">
  <roundedCorners val="1"/>
  <style val="2"/>
  <chart>
    <plotArea>
      <barChart>
        <barDir val="col"/>
        <grouping val="clustered"/>
        <ser>
          <idx val="0"/>
          <order val="0"/>
          <tx>
            <strRef>
              <f>'Calc'!B20</f>
            </strRef>
          </tx>
          <spPr>
            <a:solidFill xmlns:a="http://schemas.openxmlformats.org/drawingml/2006/main">
              <a:srgbClr val="00A3E0"/>
            </a:solidFill>
            <a:ln xmlns:a="http://schemas.openxmlformats.org/drawingml/2006/main">
              <a:solidFill>
                <a:srgbClr val="00A3E0"/>
              </a:solidFill>
              <a:prstDash val="solid"/>
            </a:ln>
          </spPr>
          <cat>
            <numRef>
              <f>'Calc'!$A$21:$A$24</f>
            </numRef>
          </cat>
          <val>
            <numRef>
              <f>'Calc'!$B$21:$B$24</f>
            </numRef>
          </val>
        </ser>
        <gapWidth val="50"/>
        <axId val="10"/>
        <axId val="100"/>
      </barChart>
      <lineChart>
        <grouping val="standard"/>
        <ser>
          <idx val="1"/>
          <order val="1"/>
          <tx>
            <strRef>
              <f>'Calc'!D20</f>
            </strRef>
          </tx>
          <spPr>
            <a:ln xmlns:a="http://schemas.openxmlformats.org/drawingml/2006/main" w="28000">
              <a:solidFill>
                <a:srgbClr val="0000C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'Calc'!$D$21:$D$24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6000">
              <a:solidFill>
                <a:srgbClr val="334155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valAx>
        <axId val="200"/>
        <scaling>
          <orientation val="minMax"/>
          <min val="0"/>
        </scaling>
        <delete val="0"/>
        <axPos val="l"/>
        <numFmt formatCode="0%" sourceLinked="0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  <crosses val="max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CBD5E1"/>
              </a:solidFill>
              <a:latin typeface="Calibri"/>
            </a:defRPr>
          </a:pPr>
          <a:r>
            <a:t/>
          </a:r>
          <a:endParaRPr sz="800" b="0">
            <a:solidFill>
              <a:srgbClr val="CBD5E1"/>
            </a:solidFill>
            <a:latin typeface="Calibri"/>
          </a:endParaRPr>
        </a:p>
      </txPr>
    </legend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5.xml><?xml version="1.0" encoding="utf-8"?>
<chartSpace xmlns="http://schemas.openxmlformats.org/drawingml/2006/chart">
  <roundedCorners val="1"/>
  <style val="2"/>
  <chart>
    <plotArea>
      <doughnutChart>
        <varyColors val="1"/>
        <ser>
          <idx val="0"/>
          <order val="0"/>
          <tx>
            <strRef>
              <f>'Calc'!B28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A3E0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0000C9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6CACE4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F58220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7F7F7F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2EC4B6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9B5DE5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F15BB5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Lbls>
            <txPr>
              <a:bodyPr xmlns:a="http://schemas.openxmlformats.org/drawingml/2006/main"/>
              <a:p xmlns:a="http://schemas.openxmlformats.org/drawingml/2006/main">
                <a:pPr>
                  <a:defRPr sz="800" b="1">
                    <a:solidFill>
                      <a:srgbClr val="FFFFFF"/>
                    </a:solidFill>
                    <a:latin typeface="Calibri"/>
                  </a:defRPr>
                </a:pPr>
                <a:r>
                  <a:t/>
                </a:r>
                <a:endParaRPr sz="800" b="1">
                  <a:solidFill>
                    <a:srgbClr val="FFFFFF"/>
                  </a:solidFill>
                  <a:latin typeface="Calibri"/>
                </a:endParaRPr>
              </a:p>
            </txPr>
            <showLegendKey val="0"/>
            <showVal val="0"/>
            <showCatName val="0"/>
            <showSerName val="0"/>
            <showPercent val="1"/>
          </dLbls>
          <cat>
            <numRef>
              <f>'Calc'!$A$29:$A$36</f>
            </numRef>
          </cat>
          <val>
            <numRef>
              <f>'Calc'!$B$29:$B$36</f>
            </numRef>
          </val>
        </ser>
        <firstSliceAng val="0"/>
        <holeSize val="60"/>
      </doughnutChart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r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CBD5E1"/>
              </a:solidFill>
              <a:latin typeface="Calibri"/>
            </a:defRPr>
          </a:pPr>
          <a:r>
            <a:t/>
          </a:r>
          <a:endParaRPr sz="800" b="0">
            <a:solidFill>
              <a:srgbClr val="CBD5E1"/>
            </a:solidFill>
            <a:latin typeface="Calibri"/>
          </a:endParaRPr>
        </a:p>
      </txPr>
    </legend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6.xml><?xml version="1.0" encoding="utf-8"?>
<chartSpace xmlns="http://schemas.openxmlformats.org/drawingml/2006/chart">
  <roundedCorners val="1"/>
  <style val="2"/>
  <chart>
    <plotArea>
      <barChart>
        <barDir val="bar"/>
        <grouping val="clustered"/>
        <ser>
          <idx val="0"/>
          <order val="0"/>
          <tx>
            <strRef>
              <f>'Calc'!B40</f>
            </strRef>
          </tx>
          <spPr>
            <a:solidFill xmlns:a="http://schemas.openxmlformats.org/drawingml/2006/main">
              <a:srgbClr val="00A3E0"/>
            </a:solidFill>
            <a:ln xmlns:a="http://schemas.openxmlformats.org/drawingml/2006/main">
              <a:solidFill>
                <a:srgbClr val="00A3E0"/>
              </a:solidFill>
              <a:prstDash val="solid"/>
            </a:ln>
          </spPr>
          <cat>
            <numRef>
              <f>'Calc'!$A$41:$A$43</f>
            </numRef>
          </cat>
          <val>
            <numRef>
              <f>'Calc'!$B$41:$B$43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7.xml><?xml version="1.0" encoding="utf-8"?>
<chartSpace xmlns="http://schemas.openxmlformats.org/drawingml/2006/chart">
  <roundedCorners val="1"/>
  <style val="2"/>
  <chart>
    <plotArea>
      <barChart>
        <barDir val="col"/>
        <grouping val="clustered"/>
        <ser>
          <idx val="0"/>
          <order val="0"/>
          <tx>
            <strRef>
              <f>'Calc'!D28</f>
            </strRef>
          </tx>
          <spPr>
            <a:solidFill xmlns:a="http://schemas.openxmlformats.org/drawingml/2006/main">
              <a:srgbClr val="00A3E0"/>
            </a:solidFill>
            <a:ln xmlns:a="http://schemas.openxmlformats.org/drawingml/2006/main">
              <a:solidFill>
                <a:srgbClr val="00A3E0"/>
              </a:solidFill>
              <a:prstDash val="solid"/>
            </a:ln>
          </spPr>
          <cat>
            <numRef>
              <f>'Calc'!$A$29:$A$36</f>
            </numRef>
          </cat>
          <val>
            <numRef>
              <f>'Calc'!$D$29:$D$36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6000">
              <a:solidFill>
                <a:srgbClr val="334155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8.xml><?xml version="1.0" encoding="utf-8"?>
<chartSpace xmlns="http://schemas.openxmlformats.org/drawingml/2006/chart">
  <roundedCorners val="1"/>
  <style val="2"/>
  <chart>
    <plotArea>
      <barChart>
        <barDir val="bar"/>
        <grouping val="clustered"/>
        <ser>
          <idx val="0"/>
          <order val="0"/>
          <tx>
            <strRef>
              <f>'Calc'!B47</f>
            </strRef>
          </tx>
          <spPr>
            <a:solidFill xmlns:a="http://schemas.openxmlformats.org/drawingml/2006/main">
              <a:srgbClr val="00A3E0"/>
            </a:solidFill>
            <a:ln xmlns:a="http://schemas.openxmlformats.org/drawingml/2006/main">
              <a:solidFill>
                <a:srgbClr val="00A3E0"/>
              </a:solidFill>
              <a:prstDash val="solid"/>
            </a:ln>
          </spPr>
          <cat>
            <numRef>
              <f>'Calc'!$A$48:$A$53</f>
            </numRef>
          </cat>
          <val>
            <numRef>
              <f>'Calc'!$B$48:$B$53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9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ΔPY by medicine (which one drove the change)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'Diagnostic'!D14</f>
            </strRef>
          </tx>
          <spPr>
            <a:solidFill xmlns:a="http://schemas.openxmlformats.org/drawingml/2006/main">
              <a:srgbClr val="0000C9"/>
            </a:solidFill>
            <a:ln xmlns:a="http://schemas.openxmlformats.org/drawingml/2006/main">
              <a:prstDash val="solid"/>
            </a:ln>
          </spPr>
          <cat>
            <numRef>
              <f>'Diagnostic'!$A$15:$A$22</f>
            </numRef>
          </cat>
          <val>
            <numRef>
              <f>'Diagnostic'!$D$15:$D$22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0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Actual, moving average and 2027 forecast</a:t>
            </a:r>
          </a:p>
        </rich>
      </tx>
    </title>
    <plotArea>
      <lineChart>
        <grouping val="standard"/>
        <ser>
          <idx val="0"/>
          <order val="0"/>
          <tx>
            <strRef>
              <f>'Predictive'!D5</f>
            </strRef>
          </tx>
          <spPr>
            <a:ln xmlns:a="http://schemas.openxmlformats.org/drawingml/2006/main" w="26000">
              <a:solidFill>
                <a:srgbClr val="0000C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trendline>
            <trendlineType val="linear"/>
            <dispRSqr val="0"/>
            <dispEq val="0"/>
          </trendline>
          <cat>
            <numRef>
              <f>'Predictive'!$C$6:$C$41</f>
            </numRef>
          </cat>
          <val>
            <numRef>
              <f>'Predictive'!$D$6:$D$41</f>
            </numRef>
          </val>
          <smooth val="0"/>
        </ser>
        <ser>
          <idx val="1"/>
          <order val="1"/>
          <tx>
            <strRef>
              <f>'Predictive'!E5</f>
            </strRef>
          </tx>
          <spPr>
            <a:ln xmlns:a="http://schemas.openxmlformats.org/drawingml/2006/main" w="26000">
              <a:solidFill>
                <a:srgbClr val="98A2B3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'Predictive'!$C$6:$C$41</f>
            </numRef>
          </cat>
          <val>
            <numRef>
              <f>'Predictive'!$E$6:$E$41</f>
            </numRef>
          </val>
          <smooth val="0"/>
        </ser>
        <ser>
          <idx val="2"/>
          <order val="2"/>
          <tx>
            <strRef>
              <f>'Predictive'!F5</f>
            </strRef>
          </tx>
          <spPr>
            <a:ln xmlns:a="http://schemas.openxmlformats.org/drawingml/2006/main" w="26000">
              <a:solidFill>
                <a:srgbClr val="F5822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'Predictive'!$C$6:$C$41</f>
            </numRef>
          </cat>
          <val>
            <numRef>
              <f>'Predictive'!$F$6:$F$41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chart" Target="/xl/charts/chart11.xml" Id="rId11"/><Relationship Type="http://schemas.openxmlformats.org/officeDocument/2006/relationships/chart" Target="/xl/charts/chart12.xml" Id="rId12"/><Relationship Type="http://schemas.openxmlformats.org/officeDocument/2006/relationships/chart" Target="/xl/charts/chart13.xml" Id="rId13"/><Relationship Type="http://schemas.openxmlformats.org/officeDocument/2006/relationships/chart" Target="/xl/charts/chart14.xml" Id="rId14"/><Relationship Type="http://schemas.openxmlformats.org/officeDocument/2006/relationships/chart" Target="/xl/charts/chart15.xml" Id="rId15"/><Relationship Type="http://schemas.openxmlformats.org/officeDocument/2006/relationships/chart" Target="/xl/charts/chart16.xml" Id="rId16"/><Relationship Type="http://schemas.openxmlformats.org/officeDocument/2006/relationships/chart" Target="/xl/charts/chart17.xml" Id="rId17"/><Relationship Type="http://schemas.openxmlformats.org/officeDocument/2006/relationships/chart" Target="/xl/charts/chart18.xml" Id="rId18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9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20.xml" Id="rId1"/></Relationships>
</file>

<file path=xl/drawings/drawing1.xml><?xml version="1.0" encoding="utf-8"?>
<wsDr xmlns="http://schemas.openxmlformats.org/drawingml/2006/spreadsheetDrawing">
  <oneCellAnchor>
    <from>
      <col>3</col>
      <colOff>171450</colOff>
      <row>8</row>
      <rowOff>19050</rowOff>
    </from>
    <ext cx="630000" cy="3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171450</colOff>
      <row>8</row>
      <rowOff>19050</rowOff>
    </from>
    <ext cx="630000" cy="3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171450</colOff>
      <row>8</row>
      <rowOff>19050</rowOff>
    </from>
    <ext cx="630000" cy="3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15</col>
      <colOff>171450</colOff>
      <row>8</row>
      <rowOff>19050</rowOff>
    </from>
    <ext cx="630000" cy="3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19</col>
      <colOff>171450</colOff>
      <row>8</row>
      <rowOff>19050</rowOff>
    </from>
    <ext cx="630000" cy="3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23</col>
      <colOff>171450</colOff>
      <row>8</row>
      <rowOff>19050</rowOff>
    </from>
    <ext cx="630000" cy="3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3</col>
      <colOff>171450</colOff>
      <row>12</row>
      <rowOff>19050</rowOff>
    </from>
    <ext cx="630000" cy="3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7</col>
      <colOff>171450</colOff>
      <row>12</row>
      <rowOff>19050</rowOff>
    </from>
    <ext cx="630000" cy="3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11</col>
      <colOff>171450</colOff>
      <row>12</row>
      <rowOff>19050</rowOff>
    </from>
    <ext cx="630000" cy="3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15</col>
      <colOff>171450</colOff>
      <row>12</row>
      <rowOff>19050</rowOff>
    </from>
    <ext cx="630000" cy="3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19</col>
      <colOff>171450</colOff>
      <row>12</row>
      <rowOff>19050</rowOff>
    </from>
    <ext cx="630000" cy="360000"/>
    <graphicFrame>
      <nvGraphicFramePr>
        <cNvPr id="11" name="Chart 1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graphicFrame>
    <clientData/>
  </oneCellAnchor>
  <oneCellAnchor>
    <from>
      <col>23</col>
      <colOff>171450</colOff>
      <row>12</row>
      <rowOff>19050</rowOff>
    </from>
    <ext cx="630000" cy="360000"/>
    <graphicFrame>
      <nvGraphicFramePr>
        <cNvPr id="12" name="Chart 1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graphicFrame>
    <clientData/>
  </oneCellAnchor>
  <oneCellAnchor>
    <from>
      <col>1</col>
      <colOff>0</colOff>
      <row>21</row>
      <rowOff>0</rowOff>
    </from>
    <ext cx="3744000" cy="2664000"/>
    <graphicFrame>
      <nvGraphicFramePr>
        <cNvPr id="13" name="Chart 1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graphicFrame>
    <clientData/>
  </oneCellAnchor>
  <oneCellAnchor>
    <from>
      <col>9</col>
      <colOff>0</colOff>
      <row>21</row>
      <rowOff>0</rowOff>
    </from>
    <ext cx="3744000" cy="2664000"/>
    <graphicFrame>
      <nvGraphicFramePr>
        <cNvPr id="14" name="Chart 1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graphicFrame>
    <clientData/>
  </oneCellAnchor>
  <oneCellAnchor>
    <from>
      <col>17</col>
      <colOff>0</colOff>
      <row>21</row>
      <rowOff>0</rowOff>
    </from>
    <ext cx="3744000" cy="2664000"/>
    <graphicFrame>
      <nvGraphicFramePr>
        <cNvPr id="15" name="Chart 1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graphicFrame>
    <clientData/>
  </oneCellAnchor>
  <oneCellAnchor>
    <from>
      <col>1</col>
      <colOff>0</colOff>
      <row>37</row>
      <rowOff>0</rowOff>
    </from>
    <ext cx="3744000" cy="2664000"/>
    <graphicFrame>
      <nvGraphicFramePr>
        <cNvPr id="16" name="Chart 1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graphicFrame>
    <clientData/>
  </oneCellAnchor>
  <oneCellAnchor>
    <from>
      <col>9</col>
      <colOff>0</colOff>
      <row>37</row>
      <rowOff>0</rowOff>
    </from>
    <ext cx="3744000" cy="2664000"/>
    <graphicFrame>
      <nvGraphicFramePr>
        <cNvPr id="17" name="Chart 1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graphicFrame>
    <clientData/>
  </oneCellAnchor>
  <oneCellAnchor>
    <from>
      <col>17</col>
      <colOff>0</colOff>
      <row>37</row>
      <rowOff>0</rowOff>
    </from>
    <ext cx="3744000" cy="2664000"/>
    <graphicFrame>
      <nvGraphicFramePr>
        <cNvPr id="18" name="Chart 1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8</col>
      <colOff>0</colOff>
      <row>13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8</col>
      <colOff>0</colOff>
      <row>4</row>
      <rowOff>0</rowOff>
    </from>
    <ext cx="864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Pfizer" displayName="tblPfizer" ref="A9:V6009" headerRowCount="1">
  <autoFilter ref="A9:V6009"/>
  <tableColumns count="22">
    <tableColumn id="1" name="ID"/>
    <tableColumn id="2" name="Date"/>
    <tableColumn id="3" name="Year"/>
    <tableColumn id="4" name="Month"/>
    <tableColumn id="5" name="Region"/>
    <tableColumn id="6" name="Country"/>
    <tableColumn id="7" name="Product"/>
    <tableColumn id="8" name="Channel"/>
    <tableColumn id="9" name="CustomerType"/>
    <tableColumn id="10" name="Manager"/>
    <tableColumn id="11" name="Qty"/>
    <tableColumn id="12" name="Price"/>
    <tableColumn id="13" name="GrossSales"/>
    <tableColumn id="14" name="Discount"/>
    <tableColumn id="15" name="Revenue"/>
    <tableColumn id="16" name="Cost"/>
    <tableColumn id="17" name="Profit"/>
    <tableColumn id="18" name="Therapy"/>
    <tableColumn id="19" name="Prescriptions"/>
    <tableColumn id="20" name="RnD"/>
    <tableColumn id="21" name="PatentRisk"/>
    <tableColumn id="22" name="Inc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00A3E0"/>
    <outlinePr summaryBelow="1" summaryRight="1"/>
    <pageSetUpPr fitToPage="1"/>
  </sheetPr>
  <dimension ref="A1:Z160"/>
  <sheetViews>
    <sheetView showGridLines="0" zoomScale="90" workbookViewId="0">
      <selection activeCell="A1" sqref="A1"/>
    </sheetView>
  </sheetViews>
  <sheetFormatPr baseColWidth="8" defaultRowHeight="15"/>
  <cols>
    <col width="1.5" customWidth="1" min="1" max="1"/>
    <col width="6.5" customWidth="1" min="2" max="2"/>
    <col width="6.5" customWidth="1" min="3" max="3"/>
    <col width="6.5" customWidth="1" min="4" max="4"/>
    <col width="6.5" customWidth="1" min="5" max="5"/>
    <col width="6.5" customWidth="1" min="6" max="6"/>
    <col width="6.5" customWidth="1" min="7" max="7"/>
    <col width="6.5" customWidth="1" min="8" max="8"/>
    <col width="6.5" customWidth="1" min="9" max="9"/>
    <col width="6.5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.5" customWidth="1" min="15" max="15"/>
    <col width="6.5" customWidth="1" min="16" max="16"/>
    <col width="6.5" customWidth="1" min="17" max="17"/>
    <col width="6.5" customWidth="1" min="18" max="18"/>
    <col width="6.5" customWidth="1" min="19" max="19"/>
    <col width="6.5" customWidth="1" min="20" max="20"/>
    <col width="6.5" customWidth="1" min="21" max="21"/>
    <col width="6.5" customWidth="1" min="22" max="22"/>
    <col width="6.5" customWidth="1" min="23" max="23"/>
    <col width="6.5" customWidth="1" min="24" max="24"/>
    <col width="6.5" customWidth="1" min="25" max="25"/>
    <col width="1.5" customWidth="1" min="26" max="26"/>
  </cols>
  <sheetData>
    <row r="1" ht="20" customHeight="1">
      <c r="A1" s="1" t="n"/>
      <c r="B1" s="2" t="inlineStr">
        <is>
          <t xml:space="preserve">  PFIZER · Medicines, Prescriptions &amp; R&amp;D Dashboard (example data)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1" t="n"/>
    </row>
    <row r="2" ht="20" customHeight="1">
      <c r="A2" s="1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1" t="n"/>
    </row>
    <row r="3" ht="3" customHeight="1">
      <c r="A3" s="1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  <c r="Z3" s="1" t="n"/>
    </row>
    <row r="4" ht="16" customHeight="1">
      <c r="A4" s="1" t="n"/>
      <c r="B4" s="4" t="inlineStr">
        <is>
          <t xml:space="preserve">  8 medicines · 6 therapy areas · 4 regions · patent-risk view · 2025 vs 2026 · simulated practice data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1" t="n"/>
    </row>
    <row r="5" ht="13" customHeight="1">
      <c r="A5" s="1" t="n"/>
      <c r="B5" s="5" t="inlineStr">
        <is>
          <t xml:space="preserve">  ⓘ EXAMPLE DATA: every number in this workbook is made up for practice. It is not real Pfizer data and not an official report.</t>
        </is>
      </c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1" t="n"/>
    </row>
    <row r="6" ht="24" customHeight="1">
      <c r="A6" s="1" t="n"/>
      <c r="B6" s="6" t="inlineStr">
        <is>
          <t>Region ▾</t>
        </is>
      </c>
      <c r="C6" s="7" t="inlineStr">
        <is>
          <t>All</t>
        </is>
      </c>
      <c r="D6" s="7" t="n"/>
      <c r="E6" s="6" t="inlineStr">
        <is>
          <t>Medicine ▾</t>
        </is>
      </c>
      <c r="F6" s="7" t="inlineStr">
        <is>
          <t>All</t>
        </is>
      </c>
      <c r="G6" s="7" t="n"/>
      <c r="H6" s="6" t="inlineStr">
        <is>
          <t>Channel ▾</t>
        </is>
      </c>
      <c r="I6" s="7" t="inlineStr">
        <is>
          <t>All</t>
        </is>
      </c>
      <c r="J6" s="7" t="n"/>
      <c r="K6" s="1" t="n"/>
      <c r="L6" s="8">
        <f>"Rows in view: "&amp;TEXT(SUM(Data!$V$10:$V$6009),"#,##0")&amp;" of 6,000  ·  yellow cells = drop-down filters  "</f>
        <v/>
      </c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1" t="n"/>
    </row>
    <row r="7" ht="6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</row>
    <row r="8" ht="17" customHeight="1">
      <c r="A8" s="1" t="n"/>
      <c r="B8" s="9" t="inlineStr">
        <is>
          <t>💰 Revenue</t>
        </is>
      </c>
      <c r="C8" s="10" t="n"/>
      <c r="D8" s="10" t="n"/>
      <c r="E8" s="11" t="n"/>
      <c r="F8" s="9" t="inlineStr">
        <is>
          <t>📈 Profit</t>
        </is>
      </c>
      <c r="G8" s="10" t="n"/>
      <c r="H8" s="10" t="n"/>
      <c r="I8" s="11" t="n"/>
      <c r="J8" s="9" t="inlineStr">
        <is>
          <t>🎯 Margin %</t>
        </is>
      </c>
      <c r="K8" s="10" t="n"/>
      <c r="L8" s="10" t="n"/>
      <c r="M8" s="11" t="n"/>
      <c r="N8" s="9" t="inlineStr">
        <is>
          <t>🚀 YoY growth</t>
        </is>
      </c>
      <c r="O8" s="10" t="n"/>
      <c r="P8" s="10" t="n"/>
      <c r="Q8" s="11" t="n"/>
      <c r="R8" s="9" t="inlineStr">
        <is>
          <t>📦 Packs sold</t>
        </is>
      </c>
      <c r="S8" s="10" t="n"/>
      <c r="T8" s="10" t="n"/>
      <c r="U8" s="11" t="n"/>
      <c r="V8" s="9" t="inlineStr">
        <is>
          <t>🏷️ Discount %</t>
        </is>
      </c>
      <c r="W8" s="10" t="n"/>
      <c r="X8" s="10" t="n"/>
      <c r="Y8" s="11" t="n"/>
      <c r="Z8" s="1" t="n"/>
    </row>
    <row r="9" ht="30" customHeight="1">
      <c r="A9" s="1" t="n"/>
      <c r="B9" s="12">
        <f>SUMIFS(Data!$O$10:$O$6009,Data!$V$10:$V$6009,1)</f>
        <v/>
      </c>
      <c r="C9" s="13" t="n"/>
      <c r="D9" s="13" t="n"/>
      <c r="E9" s="14" t="n"/>
      <c r="F9" s="12">
        <f>SUMIFS(Data!$Q$10:$Q$6009,Data!$V$10:$V$6009,1)</f>
        <v/>
      </c>
      <c r="G9" s="13" t="n"/>
      <c r="H9" s="13" t="n"/>
      <c r="I9" s="14" t="n"/>
      <c r="J9" s="15">
        <f>IFERROR(SUMIFS(Data!$Q$10:$Q$6009,Data!$V$10:$V$6009,1)/SUMIFS(Data!$O$10:$O$6009,Data!$V$10:$V$6009,1),0)</f>
        <v/>
      </c>
      <c r="K9" s="13" t="n"/>
      <c r="L9" s="13" t="n"/>
      <c r="M9" s="14" t="n"/>
      <c r="N9" s="16">
        <f>IFERROR(SUMIFS(Data!$O$10:$O$6009,Data!$V$10:$V$6009,1,Data!$C$10:$C$6009,2026)/SUMIFS(Data!$O$10:$O$6009,Data!$V$10:$V$6009,1,Data!$C$10:$C$6009,2025)-1,0)</f>
        <v/>
      </c>
      <c r="O9" s="13" t="n"/>
      <c r="P9" s="13" t="n"/>
      <c r="Q9" s="14" t="n"/>
      <c r="R9" s="17">
        <f>SUMIFS(Data!$K$10:$K$6009,Data!$V$10:$V$6009,1)</f>
        <v/>
      </c>
      <c r="S9" s="13" t="n"/>
      <c r="T9" s="13" t="n"/>
      <c r="U9" s="14" t="n"/>
      <c r="V9" s="15">
        <f>IFERROR(SUMIFS(Data!$N$10:$N$6009,Data!$V$10:$V$6009,1)/SUMIFS(Data!$M$10:$M$6009,Data!$V$10:$V$6009,1),0)</f>
        <v/>
      </c>
      <c r="W9" s="13" t="n"/>
      <c r="X9" s="13" t="n"/>
      <c r="Y9" s="14" t="n"/>
      <c r="Z9" s="1" t="n"/>
    </row>
    <row r="10" ht="15" customHeight="1">
      <c r="A10" s="1" t="n"/>
      <c r="B10" s="18">
        <f>"ΔPY "&amp;TEXT(IFERROR(SUMIFS(Data!$O$10:$O$6009,Data!$V$10:$V$6009,1,Data!$C$10:$C$6009,2026)/SUMIFS(Data!$O$10:$O$6009,Data!$V$10:$V$6009,1,Data!$C$10:$C$6009,2025)-1,0),"+0.0%;-0.0%")&amp;" (2026 vs 2025)"</f>
        <v/>
      </c>
      <c r="C10" s="19" t="n"/>
      <c r="D10" s="19" t="n"/>
      <c r="E10" s="20" t="n"/>
      <c r="F10" s="18" t="inlineStr">
        <is>
          <t>Revenue − cost</t>
        </is>
      </c>
      <c r="G10" s="19" t="n"/>
      <c r="H10" s="19" t="n"/>
      <c r="I10" s="20" t="n"/>
      <c r="J10" s="18" t="inlineStr">
        <is>
          <t>Target ≥ 60%</t>
        </is>
      </c>
      <c r="K10" s="19" t="n"/>
      <c r="L10" s="19" t="n"/>
      <c r="M10" s="20" t="n"/>
      <c r="N10" s="18" t="inlineStr">
        <is>
          <t>ΔPY% = 2026 ÷ 2025 − 1</t>
        </is>
      </c>
      <c r="O10" s="19" t="n"/>
      <c r="P10" s="19" t="n"/>
      <c r="Q10" s="20" t="n"/>
      <c r="R10" s="18" t="inlineStr">
        <is>
          <t>Total volume</t>
        </is>
      </c>
      <c r="S10" s="19" t="n"/>
      <c r="T10" s="19" t="n"/>
      <c r="U10" s="20" t="n"/>
      <c r="V10" s="18" t="inlineStr">
        <is>
          <t>Watch if &gt; 15%</t>
        </is>
      </c>
      <c r="W10" s="19" t="n"/>
      <c r="X10" s="19" t="n"/>
      <c r="Y10" s="20" t="n"/>
      <c r="Z10" s="1" t="n"/>
    </row>
    <row r="11" ht="7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</row>
    <row r="12" ht="17" customHeight="1">
      <c r="A12" s="1" t="n"/>
      <c r="B12" s="9" t="inlineStr">
        <is>
          <t>📝 Prescriptions</t>
        </is>
      </c>
      <c r="C12" s="10" t="n"/>
      <c r="D12" s="10" t="n"/>
      <c r="E12" s="11" t="n"/>
      <c r="F12" s="9" t="inlineStr">
        <is>
          <t>💊 Revenue per Rx</t>
        </is>
      </c>
      <c r="G12" s="10" t="n"/>
      <c r="H12" s="10" t="n"/>
      <c r="I12" s="11" t="n"/>
      <c r="J12" s="9" t="inlineStr">
        <is>
          <t>🔬 R&amp;D % of revenue</t>
        </is>
      </c>
      <c r="K12" s="10" t="n"/>
      <c r="L12" s="10" t="n"/>
      <c r="M12" s="11" t="n"/>
      <c r="N12" s="9" t="inlineStr">
        <is>
          <t>⏳ Patent-risk revenue</t>
        </is>
      </c>
      <c r="O12" s="10" t="n"/>
      <c r="P12" s="10" t="n"/>
      <c r="Q12" s="11" t="n"/>
      <c r="R12" s="9" t="inlineStr">
        <is>
          <t>🇺🇸 US share</t>
        </is>
      </c>
      <c r="S12" s="10" t="n"/>
      <c r="T12" s="10" t="n"/>
      <c r="U12" s="11" t="n"/>
      <c r="V12" s="9" t="inlineStr">
        <is>
          <t>💉 Vaccines share</t>
        </is>
      </c>
      <c r="W12" s="10" t="n"/>
      <c r="X12" s="10" t="n"/>
      <c r="Y12" s="11" t="n"/>
      <c r="Z12" s="1" t="n"/>
    </row>
    <row r="13" ht="30" customHeight="1">
      <c r="A13" s="1" t="n"/>
      <c r="B13" s="17">
        <f>SUMIFS(Data!$S$10:$S$6009,Data!$V$10:$V$6009,1)</f>
        <v/>
      </c>
      <c r="C13" s="13" t="n"/>
      <c r="D13" s="13" t="n"/>
      <c r="E13" s="14" t="n"/>
      <c r="F13" s="21">
        <f>IFERROR(SUMIFS(Data!$O$10:$O$6009,Data!$V$10:$V$6009,1)/SUMIFS(Data!$S$10:$S$6009,Data!$V$10:$V$6009,1),0)</f>
        <v/>
      </c>
      <c r="G13" s="13" t="n"/>
      <c r="H13" s="13" t="n"/>
      <c r="I13" s="14" t="n"/>
      <c r="J13" s="15">
        <f>IFERROR(SUMIFS(Data!$T$10:$T$6009,Data!$V$10:$V$6009,1)/SUMIFS(Data!$O$10:$O$6009,Data!$V$10:$V$6009,1),0)</f>
        <v/>
      </c>
      <c r="K13" s="13" t="n"/>
      <c r="L13" s="13" t="n"/>
      <c r="M13" s="14" t="n"/>
      <c r="N13" s="15">
        <f>IFERROR(SUMIFS(Data!$O$10:$O$6009,Data!$V$10:$V$6009,1,Data!$U$10:$U$6009,"High")/SUMIFS(Data!$O$10:$O$6009,Data!$V$10:$V$6009,1),0)</f>
        <v/>
      </c>
      <c r="O13" s="13" t="n"/>
      <c r="P13" s="13" t="n"/>
      <c r="Q13" s="14" t="n"/>
      <c r="R13" s="15">
        <f>IFERROR(SUMIFS(Data!$O$10:$O$6009,Data!$V$10:$V$6009,1,Data!$E$10:$E$6009,"United States")/SUMIFS(Data!$O$10:$O$6009,Data!$V$10:$V$6009,1),0)</f>
        <v/>
      </c>
      <c r="S13" s="13" t="n"/>
      <c r="T13" s="13" t="n"/>
      <c r="U13" s="14" t="n"/>
      <c r="V13" s="15">
        <f>IFERROR(SUMIFS(Data!$O$10:$O$6009,Data!$V$10:$V$6009,1,Data!$R$10:$R$6009,"Vaccines")/SUMIFS(Data!$O$10:$O$6009,Data!$V$10:$V$6009,1),0)</f>
        <v/>
      </c>
      <c r="W13" s="13" t="n"/>
      <c r="X13" s="13" t="n"/>
      <c r="Y13" s="14" t="n"/>
      <c r="Z13" s="1" t="n"/>
    </row>
    <row r="14" ht="15" customHeight="1">
      <c r="A14" s="1" t="n"/>
      <c r="B14" s="18" t="inlineStr">
        <is>
          <t>Scripts filled</t>
        </is>
      </c>
      <c r="C14" s="19" t="n"/>
      <c r="D14" s="19" t="n"/>
      <c r="E14" s="20" t="n"/>
      <c r="F14" s="18" t="inlineStr">
        <is>
          <t>Revenue ÷ prescriptions</t>
        </is>
      </c>
      <c r="G14" s="19" t="n"/>
      <c r="H14" s="19" t="n"/>
      <c r="I14" s="20" t="n"/>
      <c r="J14" s="18" t="inlineStr">
        <is>
          <t>Research intensity</t>
        </is>
      </c>
      <c r="K14" s="19" t="n"/>
      <c r="L14" s="19" t="n"/>
      <c r="M14" s="20" t="n"/>
      <c r="N14" s="18" t="inlineStr">
        <is>
          <t>Example tag: High risk</t>
        </is>
      </c>
      <c r="O14" s="19" t="n"/>
      <c r="P14" s="19" t="n"/>
      <c r="Q14" s="20" t="n"/>
      <c r="R14" s="18" t="inlineStr">
        <is>
          <t>Country split</t>
        </is>
      </c>
      <c r="S14" s="19" t="n"/>
      <c r="T14" s="19" t="n"/>
      <c r="U14" s="20" t="n"/>
      <c r="V14" s="18" t="inlineStr">
        <is>
          <t>Therapy mix</t>
        </is>
      </c>
      <c r="W14" s="19" t="n"/>
      <c r="X14" s="19" t="n"/>
      <c r="Y14" s="20" t="n"/>
      <c r="Z14" s="1" t="n"/>
    </row>
    <row r="15" ht="7" customHeight="1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</row>
    <row r="16">
      <c r="A16" s="1" t="n"/>
      <c r="B16" s="22" t="inlineStr">
        <is>
          <t>★ Insights · live formulas, they change with the filters</t>
        </is>
      </c>
      <c r="C16" s="22" t="n"/>
      <c r="D16" s="22" t="n"/>
      <c r="E16" s="22" t="n"/>
      <c r="F16" s="22" t="n"/>
      <c r="G16" s="22" t="n"/>
      <c r="H16" s="22" t="n"/>
      <c r="I16" s="22" t="n"/>
      <c r="J16" s="22" t="n"/>
      <c r="K16" s="22" t="n"/>
      <c r="L16" s="22" t="n"/>
      <c r="M16" s="22" t="n"/>
      <c r="N16" s="22" t="n"/>
      <c r="O16" s="22" t="n"/>
      <c r="P16" s="22" t="n"/>
      <c r="Q16" s="22" t="n"/>
      <c r="R16" s="22" t="n"/>
      <c r="S16" s="22" t="n"/>
      <c r="T16" s="22" t="n"/>
      <c r="U16" s="22" t="n"/>
      <c r="V16" s="22" t="n"/>
      <c r="W16" s="22" t="n"/>
      <c r="X16" s="22" t="n"/>
      <c r="Y16" s="22" t="n"/>
      <c r="Z16" s="1" t="n"/>
    </row>
    <row r="17" ht="17" customHeight="1">
      <c r="A17" s="1" t="n"/>
      <c r="B17" s="23">
        <f>"Top region: "&amp;INDEX(Calc!$A$21:$A$24,MATCH(MAX(Calc!$B$21:$B$24),Calc!$B$21:$B$24,0))&amp;" with "&amp;TEXT(IFERROR(MAX(Calc!$B$21:$B$24)/SUM(Calc!$B$21:$B$24),0),"0%")&amp;" of revenue"</f>
        <v/>
      </c>
      <c r="C17" s="23" t="n"/>
      <c r="D17" s="23" t="n"/>
      <c r="E17" s="23" t="n"/>
      <c r="F17" s="23" t="n"/>
      <c r="G17" s="23" t="n"/>
      <c r="H17" s="23" t="n"/>
      <c r="I17" s="23" t="n"/>
      <c r="J17" s="23" t="n"/>
      <c r="K17" s="23" t="n"/>
      <c r="L17" s="23" t="n"/>
      <c r="M17" s="23" t="n"/>
      <c r="N17" s="23" t="n"/>
      <c r="O17" s="23" t="n"/>
      <c r="P17" s="23" t="n"/>
      <c r="Q17" s="23" t="n"/>
      <c r="R17" s="23" t="n"/>
      <c r="S17" s="23" t="n"/>
      <c r="T17" s="23" t="n"/>
      <c r="U17" s="23" t="n"/>
      <c r="V17" s="23" t="n"/>
      <c r="W17" s="23" t="n"/>
      <c r="X17" s="23" t="n"/>
      <c r="Y17" s="23" t="n"/>
      <c r="Z17" s="1" t="n"/>
    </row>
    <row r="18" ht="17" customHeight="1">
      <c r="A18" s="1" t="n"/>
      <c r="B18" s="23">
        <f>"Biggest medicine: "&amp;INDEX(Calc!$A$29:$A$36,MATCH(MAX(Calc!$B$29:$B$36),Calc!$B$29:$B$36,0))&amp;"  |  Best margin: "&amp;INDEX(Calc!$A$29:$A$36,MATCH(MAX(Calc!$E$29:$E$36),Calc!$E$29:$E$36,0))&amp;" ("&amp;TEXT(MAX(Calc!$E$29:$E$36),"0%")&amp;")"</f>
        <v/>
      </c>
      <c r="C18" s="23" t="n"/>
      <c r="D18" s="23" t="n"/>
      <c r="E18" s="23" t="n"/>
      <c r="F18" s="23" t="n"/>
      <c r="G18" s="23" t="n"/>
      <c r="H18" s="23" t="n"/>
      <c r="I18" s="23" t="n"/>
      <c r="J18" s="23" t="n"/>
      <c r="K18" s="23" t="n"/>
      <c r="L18" s="23" t="n"/>
      <c r="M18" s="23" t="n"/>
      <c r="N18" s="23" t="n"/>
      <c r="O18" s="23" t="n"/>
      <c r="P18" s="23" t="n"/>
      <c r="Q18" s="23" t="n"/>
      <c r="R18" s="23" t="n"/>
      <c r="S18" s="23" t="n"/>
      <c r="T18" s="23" t="n"/>
      <c r="U18" s="23" t="n"/>
      <c r="V18" s="23" t="n"/>
      <c r="W18" s="23" t="n"/>
      <c r="X18" s="23" t="n"/>
      <c r="Y18" s="23" t="n"/>
      <c r="Z18" s="1" t="n"/>
    </row>
    <row r="19" ht="17" customHeight="1">
      <c r="A19" s="1" t="n"/>
      <c r="B19" s="23">
        <f>"Revenue is "&amp;IF(SUMIFS(Data!$O$10:$O$6009,Data!$V$10:$V$6009,1,Data!$C$10:$C$6009,2026)&gt;=SUMIFS(Data!$O$10:$O$6009,Data!$V$10:$V$6009,1,Data!$C$10:$C$6009,2025),"UP ","DOWN ")&amp;TEXT(IFERROR(SUMIFS(Data!$O$10:$O$6009,Data!$V$10:$V$6009,1,Data!$C$10:$C$6009,2026)/SUMIFS(Data!$O$10:$O$6009,Data!$V$10:$V$6009,1,Data!$C$10:$C$6009,2025)-1,0),"+0.0%;-0.0%")&amp;" vs last year; best month in 2026: "&amp;INDEX(Calc!$A$5:$A$16,MATCH(MAX(Calc!$C$5:$C$16),Calc!$C$5:$C$16,0))</f>
        <v/>
      </c>
      <c r="C19" s="23" t="n"/>
      <c r="D19" s="23" t="n"/>
      <c r="E19" s="23" t="n"/>
      <c r="F19" s="23" t="n"/>
      <c r="G19" s="23" t="n"/>
      <c r="H19" s="23" t="n"/>
      <c r="I19" s="23" t="n"/>
      <c r="J19" s="23" t="n"/>
      <c r="K19" s="23" t="n"/>
      <c r="L19" s="23" t="n"/>
      <c r="M19" s="23" t="n"/>
      <c r="N19" s="23" t="n"/>
      <c r="O19" s="23" t="n"/>
      <c r="P19" s="23" t="n"/>
      <c r="Q19" s="23" t="n"/>
      <c r="R19" s="23" t="n"/>
      <c r="S19" s="23" t="n"/>
      <c r="T19" s="23" t="n"/>
      <c r="U19" s="23" t="n"/>
      <c r="V19" s="23" t="n"/>
      <c r="W19" s="23" t="n"/>
      <c r="X19" s="23" t="n"/>
      <c r="Y19" s="23" t="n"/>
      <c r="Z19" s="1" t="n"/>
    </row>
    <row r="20" ht="6" customHeight="1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</row>
    <row r="21" ht="20" customHeight="1">
      <c r="A21" s="1" t="n"/>
      <c r="B21" s="24">
        <f>"Revenue "&amp;IF(SUM(Calc!$C$5:$C$16)&gt;=SUM(Calc!$B$5:$B$16),"up ","down ")&amp;TEXT(ABS(IFERROR(SUM(Calc!$C$5:$C$16)/SUM(Calc!$B$5:$B$16)-1,0)),"0.0%")&amp;" vs 2025 · AC 2026 vs PY 2025"</f>
        <v/>
      </c>
      <c r="C21" s="24" t="n"/>
      <c r="D21" s="24" t="n"/>
      <c r="E21" s="24" t="n"/>
      <c r="F21" s="24" t="n"/>
      <c r="G21" s="24" t="n"/>
      <c r="H21" s="24" t="n"/>
      <c r="I21" s="24" t="n"/>
      <c r="J21" s="24">
        <f>INDEX(Calc!$A$21:$A$24,MATCH(MAX(Calc!$B$21:$B$24),Calc!$B$21:$B$24,0))&amp;" leads revenue ("&amp;TEXT(IFERROR(MAX(Calc!$B$21:$B$24)/SUM(Calc!$B$21:$B$24),0),"0%")&amp;") · bars = revenue, line = margin %"</f>
        <v/>
      </c>
      <c r="K21" s="24" t="n"/>
      <c r="L21" s="24" t="n"/>
      <c r="M21" s="24" t="n"/>
      <c r="N21" s="24" t="n"/>
      <c r="O21" s="24" t="n"/>
      <c r="P21" s="24" t="n"/>
      <c r="Q21" s="24" t="n"/>
      <c r="R21" s="24">
        <f>INDEX(Calc!$A$29:$A$36,MATCH(MAX(Calc!$B$29:$B$36),Calc!$B$29:$B$36,0))&amp;" leads with "&amp;TEXT(IFERROR(MAX(Calc!$B$29:$B$36)/SUM(Calc!$B$29:$B$36),0),"0%")&amp;" · Medicine revenue mix"</f>
        <v/>
      </c>
      <c r="S21" s="24" t="n"/>
      <c r="T21" s="24" t="n"/>
      <c r="U21" s="24" t="n"/>
      <c r="V21" s="24" t="n"/>
      <c r="W21" s="24" t="n"/>
      <c r="X21" s="24" t="n"/>
      <c r="Y21" s="24" t="n"/>
      <c r="Z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  <c r="W36" s="1" t="n"/>
      <c r="X36" s="1" t="n"/>
      <c r="Y36" s="1" t="n"/>
      <c r="Z36" s="1" t="n"/>
    </row>
    <row r="37" ht="20" customHeight="1">
      <c r="A37" s="1" t="n"/>
      <c r="B37" s="24">
        <f>INDEX(Calc!$A$41:$A$43,MATCH(MAX(Calc!$B$41:$B$43),Calc!$B$41:$B$43,0))&amp;" leads with "&amp;TEXT(IFERROR(MAX(Calc!$B$41:$B$43)/SUM(Calc!$B$41:$B$43),0),"0%")&amp;" · Revenue by channel"</f>
        <v/>
      </c>
      <c r="C37" s="24" t="n"/>
      <c r="D37" s="24" t="n"/>
      <c r="E37" s="24" t="n"/>
      <c r="F37" s="24" t="n"/>
      <c r="G37" s="24" t="n"/>
      <c r="H37" s="24" t="n"/>
      <c r="I37" s="24" t="n"/>
      <c r="J37" s="24">
        <f>INDEX(Calc!$A$29:$A$36,MATCH(MAX(Calc!$D$29:$D$36),Calc!$D$29:$D$36,0))&amp;" leads with "&amp;TEXT(IFERROR(MAX(Calc!$D$29:$D$36)/SUM(Calc!$D$29:$D$36),0),"0%")&amp;" · Profit by medicine"</f>
        <v/>
      </c>
      <c r="K37" s="24" t="n"/>
      <c r="L37" s="24" t="n"/>
      <c r="M37" s="24" t="n"/>
      <c r="N37" s="24" t="n"/>
      <c r="O37" s="24" t="n"/>
      <c r="P37" s="24" t="n"/>
      <c r="Q37" s="24" t="n"/>
      <c r="R37" s="24">
        <f>INDEX(Calc!$A$48:$A$53,MATCH(MAX(Calc!$B$48:$B$53),Calc!$B$48:$B$53,0))&amp;" leads with "&amp;TEXT(IFERROR(MAX(Calc!$B$48:$B$53)/SUM(Calc!$B$48:$B$53),0),"0%")&amp;" · Revenue by therapy area"</f>
        <v/>
      </c>
      <c r="S37" s="24" t="n"/>
      <c r="T37" s="24" t="n"/>
      <c r="U37" s="24" t="n"/>
      <c r="V37" s="24" t="n"/>
      <c r="W37" s="24" t="n"/>
      <c r="X37" s="24" t="n"/>
      <c r="Y37" s="24" t="n"/>
      <c r="Z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  <c r="Y39" s="1" t="n"/>
      <c r="Z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  <c r="W40" s="1" t="n"/>
      <c r="X40" s="1" t="n"/>
      <c r="Y40" s="1" t="n"/>
      <c r="Z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</row>
    <row r="53">
      <c r="A53" s="1" t="n"/>
      <c r="B53" s="25" t="inlineStr">
        <is>
          <t>Top 5 medicines by revenue</t>
        </is>
      </c>
      <c r="C53" s="25" t="n"/>
      <c r="D53" s="25" t="n"/>
      <c r="E53" s="25" t="n"/>
      <c r="F53" s="25" t="n"/>
      <c r="G53" s="25" t="n"/>
      <c r="H53" s="25" t="n"/>
      <c r="I53" s="25" t="n"/>
      <c r="J53" s="25" t="n"/>
      <c r="K53" s="25" t="n"/>
      <c r="L53" s="25" t="n"/>
      <c r="M53" s="25" t="n"/>
      <c r="N53" s="25" t="n"/>
      <c r="O53" s="25" t="n"/>
      <c r="P53" s="25" t="n"/>
      <c r="Q53" s="25" t="n"/>
      <c r="R53" s="25" t="n"/>
      <c r="S53" s="25" t="n"/>
      <c r="T53" s="25" t="n"/>
      <c r="U53" s="25" t="n"/>
      <c r="V53" s="25" t="n"/>
      <c r="W53" s="25" t="n"/>
      <c r="X53" s="25" t="n"/>
      <c r="Y53" s="25" t="n"/>
      <c r="Z53" s="1" t="n"/>
    </row>
    <row r="54">
      <c r="A54" s="1" t="n"/>
      <c r="B54" s="26" t="inlineStr">
        <is>
          <t>Rank</t>
        </is>
      </c>
      <c r="C54" s="26" t="n"/>
      <c r="D54" s="26" t="n"/>
      <c r="E54" s="26" t="n"/>
      <c r="F54" s="26" t="inlineStr">
        <is>
          <t>Medicine</t>
        </is>
      </c>
      <c r="G54" s="26" t="n"/>
      <c r="H54" s="26" t="n"/>
      <c r="I54" s="26" t="n"/>
      <c r="J54" s="26" t="inlineStr">
        <is>
          <t>Revenue</t>
        </is>
      </c>
      <c r="K54" s="26" t="n"/>
      <c r="L54" s="26" t="n"/>
      <c r="M54" s="26" t="n"/>
      <c r="N54" s="26" t="inlineStr">
        <is>
          <t>Packs sold</t>
        </is>
      </c>
      <c r="O54" s="26" t="n"/>
      <c r="P54" s="26" t="n"/>
      <c r="Q54" s="26" t="n"/>
      <c r="R54" s="26" t="inlineStr">
        <is>
          <t>Profit</t>
        </is>
      </c>
      <c r="S54" s="26" t="n"/>
      <c r="T54" s="26" t="n"/>
      <c r="U54" s="26" t="n"/>
      <c r="V54" s="26" t="inlineStr">
        <is>
          <t>Margin %</t>
        </is>
      </c>
      <c r="W54" s="26" t="n"/>
      <c r="X54" s="26" t="n"/>
      <c r="Y54" s="26" t="n"/>
      <c r="Z54" s="1" t="n"/>
    </row>
    <row r="55" ht="17" customHeight="1">
      <c r="A55" s="1" t="n"/>
      <c r="B55" s="27" t="n">
        <v>1</v>
      </c>
      <c r="C55" s="27" t="n"/>
      <c r="D55" s="27" t="n"/>
      <c r="E55" s="27" t="n"/>
      <c r="F55" s="28">
        <f>IFERROR(INDEX(Calc!$A$29:$A$36,MATCH(LARGE(Calc!$F$29:$F$36,$B55),Calc!$F$29:$F$36,0)),"-")</f>
        <v/>
      </c>
      <c r="G55" s="29" t="n"/>
      <c r="H55" s="29" t="n"/>
      <c r="I55" s="29" t="n"/>
      <c r="J55" s="30">
        <f>IFERROR(INDEX(Calc!$B$29:$B$36,MATCH(LARGE(Calc!$F$29:$F$36,$B55),Calc!$F$29:$F$36,0)),"-")</f>
        <v/>
      </c>
      <c r="K55" s="29" t="n"/>
      <c r="L55" s="29" t="n"/>
      <c r="M55" s="29" t="n"/>
      <c r="N55" s="31">
        <f>IFERROR(INDEX(Calc!$C$29:$C$36,MATCH(LARGE(Calc!$F$29:$F$36,$B55),Calc!$F$29:$F$36,0)),"-")</f>
        <v/>
      </c>
      <c r="O55" s="29" t="n"/>
      <c r="P55" s="29" t="n"/>
      <c r="Q55" s="29" t="n"/>
      <c r="R55" s="30">
        <f>IFERROR(INDEX(Calc!$D$29:$D$36,MATCH(LARGE(Calc!$F$29:$F$36,$B55),Calc!$F$29:$F$36,0)),"-")</f>
        <v/>
      </c>
      <c r="S55" s="29" t="n"/>
      <c r="T55" s="29" t="n"/>
      <c r="U55" s="29" t="n"/>
      <c r="V55" s="32">
        <f>IFERROR(INDEX(Calc!$E$29:$E$36,MATCH(LARGE(Calc!$F$29:$F$36,$B55),Calc!$F$29:$F$36,0)),"-")</f>
        <v/>
      </c>
      <c r="W55" s="29" t="n"/>
      <c r="X55" s="29" t="n"/>
      <c r="Y55" s="29" t="n"/>
      <c r="Z55" s="1" t="n"/>
    </row>
    <row r="56" ht="17" customHeight="1">
      <c r="A56" s="1" t="n"/>
      <c r="B56" s="27" t="n">
        <v>2</v>
      </c>
      <c r="C56" s="27" t="n"/>
      <c r="D56" s="27" t="n"/>
      <c r="E56" s="27" t="n"/>
      <c r="F56" s="33">
        <f>IFERROR(INDEX(Calc!$A$29:$A$36,MATCH(LARGE(Calc!$F$29:$F$36,$B56),Calc!$F$29:$F$36,0)),"-")</f>
        <v/>
      </c>
      <c r="G56" s="34" t="n"/>
      <c r="H56" s="34" t="n"/>
      <c r="I56" s="34" t="n"/>
      <c r="J56" s="35">
        <f>IFERROR(INDEX(Calc!$B$29:$B$36,MATCH(LARGE(Calc!$F$29:$F$36,$B56),Calc!$F$29:$F$36,0)),"-")</f>
        <v/>
      </c>
      <c r="K56" s="34" t="n"/>
      <c r="L56" s="34" t="n"/>
      <c r="M56" s="34" t="n"/>
      <c r="N56" s="36">
        <f>IFERROR(INDEX(Calc!$C$29:$C$36,MATCH(LARGE(Calc!$F$29:$F$36,$B56),Calc!$F$29:$F$36,0)),"-")</f>
        <v/>
      </c>
      <c r="O56" s="34" t="n"/>
      <c r="P56" s="34" t="n"/>
      <c r="Q56" s="34" t="n"/>
      <c r="R56" s="35">
        <f>IFERROR(INDEX(Calc!$D$29:$D$36,MATCH(LARGE(Calc!$F$29:$F$36,$B56),Calc!$F$29:$F$36,0)),"-")</f>
        <v/>
      </c>
      <c r="S56" s="34" t="n"/>
      <c r="T56" s="34" t="n"/>
      <c r="U56" s="34" t="n"/>
      <c r="V56" s="37">
        <f>IFERROR(INDEX(Calc!$E$29:$E$36,MATCH(LARGE(Calc!$F$29:$F$36,$B56),Calc!$F$29:$F$36,0)),"-")</f>
        <v/>
      </c>
      <c r="W56" s="34" t="n"/>
      <c r="X56" s="34" t="n"/>
      <c r="Y56" s="34" t="n"/>
      <c r="Z56" s="1" t="n"/>
    </row>
    <row r="57" ht="17" customHeight="1">
      <c r="A57" s="1" t="n"/>
      <c r="B57" s="27" t="n">
        <v>3</v>
      </c>
      <c r="C57" s="27" t="n"/>
      <c r="D57" s="27" t="n"/>
      <c r="E57" s="27" t="n"/>
      <c r="F57" s="33">
        <f>IFERROR(INDEX(Calc!$A$29:$A$36,MATCH(LARGE(Calc!$F$29:$F$36,$B57),Calc!$F$29:$F$36,0)),"-")</f>
        <v/>
      </c>
      <c r="G57" s="34" t="n"/>
      <c r="H57" s="34" t="n"/>
      <c r="I57" s="34" t="n"/>
      <c r="J57" s="35">
        <f>IFERROR(INDEX(Calc!$B$29:$B$36,MATCH(LARGE(Calc!$F$29:$F$36,$B57),Calc!$F$29:$F$36,0)),"-")</f>
        <v/>
      </c>
      <c r="K57" s="34" t="n"/>
      <c r="L57" s="34" t="n"/>
      <c r="M57" s="34" t="n"/>
      <c r="N57" s="36">
        <f>IFERROR(INDEX(Calc!$C$29:$C$36,MATCH(LARGE(Calc!$F$29:$F$36,$B57),Calc!$F$29:$F$36,0)),"-")</f>
        <v/>
      </c>
      <c r="O57" s="34" t="n"/>
      <c r="P57" s="34" t="n"/>
      <c r="Q57" s="34" t="n"/>
      <c r="R57" s="35">
        <f>IFERROR(INDEX(Calc!$D$29:$D$36,MATCH(LARGE(Calc!$F$29:$F$36,$B57),Calc!$F$29:$F$36,0)),"-")</f>
        <v/>
      </c>
      <c r="S57" s="34" t="n"/>
      <c r="T57" s="34" t="n"/>
      <c r="U57" s="34" t="n"/>
      <c r="V57" s="37">
        <f>IFERROR(INDEX(Calc!$E$29:$E$36,MATCH(LARGE(Calc!$F$29:$F$36,$B57),Calc!$F$29:$F$36,0)),"-")</f>
        <v/>
      </c>
      <c r="W57" s="34" t="n"/>
      <c r="X57" s="34" t="n"/>
      <c r="Y57" s="34" t="n"/>
      <c r="Z57" s="1" t="n"/>
    </row>
    <row r="58" ht="17" customHeight="1">
      <c r="A58" s="1" t="n"/>
      <c r="B58" s="27" t="n">
        <v>4</v>
      </c>
      <c r="C58" s="27" t="n"/>
      <c r="D58" s="27" t="n"/>
      <c r="E58" s="27" t="n"/>
      <c r="F58" s="33">
        <f>IFERROR(INDEX(Calc!$A$29:$A$36,MATCH(LARGE(Calc!$F$29:$F$36,$B58),Calc!$F$29:$F$36,0)),"-")</f>
        <v/>
      </c>
      <c r="G58" s="34" t="n"/>
      <c r="H58" s="34" t="n"/>
      <c r="I58" s="34" t="n"/>
      <c r="J58" s="35">
        <f>IFERROR(INDEX(Calc!$B$29:$B$36,MATCH(LARGE(Calc!$F$29:$F$36,$B58),Calc!$F$29:$F$36,0)),"-")</f>
        <v/>
      </c>
      <c r="K58" s="34" t="n"/>
      <c r="L58" s="34" t="n"/>
      <c r="M58" s="34" t="n"/>
      <c r="N58" s="36">
        <f>IFERROR(INDEX(Calc!$C$29:$C$36,MATCH(LARGE(Calc!$F$29:$F$36,$B58),Calc!$F$29:$F$36,0)),"-")</f>
        <v/>
      </c>
      <c r="O58" s="34" t="n"/>
      <c r="P58" s="34" t="n"/>
      <c r="Q58" s="34" t="n"/>
      <c r="R58" s="35">
        <f>IFERROR(INDEX(Calc!$D$29:$D$36,MATCH(LARGE(Calc!$F$29:$F$36,$B58),Calc!$F$29:$F$36,0)),"-")</f>
        <v/>
      </c>
      <c r="S58" s="34" t="n"/>
      <c r="T58" s="34" t="n"/>
      <c r="U58" s="34" t="n"/>
      <c r="V58" s="37">
        <f>IFERROR(INDEX(Calc!$E$29:$E$36,MATCH(LARGE(Calc!$F$29:$F$36,$B58),Calc!$F$29:$F$36,0)),"-")</f>
        <v/>
      </c>
      <c r="W58" s="34" t="n"/>
      <c r="X58" s="34" t="n"/>
      <c r="Y58" s="34" t="n"/>
      <c r="Z58" s="1" t="n"/>
    </row>
    <row r="59" ht="17" customHeight="1">
      <c r="A59" s="1" t="n"/>
      <c r="B59" s="27" t="n">
        <v>5</v>
      </c>
      <c r="C59" s="27" t="n"/>
      <c r="D59" s="27" t="n"/>
      <c r="E59" s="27" t="n"/>
      <c r="F59" s="33">
        <f>IFERROR(INDEX(Calc!$A$29:$A$36,MATCH(LARGE(Calc!$F$29:$F$36,$B59),Calc!$F$29:$F$36,0)),"-")</f>
        <v/>
      </c>
      <c r="G59" s="34" t="n"/>
      <c r="H59" s="34" t="n"/>
      <c r="I59" s="34" t="n"/>
      <c r="J59" s="35">
        <f>IFERROR(INDEX(Calc!$B$29:$B$36,MATCH(LARGE(Calc!$F$29:$F$36,$B59),Calc!$F$29:$F$36,0)),"-")</f>
        <v/>
      </c>
      <c r="K59" s="34" t="n"/>
      <c r="L59" s="34" t="n"/>
      <c r="M59" s="34" t="n"/>
      <c r="N59" s="36">
        <f>IFERROR(INDEX(Calc!$C$29:$C$36,MATCH(LARGE(Calc!$F$29:$F$36,$B59),Calc!$F$29:$F$36,0)),"-")</f>
        <v/>
      </c>
      <c r="O59" s="34" t="n"/>
      <c r="P59" s="34" t="n"/>
      <c r="Q59" s="34" t="n"/>
      <c r="R59" s="35">
        <f>IFERROR(INDEX(Calc!$D$29:$D$36,MATCH(LARGE(Calc!$F$29:$F$36,$B59),Calc!$F$29:$F$36,0)),"-")</f>
        <v/>
      </c>
      <c r="S59" s="34" t="n"/>
      <c r="T59" s="34" t="n"/>
      <c r="U59" s="34" t="n"/>
      <c r="V59" s="37">
        <f>IFERROR(INDEX(Calc!$E$29:$E$36,MATCH(LARGE(Calc!$F$29:$F$36,$B59),Calc!$F$29:$F$36,0)),"-")</f>
        <v/>
      </c>
      <c r="W59" s="34" t="n"/>
      <c r="X59" s="34" t="n"/>
      <c r="Y59" s="34" t="n"/>
      <c r="Z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  <c r="W60" s="1" t="n"/>
      <c r="X60" s="1" t="n"/>
      <c r="Y60" s="1" t="n"/>
      <c r="Z60" s="1" t="n"/>
    </row>
    <row r="61">
      <c r="A61" s="1" t="n"/>
      <c r="B61" s="38" t="inlineStr">
        <is>
          <t>Made for the Excel course at ravindrabagale.com/excel (Top 50 Company Dashboards). Colours are inspired only; no logos. Example data only.</t>
        </is>
      </c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  <c r="Y61" s="39" t="n"/>
      <c r="Z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  <c r="V65" s="1" t="n"/>
      <c r="W65" s="1" t="n"/>
      <c r="X65" s="1" t="n"/>
      <c r="Y65" s="1" t="n"/>
      <c r="Z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  <c r="V66" s="1" t="n"/>
      <c r="W66" s="1" t="n"/>
      <c r="X66" s="1" t="n"/>
      <c r="Y66" s="1" t="n"/>
      <c r="Z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  <c r="R67" s="1" t="n"/>
      <c r="S67" s="1" t="n"/>
      <c r="T67" s="1" t="n"/>
      <c r="U67" s="1" t="n"/>
      <c r="V67" s="1" t="n"/>
      <c r="W67" s="1" t="n"/>
      <c r="X67" s="1" t="n"/>
      <c r="Y67" s="1" t="n"/>
      <c r="Z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  <c r="V68" s="1" t="n"/>
      <c r="W68" s="1" t="n"/>
      <c r="X68" s="1" t="n"/>
      <c r="Y68" s="1" t="n"/>
      <c r="Z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  <c r="R69" s="1" t="n"/>
      <c r="S69" s="1" t="n"/>
      <c r="T69" s="1" t="n"/>
      <c r="U69" s="1" t="n"/>
      <c r="V69" s="1" t="n"/>
      <c r="W69" s="1" t="n"/>
      <c r="X69" s="1" t="n"/>
      <c r="Y69" s="1" t="n"/>
      <c r="Z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  <c r="R70" s="1" t="n"/>
      <c r="S70" s="1" t="n"/>
      <c r="T70" s="1" t="n"/>
      <c r="U70" s="1" t="n"/>
      <c r="V70" s="1" t="n"/>
      <c r="W70" s="1" t="n"/>
      <c r="X70" s="1" t="n"/>
      <c r="Y70" s="1" t="n"/>
      <c r="Z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  <c r="R71" s="1" t="n"/>
      <c r="S71" s="1" t="n"/>
      <c r="T71" s="1" t="n"/>
      <c r="U71" s="1" t="n"/>
      <c r="V71" s="1" t="n"/>
      <c r="W71" s="1" t="n"/>
      <c r="X71" s="1" t="n"/>
      <c r="Y71" s="1" t="n"/>
      <c r="Z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  <c r="R72" s="1" t="n"/>
      <c r="S72" s="1" t="n"/>
      <c r="T72" s="1" t="n"/>
      <c r="U72" s="1" t="n"/>
      <c r="V72" s="1" t="n"/>
      <c r="W72" s="1" t="n"/>
      <c r="X72" s="1" t="n"/>
      <c r="Y72" s="1" t="n"/>
      <c r="Z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  <c r="R73" s="1" t="n"/>
      <c r="S73" s="1" t="n"/>
      <c r="T73" s="1" t="n"/>
      <c r="U73" s="1" t="n"/>
      <c r="V73" s="1" t="n"/>
      <c r="W73" s="1" t="n"/>
      <c r="X73" s="1" t="n"/>
      <c r="Y73" s="1" t="n"/>
      <c r="Z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  <c r="R74" s="1" t="n"/>
      <c r="S74" s="1" t="n"/>
      <c r="T74" s="1" t="n"/>
      <c r="U74" s="1" t="n"/>
      <c r="V74" s="1" t="n"/>
      <c r="W74" s="1" t="n"/>
      <c r="X74" s="1" t="n"/>
      <c r="Y74" s="1" t="n"/>
      <c r="Z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  <c r="R75" s="1" t="n"/>
      <c r="S75" s="1" t="n"/>
      <c r="T75" s="1" t="n"/>
      <c r="U75" s="1" t="n"/>
      <c r="V75" s="1" t="n"/>
      <c r="W75" s="1" t="n"/>
      <c r="X75" s="1" t="n"/>
      <c r="Y75" s="1" t="n"/>
      <c r="Z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  <c r="R76" s="1" t="n"/>
      <c r="S76" s="1" t="n"/>
      <c r="T76" s="1" t="n"/>
      <c r="U76" s="1" t="n"/>
      <c r="V76" s="1" t="n"/>
      <c r="W76" s="1" t="n"/>
      <c r="X76" s="1" t="n"/>
      <c r="Y76" s="1" t="n"/>
      <c r="Z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  <c r="R77" s="1" t="n"/>
      <c r="S77" s="1" t="n"/>
      <c r="T77" s="1" t="n"/>
      <c r="U77" s="1" t="n"/>
      <c r="V77" s="1" t="n"/>
      <c r="W77" s="1" t="n"/>
      <c r="X77" s="1" t="n"/>
      <c r="Y77" s="1" t="n"/>
      <c r="Z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  <c r="R78" s="1" t="n"/>
      <c r="S78" s="1" t="n"/>
      <c r="T78" s="1" t="n"/>
      <c r="U78" s="1" t="n"/>
      <c r="V78" s="1" t="n"/>
      <c r="W78" s="1" t="n"/>
      <c r="X78" s="1" t="n"/>
      <c r="Y78" s="1" t="n"/>
      <c r="Z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  <c r="R79" s="1" t="n"/>
      <c r="S79" s="1" t="n"/>
      <c r="T79" s="1" t="n"/>
      <c r="U79" s="1" t="n"/>
      <c r="V79" s="1" t="n"/>
      <c r="W79" s="1" t="n"/>
      <c r="X79" s="1" t="n"/>
      <c r="Y79" s="1" t="n"/>
      <c r="Z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  <c r="R80" s="1" t="n"/>
      <c r="S80" s="1" t="n"/>
      <c r="T80" s="1" t="n"/>
      <c r="U80" s="1" t="n"/>
      <c r="V80" s="1" t="n"/>
      <c r="W80" s="1" t="n"/>
      <c r="X80" s="1" t="n"/>
      <c r="Y80" s="1" t="n"/>
      <c r="Z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  <c r="R81" s="1" t="n"/>
      <c r="S81" s="1" t="n"/>
      <c r="T81" s="1" t="n"/>
      <c r="U81" s="1" t="n"/>
      <c r="V81" s="1" t="n"/>
      <c r="W81" s="1" t="n"/>
      <c r="X81" s="1" t="n"/>
      <c r="Y81" s="1" t="n"/>
      <c r="Z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  <c r="R82" s="1" t="n"/>
      <c r="S82" s="1" t="n"/>
      <c r="T82" s="1" t="n"/>
      <c r="U82" s="1" t="n"/>
      <c r="V82" s="1" t="n"/>
      <c r="W82" s="1" t="n"/>
      <c r="X82" s="1" t="n"/>
      <c r="Y82" s="1" t="n"/>
      <c r="Z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  <c r="R83" s="1" t="n"/>
      <c r="S83" s="1" t="n"/>
      <c r="T83" s="1" t="n"/>
      <c r="U83" s="1" t="n"/>
      <c r="V83" s="1" t="n"/>
      <c r="W83" s="1" t="n"/>
      <c r="X83" s="1" t="n"/>
      <c r="Y83" s="1" t="n"/>
      <c r="Z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  <c r="R84" s="1" t="n"/>
      <c r="S84" s="1" t="n"/>
      <c r="T84" s="1" t="n"/>
      <c r="U84" s="1" t="n"/>
      <c r="V84" s="1" t="n"/>
      <c r="W84" s="1" t="n"/>
      <c r="X84" s="1" t="n"/>
      <c r="Y84" s="1" t="n"/>
      <c r="Z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  <c r="R85" s="1" t="n"/>
      <c r="S85" s="1" t="n"/>
      <c r="T85" s="1" t="n"/>
      <c r="U85" s="1" t="n"/>
      <c r="V85" s="1" t="n"/>
      <c r="W85" s="1" t="n"/>
      <c r="X85" s="1" t="n"/>
      <c r="Y85" s="1" t="n"/>
      <c r="Z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  <c r="R86" s="1" t="n"/>
      <c r="S86" s="1" t="n"/>
      <c r="T86" s="1" t="n"/>
      <c r="U86" s="1" t="n"/>
      <c r="V86" s="1" t="n"/>
      <c r="W86" s="1" t="n"/>
      <c r="X86" s="1" t="n"/>
      <c r="Y86" s="1" t="n"/>
      <c r="Z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  <c r="R87" s="1" t="n"/>
      <c r="S87" s="1" t="n"/>
      <c r="T87" s="1" t="n"/>
      <c r="U87" s="1" t="n"/>
      <c r="V87" s="1" t="n"/>
      <c r="W87" s="1" t="n"/>
      <c r="X87" s="1" t="n"/>
      <c r="Y87" s="1" t="n"/>
      <c r="Z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  <c r="R88" s="1" t="n"/>
      <c r="S88" s="1" t="n"/>
      <c r="T88" s="1" t="n"/>
      <c r="U88" s="1" t="n"/>
      <c r="V88" s="1" t="n"/>
      <c r="W88" s="1" t="n"/>
      <c r="X88" s="1" t="n"/>
      <c r="Y88" s="1" t="n"/>
      <c r="Z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  <c r="R89" s="1" t="n"/>
      <c r="S89" s="1" t="n"/>
      <c r="T89" s="1" t="n"/>
      <c r="U89" s="1" t="n"/>
      <c r="V89" s="1" t="n"/>
      <c r="W89" s="1" t="n"/>
      <c r="X89" s="1" t="n"/>
      <c r="Y89" s="1" t="n"/>
      <c r="Z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  <c r="R90" s="1" t="n"/>
      <c r="S90" s="1" t="n"/>
      <c r="T90" s="1" t="n"/>
      <c r="U90" s="1" t="n"/>
      <c r="V90" s="1" t="n"/>
      <c r="W90" s="1" t="n"/>
      <c r="X90" s="1" t="n"/>
      <c r="Y90" s="1" t="n"/>
      <c r="Z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  <c r="R91" s="1" t="n"/>
      <c r="S91" s="1" t="n"/>
      <c r="T91" s="1" t="n"/>
      <c r="U91" s="1" t="n"/>
      <c r="V91" s="1" t="n"/>
      <c r="W91" s="1" t="n"/>
      <c r="X91" s="1" t="n"/>
      <c r="Y91" s="1" t="n"/>
      <c r="Z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  <c r="R92" s="1" t="n"/>
      <c r="S92" s="1" t="n"/>
      <c r="T92" s="1" t="n"/>
      <c r="U92" s="1" t="n"/>
      <c r="V92" s="1" t="n"/>
      <c r="W92" s="1" t="n"/>
      <c r="X92" s="1" t="n"/>
      <c r="Y92" s="1" t="n"/>
      <c r="Z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  <c r="R93" s="1" t="n"/>
      <c r="S93" s="1" t="n"/>
      <c r="T93" s="1" t="n"/>
      <c r="U93" s="1" t="n"/>
      <c r="V93" s="1" t="n"/>
      <c r="W93" s="1" t="n"/>
      <c r="X93" s="1" t="n"/>
      <c r="Y93" s="1" t="n"/>
      <c r="Z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  <c r="R94" s="1" t="n"/>
      <c r="S94" s="1" t="n"/>
      <c r="T94" s="1" t="n"/>
      <c r="U94" s="1" t="n"/>
      <c r="V94" s="1" t="n"/>
      <c r="W94" s="1" t="n"/>
      <c r="X94" s="1" t="n"/>
      <c r="Y94" s="1" t="n"/>
      <c r="Z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  <c r="R95" s="1" t="n"/>
      <c r="S95" s="1" t="n"/>
      <c r="T95" s="1" t="n"/>
      <c r="U95" s="1" t="n"/>
      <c r="V95" s="1" t="n"/>
      <c r="W95" s="1" t="n"/>
      <c r="X95" s="1" t="n"/>
      <c r="Y95" s="1" t="n"/>
      <c r="Z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  <c r="R96" s="1" t="n"/>
      <c r="S96" s="1" t="n"/>
      <c r="T96" s="1" t="n"/>
      <c r="U96" s="1" t="n"/>
      <c r="V96" s="1" t="n"/>
      <c r="W96" s="1" t="n"/>
      <c r="X96" s="1" t="n"/>
      <c r="Y96" s="1" t="n"/>
      <c r="Z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  <c r="R97" s="1" t="n"/>
      <c r="S97" s="1" t="n"/>
      <c r="T97" s="1" t="n"/>
      <c r="U97" s="1" t="n"/>
      <c r="V97" s="1" t="n"/>
      <c r="W97" s="1" t="n"/>
      <c r="X97" s="1" t="n"/>
      <c r="Y97" s="1" t="n"/>
      <c r="Z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  <c r="R98" s="1" t="n"/>
      <c r="S98" s="1" t="n"/>
      <c r="T98" s="1" t="n"/>
      <c r="U98" s="1" t="n"/>
      <c r="V98" s="1" t="n"/>
      <c r="W98" s="1" t="n"/>
      <c r="X98" s="1" t="n"/>
      <c r="Y98" s="1" t="n"/>
      <c r="Z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  <c r="R99" s="1" t="n"/>
      <c r="S99" s="1" t="n"/>
      <c r="T99" s="1" t="n"/>
      <c r="U99" s="1" t="n"/>
      <c r="V99" s="1" t="n"/>
      <c r="W99" s="1" t="n"/>
      <c r="X99" s="1" t="n"/>
      <c r="Y99" s="1" t="n"/>
      <c r="Z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  <c r="R100" s="1" t="n"/>
      <c r="S100" s="1" t="n"/>
      <c r="T100" s="1" t="n"/>
      <c r="U100" s="1" t="n"/>
      <c r="V100" s="1" t="n"/>
      <c r="W100" s="1" t="n"/>
      <c r="X100" s="1" t="n"/>
      <c r="Y100" s="1" t="n"/>
      <c r="Z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  <c r="R101" s="1" t="n"/>
      <c r="S101" s="1" t="n"/>
      <c r="T101" s="1" t="n"/>
      <c r="U101" s="1" t="n"/>
      <c r="V101" s="1" t="n"/>
      <c r="W101" s="1" t="n"/>
      <c r="X101" s="1" t="n"/>
      <c r="Y101" s="1" t="n"/>
      <c r="Z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  <c r="R102" s="1" t="n"/>
      <c r="S102" s="1" t="n"/>
      <c r="T102" s="1" t="n"/>
      <c r="U102" s="1" t="n"/>
      <c r="V102" s="1" t="n"/>
      <c r="W102" s="1" t="n"/>
      <c r="X102" s="1" t="n"/>
      <c r="Y102" s="1" t="n"/>
      <c r="Z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  <c r="R103" s="1" t="n"/>
      <c r="S103" s="1" t="n"/>
      <c r="T103" s="1" t="n"/>
      <c r="U103" s="1" t="n"/>
      <c r="V103" s="1" t="n"/>
      <c r="W103" s="1" t="n"/>
      <c r="X103" s="1" t="n"/>
      <c r="Y103" s="1" t="n"/>
      <c r="Z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  <c r="R104" s="1" t="n"/>
      <c r="S104" s="1" t="n"/>
      <c r="T104" s="1" t="n"/>
      <c r="U104" s="1" t="n"/>
      <c r="V104" s="1" t="n"/>
      <c r="W104" s="1" t="n"/>
      <c r="X104" s="1" t="n"/>
      <c r="Y104" s="1" t="n"/>
      <c r="Z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  <c r="R105" s="1" t="n"/>
      <c r="S105" s="1" t="n"/>
      <c r="T105" s="1" t="n"/>
      <c r="U105" s="1" t="n"/>
      <c r="V105" s="1" t="n"/>
      <c r="W105" s="1" t="n"/>
      <c r="X105" s="1" t="n"/>
      <c r="Y105" s="1" t="n"/>
      <c r="Z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  <c r="R106" s="1" t="n"/>
      <c r="S106" s="1" t="n"/>
      <c r="T106" s="1" t="n"/>
      <c r="U106" s="1" t="n"/>
      <c r="V106" s="1" t="n"/>
      <c r="W106" s="1" t="n"/>
      <c r="X106" s="1" t="n"/>
      <c r="Y106" s="1" t="n"/>
      <c r="Z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  <c r="R107" s="1" t="n"/>
      <c r="S107" s="1" t="n"/>
      <c r="T107" s="1" t="n"/>
      <c r="U107" s="1" t="n"/>
      <c r="V107" s="1" t="n"/>
      <c r="W107" s="1" t="n"/>
      <c r="X107" s="1" t="n"/>
      <c r="Y107" s="1" t="n"/>
      <c r="Z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  <c r="R108" s="1" t="n"/>
      <c r="S108" s="1" t="n"/>
      <c r="T108" s="1" t="n"/>
      <c r="U108" s="1" t="n"/>
      <c r="V108" s="1" t="n"/>
      <c r="W108" s="1" t="n"/>
      <c r="X108" s="1" t="n"/>
      <c r="Y108" s="1" t="n"/>
      <c r="Z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  <c r="R109" s="1" t="n"/>
      <c r="S109" s="1" t="n"/>
      <c r="T109" s="1" t="n"/>
      <c r="U109" s="1" t="n"/>
      <c r="V109" s="1" t="n"/>
      <c r="W109" s="1" t="n"/>
      <c r="X109" s="1" t="n"/>
      <c r="Y109" s="1" t="n"/>
      <c r="Z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  <c r="R110" s="1" t="n"/>
      <c r="S110" s="1" t="n"/>
      <c r="T110" s="1" t="n"/>
      <c r="U110" s="1" t="n"/>
      <c r="V110" s="1" t="n"/>
      <c r="W110" s="1" t="n"/>
      <c r="X110" s="1" t="n"/>
      <c r="Y110" s="1" t="n"/>
      <c r="Z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  <c r="R111" s="1" t="n"/>
      <c r="S111" s="1" t="n"/>
      <c r="T111" s="1" t="n"/>
      <c r="U111" s="1" t="n"/>
      <c r="V111" s="1" t="n"/>
      <c r="W111" s="1" t="n"/>
      <c r="X111" s="1" t="n"/>
      <c r="Y111" s="1" t="n"/>
      <c r="Z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  <c r="R112" s="1" t="n"/>
      <c r="S112" s="1" t="n"/>
      <c r="T112" s="1" t="n"/>
      <c r="U112" s="1" t="n"/>
      <c r="V112" s="1" t="n"/>
      <c r="W112" s="1" t="n"/>
      <c r="X112" s="1" t="n"/>
      <c r="Y112" s="1" t="n"/>
      <c r="Z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  <c r="R113" s="1" t="n"/>
      <c r="S113" s="1" t="n"/>
      <c r="T113" s="1" t="n"/>
      <c r="U113" s="1" t="n"/>
      <c r="V113" s="1" t="n"/>
      <c r="W113" s="1" t="n"/>
      <c r="X113" s="1" t="n"/>
      <c r="Y113" s="1" t="n"/>
      <c r="Z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  <c r="R114" s="1" t="n"/>
      <c r="S114" s="1" t="n"/>
      <c r="T114" s="1" t="n"/>
      <c r="U114" s="1" t="n"/>
      <c r="V114" s="1" t="n"/>
      <c r="W114" s="1" t="n"/>
      <c r="X114" s="1" t="n"/>
      <c r="Y114" s="1" t="n"/>
      <c r="Z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  <c r="R115" s="1" t="n"/>
      <c r="S115" s="1" t="n"/>
      <c r="T115" s="1" t="n"/>
      <c r="U115" s="1" t="n"/>
      <c r="V115" s="1" t="n"/>
      <c r="W115" s="1" t="n"/>
      <c r="X115" s="1" t="n"/>
      <c r="Y115" s="1" t="n"/>
      <c r="Z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  <c r="R116" s="1" t="n"/>
      <c r="S116" s="1" t="n"/>
      <c r="T116" s="1" t="n"/>
      <c r="U116" s="1" t="n"/>
      <c r="V116" s="1" t="n"/>
      <c r="W116" s="1" t="n"/>
      <c r="X116" s="1" t="n"/>
      <c r="Y116" s="1" t="n"/>
      <c r="Z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  <c r="R117" s="1" t="n"/>
      <c r="S117" s="1" t="n"/>
      <c r="T117" s="1" t="n"/>
      <c r="U117" s="1" t="n"/>
      <c r="V117" s="1" t="n"/>
      <c r="W117" s="1" t="n"/>
      <c r="X117" s="1" t="n"/>
      <c r="Y117" s="1" t="n"/>
      <c r="Z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  <c r="R118" s="1" t="n"/>
      <c r="S118" s="1" t="n"/>
      <c r="T118" s="1" t="n"/>
      <c r="U118" s="1" t="n"/>
      <c r="V118" s="1" t="n"/>
      <c r="W118" s="1" t="n"/>
      <c r="X118" s="1" t="n"/>
      <c r="Y118" s="1" t="n"/>
      <c r="Z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  <c r="R119" s="1" t="n"/>
      <c r="S119" s="1" t="n"/>
      <c r="T119" s="1" t="n"/>
      <c r="U119" s="1" t="n"/>
      <c r="V119" s="1" t="n"/>
      <c r="W119" s="1" t="n"/>
      <c r="X119" s="1" t="n"/>
      <c r="Y119" s="1" t="n"/>
      <c r="Z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  <c r="R120" s="1" t="n"/>
      <c r="S120" s="1" t="n"/>
      <c r="T120" s="1" t="n"/>
      <c r="U120" s="1" t="n"/>
      <c r="V120" s="1" t="n"/>
      <c r="W120" s="1" t="n"/>
      <c r="X120" s="1" t="n"/>
      <c r="Y120" s="1" t="n"/>
      <c r="Z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  <c r="R121" s="1" t="n"/>
      <c r="S121" s="1" t="n"/>
      <c r="T121" s="1" t="n"/>
      <c r="U121" s="1" t="n"/>
      <c r="V121" s="1" t="n"/>
      <c r="W121" s="1" t="n"/>
      <c r="X121" s="1" t="n"/>
      <c r="Y121" s="1" t="n"/>
      <c r="Z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  <c r="R122" s="1" t="n"/>
      <c r="S122" s="1" t="n"/>
      <c r="T122" s="1" t="n"/>
      <c r="U122" s="1" t="n"/>
      <c r="V122" s="1" t="n"/>
      <c r="W122" s="1" t="n"/>
      <c r="X122" s="1" t="n"/>
      <c r="Y122" s="1" t="n"/>
      <c r="Z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  <c r="R123" s="1" t="n"/>
      <c r="S123" s="1" t="n"/>
      <c r="T123" s="1" t="n"/>
      <c r="U123" s="1" t="n"/>
      <c r="V123" s="1" t="n"/>
      <c r="W123" s="1" t="n"/>
      <c r="X123" s="1" t="n"/>
      <c r="Y123" s="1" t="n"/>
      <c r="Z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  <c r="R124" s="1" t="n"/>
      <c r="S124" s="1" t="n"/>
      <c r="T124" s="1" t="n"/>
      <c r="U124" s="1" t="n"/>
      <c r="V124" s="1" t="n"/>
      <c r="W124" s="1" t="n"/>
      <c r="X124" s="1" t="n"/>
      <c r="Y124" s="1" t="n"/>
      <c r="Z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  <c r="R125" s="1" t="n"/>
      <c r="S125" s="1" t="n"/>
      <c r="T125" s="1" t="n"/>
      <c r="U125" s="1" t="n"/>
      <c r="V125" s="1" t="n"/>
      <c r="W125" s="1" t="n"/>
      <c r="X125" s="1" t="n"/>
      <c r="Y125" s="1" t="n"/>
      <c r="Z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  <c r="R126" s="1" t="n"/>
      <c r="S126" s="1" t="n"/>
      <c r="T126" s="1" t="n"/>
      <c r="U126" s="1" t="n"/>
      <c r="V126" s="1" t="n"/>
      <c r="W126" s="1" t="n"/>
      <c r="X126" s="1" t="n"/>
      <c r="Y126" s="1" t="n"/>
      <c r="Z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  <c r="R127" s="1" t="n"/>
      <c r="S127" s="1" t="n"/>
      <c r="T127" s="1" t="n"/>
      <c r="U127" s="1" t="n"/>
      <c r="V127" s="1" t="n"/>
      <c r="W127" s="1" t="n"/>
      <c r="X127" s="1" t="n"/>
      <c r="Y127" s="1" t="n"/>
      <c r="Z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  <c r="R128" s="1" t="n"/>
      <c r="S128" s="1" t="n"/>
      <c r="T128" s="1" t="n"/>
      <c r="U128" s="1" t="n"/>
      <c r="V128" s="1" t="n"/>
      <c r="W128" s="1" t="n"/>
      <c r="X128" s="1" t="n"/>
      <c r="Y128" s="1" t="n"/>
      <c r="Z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  <c r="R129" s="1" t="n"/>
      <c r="S129" s="1" t="n"/>
      <c r="T129" s="1" t="n"/>
      <c r="U129" s="1" t="n"/>
      <c r="V129" s="1" t="n"/>
      <c r="W129" s="1" t="n"/>
      <c r="X129" s="1" t="n"/>
      <c r="Y129" s="1" t="n"/>
      <c r="Z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  <c r="R130" s="1" t="n"/>
      <c r="S130" s="1" t="n"/>
      <c r="T130" s="1" t="n"/>
      <c r="U130" s="1" t="n"/>
      <c r="V130" s="1" t="n"/>
      <c r="W130" s="1" t="n"/>
      <c r="X130" s="1" t="n"/>
      <c r="Y130" s="1" t="n"/>
      <c r="Z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  <c r="R131" s="1" t="n"/>
      <c r="S131" s="1" t="n"/>
      <c r="T131" s="1" t="n"/>
      <c r="U131" s="1" t="n"/>
      <c r="V131" s="1" t="n"/>
      <c r="W131" s="1" t="n"/>
      <c r="X131" s="1" t="n"/>
      <c r="Y131" s="1" t="n"/>
      <c r="Z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  <c r="R132" s="1" t="n"/>
      <c r="S132" s="1" t="n"/>
      <c r="T132" s="1" t="n"/>
      <c r="U132" s="1" t="n"/>
      <c r="V132" s="1" t="n"/>
      <c r="W132" s="1" t="n"/>
      <c r="X132" s="1" t="n"/>
      <c r="Y132" s="1" t="n"/>
      <c r="Z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  <c r="R133" s="1" t="n"/>
      <c r="S133" s="1" t="n"/>
      <c r="T133" s="1" t="n"/>
      <c r="U133" s="1" t="n"/>
      <c r="V133" s="1" t="n"/>
      <c r="W133" s="1" t="n"/>
      <c r="X133" s="1" t="n"/>
      <c r="Y133" s="1" t="n"/>
      <c r="Z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  <c r="R134" s="1" t="n"/>
      <c r="S134" s="1" t="n"/>
      <c r="T134" s="1" t="n"/>
      <c r="U134" s="1" t="n"/>
      <c r="V134" s="1" t="n"/>
      <c r="W134" s="1" t="n"/>
      <c r="X134" s="1" t="n"/>
      <c r="Y134" s="1" t="n"/>
      <c r="Z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  <c r="R135" s="1" t="n"/>
      <c r="S135" s="1" t="n"/>
      <c r="T135" s="1" t="n"/>
      <c r="U135" s="1" t="n"/>
      <c r="V135" s="1" t="n"/>
      <c r="W135" s="1" t="n"/>
      <c r="X135" s="1" t="n"/>
      <c r="Y135" s="1" t="n"/>
      <c r="Z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  <c r="R136" s="1" t="n"/>
      <c r="S136" s="1" t="n"/>
      <c r="T136" s="1" t="n"/>
      <c r="U136" s="1" t="n"/>
      <c r="V136" s="1" t="n"/>
      <c r="W136" s="1" t="n"/>
      <c r="X136" s="1" t="n"/>
      <c r="Y136" s="1" t="n"/>
      <c r="Z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  <c r="R137" s="1" t="n"/>
      <c r="S137" s="1" t="n"/>
      <c r="T137" s="1" t="n"/>
      <c r="U137" s="1" t="n"/>
      <c r="V137" s="1" t="n"/>
      <c r="W137" s="1" t="n"/>
      <c r="X137" s="1" t="n"/>
      <c r="Y137" s="1" t="n"/>
      <c r="Z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  <c r="R138" s="1" t="n"/>
      <c r="S138" s="1" t="n"/>
      <c r="T138" s="1" t="n"/>
      <c r="U138" s="1" t="n"/>
      <c r="V138" s="1" t="n"/>
      <c r="W138" s="1" t="n"/>
      <c r="X138" s="1" t="n"/>
      <c r="Y138" s="1" t="n"/>
      <c r="Z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  <c r="R139" s="1" t="n"/>
      <c r="S139" s="1" t="n"/>
      <c r="T139" s="1" t="n"/>
      <c r="U139" s="1" t="n"/>
      <c r="V139" s="1" t="n"/>
      <c r="W139" s="1" t="n"/>
      <c r="X139" s="1" t="n"/>
      <c r="Y139" s="1" t="n"/>
      <c r="Z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  <c r="R140" s="1" t="n"/>
      <c r="S140" s="1" t="n"/>
      <c r="T140" s="1" t="n"/>
      <c r="U140" s="1" t="n"/>
      <c r="V140" s="1" t="n"/>
      <c r="W140" s="1" t="n"/>
      <c r="X140" s="1" t="n"/>
      <c r="Y140" s="1" t="n"/>
      <c r="Z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  <c r="R141" s="1" t="n"/>
      <c r="S141" s="1" t="n"/>
      <c r="T141" s="1" t="n"/>
      <c r="U141" s="1" t="n"/>
      <c r="V141" s="1" t="n"/>
      <c r="W141" s="1" t="n"/>
      <c r="X141" s="1" t="n"/>
      <c r="Y141" s="1" t="n"/>
      <c r="Z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  <c r="R142" s="1" t="n"/>
      <c r="S142" s="1" t="n"/>
      <c r="T142" s="1" t="n"/>
      <c r="U142" s="1" t="n"/>
      <c r="V142" s="1" t="n"/>
      <c r="W142" s="1" t="n"/>
      <c r="X142" s="1" t="n"/>
      <c r="Y142" s="1" t="n"/>
      <c r="Z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  <c r="R143" s="1" t="n"/>
      <c r="S143" s="1" t="n"/>
      <c r="T143" s="1" t="n"/>
      <c r="U143" s="1" t="n"/>
      <c r="V143" s="1" t="n"/>
      <c r="W143" s="1" t="n"/>
      <c r="X143" s="1" t="n"/>
      <c r="Y143" s="1" t="n"/>
      <c r="Z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  <c r="R144" s="1" t="n"/>
      <c r="S144" s="1" t="n"/>
      <c r="T144" s="1" t="n"/>
      <c r="U144" s="1" t="n"/>
      <c r="V144" s="1" t="n"/>
      <c r="W144" s="1" t="n"/>
      <c r="X144" s="1" t="n"/>
      <c r="Y144" s="1" t="n"/>
      <c r="Z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  <c r="R145" s="1" t="n"/>
      <c r="S145" s="1" t="n"/>
      <c r="T145" s="1" t="n"/>
      <c r="U145" s="1" t="n"/>
      <c r="V145" s="1" t="n"/>
      <c r="W145" s="1" t="n"/>
      <c r="X145" s="1" t="n"/>
      <c r="Y145" s="1" t="n"/>
      <c r="Z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  <c r="R146" s="1" t="n"/>
      <c r="S146" s="1" t="n"/>
      <c r="T146" s="1" t="n"/>
      <c r="U146" s="1" t="n"/>
      <c r="V146" s="1" t="n"/>
      <c r="W146" s="1" t="n"/>
      <c r="X146" s="1" t="n"/>
      <c r="Y146" s="1" t="n"/>
      <c r="Z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  <c r="R147" s="1" t="n"/>
      <c r="S147" s="1" t="n"/>
      <c r="T147" s="1" t="n"/>
      <c r="U147" s="1" t="n"/>
      <c r="V147" s="1" t="n"/>
      <c r="W147" s="1" t="n"/>
      <c r="X147" s="1" t="n"/>
      <c r="Y147" s="1" t="n"/>
      <c r="Z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  <c r="R148" s="1" t="n"/>
      <c r="S148" s="1" t="n"/>
      <c r="T148" s="1" t="n"/>
      <c r="U148" s="1" t="n"/>
      <c r="V148" s="1" t="n"/>
      <c r="W148" s="1" t="n"/>
      <c r="X148" s="1" t="n"/>
      <c r="Y148" s="1" t="n"/>
      <c r="Z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  <c r="R149" s="1" t="n"/>
      <c r="S149" s="1" t="n"/>
      <c r="T149" s="1" t="n"/>
      <c r="U149" s="1" t="n"/>
      <c r="V149" s="1" t="n"/>
      <c r="W149" s="1" t="n"/>
      <c r="X149" s="1" t="n"/>
      <c r="Y149" s="1" t="n"/>
      <c r="Z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  <c r="R150" s="1" t="n"/>
      <c r="S150" s="1" t="n"/>
      <c r="T150" s="1" t="n"/>
      <c r="U150" s="1" t="n"/>
      <c r="V150" s="1" t="n"/>
      <c r="W150" s="1" t="n"/>
      <c r="X150" s="1" t="n"/>
      <c r="Y150" s="1" t="n"/>
      <c r="Z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  <c r="R151" s="1" t="n"/>
      <c r="S151" s="1" t="n"/>
      <c r="T151" s="1" t="n"/>
      <c r="U151" s="1" t="n"/>
      <c r="V151" s="1" t="n"/>
      <c r="W151" s="1" t="n"/>
      <c r="X151" s="1" t="n"/>
      <c r="Y151" s="1" t="n"/>
      <c r="Z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  <c r="R152" s="1" t="n"/>
      <c r="S152" s="1" t="n"/>
      <c r="T152" s="1" t="n"/>
      <c r="U152" s="1" t="n"/>
      <c r="V152" s="1" t="n"/>
      <c r="W152" s="1" t="n"/>
      <c r="X152" s="1" t="n"/>
      <c r="Y152" s="1" t="n"/>
      <c r="Z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  <c r="R153" s="1" t="n"/>
      <c r="S153" s="1" t="n"/>
      <c r="T153" s="1" t="n"/>
      <c r="U153" s="1" t="n"/>
      <c r="V153" s="1" t="n"/>
      <c r="W153" s="1" t="n"/>
      <c r="X153" s="1" t="n"/>
      <c r="Y153" s="1" t="n"/>
      <c r="Z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  <c r="R154" s="1" t="n"/>
      <c r="S154" s="1" t="n"/>
      <c r="T154" s="1" t="n"/>
      <c r="U154" s="1" t="n"/>
      <c r="V154" s="1" t="n"/>
      <c r="W154" s="1" t="n"/>
      <c r="X154" s="1" t="n"/>
      <c r="Y154" s="1" t="n"/>
      <c r="Z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  <c r="R155" s="1" t="n"/>
      <c r="S155" s="1" t="n"/>
      <c r="T155" s="1" t="n"/>
      <c r="U155" s="1" t="n"/>
      <c r="V155" s="1" t="n"/>
      <c r="W155" s="1" t="n"/>
      <c r="X155" s="1" t="n"/>
      <c r="Y155" s="1" t="n"/>
      <c r="Z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  <c r="R156" s="1" t="n"/>
      <c r="S156" s="1" t="n"/>
      <c r="T156" s="1" t="n"/>
      <c r="U156" s="1" t="n"/>
      <c r="V156" s="1" t="n"/>
      <c r="W156" s="1" t="n"/>
      <c r="X156" s="1" t="n"/>
      <c r="Y156" s="1" t="n"/>
      <c r="Z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  <c r="R157" s="1" t="n"/>
      <c r="S157" s="1" t="n"/>
      <c r="T157" s="1" t="n"/>
      <c r="U157" s="1" t="n"/>
      <c r="V157" s="1" t="n"/>
      <c r="W157" s="1" t="n"/>
      <c r="X157" s="1" t="n"/>
      <c r="Y157" s="1" t="n"/>
      <c r="Z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  <c r="R158" s="1" t="n"/>
      <c r="S158" s="1" t="n"/>
      <c r="T158" s="1" t="n"/>
      <c r="U158" s="1" t="n"/>
      <c r="V158" s="1" t="n"/>
      <c r="W158" s="1" t="n"/>
      <c r="X158" s="1" t="n"/>
      <c r="Y158" s="1" t="n"/>
      <c r="Z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  <c r="R159" s="1" t="n"/>
      <c r="S159" s="1" t="n"/>
      <c r="T159" s="1" t="n"/>
      <c r="U159" s="1" t="n"/>
      <c r="V159" s="1" t="n"/>
      <c r="W159" s="1" t="n"/>
      <c r="X159" s="1" t="n"/>
      <c r="Y159" s="1" t="n"/>
      <c r="Z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  <c r="R160" s="1" t="n"/>
      <c r="S160" s="1" t="n"/>
      <c r="T160" s="1" t="n"/>
      <c r="U160" s="1" t="n"/>
      <c r="V160" s="1" t="n"/>
      <c r="W160" s="1" t="n"/>
      <c r="X160" s="1" t="n"/>
      <c r="Y160" s="1" t="n"/>
      <c r="Z160" s="1" t="n"/>
    </row>
  </sheetData>
  <mergeCells count="91">
    <mergeCell ref="C6:D6"/>
    <mergeCell ref="J56:M56"/>
    <mergeCell ref="V57:Y57"/>
    <mergeCell ref="B17:Y17"/>
    <mergeCell ref="B19:Y19"/>
    <mergeCell ref="N9:P9"/>
    <mergeCell ref="F9:H9"/>
    <mergeCell ref="V58:Y58"/>
    <mergeCell ref="J59:M59"/>
    <mergeCell ref="B12:E12"/>
    <mergeCell ref="B5:Y5"/>
    <mergeCell ref="N12:Q12"/>
    <mergeCell ref="F59:I59"/>
    <mergeCell ref="B14:E14"/>
    <mergeCell ref="B4:Y4"/>
    <mergeCell ref="N14:Q14"/>
    <mergeCell ref="R55:U55"/>
    <mergeCell ref="R12:U12"/>
    <mergeCell ref="J13:L13"/>
    <mergeCell ref="J55:M55"/>
    <mergeCell ref="L6:Y6"/>
    <mergeCell ref="V13:X13"/>
    <mergeCell ref="R54:U54"/>
    <mergeCell ref="F56:I56"/>
    <mergeCell ref="I6:J6"/>
    <mergeCell ref="F58:I58"/>
    <mergeCell ref="R56:U56"/>
    <mergeCell ref="F6:G6"/>
    <mergeCell ref="J37:Q37"/>
    <mergeCell ref="R58:U58"/>
    <mergeCell ref="J58:M58"/>
    <mergeCell ref="B21:I21"/>
    <mergeCell ref="V56:Y56"/>
    <mergeCell ref="F57:I57"/>
    <mergeCell ref="R8:U8"/>
    <mergeCell ref="J8:M8"/>
    <mergeCell ref="B9:D9"/>
    <mergeCell ref="F54:I54"/>
    <mergeCell ref="R37:Y37"/>
    <mergeCell ref="R10:U10"/>
    <mergeCell ref="J57:M57"/>
    <mergeCell ref="J10:M10"/>
    <mergeCell ref="R21:Y21"/>
    <mergeCell ref="R59:U59"/>
    <mergeCell ref="R9:T9"/>
    <mergeCell ref="V10:Y10"/>
    <mergeCell ref="R13:T13"/>
    <mergeCell ref="J12:M12"/>
    <mergeCell ref="B13:D13"/>
    <mergeCell ref="B55:E55"/>
    <mergeCell ref="B61:Y61"/>
    <mergeCell ref="F13:H13"/>
    <mergeCell ref="B54:E54"/>
    <mergeCell ref="N54:Q54"/>
    <mergeCell ref="F10:I10"/>
    <mergeCell ref="R57:U57"/>
    <mergeCell ref="B56:E56"/>
    <mergeCell ref="V8:Y8"/>
    <mergeCell ref="B58:E58"/>
    <mergeCell ref="N56:Q56"/>
    <mergeCell ref="B57:E57"/>
    <mergeCell ref="N8:Q8"/>
    <mergeCell ref="F8:I8"/>
    <mergeCell ref="B16:Y16"/>
    <mergeCell ref="J21:Q21"/>
    <mergeCell ref="J9:L9"/>
    <mergeCell ref="N10:Q10"/>
    <mergeCell ref="B18:Y18"/>
    <mergeCell ref="N59:Q59"/>
    <mergeCell ref="V9:X9"/>
    <mergeCell ref="F14:I14"/>
    <mergeCell ref="B53:Y53"/>
    <mergeCell ref="R14:U14"/>
    <mergeCell ref="V55:Y55"/>
    <mergeCell ref="V12:Y12"/>
    <mergeCell ref="N13:P13"/>
    <mergeCell ref="N55:Q55"/>
    <mergeCell ref="B59:E59"/>
    <mergeCell ref="J14:M14"/>
    <mergeCell ref="V14:Y14"/>
    <mergeCell ref="V54:Y54"/>
    <mergeCell ref="F55:I55"/>
    <mergeCell ref="F12:I12"/>
    <mergeCell ref="B37:I37"/>
    <mergeCell ref="V59:Y59"/>
    <mergeCell ref="B8:E8"/>
    <mergeCell ref="N58:Q58"/>
    <mergeCell ref="B1:Y2"/>
    <mergeCell ref="J54:M54"/>
    <mergeCell ref="B10:E10"/>
    <mergeCell ref="N57:Q57"/>
  </mergeCells>
  <conditionalFormatting sqref="F9">
    <cfRule type="cellIs" priority="1" operator="lessThan" dxfId="0">
      <formula>0</formula>
    </cfRule>
  </conditionalFormatting>
  <conditionalFormatting sqref="J9">
    <cfRule type="cellIs" priority="2" operator="greaterThanOrEqual" dxfId="1">
      <formula>0.6</formula>
    </cfRule>
  </conditionalFormatting>
  <conditionalFormatting sqref="N9">
    <cfRule type="cellIs" priority="3" operator="greaterThanOrEqual" dxfId="1">
      <formula>0</formula>
    </cfRule>
  </conditionalFormatting>
  <conditionalFormatting sqref="V9">
    <cfRule type="cellIs" priority="4" operator="greaterThan" dxfId="0">
      <formula>0.15</formula>
    </cfRule>
  </conditionalFormatting>
  <conditionalFormatting sqref="N13">
    <cfRule type="cellIs" priority="5" operator="greaterThan" dxfId="0">
      <formula>0.4</formula>
    </cfRule>
  </conditionalFormatting>
  <dataValidations count="3">
    <dataValidation sqref="C6" showDropDown="0" showInputMessage="0" showErrorMessage="0" allowBlank="0" error="Pick a value from the list" prompt="Pick All or one Region" type="list">
      <formula1>=Lists!$A$2:$A$6</formula1>
    </dataValidation>
    <dataValidation sqref="F6" showDropDown="0" showInputMessage="0" showErrorMessage="0" allowBlank="0" error="Pick a value from the list" prompt="Pick All or one Medicine" type="list">
      <formula1>=Lists!$B$2:$B$10</formula1>
    </dataValidation>
    <dataValidation sqref="I6" showDropDown="0" showInputMessage="0" showErrorMessage="0" allowBlank="0" error="Pick a value from the list" prompt="Pick All or one Channel" type="list">
      <formula1>=Lists!$C$2:$C$5</formula1>
    </dataValidation>
  </dataValidations>
  <pageMargins left="0.2" right="0.2" top="0.2" bottom="0.2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0A3E0"/>
    <outlinePr summaryBelow="1" summaryRight="1"/>
    <pageSetUpPr fitToPage="1"/>
  </sheetPr>
  <dimension ref="A1:I36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0" t="inlineStr">
        <is>
          <t xml:space="preserve">  1 · Descriptive: what happened?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</row>
    <row r="2">
      <c r="A2" s="41" t="inlineStr">
        <is>
          <t>EXAMPLE DATA: every number in this workbook is made up for practice. It is not real Pfizer data and not an official report.</t>
        </is>
      </c>
      <c r="B2" s="41" t="n"/>
      <c r="C2" s="41" t="n"/>
      <c r="D2" s="41" t="n"/>
      <c r="E2" s="41" t="n"/>
      <c r="F2" s="41" t="n"/>
      <c r="G2" s="41" t="n"/>
      <c r="H2" s="41" t="n"/>
      <c r="I2" s="41" t="n"/>
    </row>
    <row r="3" ht="32" customHeight="1">
      <c r="A3" s="42" t="inlineStr">
        <is>
          <t>Pivot-style summary built with SUMIFS. It follows the Dashboard filters (Inc = 1). Read across a row to compare regions; read down to compare medicines.</t>
        </is>
      </c>
      <c r="B3" s="42" t="n"/>
      <c r="C3" s="42" t="n"/>
      <c r="D3" s="42" t="n"/>
      <c r="E3" s="42" t="n"/>
      <c r="F3" s="42" t="n"/>
      <c r="G3" s="42" t="n"/>
      <c r="H3" s="42" t="n"/>
      <c r="I3" s="42" t="n"/>
    </row>
    <row r="5">
      <c r="A5" s="43" t="inlineStr">
        <is>
          <t xml:space="preserve">  Revenue by medicine × region (like a PivotTable)</t>
        </is>
      </c>
      <c r="B5" s="43" t="n"/>
      <c r="C5" s="43" t="n"/>
      <c r="D5" s="43" t="n"/>
      <c r="E5" s="43" t="n"/>
      <c r="F5" s="43" t="n"/>
      <c r="G5" s="43" t="n"/>
      <c r="H5" s="43" t="n"/>
      <c r="I5" s="43" t="n"/>
    </row>
    <row r="6">
      <c r="A6" s="44" t="inlineStr">
        <is>
          <t>Medicine</t>
        </is>
      </c>
      <c r="B6" s="44" t="inlineStr">
        <is>
          <t>United States</t>
        </is>
      </c>
      <c r="C6" s="44" t="inlineStr">
        <is>
          <t>Europe</t>
        </is>
      </c>
      <c r="D6" s="44" t="inlineStr">
        <is>
          <t>International developed</t>
        </is>
      </c>
      <c r="E6" s="44" t="inlineStr">
        <is>
          <t>Emerging markets</t>
        </is>
      </c>
      <c r="F6" s="44" t="inlineStr">
        <is>
          <t>Total</t>
        </is>
      </c>
    </row>
    <row r="7">
      <c r="A7" s="45" t="inlineStr">
        <is>
          <t>Eliquis</t>
        </is>
      </c>
      <c r="B7" s="46">
        <f>SUMIFS(Data!$O$10:$O$6009,Data!$V$10:$V$6009,1,Data!$G$10:$G$6009,$A7,Data!$E$10:$E$6009,B$6)</f>
        <v/>
      </c>
      <c r="C7" s="46">
        <f>SUMIFS(Data!$O$10:$O$6009,Data!$V$10:$V$6009,1,Data!$G$10:$G$6009,$A7,Data!$E$10:$E$6009,C$6)</f>
        <v/>
      </c>
      <c r="D7" s="46">
        <f>SUMIFS(Data!$O$10:$O$6009,Data!$V$10:$V$6009,1,Data!$G$10:$G$6009,$A7,Data!$E$10:$E$6009,D$6)</f>
        <v/>
      </c>
      <c r="E7" s="46">
        <f>SUMIFS(Data!$O$10:$O$6009,Data!$V$10:$V$6009,1,Data!$G$10:$G$6009,$A7,Data!$E$10:$E$6009,E$6)</f>
        <v/>
      </c>
      <c r="F7" s="47">
        <f>SUM(B7:E7)</f>
        <v/>
      </c>
    </row>
    <row r="8">
      <c r="A8" s="45" t="inlineStr">
        <is>
          <t>Prevnar 20</t>
        </is>
      </c>
      <c r="B8" s="46">
        <f>SUMIFS(Data!$O$10:$O$6009,Data!$V$10:$V$6009,1,Data!$G$10:$G$6009,$A8,Data!$E$10:$E$6009,B$6)</f>
        <v/>
      </c>
      <c r="C8" s="46">
        <f>SUMIFS(Data!$O$10:$O$6009,Data!$V$10:$V$6009,1,Data!$G$10:$G$6009,$A8,Data!$E$10:$E$6009,C$6)</f>
        <v/>
      </c>
      <c r="D8" s="46">
        <f>SUMIFS(Data!$O$10:$O$6009,Data!$V$10:$V$6009,1,Data!$G$10:$G$6009,$A8,Data!$E$10:$E$6009,D$6)</f>
        <v/>
      </c>
      <c r="E8" s="46">
        <f>SUMIFS(Data!$O$10:$O$6009,Data!$V$10:$V$6009,1,Data!$G$10:$G$6009,$A8,Data!$E$10:$E$6009,E$6)</f>
        <v/>
      </c>
      <c r="F8" s="47">
        <f>SUM(B8:E8)</f>
        <v/>
      </c>
    </row>
    <row r="9">
      <c r="A9" s="45" t="inlineStr">
        <is>
          <t>Ibrance</t>
        </is>
      </c>
      <c r="B9" s="46">
        <f>SUMIFS(Data!$O$10:$O$6009,Data!$V$10:$V$6009,1,Data!$G$10:$G$6009,$A9,Data!$E$10:$E$6009,B$6)</f>
        <v/>
      </c>
      <c r="C9" s="46">
        <f>SUMIFS(Data!$O$10:$O$6009,Data!$V$10:$V$6009,1,Data!$G$10:$G$6009,$A9,Data!$E$10:$E$6009,C$6)</f>
        <v/>
      </c>
      <c r="D9" s="46">
        <f>SUMIFS(Data!$O$10:$O$6009,Data!$V$10:$V$6009,1,Data!$G$10:$G$6009,$A9,Data!$E$10:$E$6009,D$6)</f>
        <v/>
      </c>
      <c r="E9" s="46">
        <f>SUMIFS(Data!$O$10:$O$6009,Data!$V$10:$V$6009,1,Data!$G$10:$G$6009,$A9,Data!$E$10:$E$6009,E$6)</f>
        <v/>
      </c>
      <c r="F9" s="47">
        <f>SUM(B9:E9)</f>
        <v/>
      </c>
    </row>
    <row r="10">
      <c r="A10" s="45" t="inlineStr">
        <is>
          <t>Vyndaqel</t>
        </is>
      </c>
      <c r="B10" s="46">
        <f>SUMIFS(Data!$O$10:$O$6009,Data!$V$10:$V$6009,1,Data!$G$10:$G$6009,$A10,Data!$E$10:$E$6009,B$6)</f>
        <v/>
      </c>
      <c r="C10" s="46">
        <f>SUMIFS(Data!$O$10:$O$6009,Data!$V$10:$V$6009,1,Data!$G$10:$G$6009,$A10,Data!$E$10:$E$6009,C$6)</f>
        <v/>
      </c>
      <c r="D10" s="46">
        <f>SUMIFS(Data!$O$10:$O$6009,Data!$V$10:$V$6009,1,Data!$G$10:$G$6009,$A10,Data!$E$10:$E$6009,D$6)</f>
        <v/>
      </c>
      <c r="E10" s="46">
        <f>SUMIFS(Data!$O$10:$O$6009,Data!$V$10:$V$6009,1,Data!$G$10:$G$6009,$A10,Data!$E$10:$E$6009,E$6)</f>
        <v/>
      </c>
      <c r="F10" s="47">
        <f>SUM(B10:E10)</f>
        <v/>
      </c>
    </row>
    <row r="11">
      <c r="A11" s="45" t="inlineStr">
        <is>
          <t>Comirnaty</t>
        </is>
      </c>
      <c r="B11" s="46">
        <f>SUMIFS(Data!$O$10:$O$6009,Data!$V$10:$V$6009,1,Data!$G$10:$G$6009,$A11,Data!$E$10:$E$6009,B$6)</f>
        <v/>
      </c>
      <c r="C11" s="46">
        <f>SUMIFS(Data!$O$10:$O$6009,Data!$V$10:$V$6009,1,Data!$G$10:$G$6009,$A11,Data!$E$10:$E$6009,C$6)</f>
        <v/>
      </c>
      <c r="D11" s="46">
        <f>SUMIFS(Data!$O$10:$O$6009,Data!$V$10:$V$6009,1,Data!$G$10:$G$6009,$A11,Data!$E$10:$E$6009,D$6)</f>
        <v/>
      </c>
      <c r="E11" s="46">
        <f>SUMIFS(Data!$O$10:$O$6009,Data!$V$10:$V$6009,1,Data!$G$10:$G$6009,$A11,Data!$E$10:$E$6009,E$6)</f>
        <v/>
      </c>
      <c r="F11" s="47">
        <f>SUM(B11:E11)</f>
        <v/>
      </c>
    </row>
    <row r="12">
      <c r="A12" s="45" t="inlineStr">
        <is>
          <t>Paxlovid</t>
        </is>
      </c>
      <c r="B12" s="46">
        <f>SUMIFS(Data!$O$10:$O$6009,Data!$V$10:$V$6009,1,Data!$G$10:$G$6009,$A12,Data!$E$10:$E$6009,B$6)</f>
        <v/>
      </c>
      <c r="C12" s="46">
        <f>SUMIFS(Data!$O$10:$O$6009,Data!$V$10:$V$6009,1,Data!$G$10:$G$6009,$A12,Data!$E$10:$E$6009,C$6)</f>
        <v/>
      </c>
      <c r="D12" s="46">
        <f>SUMIFS(Data!$O$10:$O$6009,Data!$V$10:$V$6009,1,Data!$G$10:$G$6009,$A12,Data!$E$10:$E$6009,D$6)</f>
        <v/>
      </c>
      <c r="E12" s="46">
        <f>SUMIFS(Data!$O$10:$O$6009,Data!$V$10:$V$6009,1,Data!$G$10:$G$6009,$A12,Data!$E$10:$E$6009,E$6)</f>
        <v/>
      </c>
      <c r="F12" s="47">
        <f>SUM(B12:E12)</f>
        <v/>
      </c>
    </row>
    <row r="13">
      <c r="A13" s="45" t="inlineStr">
        <is>
          <t>Xeljanz</t>
        </is>
      </c>
      <c r="B13" s="46">
        <f>SUMIFS(Data!$O$10:$O$6009,Data!$V$10:$V$6009,1,Data!$G$10:$G$6009,$A13,Data!$E$10:$E$6009,B$6)</f>
        <v/>
      </c>
      <c r="C13" s="46">
        <f>SUMIFS(Data!$O$10:$O$6009,Data!$V$10:$V$6009,1,Data!$G$10:$G$6009,$A13,Data!$E$10:$E$6009,C$6)</f>
        <v/>
      </c>
      <c r="D13" s="46">
        <f>SUMIFS(Data!$O$10:$O$6009,Data!$V$10:$V$6009,1,Data!$G$10:$G$6009,$A13,Data!$E$10:$E$6009,D$6)</f>
        <v/>
      </c>
      <c r="E13" s="46">
        <f>SUMIFS(Data!$O$10:$O$6009,Data!$V$10:$V$6009,1,Data!$G$10:$G$6009,$A13,Data!$E$10:$E$6009,E$6)</f>
        <v/>
      </c>
      <c r="F13" s="47">
        <f>SUM(B13:E13)</f>
        <v/>
      </c>
    </row>
    <row r="14">
      <c r="A14" s="45" t="inlineStr">
        <is>
          <t>Abrysvo</t>
        </is>
      </c>
      <c r="B14" s="46">
        <f>SUMIFS(Data!$O$10:$O$6009,Data!$V$10:$V$6009,1,Data!$G$10:$G$6009,$A14,Data!$E$10:$E$6009,B$6)</f>
        <v/>
      </c>
      <c r="C14" s="46">
        <f>SUMIFS(Data!$O$10:$O$6009,Data!$V$10:$V$6009,1,Data!$G$10:$G$6009,$A14,Data!$E$10:$E$6009,C$6)</f>
        <v/>
      </c>
      <c r="D14" s="46">
        <f>SUMIFS(Data!$O$10:$O$6009,Data!$V$10:$V$6009,1,Data!$G$10:$G$6009,$A14,Data!$E$10:$E$6009,D$6)</f>
        <v/>
      </c>
      <c r="E14" s="46">
        <f>SUMIFS(Data!$O$10:$O$6009,Data!$V$10:$V$6009,1,Data!$G$10:$G$6009,$A14,Data!$E$10:$E$6009,E$6)</f>
        <v/>
      </c>
      <c r="F14" s="47">
        <f>SUM(B14:E14)</f>
        <v/>
      </c>
    </row>
    <row r="15">
      <c r="A15" s="45" t="inlineStr">
        <is>
          <t>Total</t>
        </is>
      </c>
      <c r="B15" s="47">
        <f>SUM(B7:B14)</f>
        <v/>
      </c>
      <c r="C15" s="47">
        <f>SUM(C7:C14)</f>
        <v/>
      </c>
      <c r="D15" s="47">
        <f>SUM(D7:D14)</f>
        <v/>
      </c>
      <c r="E15" s="47">
        <f>SUM(E7:E14)</f>
        <v/>
      </c>
      <c r="F15" s="47">
        <f>SUM(F7:F14)</f>
        <v/>
      </c>
    </row>
    <row r="17">
      <c r="A17" s="43" t="inlineStr">
        <is>
          <t xml:space="preserve">  Revenue by year × channel</t>
        </is>
      </c>
      <c r="B17" s="43" t="n"/>
      <c r="C17" s="43" t="n"/>
      <c r="D17" s="43" t="n"/>
      <c r="E17" s="43" t="n"/>
      <c r="F17" s="43" t="n"/>
      <c r="G17" s="43" t="n"/>
      <c r="H17" s="43" t="n"/>
      <c r="I17" s="43" t="n"/>
    </row>
    <row r="18">
      <c r="A18" s="44" t="inlineStr">
        <is>
          <t>Year</t>
        </is>
      </c>
      <c r="B18" s="44" t="inlineStr">
        <is>
          <t>Hospital</t>
        </is>
      </c>
      <c r="C18" s="44" t="inlineStr">
        <is>
          <t>Retail pharmacy</t>
        </is>
      </c>
      <c r="D18" s="44" t="inlineStr">
        <is>
          <t>Government / tender</t>
        </is>
      </c>
      <c r="E18" s="44" t="inlineStr">
        <is>
          <t>Total</t>
        </is>
      </c>
    </row>
    <row r="19">
      <c r="A19" s="48" t="n">
        <v>2025</v>
      </c>
      <c r="B19" s="46">
        <f>SUMIFS(Data!$O$10:$O$6009,Data!$V$10:$V$6009,1,Data!$C$10:$C$6009,$A19,Data!$H$10:$H$6009,B$18)</f>
        <v/>
      </c>
      <c r="C19" s="46">
        <f>SUMIFS(Data!$O$10:$O$6009,Data!$V$10:$V$6009,1,Data!$C$10:$C$6009,$A19,Data!$H$10:$H$6009,C$18)</f>
        <v/>
      </c>
      <c r="D19" s="46">
        <f>SUMIFS(Data!$O$10:$O$6009,Data!$V$10:$V$6009,1,Data!$C$10:$C$6009,$A19,Data!$H$10:$H$6009,D$18)</f>
        <v/>
      </c>
      <c r="E19" s="47">
        <f>SUM(B19:D19)</f>
        <v/>
      </c>
    </row>
    <row r="20">
      <c r="A20" s="48" t="n">
        <v>2026</v>
      </c>
      <c r="B20" s="46">
        <f>SUMIFS(Data!$O$10:$O$6009,Data!$V$10:$V$6009,1,Data!$C$10:$C$6009,$A20,Data!$H$10:$H$6009,B$18)</f>
        <v/>
      </c>
      <c r="C20" s="46">
        <f>SUMIFS(Data!$O$10:$O$6009,Data!$V$10:$V$6009,1,Data!$C$10:$C$6009,$A20,Data!$H$10:$H$6009,C$18)</f>
        <v/>
      </c>
      <c r="D20" s="46">
        <f>SUMIFS(Data!$O$10:$O$6009,Data!$V$10:$V$6009,1,Data!$C$10:$C$6009,$A20,Data!$H$10:$H$6009,D$18)</f>
        <v/>
      </c>
      <c r="E20" s="47">
        <f>SUM(B20:D20)</f>
        <v/>
      </c>
    </row>
    <row r="22">
      <c r="A22" s="43" t="inlineStr">
        <is>
          <t xml:space="preserve">  Top 5 countrys by revenue (top-N with LARGE, INDEX, MATCH)</t>
        </is>
      </c>
      <c r="B22" s="43" t="n"/>
      <c r="C22" s="43" t="n"/>
      <c r="D22" s="43" t="n"/>
      <c r="E22" s="43" t="n"/>
      <c r="F22" s="43" t="n"/>
      <c r="G22" s="43" t="n"/>
      <c r="H22" s="43" t="n"/>
      <c r="I22" s="43" t="n"/>
    </row>
    <row r="23">
      <c r="A23" s="44" t="inlineStr">
        <is>
          <t>Country</t>
        </is>
      </c>
      <c r="B23" s="44" t="inlineStr">
        <is>
          <t>Revenue</t>
        </is>
      </c>
      <c r="C23" s="44" t="inlineStr">
        <is>
          <t>Rank key</t>
        </is>
      </c>
      <c r="E23" s="49" t="inlineStr">
        <is>
          <t>Rank</t>
        </is>
      </c>
      <c r="F23" s="49" t="inlineStr">
        <is>
          <t>Top country</t>
        </is>
      </c>
      <c r="G23" s="49" t="inlineStr">
        <is>
          <t>Revenue</t>
        </is>
      </c>
    </row>
    <row r="24">
      <c r="A24" s="50" t="inlineStr">
        <is>
          <t>Australia</t>
        </is>
      </c>
      <c r="B24" s="46">
        <f>SUMIFS(Data!$O$10:$O$6009,Data!$V$10:$V$6009,1,Data!$F$10:$F$6009,$A24)</f>
        <v/>
      </c>
      <c r="C24" s="51">
        <f>B24+ROW()/1000000</f>
        <v/>
      </c>
      <c r="E24" s="48" t="n">
        <v>1</v>
      </c>
      <c r="F24" s="45">
        <f>IFERROR(INDEX($A$24:$A$36,MATCH(LARGE($C$24:$C$36,E24),$C$24:$C$36,0)),"")</f>
        <v/>
      </c>
      <c r="G24" s="46">
        <f>IFERROR(INDEX($B$24:$B$36,MATCH(LARGE($C$24:$C$36,E24),$C$24:$C$36,0)),"")</f>
        <v/>
      </c>
    </row>
    <row r="25">
      <c r="A25" s="50" t="inlineStr">
        <is>
          <t>Brazil</t>
        </is>
      </c>
      <c r="B25" s="46">
        <f>SUMIFS(Data!$O$10:$O$6009,Data!$V$10:$V$6009,1,Data!$F$10:$F$6009,$A25)</f>
        <v/>
      </c>
      <c r="C25" s="51">
        <f>B25+ROW()/1000000</f>
        <v/>
      </c>
      <c r="E25" s="48" t="n">
        <v>2</v>
      </c>
      <c r="F25" s="45">
        <f>IFERROR(INDEX($A$24:$A$36,MATCH(LARGE($C$24:$C$36,E25),$C$24:$C$36,0)),"")</f>
        <v/>
      </c>
      <c r="G25" s="46">
        <f>IFERROR(INDEX($B$24:$B$36,MATCH(LARGE($C$24:$C$36,E25),$C$24:$C$36,0)),"")</f>
        <v/>
      </c>
    </row>
    <row r="26">
      <c r="A26" s="50" t="inlineStr">
        <is>
          <t>Canada</t>
        </is>
      </c>
      <c r="B26" s="46">
        <f>SUMIFS(Data!$O$10:$O$6009,Data!$V$10:$V$6009,1,Data!$F$10:$F$6009,$A26)</f>
        <v/>
      </c>
      <c r="C26" s="51">
        <f>B26+ROW()/1000000</f>
        <v/>
      </c>
      <c r="E26" s="48" t="n">
        <v>3</v>
      </c>
      <c r="F26" s="45">
        <f>IFERROR(INDEX($A$24:$A$36,MATCH(LARGE($C$24:$C$36,E26),$C$24:$C$36,0)),"")</f>
        <v/>
      </c>
      <c r="G26" s="46">
        <f>IFERROR(INDEX($B$24:$B$36,MATCH(LARGE($C$24:$C$36,E26),$C$24:$C$36,0)),"")</f>
        <v/>
      </c>
    </row>
    <row r="27">
      <c r="A27" s="50" t="inlineStr">
        <is>
          <t>China</t>
        </is>
      </c>
      <c r="B27" s="46">
        <f>SUMIFS(Data!$O$10:$O$6009,Data!$V$10:$V$6009,1,Data!$F$10:$F$6009,$A27)</f>
        <v/>
      </c>
      <c r="C27" s="51">
        <f>B27+ROW()/1000000</f>
        <v/>
      </c>
      <c r="E27" s="48" t="n">
        <v>4</v>
      </c>
      <c r="F27" s="45">
        <f>IFERROR(INDEX($A$24:$A$36,MATCH(LARGE($C$24:$C$36,E27),$C$24:$C$36,0)),"")</f>
        <v/>
      </c>
      <c r="G27" s="46">
        <f>IFERROR(INDEX($B$24:$B$36,MATCH(LARGE($C$24:$C$36,E27),$C$24:$C$36,0)),"")</f>
        <v/>
      </c>
    </row>
    <row r="28">
      <c r="A28" s="50" t="inlineStr">
        <is>
          <t>France</t>
        </is>
      </c>
      <c r="B28" s="46">
        <f>SUMIFS(Data!$O$10:$O$6009,Data!$V$10:$V$6009,1,Data!$F$10:$F$6009,$A28)</f>
        <v/>
      </c>
      <c r="C28" s="51">
        <f>B28+ROW()/1000000</f>
        <v/>
      </c>
      <c r="E28" s="48" t="n">
        <v>5</v>
      </c>
      <c r="F28" s="45">
        <f>IFERROR(INDEX($A$24:$A$36,MATCH(LARGE($C$24:$C$36,E28),$C$24:$C$36,0)),"")</f>
        <v/>
      </c>
      <c r="G28" s="46">
        <f>IFERROR(INDEX($B$24:$B$36,MATCH(LARGE($C$24:$C$36,E28),$C$24:$C$36,0)),"")</f>
        <v/>
      </c>
    </row>
    <row r="29">
      <c r="A29" s="50" t="inlineStr">
        <is>
          <t>Germany</t>
        </is>
      </c>
      <c r="B29" s="46">
        <f>SUMIFS(Data!$O$10:$O$6009,Data!$V$10:$V$6009,1,Data!$F$10:$F$6009,$A29)</f>
        <v/>
      </c>
      <c r="C29" s="51">
        <f>B29+ROW()/1000000</f>
        <v/>
      </c>
    </row>
    <row r="30">
      <c r="A30" s="50" t="inlineStr">
        <is>
          <t>India</t>
        </is>
      </c>
      <c r="B30" s="46">
        <f>SUMIFS(Data!$O$10:$O$6009,Data!$V$10:$V$6009,1,Data!$F$10:$F$6009,$A30)</f>
        <v/>
      </c>
      <c r="C30" s="51">
        <f>B30+ROW()/1000000</f>
        <v/>
      </c>
    </row>
    <row r="31">
      <c r="A31" s="50" t="inlineStr">
        <is>
          <t>Italy</t>
        </is>
      </c>
      <c r="B31" s="46">
        <f>SUMIFS(Data!$O$10:$O$6009,Data!$V$10:$V$6009,1,Data!$F$10:$F$6009,$A31)</f>
        <v/>
      </c>
      <c r="C31" s="51">
        <f>B31+ROW()/1000000</f>
        <v/>
      </c>
    </row>
    <row r="32">
      <c r="A32" s="50" t="inlineStr">
        <is>
          <t>Japan</t>
        </is>
      </c>
      <c r="B32" s="46">
        <f>SUMIFS(Data!$O$10:$O$6009,Data!$V$10:$V$6009,1,Data!$F$10:$F$6009,$A32)</f>
        <v/>
      </c>
      <c r="C32" s="51">
        <f>B32+ROW()/1000000</f>
        <v/>
      </c>
    </row>
    <row r="33">
      <c r="A33" s="50" t="inlineStr">
        <is>
          <t>Mexico</t>
        </is>
      </c>
      <c r="B33" s="46">
        <f>SUMIFS(Data!$O$10:$O$6009,Data!$V$10:$V$6009,1,Data!$F$10:$F$6009,$A33)</f>
        <v/>
      </c>
      <c r="C33" s="51">
        <f>B33+ROW()/1000000</f>
        <v/>
      </c>
    </row>
    <row r="34">
      <c r="A34" s="50" t="inlineStr">
        <is>
          <t>Spain</t>
        </is>
      </c>
      <c r="B34" s="46">
        <f>SUMIFS(Data!$O$10:$O$6009,Data!$V$10:$V$6009,1,Data!$F$10:$F$6009,$A34)</f>
        <v/>
      </c>
      <c r="C34" s="51">
        <f>B34+ROW()/1000000</f>
        <v/>
      </c>
    </row>
    <row r="35">
      <c r="A35" s="50" t="inlineStr">
        <is>
          <t>UK</t>
        </is>
      </c>
      <c r="B35" s="46">
        <f>SUMIFS(Data!$O$10:$O$6009,Data!$V$10:$V$6009,1,Data!$F$10:$F$6009,$A35)</f>
        <v/>
      </c>
      <c r="C35" s="51">
        <f>B35+ROW()/1000000</f>
        <v/>
      </c>
    </row>
    <row r="36">
      <c r="A36" s="50" t="inlineStr">
        <is>
          <t>USA</t>
        </is>
      </c>
      <c r="B36" s="46">
        <f>SUMIFS(Data!$O$10:$O$6009,Data!$V$10:$V$6009,1,Data!$F$10:$F$6009,$A36)</f>
        <v/>
      </c>
      <c r="C36" s="51">
        <f>B36+ROW()/1000000</f>
        <v/>
      </c>
    </row>
  </sheetData>
  <mergeCells count="6">
    <mergeCell ref="A2:I2"/>
    <mergeCell ref="A5:I5"/>
    <mergeCell ref="A1:I1"/>
    <mergeCell ref="A17:I17"/>
    <mergeCell ref="A3:I3"/>
    <mergeCell ref="A22:I22"/>
  </mergeCells>
  <pageMargins left="0.75" right="0.75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tabColor rgb="0000A3E0"/>
    <outlinePr summaryBelow="1" summaryRight="1"/>
    <pageSetUpPr fitToPage="1"/>
  </sheetPr>
  <dimension ref="A1:I36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0" t="inlineStr">
        <is>
          <t xml:space="preserve">  2 · Diagnostic: why did it happen?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</row>
    <row r="2">
      <c r="A2" s="41" t="inlineStr">
        <is>
          <t>EXAMPLE DATA: every number in this workbook is made up for practice. It is not real Pfizer data and not an official report.</t>
        </is>
      </c>
      <c r="B2" s="41" t="n"/>
      <c r="C2" s="41" t="n"/>
      <c r="D2" s="41" t="n"/>
      <c r="E2" s="41" t="n"/>
      <c r="F2" s="41" t="n"/>
      <c r="G2" s="41" t="n"/>
      <c r="H2" s="41" t="n"/>
      <c r="I2" s="41" t="n"/>
    </row>
    <row r="3" ht="32" customHeight="1">
      <c r="A3" s="42" t="inlineStr">
        <is>
          <t>Compare 2026 (AC) with 2025 (PY). ΔPY = AC − PY. 'Share of change' says which item drove the total change (contribution analysis). Green = good for the business, red = bad (IBCS).</t>
        </is>
      </c>
      <c r="B3" s="42" t="n"/>
      <c r="C3" s="42" t="n"/>
      <c r="D3" s="42" t="n"/>
      <c r="E3" s="42" t="n"/>
      <c r="F3" s="42" t="n"/>
      <c r="G3" s="42" t="n"/>
      <c r="H3" s="42" t="n"/>
      <c r="I3" s="42" t="n"/>
    </row>
    <row r="5">
      <c r="A5" s="43" t="inlineStr">
        <is>
          <t xml:space="preserve">  Drill-down by region: PY vs AC and contribution</t>
        </is>
      </c>
      <c r="B5" s="43" t="n"/>
      <c r="C5" s="43" t="n"/>
      <c r="D5" s="43" t="n"/>
      <c r="E5" s="43" t="n"/>
      <c r="F5" s="43" t="n"/>
      <c r="G5" s="43" t="n"/>
      <c r="H5" s="43" t="n"/>
      <c r="I5" s="43" t="n"/>
    </row>
    <row r="6">
      <c r="A6" s="44" t="inlineStr">
        <is>
          <t>Region</t>
        </is>
      </c>
      <c r="B6" s="44" t="inlineStr">
        <is>
          <t>PY 2025</t>
        </is>
      </c>
      <c r="C6" s="44" t="inlineStr">
        <is>
          <t>AC 2026</t>
        </is>
      </c>
      <c r="D6" s="44" t="inlineStr">
        <is>
          <t>ΔPY</t>
        </is>
      </c>
      <c r="E6" s="44" t="inlineStr">
        <is>
          <t>ΔPY%</t>
        </is>
      </c>
      <c r="F6" s="44" t="inlineStr">
        <is>
          <t>Share of change</t>
        </is>
      </c>
      <c r="G6" s="44" t="inlineStr">
        <is>
          <t>Margin % AC</t>
        </is>
      </c>
    </row>
    <row r="7">
      <c r="A7" s="45" t="inlineStr">
        <is>
          <t>United States</t>
        </is>
      </c>
      <c r="B7" s="46">
        <f>SUMIFS(Data!$O$10:$O$6009,Data!$V$10:$V$6009,1,Data!$E$10:$E$6009,$A7,Data!$C$10:$C$6009,2025)</f>
        <v/>
      </c>
      <c r="C7" s="46">
        <f>SUMIFS(Data!$O$10:$O$6009,Data!$V$10:$V$6009,1,Data!$E$10:$E$6009,$A7,Data!$C$10:$C$6009,2026)</f>
        <v/>
      </c>
      <c r="D7" s="46">
        <f>C7-B7</f>
        <v/>
      </c>
      <c r="E7" s="52">
        <f>IFERROR(D7/B7,0)</f>
        <v/>
      </c>
      <c r="F7" s="53">
        <f>IFERROR(D7/D$11,0)</f>
        <v/>
      </c>
      <c r="G7" s="53">
        <f>IFERROR(SUMIFS(Data!$Q$10:$Q$6009,Data!$V$10:$V$6009,1,Data!$E$10:$E$6009,$A7,Data!$C$10:$C$6009,2026)/C7,0)</f>
        <v/>
      </c>
    </row>
    <row r="8">
      <c r="A8" s="45" t="inlineStr">
        <is>
          <t>Europe</t>
        </is>
      </c>
      <c r="B8" s="46">
        <f>SUMIFS(Data!$O$10:$O$6009,Data!$V$10:$V$6009,1,Data!$E$10:$E$6009,$A8,Data!$C$10:$C$6009,2025)</f>
        <v/>
      </c>
      <c r="C8" s="46">
        <f>SUMIFS(Data!$O$10:$O$6009,Data!$V$10:$V$6009,1,Data!$E$10:$E$6009,$A8,Data!$C$10:$C$6009,2026)</f>
        <v/>
      </c>
      <c r="D8" s="46">
        <f>C8-B8</f>
        <v/>
      </c>
      <c r="E8" s="52">
        <f>IFERROR(D8/B8,0)</f>
        <v/>
      </c>
      <c r="F8" s="53">
        <f>IFERROR(D8/D$11,0)</f>
        <v/>
      </c>
      <c r="G8" s="53">
        <f>IFERROR(SUMIFS(Data!$Q$10:$Q$6009,Data!$V$10:$V$6009,1,Data!$E$10:$E$6009,$A8,Data!$C$10:$C$6009,2026)/C8,0)</f>
        <v/>
      </c>
    </row>
    <row r="9">
      <c r="A9" s="45" t="inlineStr">
        <is>
          <t>International developed</t>
        </is>
      </c>
      <c r="B9" s="46">
        <f>SUMIFS(Data!$O$10:$O$6009,Data!$V$10:$V$6009,1,Data!$E$10:$E$6009,$A9,Data!$C$10:$C$6009,2025)</f>
        <v/>
      </c>
      <c r="C9" s="46">
        <f>SUMIFS(Data!$O$10:$O$6009,Data!$V$10:$V$6009,1,Data!$E$10:$E$6009,$A9,Data!$C$10:$C$6009,2026)</f>
        <v/>
      </c>
      <c r="D9" s="46">
        <f>C9-B9</f>
        <v/>
      </c>
      <c r="E9" s="52">
        <f>IFERROR(D9/B9,0)</f>
        <v/>
      </c>
      <c r="F9" s="53">
        <f>IFERROR(D9/D$11,0)</f>
        <v/>
      </c>
      <c r="G9" s="53">
        <f>IFERROR(SUMIFS(Data!$Q$10:$Q$6009,Data!$V$10:$V$6009,1,Data!$E$10:$E$6009,$A9,Data!$C$10:$C$6009,2026)/C9,0)</f>
        <v/>
      </c>
    </row>
    <row r="10">
      <c r="A10" s="45" t="inlineStr">
        <is>
          <t>Emerging markets</t>
        </is>
      </c>
      <c r="B10" s="46">
        <f>SUMIFS(Data!$O$10:$O$6009,Data!$V$10:$V$6009,1,Data!$E$10:$E$6009,$A10,Data!$C$10:$C$6009,2025)</f>
        <v/>
      </c>
      <c r="C10" s="46">
        <f>SUMIFS(Data!$O$10:$O$6009,Data!$V$10:$V$6009,1,Data!$E$10:$E$6009,$A10,Data!$C$10:$C$6009,2026)</f>
        <v/>
      </c>
      <c r="D10" s="46">
        <f>C10-B10</f>
        <v/>
      </c>
      <c r="E10" s="52">
        <f>IFERROR(D10/B10,0)</f>
        <v/>
      </c>
      <c r="F10" s="53">
        <f>IFERROR(D10/D$11,0)</f>
        <v/>
      </c>
      <c r="G10" s="53">
        <f>IFERROR(SUMIFS(Data!$Q$10:$Q$6009,Data!$V$10:$V$6009,1,Data!$E$10:$E$6009,$A10,Data!$C$10:$C$6009,2026)/C10,0)</f>
        <v/>
      </c>
    </row>
    <row r="11">
      <c r="A11" s="45" t="inlineStr">
        <is>
          <t>Total</t>
        </is>
      </c>
      <c r="B11" s="47">
        <f>SUM(B7:B10)</f>
        <v/>
      </c>
      <c r="C11" s="47">
        <f>SUM(C7:C10)</f>
        <v/>
      </c>
      <c r="D11" s="47">
        <f>SUM(D7:D10)</f>
        <v/>
      </c>
      <c r="E11" s="54">
        <f>IFERROR(D11/B11,0)</f>
        <v/>
      </c>
    </row>
    <row r="13">
      <c r="A13" s="43" t="inlineStr">
        <is>
          <t xml:space="preserve">  Drill-down by medicine: PY vs AC and contribution</t>
        </is>
      </c>
      <c r="B13" s="43" t="n"/>
      <c r="C13" s="43" t="n"/>
      <c r="D13" s="43" t="n"/>
      <c r="E13" s="43" t="n"/>
      <c r="F13" s="43" t="n"/>
      <c r="G13" s="43" t="n"/>
      <c r="H13" s="43" t="n"/>
      <c r="I13" s="43" t="n"/>
    </row>
    <row r="14">
      <c r="A14" s="44" t="inlineStr">
        <is>
          <t>Medicine</t>
        </is>
      </c>
      <c r="B14" s="44" t="inlineStr">
        <is>
          <t>PY 2025</t>
        </is>
      </c>
      <c r="C14" s="44" t="inlineStr">
        <is>
          <t>AC 2026</t>
        </is>
      </c>
      <c r="D14" s="44" t="inlineStr">
        <is>
          <t>ΔPY</t>
        </is>
      </c>
      <c r="E14" s="44" t="inlineStr">
        <is>
          <t>ΔPY%</t>
        </is>
      </c>
      <c r="F14" s="44" t="inlineStr">
        <is>
          <t>Share of change</t>
        </is>
      </c>
      <c r="G14" s="44" t="inlineStr">
        <is>
          <t>Margin % AC</t>
        </is>
      </c>
    </row>
    <row r="15">
      <c r="A15" s="45" t="inlineStr">
        <is>
          <t>Eliquis</t>
        </is>
      </c>
      <c r="B15" s="46">
        <f>SUMIFS(Data!$O$10:$O$6009,Data!$V$10:$V$6009,1,Data!$G$10:$G$6009,$A15,Data!$C$10:$C$6009,2025)</f>
        <v/>
      </c>
      <c r="C15" s="46">
        <f>SUMIFS(Data!$O$10:$O$6009,Data!$V$10:$V$6009,1,Data!$G$10:$G$6009,$A15,Data!$C$10:$C$6009,2026)</f>
        <v/>
      </c>
      <c r="D15" s="46">
        <f>C15-B15</f>
        <v/>
      </c>
      <c r="E15" s="52">
        <f>IFERROR(D15/B15,0)</f>
        <v/>
      </c>
      <c r="F15" s="53">
        <f>IFERROR(D15/D$23,0)</f>
        <v/>
      </c>
      <c r="G15" s="53">
        <f>IFERROR(SUMIFS(Data!$Q$10:$Q$6009,Data!$V$10:$V$6009,1,Data!$G$10:$G$6009,$A15,Data!$C$10:$C$6009,2026)/C15,0)</f>
        <v/>
      </c>
    </row>
    <row r="16">
      <c r="A16" s="45" t="inlineStr">
        <is>
          <t>Prevnar 20</t>
        </is>
      </c>
      <c r="B16" s="46">
        <f>SUMIFS(Data!$O$10:$O$6009,Data!$V$10:$V$6009,1,Data!$G$10:$G$6009,$A16,Data!$C$10:$C$6009,2025)</f>
        <v/>
      </c>
      <c r="C16" s="46">
        <f>SUMIFS(Data!$O$10:$O$6009,Data!$V$10:$V$6009,1,Data!$G$10:$G$6009,$A16,Data!$C$10:$C$6009,2026)</f>
        <v/>
      </c>
      <c r="D16" s="46">
        <f>C16-B16</f>
        <v/>
      </c>
      <c r="E16" s="52">
        <f>IFERROR(D16/B16,0)</f>
        <v/>
      </c>
      <c r="F16" s="53">
        <f>IFERROR(D16/D$23,0)</f>
        <v/>
      </c>
      <c r="G16" s="53">
        <f>IFERROR(SUMIFS(Data!$Q$10:$Q$6009,Data!$V$10:$V$6009,1,Data!$G$10:$G$6009,$A16,Data!$C$10:$C$6009,2026)/C16,0)</f>
        <v/>
      </c>
    </row>
    <row r="17">
      <c r="A17" s="45" t="inlineStr">
        <is>
          <t>Ibrance</t>
        </is>
      </c>
      <c r="B17" s="46">
        <f>SUMIFS(Data!$O$10:$O$6009,Data!$V$10:$V$6009,1,Data!$G$10:$G$6009,$A17,Data!$C$10:$C$6009,2025)</f>
        <v/>
      </c>
      <c r="C17" s="46">
        <f>SUMIFS(Data!$O$10:$O$6009,Data!$V$10:$V$6009,1,Data!$G$10:$G$6009,$A17,Data!$C$10:$C$6009,2026)</f>
        <v/>
      </c>
      <c r="D17" s="46">
        <f>C17-B17</f>
        <v/>
      </c>
      <c r="E17" s="52">
        <f>IFERROR(D17/B17,0)</f>
        <v/>
      </c>
      <c r="F17" s="53">
        <f>IFERROR(D17/D$23,0)</f>
        <v/>
      </c>
      <c r="G17" s="53">
        <f>IFERROR(SUMIFS(Data!$Q$10:$Q$6009,Data!$V$10:$V$6009,1,Data!$G$10:$G$6009,$A17,Data!$C$10:$C$6009,2026)/C17,0)</f>
        <v/>
      </c>
    </row>
    <row r="18">
      <c r="A18" s="45" t="inlineStr">
        <is>
          <t>Vyndaqel</t>
        </is>
      </c>
      <c r="B18" s="46">
        <f>SUMIFS(Data!$O$10:$O$6009,Data!$V$10:$V$6009,1,Data!$G$10:$G$6009,$A18,Data!$C$10:$C$6009,2025)</f>
        <v/>
      </c>
      <c r="C18" s="46">
        <f>SUMIFS(Data!$O$10:$O$6009,Data!$V$10:$V$6009,1,Data!$G$10:$G$6009,$A18,Data!$C$10:$C$6009,2026)</f>
        <v/>
      </c>
      <c r="D18" s="46">
        <f>C18-B18</f>
        <v/>
      </c>
      <c r="E18" s="52">
        <f>IFERROR(D18/B18,0)</f>
        <v/>
      </c>
      <c r="F18" s="53">
        <f>IFERROR(D18/D$23,0)</f>
        <v/>
      </c>
      <c r="G18" s="53">
        <f>IFERROR(SUMIFS(Data!$Q$10:$Q$6009,Data!$V$10:$V$6009,1,Data!$G$10:$G$6009,$A18,Data!$C$10:$C$6009,2026)/C18,0)</f>
        <v/>
      </c>
    </row>
    <row r="19">
      <c r="A19" s="45" t="inlineStr">
        <is>
          <t>Comirnaty</t>
        </is>
      </c>
      <c r="B19" s="46">
        <f>SUMIFS(Data!$O$10:$O$6009,Data!$V$10:$V$6009,1,Data!$G$10:$G$6009,$A19,Data!$C$10:$C$6009,2025)</f>
        <v/>
      </c>
      <c r="C19" s="46">
        <f>SUMIFS(Data!$O$10:$O$6009,Data!$V$10:$V$6009,1,Data!$G$10:$G$6009,$A19,Data!$C$10:$C$6009,2026)</f>
        <v/>
      </c>
      <c r="D19" s="46">
        <f>C19-B19</f>
        <v/>
      </c>
      <c r="E19" s="52">
        <f>IFERROR(D19/B19,0)</f>
        <v/>
      </c>
      <c r="F19" s="53">
        <f>IFERROR(D19/D$23,0)</f>
        <v/>
      </c>
      <c r="G19" s="53">
        <f>IFERROR(SUMIFS(Data!$Q$10:$Q$6009,Data!$V$10:$V$6009,1,Data!$G$10:$G$6009,$A19,Data!$C$10:$C$6009,2026)/C19,0)</f>
        <v/>
      </c>
    </row>
    <row r="20">
      <c r="A20" s="45" t="inlineStr">
        <is>
          <t>Paxlovid</t>
        </is>
      </c>
      <c r="B20" s="46">
        <f>SUMIFS(Data!$O$10:$O$6009,Data!$V$10:$V$6009,1,Data!$G$10:$G$6009,$A20,Data!$C$10:$C$6009,2025)</f>
        <v/>
      </c>
      <c r="C20" s="46">
        <f>SUMIFS(Data!$O$10:$O$6009,Data!$V$10:$V$6009,1,Data!$G$10:$G$6009,$A20,Data!$C$10:$C$6009,2026)</f>
        <v/>
      </c>
      <c r="D20" s="46">
        <f>C20-B20</f>
        <v/>
      </c>
      <c r="E20" s="52">
        <f>IFERROR(D20/B20,0)</f>
        <v/>
      </c>
      <c r="F20" s="53">
        <f>IFERROR(D20/D$23,0)</f>
        <v/>
      </c>
      <c r="G20" s="53">
        <f>IFERROR(SUMIFS(Data!$Q$10:$Q$6009,Data!$V$10:$V$6009,1,Data!$G$10:$G$6009,$A20,Data!$C$10:$C$6009,2026)/C20,0)</f>
        <v/>
      </c>
    </row>
    <row r="21">
      <c r="A21" s="45" t="inlineStr">
        <is>
          <t>Xeljanz</t>
        </is>
      </c>
      <c r="B21" s="46">
        <f>SUMIFS(Data!$O$10:$O$6009,Data!$V$10:$V$6009,1,Data!$G$10:$G$6009,$A21,Data!$C$10:$C$6009,2025)</f>
        <v/>
      </c>
      <c r="C21" s="46">
        <f>SUMIFS(Data!$O$10:$O$6009,Data!$V$10:$V$6009,1,Data!$G$10:$G$6009,$A21,Data!$C$10:$C$6009,2026)</f>
        <v/>
      </c>
      <c r="D21" s="46">
        <f>C21-B21</f>
        <v/>
      </c>
      <c r="E21" s="52">
        <f>IFERROR(D21/B21,0)</f>
        <v/>
      </c>
      <c r="F21" s="53">
        <f>IFERROR(D21/D$23,0)</f>
        <v/>
      </c>
      <c r="G21" s="53">
        <f>IFERROR(SUMIFS(Data!$Q$10:$Q$6009,Data!$V$10:$V$6009,1,Data!$G$10:$G$6009,$A21,Data!$C$10:$C$6009,2026)/C21,0)</f>
        <v/>
      </c>
    </row>
    <row r="22">
      <c r="A22" s="45" t="inlineStr">
        <is>
          <t>Abrysvo</t>
        </is>
      </c>
      <c r="B22" s="46">
        <f>SUMIFS(Data!$O$10:$O$6009,Data!$V$10:$V$6009,1,Data!$G$10:$G$6009,$A22,Data!$C$10:$C$6009,2025)</f>
        <v/>
      </c>
      <c r="C22" s="46">
        <f>SUMIFS(Data!$O$10:$O$6009,Data!$V$10:$V$6009,1,Data!$G$10:$G$6009,$A22,Data!$C$10:$C$6009,2026)</f>
        <v/>
      </c>
      <c r="D22" s="46">
        <f>C22-B22</f>
        <v/>
      </c>
      <c r="E22" s="52">
        <f>IFERROR(D22/B22,0)</f>
        <v/>
      </c>
      <c r="F22" s="53">
        <f>IFERROR(D22/D$23,0)</f>
        <v/>
      </c>
      <c r="G22" s="53">
        <f>IFERROR(SUMIFS(Data!$Q$10:$Q$6009,Data!$V$10:$V$6009,1,Data!$G$10:$G$6009,$A22,Data!$C$10:$C$6009,2026)/C22,0)</f>
        <v/>
      </c>
    </row>
    <row r="23">
      <c r="A23" s="45" t="inlineStr">
        <is>
          <t>Total</t>
        </is>
      </c>
      <c r="B23" s="47">
        <f>SUM(B15:B22)</f>
        <v/>
      </c>
      <c r="C23" s="47">
        <f>SUM(C15:C22)</f>
        <v/>
      </c>
      <c r="D23" s="47">
        <f>SUM(D15:D22)</f>
        <v/>
      </c>
      <c r="E23" s="54">
        <f>IFERROR(D23/B23,0)</f>
        <v/>
      </c>
    </row>
    <row r="25">
      <c r="A25" s="43" t="inlineStr">
        <is>
          <t xml:space="preserve">  Drill-down by channel: PY vs AC and contribution</t>
        </is>
      </c>
      <c r="B25" s="43" t="n"/>
      <c r="C25" s="43" t="n"/>
      <c r="D25" s="43" t="n"/>
      <c r="E25" s="43" t="n"/>
      <c r="F25" s="43" t="n"/>
      <c r="G25" s="43" t="n"/>
      <c r="H25" s="43" t="n"/>
      <c r="I25" s="43" t="n"/>
    </row>
    <row r="26">
      <c r="A26" s="44" t="inlineStr">
        <is>
          <t>Channel</t>
        </is>
      </c>
      <c r="B26" s="44" t="inlineStr">
        <is>
          <t>PY 2025</t>
        </is>
      </c>
      <c r="C26" s="44" t="inlineStr">
        <is>
          <t>AC 2026</t>
        </is>
      </c>
      <c r="D26" s="44" t="inlineStr">
        <is>
          <t>ΔPY</t>
        </is>
      </c>
      <c r="E26" s="44" t="inlineStr">
        <is>
          <t>ΔPY%</t>
        </is>
      </c>
      <c r="F26" s="44" t="inlineStr">
        <is>
          <t>Share of change</t>
        </is>
      </c>
      <c r="G26" s="44" t="inlineStr">
        <is>
          <t>Margin % AC</t>
        </is>
      </c>
    </row>
    <row r="27">
      <c r="A27" s="45" t="inlineStr">
        <is>
          <t>Hospital</t>
        </is>
      </c>
      <c r="B27" s="46">
        <f>SUMIFS(Data!$O$10:$O$6009,Data!$V$10:$V$6009,1,Data!$H$10:$H$6009,$A27,Data!$C$10:$C$6009,2025)</f>
        <v/>
      </c>
      <c r="C27" s="46">
        <f>SUMIFS(Data!$O$10:$O$6009,Data!$V$10:$V$6009,1,Data!$H$10:$H$6009,$A27,Data!$C$10:$C$6009,2026)</f>
        <v/>
      </c>
      <c r="D27" s="46">
        <f>C27-B27</f>
        <v/>
      </c>
      <c r="E27" s="52">
        <f>IFERROR(D27/B27,0)</f>
        <v/>
      </c>
      <c r="F27" s="53">
        <f>IFERROR(D27/D$30,0)</f>
        <v/>
      </c>
      <c r="G27" s="53">
        <f>IFERROR(SUMIFS(Data!$Q$10:$Q$6009,Data!$V$10:$V$6009,1,Data!$H$10:$H$6009,$A27,Data!$C$10:$C$6009,2026)/C27,0)</f>
        <v/>
      </c>
    </row>
    <row r="28">
      <c r="A28" s="45" t="inlineStr">
        <is>
          <t>Retail pharmacy</t>
        </is>
      </c>
      <c r="B28" s="46">
        <f>SUMIFS(Data!$O$10:$O$6009,Data!$V$10:$V$6009,1,Data!$H$10:$H$6009,$A28,Data!$C$10:$C$6009,2025)</f>
        <v/>
      </c>
      <c r="C28" s="46">
        <f>SUMIFS(Data!$O$10:$O$6009,Data!$V$10:$V$6009,1,Data!$H$10:$H$6009,$A28,Data!$C$10:$C$6009,2026)</f>
        <v/>
      </c>
      <c r="D28" s="46">
        <f>C28-B28</f>
        <v/>
      </c>
      <c r="E28" s="52">
        <f>IFERROR(D28/B28,0)</f>
        <v/>
      </c>
      <c r="F28" s="53">
        <f>IFERROR(D28/D$30,0)</f>
        <v/>
      </c>
      <c r="G28" s="53">
        <f>IFERROR(SUMIFS(Data!$Q$10:$Q$6009,Data!$V$10:$V$6009,1,Data!$H$10:$H$6009,$A28,Data!$C$10:$C$6009,2026)/C28,0)</f>
        <v/>
      </c>
    </row>
    <row r="29">
      <c r="A29" s="45" t="inlineStr">
        <is>
          <t>Government / tender</t>
        </is>
      </c>
      <c r="B29" s="46">
        <f>SUMIFS(Data!$O$10:$O$6009,Data!$V$10:$V$6009,1,Data!$H$10:$H$6009,$A29,Data!$C$10:$C$6009,2025)</f>
        <v/>
      </c>
      <c r="C29" s="46">
        <f>SUMIFS(Data!$O$10:$O$6009,Data!$V$10:$V$6009,1,Data!$H$10:$H$6009,$A29,Data!$C$10:$C$6009,2026)</f>
        <v/>
      </c>
      <c r="D29" s="46">
        <f>C29-B29</f>
        <v/>
      </c>
      <c r="E29" s="52">
        <f>IFERROR(D29/B29,0)</f>
        <v/>
      </c>
      <c r="F29" s="53">
        <f>IFERROR(D29/D$30,0)</f>
        <v/>
      </c>
      <c r="G29" s="53">
        <f>IFERROR(SUMIFS(Data!$Q$10:$Q$6009,Data!$V$10:$V$6009,1,Data!$H$10:$H$6009,$A29,Data!$C$10:$C$6009,2026)/C29,0)</f>
        <v/>
      </c>
    </row>
    <row r="30">
      <c r="A30" s="45" t="inlineStr">
        <is>
          <t>Total</t>
        </is>
      </c>
      <c r="B30" s="47">
        <f>SUM(B27:B29)</f>
        <v/>
      </c>
      <c r="C30" s="47">
        <f>SUM(C27:C29)</f>
        <v/>
      </c>
      <c r="D30" s="47">
        <f>SUM(D27:D29)</f>
        <v/>
      </c>
      <c r="E30" s="54">
        <f>IFERROR(D30/B30,0)</f>
        <v/>
      </c>
    </row>
    <row r="32">
      <c r="A32" s="43" t="inlineStr">
        <is>
          <t xml:space="preserve">  Correlation check (CORREL, all rows): does one number move with another?</t>
        </is>
      </c>
      <c r="B32" s="43" t="n"/>
      <c r="C32" s="43" t="n"/>
      <c r="D32" s="43" t="n"/>
      <c r="E32" s="43" t="n"/>
      <c r="F32" s="43" t="n"/>
      <c r="G32" s="43" t="n"/>
      <c r="H32" s="43" t="n"/>
      <c r="I32" s="43" t="n"/>
    </row>
    <row r="33">
      <c r="A33" s="44" t="inlineStr">
        <is>
          <t>Pair</t>
        </is>
      </c>
      <c r="B33" s="44" t="inlineStr">
        <is>
          <t>CORREL</t>
        </is>
      </c>
      <c r="C33" s="44" t="inlineStr">
        <is>
          <t>Reading</t>
        </is>
      </c>
    </row>
    <row r="34">
      <c r="A34" s="45" t="inlineStr">
        <is>
          <t>Discount vs Qty</t>
        </is>
      </c>
      <c r="B34" s="55">
        <f>CORREL(Data!$N$10:$N$6009,Data!$K$10:$K$6009)</f>
        <v/>
      </c>
      <c r="C34" s="50">
        <f>IF(ABS(B34)&lt;0.3,"Weak link",IF(ABS(B34)&lt;0.7,"Medium link","Strong link"))&amp;IF(B34&gt;=0," (move together)"," (move opposite)")</f>
        <v/>
      </c>
    </row>
    <row r="35">
      <c r="A35" s="45" t="inlineStr">
        <is>
          <t>Price vs Qty</t>
        </is>
      </c>
      <c r="B35" s="55">
        <f>CORREL(Data!$L$10:$L$6009,Data!$K$10:$K$6009)</f>
        <v/>
      </c>
      <c r="C35" s="50">
        <f>IF(ABS(B35)&lt;0.3,"Weak link",IF(ABS(B35)&lt;0.7,"Medium link","Strong link"))&amp;IF(B35&gt;=0," (move together)"," (move opposite)")</f>
        <v/>
      </c>
    </row>
    <row r="36">
      <c r="A36" s="45" t="inlineStr">
        <is>
          <t>Discount vs Profit</t>
        </is>
      </c>
      <c r="B36" s="55">
        <f>CORREL(Data!$N$10:$N$6009,Data!$Q$10:$Q$6009)</f>
        <v/>
      </c>
      <c r="C36" s="50">
        <f>IF(ABS(B36)&lt;0.3,"Weak link",IF(ABS(B36)&lt;0.7,"Medium link","Strong link"))&amp;IF(B36&gt;=0," (move together)"," (move opposite)")</f>
        <v/>
      </c>
    </row>
  </sheetData>
  <mergeCells count="7">
    <mergeCell ref="A25:I25"/>
    <mergeCell ref="A2:I2"/>
    <mergeCell ref="A5:I5"/>
    <mergeCell ref="A32:I32"/>
    <mergeCell ref="A13:I13"/>
    <mergeCell ref="A1:I1"/>
    <mergeCell ref="A3:I3"/>
  </mergeCells>
  <conditionalFormatting sqref="D7:D11">
    <cfRule type="cellIs" priority="1" operator="lessThan" dxfId="2">
      <formula>0</formula>
    </cfRule>
    <cfRule type="cellIs" priority="2" operator="greaterThan" dxfId="3">
      <formula>0</formula>
    </cfRule>
  </conditionalFormatting>
  <conditionalFormatting sqref="E7:E11">
    <cfRule type="cellIs" priority="3" operator="lessThan" dxfId="2">
      <formula>0</formula>
    </cfRule>
    <cfRule type="cellIs" priority="4" operator="greaterThan" dxfId="3">
      <formula>0</formula>
    </cfRule>
  </conditionalFormatting>
  <conditionalFormatting sqref="D15:D23">
    <cfRule type="cellIs" priority="5" operator="lessThan" dxfId="2">
      <formula>0</formula>
    </cfRule>
    <cfRule type="cellIs" priority="6" operator="greaterThan" dxfId="3">
      <formula>0</formula>
    </cfRule>
  </conditionalFormatting>
  <conditionalFormatting sqref="E15:E23">
    <cfRule type="cellIs" priority="7" operator="lessThan" dxfId="2">
      <formula>0</formula>
    </cfRule>
    <cfRule type="cellIs" priority="8" operator="greaterThan" dxfId="3">
      <formula>0</formula>
    </cfRule>
  </conditionalFormatting>
  <conditionalFormatting sqref="D27:D30">
    <cfRule type="cellIs" priority="9" operator="lessThan" dxfId="2">
      <formula>0</formula>
    </cfRule>
    <cfRule type="cellIs" priority="10" operator="greaterThan" dxfId="3">
      <formula>0</formula>
    </cfRule>
  </conditionalFormatting>
  <conditionalFormatting sqref="E27:E30">
    <cfRule type="cellIs" priority="11" operator="lessThan" dxfId="2">
      <formula>0</formula>
    </cfRule>
    <cfRule type="cellIs" priority="12" operator="greaterThan" dxfId="3">
      <formula>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00A3E0"/>
    <outlinePr summaryBelow="1" summaryRight="1"/>
    <pageSetUpPr fitToPage="1"/>
  </sheetPr>
  <dimension ref="A1:I4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0" t="inlineStr">
        <is>
          <t xml:space="preserve">  3 · Predictive: what will happen next?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</row>
    <row r="2">
      <c r="A2" s="41" t="inlineStr">
        <is>
          <t>EXAMPLE DATA: every number in this workbook is made up for practice. It is not real Pfizer data and not an official report.</t>
        </is>
      </c>
      <c r="B2" s="41" t="n"/>
      <c r="C2" s="41" t="n"/>
      <c r="D2" s="41" t="n"/>
      <c r="E2" s="41" t="n"/>
      <c r="F2" s="41" t="n"/>
      <c r="G2" s="41" t="n"/>
      <c r="H2" s="41" t="n"/>
      <c r="I2" s="41" t="n"/>
    </row>
    <row r="3" ht="32" customHeight="1">
      <c r="A3" s="42" t="inlineStr">
        <is>
          <t>24 months of actual revenue (t = 1..24), a 3-month moving average, and a 12-month forecast with FORECAST.LINEAR and TREND (a straight-line trend). The chart adds a linear trendline.</t>
        </is>
      </c>
      <c r="B3" s="42" t="n"/>
      <c r="C3" s="42" t="n"/>
      <c r="D3" s="42" t="n"/>
      <c r="E3" s="42" t="n"/>
      <c r="F3" s="42" t="n"/>
      <c r="G3" s="42" t="n"/>
      <c r="H3" s="42" t="n"/>
      <c r="I3" s="42" t="n"/>
    </row>
    <row r="5">
      <c r="A5" s="44" t="inlineStr">
        <is>
          <t>Year</t>
        </is>
      </c>
      <c r="B5" s="44" t="inlineStr">
        <is>
          <t>Month</t>
        </is>
      </c>
      <c r="C5" s="44" t="inlineStr">
        <is>
          <t>t</t>
        </is>
      </c>
      <c r="D5" s="44" t="inlineStr">
        <is>
          <t>Actual revenue</t>
        </is>
      </c>
      <c r="E5" s="44" t="inlineStr">
        <is>
          <t>3-month moving avg</t>
        </is>
      </c>
      <c r="F5" s="44" t="inlineStr">
        <is>
          <t>Forecast (FORECAST.LINEAR)</t>
        </is>
      </c>
      <c r="G5" s="44" t="inlineStr">
        <is>
          <t>Check (TREND)</t>
        </is>
      </c>
    </row>
    <row r="6">
      <c r="A6" s="56" t="n">
        <v>2025</v>
      </c>
      <c r="B6" s="50" t="inlineStr">
        <is>
          <t>Jan</t>
        </is>
      </c>
      <c r="C6" s="56" t="n">
        <v>1</v>
      </c>
      <c r="D6" s="46">
        <f>SUMIFS(Data!$O$10:$O$6009,Data!$V$10:$V$6009,1,Data!$C$10:$C$6009,A6,Data!$D$10:$D$6009,B6)</f>
        <v/>
      </c>
    </row>
    <row r="7">
      <c r="A7" s="56" t="n">
        <v>2025</v>
      </c>
      <c r="B7" s="50" t="inlineStr">
        <is>
          <t>Feb</t>
        </is>
      </c>
      <c r="C7" s="56" t="n">
        <v>2</v>
      </c>
      <c r="D7" s="46">
        <f>SUMIFS(Data!$O$10:$O$6009,Data!$V$10:$V$6009,1,Data!$C$10:$C$6009,A7,Data!$D$10:$D$6009,B7)</f>
        <v/>
      </c>
    </row>
    <row r="8">
      <c r="A8" s="56" t="n">
        <v>2025</v>
      </c>
      <c r="B8" s="50" t="inlineStr">
        <is>
          <t>Mar</t>
        </is>
      </c>
      <c r="C8" s="56" t="n">
        <v>3</v>
      </c>
      <c r="D8" s="46">
        <f>SUMIFS(Data!$O$10:$O$6009,Data!$V$10:$V$6009,1,Data!$C$10:$C$6009,A8,Data!$D$10:$D$6009,B8)</f>
        <v/>
      </c>
      <c r="E8" s="46">
        <f>AVERAGE(D6:D8)</f>
        <v/>
      </c>
    </row>
    <row r="9">
      <c r="A9" s="56" t="n">
        <v>2025</v>
      </c>
      <c r="B9" s="50" t="inlineStr">
        <is>
          <t>Apr</t>
        </is>
      </c>
      <c r="C9" s="56" t="n">
        <v>4</v>
      </c>
      <c r="D9" s="46">
        <f>SUMIFS(Data!$O$10:$O$6009,Data!$V$10:$V$6009,1,Data!$C$10:$C$6009,A9,Data!$D$10:$D$6009,B9)</f>
        <v/>
      </c>
      <c r="E9" s="46">
        <f>AVERAGE(D7:D9)</f>
        <v/>
      </c>
    </row>
    <row r="10">
      <c r="A10" s="56" t="n">
        <v>2025</v>
      </c>
      <c r="B10" s="50" t="inlineStr">
        <is>
          <t>May</t>
        </is>
      </c>
      <c r="C10" s="56" t="n">
        <v>5</v>
      </c>
      <c r="D10" s="46">
        <f>SUMIFS(Data!$O$10:$O$6009,Data!$V$10:$V$6009,1,Data!$C$10:$C$6009,A10,Data!$D$10:$D$6009,B10)</f>
        <v/>
      </c>
      <c r="E10" s="46">
        <f>AVERAGE(D8:D10)</f>
        <v/>
      </c>
    </row>
    <row r="11">
      <c r="A11" s="56" t="n">
        <v>2025</v>
      </c>
      <c r="B11" s="50" t="inlineStr">
        <is>
          <t>Jun</t>
        </is>
      </c>
      <c r="C11" s="56" t="n">
        <v>6</v>
      </c>
      <c r="D11" s="46">
        <f>SUMIFS(Data!$O$10:$O$6009,Data!$V$10:$V$6009,1,Data!$C$10:$C$6009,A11,Data!$D$10:$D$6009,B11)</f>
        <v/>
      </c>
      <c r="E11" s="46">
        <f>AVERAGE(D9:D11)</f>
        <v/>
      </c>
    </row>
    <row r="12">
      <c r="A12" s="56" t="n">
        <v>2025</v>
      </c>
      <c r="B12" s="50" t="inlineStr">
        <is>
          <t>Jul</t>
        </is>
      </c>
      <c r="C12" s="56" t="n">
        <v>7</v>
      </c>
      <c r="D12" s="46">
        <f>SUMIFS(Data!$O$10:$O$6009,Data!$V$10:$V$6009,1,Data!$C$10:$C$6009,A12,Data!$D$10:$D$6009,B12)</f>
        <v/>
      </c>
      <c r="E12" s="46">
        <f>AVERAGE(D10:D12)</f>
        <v/>
      </c>
    </row>
    <row r="13">
      <c r="A13" s="56" t="n">
        <v>2025</v>
      </c>
      <c r="B13" s="50" t="inlineStr">
        <is>
          <t>Aug</t>
        </is>
      </c>
      <c r="C13" s="56" t="n">
        <v>8</v>
      </c>
      <c r="D13" s="46">
        <f>SUMIFS(Data!$O$10:$O$6009,Data!$V$10:$V$6009,1,Data!$C$10:$C$6009,A13,Data!$D$10:$D$6009,B13)</f>
        <v/>
      </c>
      <c r="E13" s="46">
        <f>AVERAGE(D11:D13)</f>
        <v/>
      </c>
    </row>
    <row r="14">
      <c r="A14" s="56" t="n">
        <v>2025</v>
      </c>
      <c r="B14" s="50" t="inlineStr">
        <is>
          <t>Sep</t>
        </is>
      </c>
      <c r="C14" s="56" t="n">
        <v>9</v>
      </c>
      <c r="D14" s="46">
        <f>SUMIFS(Data!$O$10:$O$6009,Data!$V$10:$V$6009,1,Data!$C$10:$C$6009,A14,Data!$D$10:$D$6009,B14)</f>
        <v/>
      </c>
      <c r="E14" s="46">
        <f>AVERAGE(D12:D14)</f>
        <v/>
      </c>
    </row>
    <row r="15">
      <c r="A15" s="56" t="n">
        <v>2025</v>
      </c>
      <c r="B15" s="50" t="inlineStr">
        <is>
          <t>Oct</t>
        </is>
      </c>
      <c r="C15" s="56" t="n">
        <v>10</v>
      </c>
      <c r="D15" s="46">
        <f>SUMIFS(Data!$O$10:$O$6009,Data!$V$10:$V$6009,1,Data!$C$10:$C$6009,A15,Data!$D$10:$D$6009,B15)</f>
        <v/>
      </c>
      <c r="E15" s="46">
        <f>AVERAGE(D13:D15)</f>
        <v/>
      </c>
    </row>
    <row r="16">
      <c r="A16" s="56" t="n">
        <v>2025</v>
      </c>
      <c r="B16" s="50" t="inlineStr">
        <is>
          <t>Nov</t>
        </is>
      </c>
      <c r="C16" s="56" t="n">
        <v>11</v>
      </c>
      <c r="D16" s="46">
        <f>SUMIFS(Data!$O$10:$O$6009,Data!$V$10:$V$6009,1,Data!$C$10:$C$6009,A16,Data!$D$10:$D$6009,B16)</f>
        <v/>
      </c>
      <c r="E16" s="46">
        <f>AVERAGE(D14:D16)</f>
        <v/>
      </c>
    </row>
    <row r="17">
      <c r="A17" s="56" t="n">
        <v>2025</v>
      </c>
      <c r="B17" s="50" t="inlineStr">
        <is>
          <t>Dec</t>
        </is>
      </c>
      <c r="C17" s="56" t="n">
        <v>12</v>
      </c>
      <c r="D17" s="46">
        <f>SUMIFS(Data!$O$10:$O$6009,Data!$V$10:$V$6009,1,Data!$C$10:$C$6009,A17,Data!$D$10:$D$6009,B17)</f>
        <v/>
      </c>
      <c r="E17" s="46">
        <f>AVERAGE(D15:D17)</f>
        <v/>
      </c>
    </row>
    <row r="18">
      <c r="A18" s="56" t="n">
        <v>2026</v>
      </c>
      <c r="B18" s="50" t="inlineStr">
        <is>
          <t>Jan</t>
        </is>
      </c>
      <c r="C18" s="56" t="n">
        <v>13</v>
      </c>
      <c r="D18" s="46">
        <f>SUMIFS(Data!$O$10:$O$6009,Data!$V$10:$V$6009,1,Data!$C$10:$C$6009,A18,Data!$D$10:$D$6009,B18)</f>
        <v/>
      </c>
      <c r="E18" s="46">
        <f>AVERAGE(D16:D18)</f>
        <v/>
      </c>
    </row>
    <row r="19">
      <c r="A19" s="56" t="n">
        <v>2026</v>
      </c>
      <c r="B19" s="50" t="inlineStr">
        <is>
          <t>Feb</t>
        </is>
      </c>
      <c r="C19" s="56" t="n">
        <v>14</v>
      </c>
      <c r="D19" s="46">
        <f>SUMIFS(Data!$O$10:$O$6009,Data!$V$10:$V$6009,1,Data!$C$10:$C$6009,A19,Data!$D$10:$D$6009,B19)</f>
        <v/>
      </c>
      <c r="E19" s="46">
        <f>AVERAGE(D17:D19)</f>
        <v/>
      </c>
    </row>
    <row r="20">
      <c r="A20" s="56" t="n">
        <v>2026</v>
      </c>
      <c r="B20" s="50" t="inlineStr">
        <is>
          <t>Mar</t>
        </is>
      </c>
      <c r="C20" s="56" t="n">
        <v>15</v>
      </c>
      <c r="D20" s="46">
        <f>SUMIFS(Data!$O$10:$O$6009,Data!$V$10:$V$6009,1,Data!$C$10:$C$6009,A20,Data!$D$10:$D$6009,B20)</f>
        <v/>
      </c>
      <c r="E20" s="46">
        <f>AVERAGE(D18:D20)</f>
        <v/>
      </c>
    </row>
    <row r="21">
      <c r="A21" s="56" t="n">
        <v>2026</v>
      </c>
      <c r="B21" s="50" t="inlineStr">
        <is>
          <t>Apr</t>
        </is>
      </c>
      <c r="C21" s="56" t="n">
        <v>16</v>
      </c>
      <c r="D21" s="46">
        <f>SUMIFS(Data!$O$10:$O$6009,Data!$V$10:$V$6009,1,Data!$C$10:$C$6009,A21,Data!$D$10:$D$6009,B21)</f>
        <v/>
      </c>
      <c r="E21" s="46">
        <f>AVERAGE(D19:D21)</f>
        <v/>
      </c>
    </row>
    <row r="22">
      <c r="A22" s="56" t="n">
        <v>2026</v>
      </c>
      <c r="B22" s="50" t="inlineStr">
        <is>
          <t>May</t>
        </is>
      </c>
      <c r="C22" s="56" t="n">
        <v>17</v>
      </c>
      <c r="D22" s="46">
        <f>SUMIFS(Data!$O$10:$O$6009,Data!$V$10:$V$6009,1,Data!$C$10:$C$6009,A22,Data!$D$10:$D$6009,B22)</f>
        <v/>
      </c>
      <c r="E22" s="46">
        <f>AVERAGE(D20:D22)</f>
        <v/>
      </c>
    </row>
    <row r="23">
      <c r="A23" s="56" t="n">
        <v>2026</v>
      </c>
      <c r="B23" s="50" t="inlineStr">
        <is>
          <t>Jun</t>
        </is>
      </c>
      <c r="C23" s="56" t="n">
        <v>18</v>
      </c>
      <c r="D23" s="46">
        <f>SUMIFS(Data!$O$10:$O$6009,Data!$V$10:$V$6009,1,Data!$C$10:$C$6009,A23,Data!$D$10:$D$6009,B23)</f>
        <v/>
      </c>
      <c r="E23" s="46">
        <f>AVERAGE(D21:D23)</f>
        <v/>
      </c>
    </row>
    <row r="24">
      <c r="A24" s="56" t="n">
        <v>2026</v>
      </c>
      <c r="B24" s="50" t="inlineStr">
        <is>
          <t>Jul</t>
        </is>
      </c>
      <c r="C24" s="56" t="n">
        <v>19</v>
      </c>
      <c r="D24" s="46">
        <f>SUMIFS(Data!$O$10:$O$6009,Data!$V$10:$V$6009,1,Data!$C$10:$C$6009,A24,Data!$D$10:$D$6009,B24)</f>
        <v/>
      </c>
      <c r="E24" s="46">
        <f>AVERAGE(D22:D24)</f>
        <v/>
      </c>
    </row>
    <row r="25">
      <c r="A25" s="56" t="n">
        <v>2026</v>
      </c>
      <c r="B25" s="50" t="inlineStr">
        <is>
          <t>Aug</t>
        </is>
      </c>
      <c r="C25" s="56" t="n">
        <v>20</v>
      </c>
      <c r="D25" s="46">
        <f>SUMIFS(Data!$O$10:$O$6009,Data!$V$10:$V$6009,1,Data!$C$10:$C$6009,A25,Data!$D$10:$D$6009,B25)</f>
        <v/>
      </c>
      <c r="E25" s="46">
        <f>AVERAGE(D23:D25)</f>
        <v/>
      </c>
    </row>
    <row r="26">
      <c r="A26" s="56" t="n">
        <v>2026</v>
      </c>
      <c r="B26" s="50" t="inlineStr">
        <is>
          <t>Sep</t>
        </is>
      </c>
      <c r="C26" s="56" t="n">
        <v>21</v>
      </c>
      <c r="D26" s="46">
        <f>SUMIFS(Data!$O$10:$O$6009,Data!$V$10:$V$6009,1,Data!$C$10:$C$6009,A26,Data!$D$10:$D$6009,B26)</f>
        <v/>
      </c>
      <c r="E26" s="46">
        <f>AVERAGE(D24:D26)</f>
        <v/>
      </c>
    </row>
    <row r="27">
      <c r="A27" s="56" t="n">
        <v>2026</v>
      </c>
      <c r="B27" s="50" t="inlineStr">
        <is>
          <t>Oct</t>
        </is>
      </c>
      <c r="C27" s="56" t="n">
        <v>22</v>
      </c>
      <c r="D27" s="46">
        <f>SUMIFS(Data!$O$10:$O$6009,Data!$V$10:$V$6009,1,Data!$C$10:$C$6009,A27,Data!$D$10:$D$6009,B27)</f>
        <v/>
      </c>
      <c r="E27" s="46">
        <f>AVERAGE(D25:D27)</f>
        <v/>
      </c>
    </row>
    <row r="28">
      <c r="A28" s="56" t="n">
        <v>2026</v>
      </c>
      <c r="B28" s="50" t="inlineStr">
        <is>
          <t>Nov</t>
        </is>
      </c>
      <c r="C28" s="56" t="n">
        <v>23</v>
      </c>
      <c r="D28" s="46">
        <f>SUMIFS(Data!$O$10:$O$6009,Data!$V$10:$V$6009,1,Data!$C$10:$C$6009,A28,Data!$D$10:$D$6009,B28)</f>
        <v/>
      </c>
      <c r="E28" s="46">
        <f>AVERAGE(D26:D28)</f>
        <v/>
      </c>
    </row>
    <row r="29">
      <c r="A29" s="56" t="n">
        <v>2026</v>
      </c>
      <c r="B29" s="50" t="inlineStr">
        <is>
          <t>Dec</t>
        </is>
      </c>
      <c r="C29" s="56" t="n">
        <v>24</v>
      </c>
      <c r="D29" s="46">
        <f>SUMIFS(Data!$O$10:$O$6009,Data!$V$10:$V$6009,1,Data!$C$10:$C$6009,A29,Data!$D$10:$D$6009,B29)</f>
        <v/>
      </c>
      <c r="E29" s="46">
        <f>AVERAGE(D27:D29)</f>
        <v/>
      </c>
      <c r="F29" s="46">
        <f>D29</f>
        <v/>
      </c>
    </row>
    <row r="30">
      <c r="A30" s="56" t="n">
        <v>2027</v>
      </c>
      <c r="B30" s="50" t="inlineStr">
        <is>
          <t>Jan</t>
        </is>
      </c>
      <c r="C30" s="56" t="n">
        <v>25</v>
      </c>
      <c r="F30" s="47">
        <f>_xlfn.FORECAST.LINEAR(C30,$D$6:$D$29,$C$6:$C$29)</f>
        <v/>
      </c>
      <c r="G30" s="46">
        <f>TREND($D$6:$D$29,$C$6:$C$29,C30)</f>
        <v/>
      </c>
    </row>
    <row r="31">
      <c r="A31" s="56" t="n">
        <v>2027</v>
      </c>
      <c r="B31" s="50" t="inlineStr">
        <is>
          <t>Feb</t>
        </is>
      </c>
      <c r="C31" s="56" t="n">
        <v>26</v>
      </c>
      <c r="F31" s="47">
        <f>_xlfn.FORECAST.LINEAR(C31,$D$6:$D$29,$C$6:$C$29)</f>
        <v/>
      </c>
      <c r="G31" s="46">
        <f>TREND($D$6:$D$29,$C$6:$C$29,C31)</f>
        <v/>
      </c>
    </row>
    <row r="32">
      <c r="A32" s="56" t="n">
        <v>2027</v>
      </c>
      <c r="B32" s="50" t="inlineStr">
        <is>
          <t>Mar</t>
        </is>
      </c>
      <c r="C32" s="56" t="n">
        <v>27</v>
      </c>
      <c r="F32" s="47">
        <f>_xlfn.FORECAST.LINEAR(C32,$D$6:$D$29,$C$6:$C$29)</f>
        <v/>
      </c>
      <c r="G32" s="46">
        <f>TREND($D$6:$D$29,$C$6:$C$29,C32)</f>
        <v/>
      </c>
    </row>
    <row r="33">
      <c r="A33" s="56" t="n">
        <v>2027</v>
      </c>
      <c r="B33" s="50" t="inlineStr">
        <is>
          <t>Apr</t>
        </is>
      </c>
      <c r="C33" s="56" t="n">
        <v>28</v>
      </c>
      <c r="F33" s="47">
        <f>_xlfn.FORECAST.LINEAR(C33,$D$6:$D$29,$C$6:$C$29)</f>
        <v/>
      </c>
      <c r="G33" s="46">
        <f>TREND($D$6:$D$29,$C$6:$C$29,C33)</f>
        <v/>
      </c>
    </row>
    <row r="34">
      <c r="A34" s="56" t="n">
        <v>2027</v>
      </c>
      <c r="B34" s="50" t="inlineStr">
        <is>
          <t>May</t>
        </is>
      </c>
      <c r="C34" s="56" t="n">
        <v>29</v>
      </c>
      <c r="F34" s="47">
        <f>_xlfn.FORECAST.LINEAR(C34,$D$6:$D$29,$C$6:$C$29)</f>
        <v/>
      </c>
      <c r="G34" s="46">
        <f>TREND($D$6:$D$29,$C$6:$C$29,C34)</f>
        <v/>
      </c>
    </row>
    <row r="35">
      <c r="A35" s="56" t="n">
        <v>2027</v>
      </c>
      <c r="B35" s="50" t="inlineStr">
        <is>
          <t>Jun</t>
        </is>
      </c>
      <c r="C35" s="56" t="n">
        <v>30</v>
      </c>
      <c r="F35" s="47">
        <f>_xlfn.FORECAST.LINEAR(C35,$D$6:$D$29,$C$6:$C$29)</f>
        <v/>
      </c>
      <c r="G35" s="46">
        <f>TREND($D$6:$D$29,$C$6:$C$29,C35)</f>
        <v/>
      </c>
    </row>
    <row r="36">
      <c r="A36" s="56" t="n">
        <v>2027</v>
      </c>
      <c r="B36" s="50" t="inlineStr">
        <is>
          <t>Jul</t>
        </is>
      </c>
      <c r="C36" s="56" t="n">
        <v>31</v>
      </c>
      <c r="F36" s="47">
        <f>_xlfn.FORECAST.LINEAR(C36,$D$6:$D$29,$C$6:$C$29)</f>
        <v/>
      </c>
      <c r="G36" s="46">
        <f>TREND($D$6:$D$29,$C$6:$C$29,C36)</f>
        <v/>
      </c>
    </row>
    <row r="37">
      <c r="A37" s="56" t="n">
        <v>2027</v>
      </c>
      <c r="B37" s="50" t="inlineStr">
        <is>
          <t>Aug</t>
        </is>
      </c>
      <c r="C37" s="56" t="n">
        <v>32</v>
      </c>
      <c r="F37" s="47">
        <f>_xlfn.FORECAST.LINEAR(C37,$D$6:$D$29,$C$6:$C$29)</f>
        <v/>
      </c>
      <c r="G37" s="46">
        <f>TREND($D$6:$D$29,$C$6:$C$29,C37)</f>
        <v/>
      </c>
    </row>
    <row r="38">
      <c r="A38" s="56" t="n">
        <v>2027</v>
      </c>
      <c r="B38" s="50" t="inlineStr">
        <is>
          <t>Sep</t>
        </is>
      </c>
      <c r="C38" s="56" t="n">
        <v>33</v>
      </c>
      <c r="F38" s="47">
        <f>_xlfn.FORECAST.LINEAR(C38,$D$6:$D$29,$C$6:$C$29)</f>
        <v/>
      </c>
      <c r="G38" s="46">
        <f>TREND($D$6:$D$29,$C$6:$C$29,C38)</f>
        <v/>
      </c>
    </row>
    <row r="39">
      <c r="A39" s="56" t="n">
        <v>2027</v>
      </c>
      <c r="B39" s="50" t="inlineStr">
        <is>
          <t>Oct</t>
        </is>
      </c>
      <c r="C39" s="56" t="n">
        <v>34</v>
      </c>
      <c r="F39" s="47">
        <f>_xlfn.FORECAST.LINEAR(C39,$D$6:$D$29,$C$6:$C$29)</f>
        <v/>
      </c>
      <c r="G39" s="46">
        <f>TREND($D$6:$D$29,$C$6:$C$29,C39)</f>
        <v/>
      </c>
    </row>
    <row r="40">
      <c r="A40" s="56" t="n">
        <v>2027</v>
      </c>
      <c r="B40" s="50" t="inlineStr">
        <is>
          <t>Nov</t>
        </is>
      </c>
      <c r="C40" s="56" t="n">
        <v>35</v>
      </c>
      <c r="F40" s="47">
        <f>_xlfn.FORECAST.LINEAR(C40,$D$6:$D$29,$C$6:$C$29)</f>
        <v/>
      </c>
      <c r="G40" s="46">
        <f>TREND($D$6:$D$29,$C$6:$C$29,C40)</f>
        <v/>
      </c>
    </row>
    <row r="41">
      <c r="A41" s="56" t="n">
        <v>2027</v>
      </c>
      <c r="B41" s="50" t="inlineStr">
        <is>
          <t>Dec</t>
        </is>
      </c>
      <c r="C41" s="56" t="n">
        <v>36</v>
      </c>
      <c r="F41" s="47">
        <f>_xlfn.FORECAST.LINEAR(C41,$D$6:$D$29,$C$6:$C$29)</f>
        <v/>
      </c>
      <c r="G41" s="46">
        <f>TREND($D$6:$D$29,$C$6:$C$29,C41)</f>
        <v/>
      </c>
    </row>
    <row r="43">
      <c r="A43" s="45" t="inlineStr">
        <is>
          <t>Trend per month (SLOPE)</t>
        </is>
      </c>
      <c r="D43" s="46">
        <f>SLOPE(D6:D29,C6:C29)</f>
        <v/>
      </c>
    </row>
    <row r="44">
      <c r="A44" s="45" t="inlineStr">
        <is>
          <t>Forecast total 2027</t>
        </is>
      </c>
      <c r="D44" s="47">
        <f>SUM(F30:F41)</f>
        <v/>
      </c>
    </row>
    <row r="45">
      <c r="A45" s="45" t="inlineStr">
        <is>
          <t>Fit (R², RSQ)</t>
        </is>
      </c>
      <c r="D45" s="55">
        <f>RSQ(D6:D29,C6:C29)</f>
        <v/>
      </c>
    </row>
  </sheetData>
  <mergeCells count="3">
    <mergeCell ref="A1:I1"/>
    <mergeCell ref="A3:I3"/>
    <mergeCell ref="A2:I2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00A3E0"/>
    <outlinePr summaryBelow="1" summaryRight="1"/>
    <pageSetUpPr fitToPage="1"/>
  </sheetPr>
  <dimension ref="A1:I4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0" t="inlineStr">
        <is>
          <t xml:space="preserve">  4 · Prescriptive: what should we do?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</row>
    <row r="2">
      <c r="A2" s="41" t="inlineStr">
        <is>
          <t>EXAMPLE DATA: every number in this workbook is made up for practice. It is not real Pfizer data and not an official report.</t>
        </is>
      </c>
      <c r="B2" s="41" t="n"/>
      <c r="C2" s="41" t="n"/>
      <c r="D2" s="41" t="n"/>
      <c r="E2" s="41" t="n"/>
      <c r="F2" s="41" t="n"/>
      <c r="G2" s="41" t="n"/>
      <c r="H2" s="41" t="n"/>
      <c r="I2" s="41" t="n"/>
    </row>
    <row r="3" ht="32" customHeight="1">
      <c r="A3" s="42" t="inlineStr">
        <is>
          <t>Change the yellow inputs to test a plan (what-if). Then use Goal Seek to find the price change for a target margin. The action table uses IF rules to suggest a next step.</t>
        </is>
      </c>
      <c r="B3" s="42" t="n"/>
      <c r="C3" s="42" t="n"/>
      <c r="D3" s="42" t="n"/>
      <c r="E3" s="42" t="n"/>
      <c r="F3" s="42" t="n"/>
      <c r="G3" s="42" t="n"/>
      <c r="H3" s="42" t="n"/>
      <c r="I3" s="42" t="n"/>
    </row>
    <row r="5">
      <c r="A5" s="43" t="inlineStr">
        <is>
          <t xml:space="preserve">  Base: year 2026, rows in view</t>
        </is>
      </c>
      <c r="B5" s="43" t="n"/>
      <c r="C5" s="43" t="n"/>
      <c r="D5" s="43" t="n"/>
      <c r="E5" s="43" t="n"/>
      <c r="F5" s="43" t="n"/>
      <c r="G5" s="43" t="n"/>
      <c r="H5" s="43" t="n"/>
      <c r="I5" s="43" t="n"/>
    </row>
    <row r="6">
      <c r="A6" s="45" t="inlineStr">
        <is>
          <t>Gross sales 2026</t>
        </is>
      </c>
      <c r="B6" s="46">
        <f>SUMIFS(Data!$M$10:$M$6009,Data!$V$10:$V$6009,1,Data!$C$10:$C$6009,2026)</f>
        <v/>
      </c>
    </row>
    <row r="7">
      <c r="A7" s="45" t="inlineStr">
        <is>
          <t>Discount 2026</t>
        </is>
      </c>
      <c r="B7" s="46">
        <f>SUMIFS(Data!$N$10:$N$6009,Data!$V$10:$V$6009,1,Data!$C$10:$C$6009,2026)</f>
        <v/>
      </c>
    </row>
    <row r="8">
      <c r="A8" s="45" t="inlineStr">
        <is>
          <t>Cost 2026</t>
        </is>
      </c>
      <c r="B8" s="46">
        <f>SUMIFS(Data!$P$10:$P$6009,Data!$V$10:$V$6009,1,Data!$C$10:$C$6009,2026)</f>
        <v/>
      </c>
    </row>
    <row r="9">
      <c r="A9" s="45" t="inlineStr">
        <is>
          <t>Revenue 2026</t>
        </is>
      </c>
      <c r="B9" s="46">
        <f>B6-B7</f>
        <v/>
      </c>
    </row>
    <row r="10">
      <c r="A10" s="45" t="inlineStr">
        <is>
          <t>Profit 2026</t>
        </is>
      </c>
      <c r="B10" s="46">
        <f>B9-B8</f>
        <v/>
      </c>
    </row>
    <row r="11">
      <c r="A11" s="45" t="inlineStr">
        <is>
          <t>Margin 2026</t>
        </is>
      </c>
      <c r="B11" s="53">
        <f>IFERROR(B10/B9,0)</f>
        <v/>
      </c>
    </row>
    <row r="13">
      <c r="A13" s="43" t="inlineStr">
        <is>
          <t xml:space="preserve">  What-if inputs (yellow: type here)</t>
        </is>
      </c>
      <c r="B13" s="43" t="n"/>
      <c r="C13" s="43" t="n"/>
      <c r="D13" s="43" t="n"/>
      <c r="E13" s="43" t="n"/>
      <c r="F13" s="43" t="n"/>
      <c r="G13" s="43" t="n"/>
      <c r="H13" s="43" t="n"/>
      <c r="I13" s="43" t="n"/>
    </row>
    <row r="14">
      <c r="A14" s="45" t="inlineStr">
        <is>
          <t>Price change %</t>
        </is>
      </c>
      <c r="B14" s="57" t="n">
        <v>0.03</v>
      </c>
    </row>
    <row r="15">
      <c r="A15" s="45" t="inlineStr">
        <is>
          <t>Discount change %</t>
        </is>
      </c>
      <c r="B15" s="57" t="n">
        <v>-0.1</v>
      </c>
    </row>
    <row r="16">
      <c r="A16" s="45" t="inlineStr">
        <is>
          <t>Cost change %</t>
        </is>
      </c>
      <c r="B16" s="57" t="n">
        <v>0.02</v>
      </c>
    </row>
    <row r="17">
      <c r="A17" s="45" t="inlineStr">
        <is>
          <t>Volume change %</t>
        </is>
      </c>
      <c r="B17" s="57" t="n">
        <v>-0.01</v>
      </c>
    </row>
    <row r="19">
      <c r="A19" s="43" t="inlineStr">
        <is>
          <t xml:space="preserve">  What-if result</t>
        </is>
      </c>
      <c r="B19" s="43" t="n"/>
      <c r="C19" s="43" t="n"/>
      <c r="D19" s="43" t="n"/>
      <c r="E19" s="43" t="n"/>
      <c r="F19" s="43" t="n"/>
      <c r="G19" s="43" t="n"/>
      <c r="H19" s="43" t="n"/>
      <c r="I19" s="43" t="n"/>
    </row>
    <row r="20">
      <c r="A20" s="45" t="inlineStr">
        <is>
          <t>New revenue</t>
        </is>
      </c>
      <c r="B20" s="47">
        <f>(B6*(1+B14)-B7*(1+B15))*(1+B17)</f>
        <v/>
      </c>
    </row>
    <row r="21">
      <c r="A21" s="45" t="inlineStr">
        <is>
          <t>New cost</t>
        </is>
      </c>
      <c r="B21" s="47">
        <f>B8*(1+B16)*(1+B17)</f>
        <v/>
      </c>
    </row>
    <row r="22">
      <c r="A22" s="45" t="inlineStr">
        <is>
          <t>New profit</t>
        </is>
      </c>
      <c r="B22" s="47">
        <f>B20-B21</f>
        <v/>
      </c>
    </row>
    <row r="23">
      <c r="A23" s="45" t="inlineStr">
        <is>
          <t>New margin</t>
        </is>
      </c>
      <c r="B23" s="58">
        <f>IFERROR(B22/B20,0)</f>
        <v/>
      </c>
    </row>
    <row r="24">
      <c r="A24" s="45" t="inlineStr">
        <is>
          <t>Profit change vs base</t>
        </is>
      </c>
      <c r="B24" s="47">
        <f>B22-B10</f>
        <v/>
      </c>
    </row>
    <row r="26">
      <c r="A26" s="43" t="inlineStr">
        <is>
          <t xml:space="preserve">  Goal Seek (Data › What-If Analysis › Goal Seek)</t>
        </is>
      </c>
      <c r="B26" s="43" t="n"/>
      <c r="C26" s="43" t="n"/>
      <c r="D26" s="43" t="n"/>
      <c r="E26" s="43" t="n"/>
      <c r="F26" s="43" t="n"/>
      <c r="G26" s="43" t="n"/>
      <c r="H26" s="43" t="n"/>
      <c r="I26" s="43" t="n"/>
    </row>
    <row r="27">
      <c r="A27" s="45" t="inlineStr">
        <is>
          <t>Target margin</t>
        </is>
      </c>
      <c r="B27" s="59" t="n">
        <v>0.65</v>
      </c>
    </row>
    <row r="28" ht="30" customHeight="1">
      <c r="A28" s="45" t="inlineStr">
        <is>
          <t>Steps</t>
        </is>
      </c>
      <c r="B28" s="60" t="inlineStr">
        <is>
          <t>1) Click B23 (New margin). 2) Data › What-If Analysis › Goal Seek. 3) Set cell: B23, To value: the target in B27, By changing cell: B14 (Price change %). 4) OK.</t>
        </is>
      </c>
      <c r="C28" s="60" t="n"/>
      <c r="D28" s="60" t="n"/>
      <c r="E28" s="60" t="n"/>
      <c r="F28" s="60" t="n"/>
      <c r="G28" s="60" t="n"/>
      <c r="H28" s="60" t="n"/>
      <c r="I28" s="60" t="n"/>
    </row>
    <row r="29" ht="30" customHeight="1">
      <c r="A29" s="45" t="inlineStr">
        <is>
          <t>Check answer</t>
        </is>
      </c>
      <c r="B29" s="60" t="inlineStr">
        <is>
          <t>The cell below gives the exact price change, so you can check Goal Seek.</t>
        </is>
      </c>
      <c r="C29" s="60" t="n"/>
      <c r="D29" s="60" t="n"/>
      <c r="E29" s="60" t="n"/>
      <c r="F29" s="60" t="n"/>
      <c r="G29" s="60" t="n"/>
      <c r="H29" s="60" t="n"/>
      <c r="I29" s="60" t="n"/>
    </row>
    <row r="30">
      <c r="A30" s="45" t="inlineStr">
        <is>
          <t>Price change needed</t>
        </is>
      </c>
      <c r="B30" s="61">
        <f>IFERROR((B8*(1+B16)/(1-B27)+B7*(1+B15))/B6-1,0)</f>
        <v/>
      </c>
    </row>
    <row r="31">
      <c r="A31" s="45" t="inlineStr">
        <is>
          <t>Revenue needed</t>
        </is>
      </c>
      <c r="B31" s="47">
        <f>B8*(1+B16)*(1+B17)/(1-B27)</f>
        <v/>
      </c>
    </row>
    <row r="33">
      <c r="A33" s="43" t="inlineStr">
        <is>
          <t xml:space="preserve">  Action table: IF rules give a recommendation</t>
        </is>
      </c>
      <c r="B33" s="43" t="n"/>
      <c r="C33" s="43" t="n"/>
      <c r="D33" s="43" t="n"/>
      <c r="E33" s="43" t="n"/>
      <c r="F33" s="43" t="n"/>
      <c r="G33" s="43" t="n"/>
      <c r="H33" s="43" t="n"/>
      <c r="I33" s="43" t="n"/>
    </row>
    <row r="34">
      <c r="A34" s="45" t="inlineStr">
        <is>
          <t>Rules</t>
        </is>
      </c>
      <c r="B34" s="60" t="inlineStr">
        <is>
          <t>Margin &lt; 60% → fix price/discount · ΔPY% &lt; 0 → find the cause, push sales · ΔPY% ≥ 10% and margin OK → invest to grow · else → keep steady</t>
        </is>
      </c>
      <c r="C34" s="60" t="n"/>
      <c r="D34" s="60" t="n"/>
      <c r="E34" s="60" t="n"/>
      <c r="F34" s="60" t="n"/>
      <c r="G34" s="60" t="n"/>
      <c r="H34" s="60" t="n"/>
      <c r="I34" s="60" t="n"/>
    </row>
    <row r="35">
      <c r="A35" s="44" t="inlineStr">
        <is>
          <t>Item</t>
        </is>
      </c>
      <c r="B35" s="44" t="inlineStr">
        <is>
          <t>ΔPY%</t>
        </is>
      </c>
      <c r="C35" s="44" t="inlineStr">
        <is>
          <t>Margin % AC</t>
        </is>
      </c>
      <c r="D35" s="44" t="inlineStr">
        <is>
          <t>Recommendation</t>
        </is>
      </c>
    </row>
    <row r="36">
      <c r="A36" s="45">
        <f>Diagnostic!A15</f>
        <v/>
      </c>
      <c r="B36" s="52">
        <f>Diagnostic!E15</f>
        <v/>
      </c>
      <c r="C36" s="53">
        <f>Diagnostic!G15</f>
        <v/>
      </c>
      <c r="D36" s="45">
        <f>IF(C36&lt;0.6,"Fix price / cut discount",IF(B36&lt;0,"Find the cause, push sales",IF(B36&gt;=0.1,"Invest to grow","Keep steady")))</f>
        <v/>
      </c>
      <c r="E36" s="62" t="n"/>
      <c r="F36" s="62" t="n"/>
      <c r="G36" s="63" t="n"/>
    </row>
    <row r="37">
      <c r="A37" s="45">
        <f>Diagnostic!A16</f>
        <v/>
      </c>
      <c r="B37" s="52">
        <f>Diagnostic!E16</f>
        <v/>
      </c>
      <c r="C37" s="53">
        <f>Diagnostic!G16</f>
        <v/>
      </c>
      <c r="D37" s="45">
        <f>IF(C37&lt;0.6,"Fix price / cut discount",IF(B37&lt;0,"Find the cause, push sales",IF(B37&gt;=0.1,"Invest to grow","Keep steady")))</f>
        <v/>
      </c>
      <c r="E37" s="62" t="n"/>
      <c r="F37" s="62" t="n"/>
      <c r="G37" s="63" t="n"/>
    </row>
    <row r="38">
      <c r="A38" s="45">
        <f>Diagnostic!A17</f>
        <v/>
      </c>
      <c r="B38" s="52">
        <f>Diagnostic!E17</f>
        <v/>
      </c>
      <c r="C38" s="53">
        <f>Diagnostic!G17</f>
        <v/>
      </c>
      <c r="D38" s="45">
        <f>IF(C38&lt;0.6,"Fix price / cut discount",IF(B38&lt;0,"Find the cause, push sales",IF(B38&gt;=0.1,"Invest to grow","Keep steady")))</f>
        <v/>
      </c>
      <c r="E38" s="62" t="n"/>
      <c r="F38" s="62" t="n"/>
      <c r="G38" s="63" t="n"/>
    </row>
    <row r="39">
      <c r="A39" s="45">
        <f>Diagnostic!A18</f>
        <v/>
      </c>
      <c r="B39" s="52">
        <f>Diagnostic!E18</f>
        <v/>
      </c>
      <c r="C39" s="53">
        <f>Diagnostic!G18</f>
        <v/>
      </c>
      <c r="D39" s="45">
        <f>IF(C39&lt;0.6,"Fix price / cut discount",IF(B39&lt;0,"Find the cause, push sales",IF(B39&gt;=0.1,"Invest to grow","Keep steady")))</f>
        <v/>
      </c>
      <c r="E39" s="62" t="n"/>
      <c r="F39" s="62" t="n"/>
      <c r="G39" s="63" t="n"/>
    </row>
    <row r="40">
      <c r="A40" s="45">
        <f>Diagnostic!A19</f>
        <v/>
      </c>
      <c r="B40" s="52">
        <f>Diagnostic!E19</f>
        <v/>
      </c>
      <c r="C40" s="53">
        <f>Diagnostic!G19</f>
        <v/>
      </c>
      <c r="D40" s="45">
        <f>IF(C40&lt;0.6,"Fix price / cut discount",IF(B40&lt;0,"Find the cause, push sales",IF(B40&gt;=0.1,"Invest to grow","Keep steady")))</f>
        <v/>
      </c>
      <c r="E40" s="62" t="n"/>
      <c r="F40" s="62" t="n"/>
      <c r="G40" s="63" t="n"/>
    </row>
    <row r="41">
      <c r="A41" s="45">
        <f>Diagnostic!A20</f>
        <v/>
      </c>
      <c r="B41" s="52">
        <f>Diagnostic!E20</f>
        <v/>
      </c>
      <c r="C41" s="53">
        <f>Diagnostic!G20</f>
        <v/>
      </c>
      <c r="D41" s="45">
        <f>IF(C41&lt;0.6,"Fix price / cut discount",IF(B41&lt;0,"Find the cause, push sales",IF(B41&gt;=0.1,"Invest to grow","Keep steady")))</f>
        <v/>
      </c>
      <c r="E41" s="62" t="n"/>
      <c r="F41" s="62" t="n"/>
      <c r="G41" s="63" t="n"/>
    </row>
    <row r="42">
      <c r="A42" s="45">
        <f>Diagnostic!A21</f>
        <v/>
      </c>
      <c r="B42" s="52">
        <f>Diagnostic!E21</f>
        <v/>
      </c>
      <c r="C42" s="53">
        <f>Diagnostic!G21</f>
        <v/>
      </c>
      <c r="D42" s="45">
        <f>IF(C42&lt;0.6,"Fix price / cut discount",IF(B42&lt;0,"Find the cause, push sales",IF(B42&gt;=0.1,"Invest to grow","Keep steady")))</f>
        <v/>
      </c>
      <c r="E42" s="62" t="n"/>
      <c r="F42" s="62" t="n"/>
      <c r="G42" s="63" t="n"/>
    </row>
    <row r="43">
      <c r="A43" s="45">
        <f>Diagnostic!A22</f>
        <v/>
      </c>
      <c r="B43" s="52">
        <f>Diagnostic!E22</f>
        <v/>
      </c>
      <c r="C43" s="53">
        <f>Diagnostic!G22</f>
        <v/>
      </c>
      <c r="D43" s="45">
        <f>IF(C43&lt;0.6,"Fix price / cut discount",IF(B43&lt;0,"Find the cause, push sales",IF(B43&gt;=0.1,"Invest to grow","Keep steady")))</f>
        <v/>
      </c>
      <c r="E43" s="62" t="n"/>
      <c r="F43" s="62" t="n"/>
      <c r="G43" s="63" t="n"/>
    </row>
    <row r="44">
      <c r="A44" s="45">
        <f>Diagnostic!A7</f>
        <v/>
      </c>
      <c r="B44" s="52">
        <f>Diagnostic!E7</f>
        <v/>
      </c>
      <c r="C44" s="53">
        <f>Diagnostic!G7</f>
        <v/>
      </c>
      <c r="D44" s="45">
        <f>IF(C44&lt;0.6,"Fix price / cut discount",IF(B44&lt;0,"Find the cause, push sales",IF(B44&gt;=0.1,"Invest to grow","Keep steady")))</f>
        <v/>
      </c>
      <c r="E44" s="62" t="n"/>
      <c r="F44" s="62" t="n"/>
      <c r="G44" s="63" t="n"/>
    </row>
    <row r="45">
      <c r="A45" s="45">
        <f>Diagnostic!A8</f>
        <v/>
      </c>
      <c r="B45" s="52">
        <f>Diagnostic!E8</f>
        <v/>
      </c>
      <c r="C45" s="53">
        <f>Diagnostic!G8</f>
        <v/>
      </c>
      <c r="D45" s="45">
        <f>IF(C45&lt;0.6,"Fix price / cut discount",IF(B45&lt;0,"Find the cause, push sales",IF(B45&gt;=0.1,"Invest to grow","Keep steady")))</f>
        <v/>
      </c>
      <c r="E45" s="62" t="n"/>
      <c r="F45" s="62" t="n"/>
      <c r="G45" s="63" t="n"/>
    </row>
    <row r="46">
      <c r="A46" s="45">
        <f>Diagnostic!A9</f>
        <v/>
      </c>
      <c r="B46" s="52">
        <f>Diagnostic!E9</f>
        <v/>
      </c>
      <c r="C46" s="53">
        <f>Diagnostic!G9</f>
        <v/>
      </c>
      <c r="D46" s="45">
        <f>IF(C46&lt;0.6,"Fix price / cut discount",IF(B46&lt;0,"Find the cause, push sales",IF(B46&gt;=0.1,"Invest to grow","Keep steady")))</f>
        <v/>
      </c>
      <c r="E46" s="62" t="n"/>
      <c r="F46" s="62" t="n"/>
      <c r="G46" s="63" t="n"/>
    </row>
    <row r="47">
      <c r="A47" s="45">
        <f>Diagnostic!A10</f>
        <v/>
      </c>
      <c r="B47" s="52">
        <f>Diagnostic!E10</f>
        <v/>
      </c>
      <c r="C47" s="53">
        <f>Diagnostic!G10</f>
        <v/>
      </c>
      <c r="D47" s="45">
        <f>IF(C47&lt;0.6,"Fix price / cut discount",IF(B47&lt;0,"Find the cause, push sales",IF(B47&gt;=0.1,"Invest to grow","Keep steady")))</f>
        <v/>
      </c>
      <c r="E47" s="62" t="n"/>
      <c r="F47" s="62" t="n"/>
      <c r="G47" s="63" t="n"/>
    </row>
  </sheetData>
  <mergeCells count="23">
    <mergeCell ref="D39:G39"/>
    <mergeCell ref="A3:I3"/>
    <mergeCell ref="D42:G42"/>
    <mergeCell ref="D38:G38"/>
    <mergeCell ref="A26:I26"/>
    <mergeCell ref="A2:I2"/>
    <mergeCell ref="A33:I33"/>
    <mergeCell ref="A5:I5"/>
    <mergeCell ref="D44:G44"/>
    <mergeCell ref="D46:G46"/>
    <mergeCell ref="D40:G40"/>
    <mergeCell ref="A19:I19"/>
    <mergeCell ref="B29:I29"/>
    <mergeCell ref="D45:G45"/>
    <mergeCell ref="D36:G36"/>
    <mergeCell ref="A13:I13"/>
    <mergeCell ref="B34:I34"/>
    <mergeCell ref="B28:I28"/>
    <mergeCell ref="D41:G41"/>
    <mergeCell ref="D47:G47"/>
    <mergeCell ref="A1:I1"/>
    <mergeCell ref="D43:G43"/>
    <mergeCell ref="D37:G37"/>
  </mergeCells>
  <pageMargins left="0.75" right="0.75" top="1" bottom="1" header="0.5" footer="0.5"/>
  <pageSetup orientation="landscape" fitToHeight="1" fitToWidth="1"/>
</worksheet>
</file>

<file path=xl/worksheets/sheet6.xml><?xml version="1.0" encoding="utf-8"?>
<worksheet xmlns="http://schemas.openxmlformats.org/spreadsheetml/2006/main">
  <sheetPr>
    <tabColor rgb="000000C9"/>
    <outlinePr summaryBelow="1" summaryRight="1"/>
    <pageSetUpPr fitToPage="1"/>
  </sheetPr>
  <dimension ref="A1:V601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5" customWidth="1" min="9" max="9"/>
    <col width="11" customWidth="1" min="10" max="10"/>
    <col width="11" customWidth="1" min="11" max="11"/>
    <col width="11" customWidth="1" min="12" max="12"/>
    <col width="13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6" customWidth="1" min="19" max="19"/>
    <col width="11" customWidth="1" min="20" max="20"/>
    <col width="13" customWidth="1" min="21" max="21"/>
    <col width="11" customWidth="1" min="22" max="22"/>
  </cols>
  <sheetData>
    <row r="1">
      <c r="A1" s="64" t="inlineStr">
        <is>
          <t>About this data</t>
        </is>
      </c>
      <c r="B1" s="64" t="n"/>
      <c r="C1" s="64" t="n"/>
      <c r="D1" s="64" t="n"/>
      <c r="E1" s="64" t="n"/>
      <c r="F1" s="64" t="n"/>
      <c r="G1" s="64" t="n"/>
      <c r="H1" s="64" t="n"/>
      <c r="I1" s="64" t="n"/>
      <c r="J1" s="64" t="n"/>
    </row>
    <row r="2" ht="16" customHeight="1">
      <c r="A2" s="65" t="inlineStr">
        <is>
          <t>EXAMPLE PRACTICE DATA, not real Pfizer figures. Every number is simulated for learning Excel; it is not from any Pfizer report.</t>
        </is>
      </c>
      <c r="B2" s="65" t="n"/>
      <c r="C2" s="65" t="n"/>
      <c r="D2" s="65" t="n"/>
      <c r="E2" s="65" t="n"/>
      <c r="F2" s="65" t="n"/>
      <c r="G2" s="65" t="n"/>
      <c r="H2" s="65" t="n"/>
      <c r="I2" s="65" t="n"/>
      <c r="J2" s="65" t="n"/>
      <c r="K2" s="65" t="n"/>
      <c r="L2" s="65" t="n"/>
      <c r="M2" s="65" t="n"/>
      <c r="N2" s="65" t="n"/>
    </row>
    <row r="3" ht="30" customHeight="1">
      <c r="A3" s="60" t="inlineStr">
        <is>
          <t>What it is: made-up monthly sales of Pfizer-like medicines and vaccines. Product names are used only as labels; the numbers and the patent-risk tags are invented.</t>
        </is>
      </c>
      <c r="B3" s="60" t="n"/>
      <c r="C3" s="60" t="n"/>
      <c r="D3" s="60" t="n"/>
      <c r="E3" s="60" t="n"/>
      <c r="F3" s="60" t="n"/>
      <c r="G3" s="60" t="n"/>
      <c r="H3" s="60" t="n"/>
      <c r="I3" s="60" t="n"/>
      <c r="J3" s="60" t="n"/>
      <c r="K3" s="60" t="n"/>
      <c r="L3" s="60" t="n"/>
      <c r="M3" s="60" t="n"/>
      <c r="N3" s="60" t="n"/>
    </row>
    <row r="4" ht="16" customHeight="1">
      <c r="A4" s="60" t="inlineStr">
        <is>
          <t>One row = one month of sales of one medicine in one country and channel. Years: Jan 2025 to Dec 2026. Money is in US dollars ($).</t>
        </is>
      </c>
      <c r="B4" s="60" t="n"/>
      <c r="C4" s="60" t="n"/>
      <c r="D4" s="60" t="n"/>
      <c r="E4" s="60" t="n"/>
      <c r="F4" s="60" t="n"/>
      <c r="G4" s="60" t="n"/>
      <c r="H4" s="60" t="n"/>
      <c r="I4" s="60" t="n"/>
      <c r="J4" s="60" t="n"/>
      <c r="K4" s="60" t="n"/>
      <c r="L4" s="60" t="n"/>
      <c r="M4" s="60" t="n"/>
      <c r="N4" s="60" t="n"/>
    </row>
    <row r="5" ht="30" customHeight="1">
      <c r="A5" s="60" t="inlineStr">
        <is>
          <t>Columns: ID = row number · Date / Year / Month = when · Region / Country = where · Product = medicine · Channel = how it was sold · CustomerType = who bought · Manager = person in charge (made-up name).</t>
        </is>
      </c>
      <c r="B5" s="60" t="n"/>
      <c r="C5" s="60" t="n"/>
      <c r="D5" s="60" t="n"/>
      <c r="E5" s="60" t="n"/>
      <c r="F5" s="60" t="n"/>
      <c r="G5" s="60" t="n"/>
      <c r="H5" s="60" t="n"/>
      <c r="I5" s="60" t="n"/>
      <c r="J5" s="60" t="n"/>
      <c r="K5" s="60" t="n"/>
      <c r="L5" s="60" t="n"/>
      <c r="M5" s="60" t="n"/>
      <c r="N5" s="60" t="n"/>
    </row>
    <row r="6" ht="30" customHeight="1">
      <c r="A6" s="60" t="inlineStr">
        <is>
          <t>Qty = packs (or vaccine doses) sold · Price = price of one unit · GrossSales = Qty × Price · Discount = money given off · Revenue = GrossSales − Discount · Cost = cost of what was sold · Profit = Revenue − Cost.</t>
        </is>
      </c>
      <c r="B6" s="60" t="n"/>
      <c r="C6" s="60" t="n"/>
      <c r="D6" s="60" t="n"/>
      <c r="E6" s="60" t="n"/>
      <c r="F6" s="60" t="n"/>
      <c r="G6" s="60" t="n"/>
      <c r="H6" s="60" t="n"/>
      <c r="I6" s="60" t="n"/>
      <c r="J6" s="60" t="n"/>
      <c r="K6" s="60" t="n"/>
      <c r="L6" s="60" t="n"/>
      <c r="M6" s="60" t="n"/>
      <c r="N6" s="60" t="n"/>
    </row>
    <row r="7" ht="30" customHeight="1">
      <c r="A7" s="60" t="inlineStr">
        <is>
          <t>Extra columns: Therapy = therapy area · Prescriptions = prescriptions (or vaccination orders) filled · RnD = R&amp;D spend allocated to this row (example) · PatentRisk = EXAMPLE tag: High, Medium or Low risk of losing patent soon. Inc (last column) = 1 if the row matches the Dashboard filters.</t>
        </is>
      </c>
      <c r="B7" s="60" t="n"/>
      <c r="C7" s="60" t="n"/>
      <c r="D7" s="60" t="n"/>
      <c r="E7" s="60" t="n"/>
      <c r="F7" s="60" t="n"/>
      <c r="G7" s="60" t="n"/>
      <c r="H7" s="60" t="n"/>
      <c r="I7" s="60" t="n"/>
      <c r="J7" s="60" t="n"/>
      <c r="K7" s="60" t="n"/>
      <c r="L7" s="60" t="n"/>
      <c r="M7" s="60" t="n"/>
      <c r="N7" s="60" t="n"/>
    </row>
    <row r="9">
      <c r="A9" s="66" t="inlineStr">
        <is>
          <t>ID</t>
        </is>
      </c>
      <c r="B9" s="66" t="inlineStr">
        <is>
          <t>Date</t>
        </is>
      </c>
      <c r="C9" s="66" t="inlineStr">
        <is>
          <t>Year</t>
        </is>
      </c>
      <c r="D9" s="66" t="inlineStr">
        <is>
          <t>Month</t>
        </is>
      </c>
      <c r="E9" s="66" t="inlineStr">
        <is>
          <t>Region</t>
        </is>
      </c>
      <c r="F9" s="66" t="inlineStr">
        <is>
          <t>Country</t>
        </is>
      </c>
      <c r="G9" s="66" t="inlineStr">
        <is>
          <t>Product</t>
        </is>
      </c>
      <c r="H9" s="66" t="inlineStr">
        <is>
          <t>Channel</t>
        </is>
      </c>
      <c r="I9" s="66" t="inlineStr">
        <is>
          <t>CustomerType</t>
        </is>
      </c>
      <c r="J9" s="66" t="inlineStr">
        <is>
          <t>Manager</t>
        </is>
      </c>
      <c r="K9" s="66" t="inlineStr">
        <is>
          <t>Qty</t>
        </is>
      </c>
      <c r="L9" s="66" t="inlineStr">
        <is>
          <t>Price</t>
        </is>
      </c>
      <c r="M9" s="66" t="inlineStr">
        <is>
          <t>GrossSales</t>
        </is>
      </c>
      <c r="N9" s="66" t="inlineStr">
        <is>
          <t>Discount</t>
        </is>
      </c>
      <c r="O9" s="66" t="inlineStr">
        <is>
          <t>Revenue</t>
        </is>
      </c>
      <c r="P9" s="66" t="inlineStr">
        <is>
          <t>Cost</t>
        </is>
      </c>
      <c r="Q9" s="66" t="inlineStr">
        <is>
          <t>Profit</t>
        </is>
      </c>
      <c r="R9" s="66" t="inlineStr">
        <is>
          <t>Therapy</t>
        </is>
      </c>
      <c r="S9" s="66" t="inlineStr">
        <is>
          <t>Prescriptions</t>
        </is>
      </c>
      <c r="T9" s="66" t="inlineStr">
        <is>
          <t>RnD</t>
        </is>
      </c>
      <c r="U9" s="66" t="inlineStr">
        <is>
          <t>PatentRisk</t>
        </is>
      </c>
      <c r="V9" s="67" t="inlineStr">
        <is>
          <t>Inc</t>
        </is>
      </c>
    </row>
    <row r="10">
      <c r="A10" t="inlineStr">
        <is>
          <t>PF100001</t>
        </is>
      </c>
      <c r="B10" s="68" t="n">
        <v>45658</v>
      </c>
      <c r="C10" s="69" t="n">
        <v>2025</v>
      </c>
      <c r="D10" t="inlineStr">
        <is>
          <t>Jan</t>
        </is>
      </c>
      <c r="E10" t="inlineStr">
        <is>
          <t>Emerging markets</t>
        </is>
      </c>
      <c r="F10" t="inlineStr">
        <is>
          <t>China</t>
        </is>
      </c>
      <c r="G10" t="inlineStr">
        <is>
          <t>Ibrance</t>
        </is>
      </c>
      <c r="H10" t="inlineStr">
        <is>
          <t>Retail pharmacy</t>
        </is>
      </c>
      <c r="I10" t="inlineStr">
        <is>
          <t>Private insurer</t>
        </is>
      </c>
      <c r="J10" t="inlineStr">
        <is>
          <t>Sara Rossi</t>
        </is>
      </c>
      <c r="K10" s="70" t="n">
        <v>1199</v>
      </c>
      <c r="L10" s="71" t="n">
        <v>3147.76</v>
      </c>
      <c r="M10" s="71" t="n">
        <v>3774164.24</v>
      </c>
      <c r="N10" s="71" t="n">
        <v>377416.42</v>
      </c>
      <c r="O10" s="71" t="n">
        <v>3396747.82</v>
      </c>
      <c r="P10" s="71" t="n">
        <v>517100.73</v>
      </c>
      <c r="Q10" s="71" t="n">
        <v>2879647.09</v>
      </c>
      <c r="R10" t="inlineStr">
        <is>
          <t>Oncology</t>
        </is>
      </c>
      <c r="S10" s="70" t="n">
        <v>805</v>
      </c>
      <c r="T10" s="71" t="n">
        <v>566360.39</v>
      </c>
      <c r="U10" t="inlineStr">
        <is>
          <t>High</t>
        </is>
      </c>
      <c r="V10">
        <f>IF(AND(OR(Dashboard!$C$6="All",E10=Dashboard!$C$6),OR(Dashboard!$F$6="All",G10=Dashboard!$F$6),OR(Dashboard!$I$6="All",H10=Dashboard!$I$6)),1,0)</f>
        <v/>
      </c>
    </row>
    <row r="11">
      <c r="A11" t="inlineStr">
        <is>
          <t>PF100002</t>
        </is>
      </c>
      <c r="B11" s="68" t="n">
        <v>45658</v>
      </c>
      <c r="C11" s="69" t="n">
        <v>2025</v>
      </c>
      <c r="D11" t="inlineStr">
        <is>
          <t>Jan</t>
        </is>
      </c>
      <c r="E11" t="inlineStr">
        <is>
          <t>Emerging markets</t>
        </is>
      </c>
      <c r="F11" t="inlineStr">
        <is>
          <t>Brazil</t>
        </is>
      </c>
      <c r="G11" t="inlineStr">
        <is>
          <t>Paxlovid</t>
        </is>
      </c>
      <c r="H11" t="inlineStr">
        <is>
          <t>Retail pharmacy</t>
        </is>
      </c>
      <c r="I11" t="inlineStr">
        <is>
          <t>Self-pay</t>
        </is>
      </c>
      <c r="J11" t="inlineStr">
        <is>
          <t>Sara Rossi</t>
        </is>
      </c>
      <c r="K11" s="70" t="n">
        <v>748</v>
      </c>
      <c r="L11" s="71" t="n">
        <v>1160.78</v>
      </c>
      <c r="M11" s="71" t="n">
        <v>868263.4399999999</v>
      </c>
      <c r="N11" s="71" t="n">
        <v>86826.34</v>
      </c>
      <c r="O11" s="71" t="n">
        <v>781437.1</v>
      </c>
      <c r="P11" s="71" t="n">
        <v>209315.68</v>
      </c>
      <c r="Q11" s="71" t="n">
        <v>572121.42</v>
      </c>
      <c r="R11" t="inlineStr">
        <is>
          <t>Antiviral</t>
        </is>
      </c>
      <c r="S11" s="70" t="n">
        <v>541</v>
      </c>
      <c r="T11" s="71" t="n">
        <v>165222.56</v>
      </c>
      <c r="U11" t="inlineStr">
        <is>
          <t>Low</t>
        </is>
      </c>
      <c r="V11">
        <f>IF(AND(OR(Dashboard!$C$6="All",E11=Dashboard!$C$6),OR(Dashboard!$F$6="All",G11=Dashboard!$F$6),OR(Dashboard!$I$6="All",H11=Dashboard!$I$6)),1,0)</f>
        <v/>
      </c>
    </row>
    <row r="12">
      <c r="A12" t="inlineStr">
        <is>
          <t>PF100003</t>
        </is>
      </c>
      <c r="B12" s="68" t="n">
        <v>45658</v>
      </c>
      <c r="C12" s="69" t="n">
        <v>2025</v>
      </c>
      <c r="D12" t="inlineStr">
        <is>
          <t>Jan</t>
        </is>
      </c>
      <c r="E12" t="inlineStr">
        <is>
          <t>United States</t>
        </is>
      </c>
      <c r="F12" t="inlineStr">
        <is>
          <t>USA</t>
        </is>
      </c>
      <c r="G12" t="inlineStr">
        <is>
          <t>Abrysvo</t>
        </is>
      </c>
      <c r="H12" t="inlineStr">
        <is>
          <t>Government / tender</t>
        </is>
      </c>
      <c r="I12" t="inlineStr">
        <is>
          <t>Self-pay</t>
        </is>
      </c>
      <c r="J12" t="inlineStr">
        <is>
          <t>Ravindra Patil</t>
        </is>
      </c>
      <c r="K12" s="70" t="n">
        <v>369</v>
      </c>
      <c r="L12" s="71" t="n">
        <v>442.78</v>
      </c>
      <c r="M12" s="71" t="n">
        <v>163385.82</v>
      </c>
      <c r="N12" s="71" t="n">
        <v>49015.75</v>
      </c>
      <c r="O12" s="71" t="n">
        <v>114370.07</v>
      </c>
      <c r="P12" s="71" t="n">
        <v>31267.45</v>
      </c>
      <c r="Q12" s="71" t="n">
        <v>83102.62</v>
      </c>
      <c r="R12" t="inlineStr">
        <is>
          <t>Vaccines</t>
        </is>
      </c>
      <c r="S12" s="70" t="n">
        <v>236</v>
      </c>
      <c r="T12" s="71" t="n">
        <v>31235.61</v>
      </c>
      <c r="U12" t="inlineStr">
        <is>
          <t>Low</t>
        </is>
      </c>
      <c r="V12">
        <f>IF(AND(OR(Dashboard!$C$6="All",E12=Dashboard!$C$6),OR(Dashboard!$F$6="All",G12=Dashboard!$F$6),OR(Dashboard!$I$6="All",H12=Dashboard!$I$6)),1,0)</f>
        <v/>
      </c>
    </row>
    <row r="13">
      <c r="A13" t="inlineStr">
        <is>
          <t>PF100004</t>
        </is>
      </c>
      <c r="B13" s="68" t="n">
        <v>45658</v>
      </c>
      <c r="C13" s="69" t="n">
        <v>2025</v>
      </c>
      <c r="D13" t="inlineStr">
        <is>
          <t>Jan</t>
        </is>
      </c>
      <c r="E13" t="inlineStr">
        <is>
          <t>Europe</t>
        </is>
      </c>
      <c r="F13" t="inlineStr">
        <is>
          <t>Italy</t>
        </is>
      </c>
      <c r="G13" t="inlineStr">
        <is>
          <t>Paxlovid</t>
        </is>
      </c>
      <c r="H13" t="inlineStr">
        <is>
          <t>Retail pharmacy</t>
        </is>
      </c>
      <c r="I13" t="inlineStr">
        <is>
          <t>Public payer</t>
        </is>
      </c>
      <c r="J13" t="inlineStr">
        <is>
          <t>Sara Rossi</t>
        </is>
      </c>
      <c r="K13" s="70" t="n">
        <v>790</v>
      </c>
      <c r="L13" s="71" t="n">
        <v>1188.13</v>
      </c>
      <c r="M13" s="71" t="n">
        <v>938622.7</v>
      </c>
      <c r="N13" s="71" t="n">
        <v>46931.14</v>
      </c>
      <c r="O13" s="71" t="n">
        <v>891691.5600000001</v>
      </c>
      <c r="P13" s="71" t="n">
        <v>213908.43</v>
      </c>
      <c r="Q13" s="71" t="n">
        <v>677783.13</v>
      </c>
      <c r="R13" t="inlineStr">
        <is>
          <t>Antiviral</t>
        </is>
      </c>
      <c r="S13" s="70" t="n">
        <v>545</v>
      </c>
      <c r="T13" s="71" t="n">
        <v>117485.89</v>
      </c>
      <c r="U13" t="inlineStr">
        <is>
          <t>Low</t>
        </is>
      </c>
      <c r="V13">
        <f>IF(AND(OR(Dashboard!$C$6="All",E13=Dashboard!$C$6),OR(Dashboard!$F$6="All",G13=Dashboard!$F$6),OR(Dashboard!$I$6="All",H13=Dashboard!$I$6)),1,0)</f>
        <v/>
      </c>
    </row>
    <row r="14">
      <c r="A14" t="inlineStr">
        <is>
          <t>PF100005</t>
        </is>
      </c>
      <c r="B14" s="68" t="n">
        <v>45658</v>
      </c>
      <c r="C14" s="69" t="n">
        <v>2025</v>
      </c>
      <c r="D14" t="inlineStr">
        <is>
          <t>Jan</t>
        </is>
      </c>
      <c r="E14" t="inlineStr">
        <is>
          <t>International developed</t>
        </is>
      </c>
      <c r="F14" t="inlineStr">
        <is>
          <t>Japan</t>
        </is>
      </c>
      <c r="G14" t="inlineStr">
        <is>
          <t>Abrysvo</t>
        </is>
      </c>
      <c r="H14" t="inlineStr">
        <is>
          <t>Government / tender</t>
        </is>
      </c>
      <c r="I14" t="inlineStr">
        <is>
          <t>Private insurer</t>
        </is>
      </c>
      <c r="J14" t="inlineStr">
        <is>
          <t>Ana Costa</t>
        </is>
      </c>
      <c r="K14" s="70" t="n">
        <v>1168</v>
      </c>
      <c r="L14" s="71" t="n">
        <v>303.2</v>
      </c>
      <c r="M14" s="71" t="n">
        <v>354137.6</v>
      </c>
      <c r="N14" s="71" t="n">
        <v>70827.52</v>
      </c>
      <c r="O14" s="71" t="n">
        <v>283310.08</v>
      </c>
      <c r="P14" s="71" t="n">
        <v>95924.61</v>
      </c>
      <c r="Q14" s="71" t="n">
        <v>187385.47</v>
      </c>
      <c r="R14" t="inlineStr">
        <is>
          <t>Vaccines</t>
        </is>
      </c>
      <c r="S14" s="70" t="n">
        <v>840</v>
      </c>
      <c r="T14" s="71" t="n">
        <v>76519.59</v>
      </c>
      <c r="U14" t="inlineStr">
        <is>
          <t>Low</t>
        </is>
      </c>
      <c r="V14">
        <f>IF(AND(OR(Dashboard!$C$6="All",E14=Dashboard!$C$6),OR(Dashboard!$F$6="All",G14=Dashboard!$F$6),OR(Dashboard!$I$6="All",H14=Dashboard!$I$6)),1,0)</f>
        <v/>
      </c>
    </row>
    <row r="15">
      <c r="A15" t="inlineStr">
        <is>
          <t>PF100006</t>
        </is>
      </c>
      <c r="B15" s="68" t="n">
        <v>45658</v>
      </c>
      <c r="C15" s="69" t="n">
        <v>2025</v>
      </c>
      <c r="D15" t="inlineStr">
        <is>
          <t>Jan</t>
        </is>
      </c>
      <c r="E15" t="inlineStr">
        <is>
          <t>United States</t>
        </is>
      </c>
      <c r="F15" t="inlineStr">
        <is>
          <t>USA</t>
        </is>
      </c>
      <c r="G15" t="inlineStr">
        <is>
          <t>Abrysvo</t>
        </is>
      </c>
      <c r="H15" t="inlineStr">
        <is>
          <t>Government / tender</t>
        </is>
      </c>
      <c r="I15" t="inlineStr">
        <is>
          <t>Private insurer</t>
        </is>
      </c>
      <c r="J15" t="inlineStr">
        <is>
          <t>Liam O'Brien</t>
        </is>
      </c>
      <c r="K15" s="70" t="n">
        <v>960</v>
      </c>
      <c r="L15" s="71" t="n">
        <v>419.66</v>
      </c>
      <c r="M15" s="71" t="n">
        <v>402873.6</v>
      </c>
      <c r="N15" s="71" t="n">
        <v>100718.4</v>
      </c>
      <c r="O15" s="71" t="n">
        <v>302155.2</v>
      </c>
      <c r="P15" s="71" t="n">
        <v>82029.27</v>
      </c>
      <c r="Q15" s="71" t="n">
        <v>220125.93</v>
      </c>
      <c r="R15" t="inlineStr">
        <is>
          <t>Vaccines</t>
        </is>
      </c>
      <c r="S15" s="70" t="n">
        <v>696</v>
      </c>
      <c r="T15" s="71" t="n">
        <v>84771.59</v>
      </c>
      <c r="U15" t="inlineStr">
        <is>
          <t>Low</t>
        </is>
      </c>
      <c r="V15">
        <f>IF(AND(OR(Dashboard!$C$6="All",E15=Dashboard!$C$6),OR(Dashboard!$F$6="All",G15=Dashboard!$F$6),OR(Dashboard!$I$6="All",H15=Dashboard!$I$6)),1,0)</f>
        <v/>
      </c>
    </row>
    <row r="16">
      <c r="A16" t="inlineStr">
        <is>
          <t>PF100007</t>
        </is>
      </c>
      <c r="B16" s="68" t="n">
        <v>45658</v>
      </c>
      <c r="C16" s="69" t="n">
        <v>2025</v>
      </c>
      <c r="D16" t="inlineStr">
        <is>
          <t>Jan</t>
        </is>
      </c>
      <c r="E16" t="inlineStr">
        <is>
          <t>United States</t>
        </is>
      </c>
      <c r="F16" t="inlineStr">
        <is>
          <t>USA</t>
        </is>
      </c>
      <c r="G16" t="inlineStr">
        <is>
          <t>Comirnaty</t>
        </is>
      </c>
      <c r="H16" t="inlineStr">
        <is>
          <t>Retail pharmacy</t>
        </is>
      </c>
      <c r="I16" t="inlineStr">
        <is>
          <t>Public payer</t>
        </is>
      </c>
      <c r="J16" t="inlineStr">
        <is>
          <t>Ruhi Shaikh</t>
        </is>
      </c>
      <c r="K16" s="70" t="n">
        <v>2640</v>
      </c>
      <c r="L16" s="71" t="n">
        <v>165.66</v>
      </c>
      <c r="M16" s="71" t="n">
        <v>437342.4</v>
      </c>
      <c r="N16" s="71" t="n">
        <v>131202.72</v>
      </c>
      <c r="O16" s="71" t="n">
        <v>306139.68</v>
      </c>
      <c r="P16" s="71" t="n">
        <v>101504.11</v>
      </c>
      <c r="Q16" s="71" t="n">
        <v>204635.57</v>
      </c>
      <c r="R16" t="inlineStr">
        <is>
          <t>Vaccines</t>
        </is>
      </c>
      <c r="S16" s="70" t="n">
        <v>1776</v>
      </c>
      <c r="T16" s="71" t="n">
        <v>55082.85</v>
      </c>
      <c r="U16" t="inlineStr">
        <is>
          <t>Low</t>
        </is>
      </c>
      <c r="V16">
        <f>IF(AND(OR(Dashboard!$C$6="All",E16=Dashboard!$C$6),OR(Dashboard!$F$6="All",G16=Dashboard!$F$6),OR(Dashboard!$I$6="All",H16=Dashboard!$I$6)),1,0)</f>
        <v/>
      </c>
    </row>
    <row r="17">
      <c r="A17" t="inlineStr">
        <is>
          <t>PF100008</t>
        </is>
      </c>
      <c r="B17" s="68" t="n">
        <v>45658</v>
      </c>
      <c r="C17" s="69" t="n">
        <v>2025</v>
      </c>
      <c r="D17" t="inlineStr">
        <is>
          <t>Jan</t>
        </is>
      </c>
      <c r="E17" t="inlineStr">
        <is>
          <t>Europe</t>
        </is>
      </c>
      <c r="F17" t="inlineStr">
        <is>
          <t>Germany</t>
        </is>
      </c>
      <c r="G17" t="inlineStr">
        <is>
          <t>Comirnaty</t>
        </is>
      </c>
      <c r="H17" t="inlineStr">
        <is>
          <t>Hospital</t>
        </is>
      </c>
      <c r="I17" t="inlineStr">
        <is>
          <t>Public payer</t>
        </is>
      </c>
      <c r="J17" t="inlineStr">
        <is>
          <t>Ruhi Shaikh</t>
        </is>
      </c>
      <c r="K17" s="70" t="n">
        <v>452</v>
      </c>
      <c r="L17" s="71" t="n">
        <v>117.65</v>
      </c>
      <c r="M17" s="71" t="n">
        <v>53177.8</v>
      </c>
      <c r="N17" s="71" t="n">
        <v>2658.89</v>
      </c>
      <c r="O17" s="71" t="n">
        <v>50518.91</v>
      </c>
      <c r="P17" s="71" t="n">
        <v>17923.93</v>
      </c>
      <c r="Q17" s="71" t="n">
        <v>32594.98</v>
      </c>
      <c r="R17" t="inlineStr">
        <is>
          <t>Vaccines</t>
        </is>
      </c>
      <c r="S17" s="70" t="n">
        <v>299</v>
      </c>
      <c r="T17" s="71" t="n">
        <v>10362.05</v>
      </c>
      <c r="U17" t="inlineStr">
        <is>
          <t>Low</t>
        </is>
      </c>
      <c r="V17">
        <f>IF(AND(OR(Dashboard!$C$6="All",E17=Dashboard!$C$6),OR(Dashboard!$F$6="All",G17=Dashboard!$F$6),OR(Dashboard!$I$6="All",H17=Dashboard!$I$6)),1,0)</f>
        <v/>
      </c>
    </row>
    <row r="18">
      <c r="A18" t="inlineStr">
        <is>
          <t>PF100009</t>
        </is>
      </c>
      <c r="B18" s="68" t="n">
        <v>45658</v>
      </c>
      <c r="C18" s="69" t="n">
        <v>2025</v>
      </c>
      <c r="D18" t="inlineStr">
        <is>
          <t>Jan</t>
        </is>
      </c>
      <c r="E18" t="inlineStr">
        <is>
          <t>United States</t>
        </is>
      </c>
      <c r="F18" t="inlineStr">
        <is>
          <t>USA</t>
        </is>
      </c>
      <c r="G18" t="inlineStr">
        <is>
          <t>Comirnaty</t>
        </is>
      </c>
      <c r="H18" t="inlineStr">
        <is>
          <t>Hospital</t>
        </is>
      </c>
      <c r="I18" t="inlineStr">
        <is>
          <t>Private insurer</t>
        </is>
      </c>
      <c r="J18" t="inlineStr">
        <is>
          <t>Omar Haddad</t>
        </is>
      </c>
      <c r="K18" s="70" t="n">
        <v>1303</v>
      </c>
      <c r="L18" s="71" t="n">
        <v>159.89</v>
      </c>
      <c r="M18" s="71" t="n">
        <v>208336.67</v>
      </c>
      <c r="N18" s="71" t="n">
        <v>62501</v>
      </c>
      <c r="O18" s="71" t="n">
        <v>145835.67</v>
      </c>
      <c r="P18" s="71" t="n">
        <v>49949.2</v>
      </c>
      <c r="Q18" s="71" t="n">
        <v>95886.47</v>
      </c>
      <c r="R18" t="inlineStr">
        <is>
          <t>Vaccines</t>
        </is>
      </c>
      <c r="S18" s="70" t="n">
        <v>1065</v>
      </c>
      <c r="T18" s="71" t="n">
        <v>33218.13</v>
      </c>
      <c r="U18" t="inlineStr">
        <is>
          <t>Low</t>
        </is>
      </c>
      <c r="V18">
        <f>IF(AND(OR(Dashboard!$C$6="All",E18=Dashboard!$C$6),OR(Dashboard!$F$6="All",G18=Dashboard!$F$6),OR(Dashboard!$I$6="All",H18=Dashboard!$I$6)),1,0)</f>
        <v/>
      </c>
    </row>
    <row r="19">
      <c r="A19" t="inlineStr">
        <is>
          <t>PF100010</t>
        </is>
      </c>
      <c r="B19" s="68" t="n">
        <v>45658</v>
      </c>
      <c r="C19" s="69" t="n">
        <v>2025</v>
      </c>
      <c r="D19" t="inlineStr">
        <is>
          <t>Jan</t>
        </is>
      </c>
      <c r="E19" t="inlineStr">
        <is>
          <t>Europe</t>
        </is>
      </c>
      <c r="F19" t="inlineStr">
        <is>
          <t>Italy</t>
        </is>
      </c>
      <c r="G19" t="inlineStr">
        <is>
          <t>Prevnar 20</t>
        </is>
      </c>
      <c r="H19" t="inlineStr">
        <is>
          <t>Hospital</t>
        </is>
      </c>
      <c r="I19" t="inlineStr">
        <is>
          <t>Public payer</t>
        </is>
      </c>
      <c r="J19" t="inlineStr">
        <is>
          <t>Yuki Sato</t>
        </is>
      </c>
      <c r="K19" s="70" t="n">
        <v>1400</v>
      </c>
      <c r="L19" s="71" t="n">
        <v>212.59</v>
      </c>
      <c r="M19" s="71" t="n">
        <v>297626</v>
      </c>
      <c r="N19" s="71" t="n">
        <v>59525.2</v>
      </c>
      <c r="O19" s="71" t="n">
        <v>238100.8</v>
      </c>
      <c r="P19" s="71" t="n">
        <v>93404.03</v>
      </c>
      <c r="Q19" s="71" t="n">
        <v>144696.77</v>
      </c>
      <c r="R19" t="inlineStr">
        <is>
          <t>Vaccines</t>
        </is>
      </c>
      <c r="S19" s="70" t="n">
        <v>1073</v>
      </c>
      <c r="T19" s="71" t="n">
        <v>53029.33</v>
      </c>
      <c r="U19" t="inlineStr">
        <is>
          <t>Low</t>
        </is>
      </c>
      <c r="V19">
        <f>IF(AND(OR(Dashboard!$C$6="All",E19=Dashboard!$C$6),OR(Dashboard!$F$6="All",G19=Dashboard!$F$6),OR(Dashboard!$I$6="All",H19=Dashboard!$I$6)),1,0)</f>
        <v/>
      </c>
    </row>
    <row r="20">
      <c r="A20" t="inlineStr">
        <is>
          <t>PF100011</t>
        </is>
      </c>
      <c r="B20" s="68" t="n">
        <v>45658</v>
      </c>
      <c r="C20" s="69" t="n">
        <v>2025</v>
      </c>
      <c r="D20" t="inlineStr">
        <is>
          <t>Jan</t>
        </is>
      </c>
      <c r="E20" t="inlineStr">
        <is>
          <t>International developed</t>
        </is>
      </c>
      <c r="F20" t="inlineStr">
        <is>
          <t>Japan</t>
        </is>
      </c>
      <c r="G20" t="inlineStr">
        <is>
          <t>Abrysvo</t>
        </is>
      </c>
      <c r="H20" t="inlineStr">
        <is>
          <t>Retail pharmacy</t>
        </is>
      </c>
      <c r="I20" t="inlineStr">
        <is>
          <t>Private insurer</t>
        </is>
      </c>
      <c r="J20" t="inlineStr">
        <is>
          <t>Priya Nair</t>
        </is>
      </c>
      <c r="K20" s="70" t="n">
        <v>2410</v>
      </c>
      <c r="L20" s="71" t="n">
        <v>285.61</v>
      </c>
      <c r="M20" s="71" t="n">
        <v>688320.1</v>
      </c>
      <c r="N20" s="71" t="n">
        <v>34416</v>
      </c>
      <c r="O20" s="71" t="n">
        <v>653904.1</v>
      </c>
      <c r="P20" s="71" t="n">
        <v>205621.02</v>
      </c>
      <c r="Q20" s="71" t="n">
        <v>448283.08</v>
      </c>
      <c r="R20" t="inlineStr">
        <is>
          <t>Vaccines</t>
        </is>
      </c>
      <c r="S20" s="70" t="n">
        <v>1547</v>
      </c>
      <c r="T20" s="71" t="n">
        <v>134713.57</v>
      </c>
      <c r="U20" t="inlineStr">
        <is>
          <t>Low</t>
        </is>
      </c>
      <c r="V20">
        <f>IF(AND(OR(Dashboard!$C$6="All",E20=Dashboard!$C$6),OR(Dashboard!$F$6="All",G20=Dashboard!$F$6),OR(Dashboard!$I$6="All",H20=Dashboard!$I$6)),1,0)</f>
        <v/>
      </c>
    </row>
    <row r="21">
      <c r="A21" t="inlineStr">
        <is>
          <t>PF100012</t>
        </is>
      </c>
      <c r="B21" s="68" t="n">
        <v>45658</v>
      </c>
      <c r="C21" s="69" t="n">
        <v>2025</v>
      </c>
      <c r="D21" t="inlineStr">
        <is>
          <t>Jan</t>
        </is>
      </c>
      <c r="E21" t="inlineStr">
        <is>
          <t>Europe</t>
        </is>
      </c>
      <c r="F21" t="inlineStr">
        <is>
          <t>France</t>
        </is>
      </c>
      <c r="G21" t="inlineStr">
        <is>
          <t>Abrysvo</t>
        </is>
      </c>
      <c r="H21" t="inlineStr">
        <is>
          <t>Hospital</t>
        </is>
      </c>
      <c r="I21" t="inlineStr">
        <is>
          <t>Self-pay</t>
        </is>
      </c>
      <c r="J21" t="inlineStr">
        <is>
          <t>Yuki Sato</t>
        </is>
      </c>
      <c r="K21" s="70" t="n">
        <v>425</v>
      </c>
      <c r="L21" s="71" t="n">
        <v>287.25</v>
      </c>
      <c r="M21" s="71" t="n">
        <v>122081.25</v>
      </c>
      <c r="N21" s="71" t="n">
        <v>18312.19</v>
      </c>
      <c r="O21" s="71" t="n">
        <v>103769.06</v>
      </c>
      <c r="P21" s="71" t="n">
        <v>35742.38</v>
      </c>
      <c r="Q21" s="71" t="n">
        <v>68026.67999999999</v>
      </c>
      <c r="R21" t="inlineStr">
        <is>
          <t>Vaccines</t>
        </is>
      </c>
      <c r="S21" s="70" t="n">
        <v>304</v>
      </c>
      <c r="T21" s="71" t="n">
        <v>17225.17</v>
      </c>
      <c r="U21" t="inlineStr">
        <is>
          <t>Low</t>
        </is>
      </c>
      <c r="V21">
        <f>IF(AND(OR(Dashboard!$C$6="All",E21=Dashboard!$C$6),OR(Dashboard!$F$6="All",G21=Dashboard!$F$6),OR(Dashboard!$I$6="All",H21=Dashboard!$I$6)),1,0)</f>
        <v/>
      </c>
    </row>
    <row r="22">
      <c r="A22" t="inlineStr">
        <is>
          <t>PF100013</t>
        </is>
      </c>
      <c r="B22" s="68" t="n">
        <v>45659</v>
      </c>
      <c r="C22" s="69" t="n">
        <v>2025</v>
      </c>
      <c r="D22" t="inlineStr">
        <is>
          <t>Jan</t>
        </is>
      </c>
      <c r="E22" t="inlineStr">
        <is>
          <t>Europe</t>
        </is>
      </c>
      <c r="F22" t="inlineStr">
        <is>
          <t>UK</t>
        </is>
      </c>
      <c r="G22" t="inlineStr">
        <is>
          <t>Eliquis</t>
        </is>
      </c>
      <c r="H22" t="inlineStr">
        <is>
          <t>Government / tender</t>
        </is>
      </c>
      <c r="I22" t="inlineStr">
        <is>
          <t>Private insurer</t>
        </is>
      </c>
      <c r="J22" t="inlineStr">
        <is>
          <t>Ana Costa</t>
        </is>
      </c>
      <c r="K22" s="70" t="n">
        <v>282</v>
      </c>
      <c r="L22" s="71" t="n">
        <v>447.89</v>
      </c>
      <c r="M22" s="71" t="n">
        <v>126304.98</v>
      </c>
      <c r="N22" s="71" t="n">
        <v>18945.75</v>
      </c>
      <c r="O22" s="71" t="n">
        <v>107359.23</v>
      </c>
      <c r="P22" s="71" t="n">
        <v>21349.64</v>
      </c>
      <c r="Q22" s="71" t="n">
        <v>86009.59</v>
      </c>
      <c r="R22" t="inlineStr">
        <is>
          <t>Cardiology</t>
        </is>
      </c>
      <c r="S22" s="70" t="n">
        <v>182</v>
      </c>
      <c r="T22" s="71" t="n">
        <v>20454.95</v>
      </c>
      <c r="U22" t="inlineStr">
        <is>
          <t>High</t>
        </is>
      </c>
      <c r="V22">
        <f>IF(AND(OR(Dashboard!$C$6="All",E22=Dashboard!$C$6),OR(Dashboard!$F$6="All",G22=Dashboard!$F$6),OR(Dashboard!$I$6="All",H22=Dashboard!$I$6)),1,0)</f>
        <v/>
      </c>
    </row>
    <row r="23">
      <c r="A23" t="inlineStr">
        <is>
          <t>PF100014</t>
        </is>
      </c>
      <c r="B23" s="68" t="n">
        <v>45659</v>
      </c>
      <c r="C23" s="69" t="n">
        <v>2025</v>
      </c>
      <c r="D23" t="inlineStr">
        <is>
          <t>Jan</t>
        </is>
      </c>
      <c r="E23" t="inlineStr">
        <is>
          <t>United States</t>
        </is>
      </c>
      <c r="F23" t="inlineStr">
        <is>
          <t>USA</t>
        </is>
      </c>
      <c r="G23" t="inlineStr">
        <is>
          <t>Xeljanz</t>
        </is>
      </c>
      <c r="H23" t="inlineStr">
        <is>
          <t>Government / tender</t>
        </is>
      </c>
      <c r="I23" t="inlineStr">
        <is>
          <t>Private insurer</t>
        </is>
      </c>
      <c r="J23" t="inlineStr">
        <is>
          <t>Zoya Ahmed</t>
        </is>
      </c>
      <c r="K23" s="70" t="n">
        <v>2121</v>
      </c>
      <c r="L23" s="71" t="n">
        <v>2309.44</v>
      </c>
      <c r="M23" s="71" t="n">
        <v>4898322.24</v>
      </c>
      <c r="N23" s="71" t="n">
        <v>1224580.56</v>
      </c>
      <c r="O23" s="71" t="n">
        <v>3673741.68</v>
      </c>
      <c r="P23" s="71" t="n">
        <v>535545.61</v>
      </c>
      <c r="Q23" s="71" t="n">
        <v>3138196.07</v>
      </c>
      <c r="R23" t="inlineStr">
        <is>
          <t>Inflammation</t>
        </is>
      </c>
      <c r="S23" s="70" t="n">
        <v>2101</v>
      </c>
      <c r="T23" s="71" t="n">
        <v>763247.7</v>
      </c>
      <c r="U23" t="inlineStr">
        <is>
          <t>High</t>
        </is>
      </c>
      <c r="V23">
        <f>IF(AND(OR(Dashboard!$C$6="All",E23=Dashboard!$C$6),OR(Dashboard!$F$6="All",G23=Dashboard!$F$6),OR(Dashboard!$I$6="All",H23=Dashboard!$I$6)),1,0)</f>
        <v/>
      </c>
    </row>
    <row r="24">
      <c r="A24" t="inlineStr">
        <is>
          <t>PF100015</t>
        </is>
      </c>
      <c r="B24" s="68" t="n">
        <v>45659</v>
      </c>
      <c r="C24" s="69" t="n">
        <v>2025</v>
      </c>
      <c r="D24" t="inlineStr">
        <is>
          <t>Jan</t>
        </is>
      </c>
      <c r="E24" t="inlineStr">
        <is>
          <t>Emerging markets</t>
        </is>
      </c>
      <c r="F24" t="inlineStr">
        <is>
          <t>China</t>
        </is>
      </c>
      <c r="G24" t="inlineStr">
        <is>
          <t>Vyndaqel</t>
        </is>
      </c>
      <c r="H24" t="inlineStr">
        <is>
          <t>Government / tender</t>
        </is>
      </c>
      <c r="I24" t="inlineStr">
        <is>
          <t>Public payer</t>
        </is>
      </c>
      <c r="J24" t="inlineStr">
        <is>
          <t>Ana Costa</t>
        </is>
      </c>
      <c r="K24" s="70" t="n">
        <v>914</v>
      </c>
      <c r="L24" s="71" t="n">
        <v>5635.86</v>
      </c>
      <c r="M24" s="71" t="n">
        <v>5151176.04</v>
      </c>
      <c r="N24" s="71" t="n">
        <v>772676.41</v>
      </c>
      <c r="O24" s="71" t="n">
        <v>4378499.63</v>
      </c>
      <c r="P24" s="71" t="n">
        <v>588581.37</v>
      </c>
      <c r="Q24" s="71" t="n">
        <v>3789918.26</v>
      </c>
      <c r="R24" t="inlineStr">
        <is>
          <t>Rare disease</t>
        </is>
      </c>
      <c r="S24" s="70" t="n">
        <v>731</v>
      </c>
      <c r="T24" s="71" t="n">
        <v>1018044.07</v>
      </c>
      <c r="U24" t="inlineStr">
        <is>
          <t>Medium</t>
        </is>
      </c>
      <c r="V24">
        <f>IF(AND(OR(Dashboard!$C$6="All",E24=Dashboard!$C$6),OR(Dashboard!$F$6="All",G24=Dashboard!$F$6),OR(Dashboard!$I$6="All",H24=Dashboard!$I$6)),1,0)</f>
        <v/>
      </c>
    </row>
    <row r="25">
      <c r="A25" t="inlineStr">
        <is>
          <t>PF100016</t>
        </is>
      </c>
      <c r="B25" s="68" t="n">
        <v>45659</v>
      </c>
      <c r="C25" s="69" t="n">
        <v>2025</v>
      </c>
      <c r="D25" t="inlineStr">
        <is>
          <t>Jan</t>
        </is>
      </c>
      <c r="E25" t="inlineStr">
        <is>
          <t>Europe</t>
        </is>
      </c>
      <c r="F25" t="inlineStr">
        <is>
          <t>Italy</t>
        </is>
      </c>
      <c r="G25" t="inlineStr">
        <is>
          <t>Abrysvo</t>
        </is>
      </c>
      <c r="H25" t="inlineStr">
        <is>
          <t>Retail pharmacy</t>
        </is>
      </c>
      <c r="I25" t="inlineStr">
        <is>
          <t>Public payer</t>
        </is>
      </c>
      <c r="J25" t="inlineStr">
        <is>
          <t>Yuki Sato</t>
        </is>
      </c>
      <c r="K25" s="70" t="n">
        <v>1323</v>
      </c>
      <c r="L25" s="71" t="n">
        <v>272.42</v>
      </c>
      <c r="M25" s="71" t="n">
        <v>360411.66</v>
      </c>
      <c r="N25" s="71" t="n">
        <v>36041.17</v>
      </c>
      <c r="O25" s="71" t="n">
        <v>324370.49</v>
      </c>
      <c r="P25" s="71" t="n">
        <v>114641.44</v>
      </c>
      <c r="Q25" s="71" t="n">
        <v>209729.05</v>
      </c>
      <c r="R25" t="inlineStr">
        <is>
          <t>Vaccines</t>
        </is>
      </c>
      <c r="S25" s="70" t="n">
        <v>1119</v>
      </c>
      <c r="T25" s="71" t="n">
        <v>54292.04</v>
      </c>
      <c r="U25" t="inlineStr">
        <is>
          <t>Low</t>
        </is>
      </c>
      <c r="V25">
        <f>IF(AND(OR(Dashboard!$C$6="All",E25=Dashboard!$C$6),OR(Dashboard!$F$6="All",G25=Dashboard!$F$6),OR(Dashboard!$I$6="All",H25=Dashboard!$I$6)),1,0)</f>
        <v/>
      </c>
    </row>
    <row r="26">
      <c r="A26" t="inlineStr">
        <is>
          <t>PF100017</t>
        </is>
      </c>
      <c r="B26" s="68" t="n">
        <v>45659</v>
      </c>
      <c r="C26" s="69" t="n">
        <v>2025</v>
      </c>
      <c r="D26" t="inlineStr">
        <is>
          <t>Jan</t>
        </is>
      </c>
      <c r="E26" t="inlineStr">
        <is>
          <t>United States</t>
        </is>
      </c>
      <c r="F26" t="inlineStr">
        <is>
          <t>USA</t>
        </is>
      </c>
      <c r="G26" t="inlineStr">
        <is>
          <t>Prevnar 20</t>
        </is>
      </c>
      <c r="H26" t="inlineStr">
        <is>
          <t>Hospital</t>
        </is>
      </c>
      <c r="I26" t="inlineStr">
        <is>
          <t>Public payer</t>
        </is>
      </c>
      <c r="J26" t="inlineStr">
        <is>
          <t>Liam O'Brien</t>
        </is>
      </c>
      <c r="K26" s="70" t="n">
        <v>1889</v>
      </c>
      <c r="L26" s="71" t="n">
        <v>379.54</v>
      </c>
      <c r="M26" s="71" t="n">
        <v>716951.0600000001</v>
      </c>
      <c r="N26" s="71" t="n">
        <v>215085.32</v>
      </c>
      <c r="O26" s="71" t="n">
        <v>501865.74</v>
      </c>
      <c r="P26" s="71" t="n">
        <v>131724.41</v>
      </c>
      <c r="Q26" s="71" t="n">
        <v>370141.33</v>
      </c>
      <c r="R26" t="inlineStr">
        <is>
          <t>Vaccines</t>
        </is>
      </c>
      <c r="S26" s="70" t="n">
        <v>1295</v>
      </c>
      <c r="T26" s="71" t="n">
        <v>130423.62</v>
      </c>
      <c r="U26" t="inlineStr">
        <is>
          <t>Low</t>
        </is>
      </c>
      <c r="V26">
        <f>IF(AND(OR(Dashboard!$C$6="All",E26=Dashboard!$C$6),OR(Dashboard!$F$6="All",G26=Dashboard!$F$6),OR(Dashboard!$I$6="All",H26=Dashboard!$I$6)),1,0)</f>
        <v/>
      </c>
    </row>
    <row r="27">
      <c r="A27" t="inlineStr">
        <is>
          <t>PF100018</t>
        </is>
      </c>
      <c r="B27" s="68" t="n">
        <v>45659</v>
      </c>
      <c r="C27" s="69" t="n">
        <v>2025</v>
      </c>
      <c r="D27" t="inlineStr">
        <is>
          <t>Jan</t>
        </is>
      </c>
      <c r="E27" t="inlineStr">
        <is>
          <t>Europe</t>
        </is>
      </c>
      <c r="F27" t="inlineStr">
        <is>
          <t>Spain</t>
        </is>
      </c>
      <c r="G27" t="inlineStr">
        <is>
          <t>Paxlovid</t>
        </is>
      </c>
      <c r="H27" t="inlineStr">
        <is>
          <t>Retail pharmacy</t>
        </is>
      </c>
      <c r="I27" t="inlineStr">
        <is>
          <t>Public payer</t>
        </is>
      </c>
      <c r="J27" t="inlineStr">
        <is>
          <t>Lucas Martin</t>
        </is>
      </c>
      <c r="K27" s="70" t="n">
        <v>2416</v>
      </c>
      <c r="L27" s="71" t="n">
        <v>1051.54</v>
      </c>
      <c r="M27" s="71" t="n">
        <v>2540520.64</v>
      </c>
      <c r="N27" s="71" t="n">
        <v>254052.06</v>
      </c>
      <c r="O27" s="71" t="n">
        <v>2286468.58</v>
      </c>
      <c r="P27" s="71" t="n">
        <v>681183.8100000001</v>
      </c>
      <c r="Q27" s="71" t="n">
        <v>1605284.77</v>
      </c>
      <c r="R27" t="inlineStr">
        <is>
          <t>Antiviral</t>
        </is>
      </c>
      <c r="S27" s="70" t="n">
        <v>1691</v>
      </c>
      <c r="T27" s="71" t="n">
        <v>348124.07</v>
      </c>
      <c r="U27" t="inlineStr">
        <is>
          <t>Low</t>
        </is>
      </c>
      <c r="V27">
        <f>IF(AND(OR(Dashboard!$C$6="All",E27=Dashboard!$C$6),OR(Dashboard!$F$6="All",G27=Dashboard!$F$6),OR(Dashboard!$I$6="All",H27=Dashboard!$I$6)),1,0)</f>
        <v/>
      </c>
    </row>
    <row r="28">
      <c r="A28" t="inlineStr">
        <is>
          <t>PF100019</t>
        </is>
      </c>
      <c r="B28" s="68" t="n">
        <v>45660</v>
      </c>
      <c r="C28" s="69" t="n">
        <v>2025</v>
      </c>
      <c r="D28" t="inlineStr">
        <is>
          <t>Jan</t>
        </is>
      </c>
      <c r="E28" t="inlineStr">
        <is>
          <t>International developed</t>
        </is>
      </c>
      <c r="F28" t="inlineStr">
        <is>
          <t>Canada</t>
        </is>
      </c>
      <c r="G28" t="inlineStr">
        <is>
          <t>Eliquis</t>
        </is>
      </c>
      <c r="H28" t="inlineStr">
        <is>
          <t>Government / tender</t>
        </is>
      </c>
      <c r="I28" t="inlineStr">
        <is>
          <t>Private insurer</t>
        </is>
      </c>
      <c r="J28" t="inlineStr">
        <is>
          <t>Aisha Bello</t>
        </is>
      </c>
      <c r="K28" s="70" t="n">
        <v>2066</v>
      </c>
      <c r="L28" s="71" t="n">
        <v>417.26</v>
      </c>
      <c r="M28" s="71" t="n">
        <v>862059.16</v>
      </c>
      <c r="N28" s="71" t="n">
        <v>172411.83</v>
      </c>
      <c r="O28" s="71" t="n">
        <v>689647.33</v>
      </c>
      <c r="P28" s="71" t="n">
        <v>157733.9</v>
      </c>
      <c r="Q28" s="71" t="n">
        <v>531913.4300000001</v>
      </c>
      <c r="R28" t="inlineStr">
        <is>
          <t>Cardiology</t>
        </is>
      </c>
      <c r="S28" s="70" t="n">
        <v>1779</v>
      </c>
      <c r="T28" s="71" t="n">
        <v>103713.53</v>
      </c>
      <c r="U28" t="inlineStr">
        <is>
          <t>High</t>
        </is>
      </c>
      <c r="V28">
        <f>IF(AND(OR(Dashboard!$C$6="All",E28=Dashboard!$C$6),OR(Dashboard!$F$6="All",G28=Dashboard!$F$6),OR(Dashboard!$I$6="All",H28=Dashboard!$I$6)),1,0)</f>
        <v/>
      </c>
    </row>
    <row r="29">
      <c r="A29" t="inlineStr">
        <is>
          <t>PF100020</t>
        </is>
      </c>
      <c r="B29" s="68" t="n">
        <v>45660</v>
      </c>
      <c r="C29" s="69" t="n">
        <v>2025</v>
      </c>
      <c r="D29" t="inlineStr">
        <is>
          <t>Jan</t>
        </is>
      </c>
      <c r="E29" t="inlineStr">
        <is>
          <t>Europe</t>
        </is>
      </c>
      <c r="F29" t="inlineStr">
        <is>
          <t>UK</t>
        </is>
      </c>
      <c r="G29" t="inlineStr">
        <is>
          <t>Xeljanz</t>
        </is>
      </c>
      <c r="H29" t="inlineStr">
        <is>
          <t>Government / tender</t>
        </is>
      </c>
      <c r="I29" t="inlineStr">
        <is>
          <t>Self-pay</t>
        </is>
      </c>
      <c r="J29" t="inlineStr">
        <is>
          <t>Wei Chen</t>
        </is>
      </c>
      <c r="K29" s="70" t="n">
        <v>1474</v>
      </c>
      <c r="L29" s="71" t="n">
        <v>1495.99</v>
      </c>
      <c r="M29" s="71" t="n">
        <v>2205089.26</v>
      </c>
      <c r="N29" s="71" t="n">
        <v>110254.46</v>
      </c>
      <c r="O29" s="71" t="n">
        <v>2094834.8</v>
      </c>
      <c r="P29" s="71" t="n">
        <v>376779.78</v>
      </c>
      <c r="Q29" s="71" t="n">
        <v>1718055.02</v>
      </c>
      <c r="R29" t="inlineStr">
        <is>
          <t>Inflammation</t>
        </is>
      </c>
      <c r="S29" s="70" t="n">
        <v>1255</v>
      </c>
      <c r="T29" s="71" t="n">
        <v>331820.58</v>
      </c>
      <c r="U29" t="inlineStr">
        <is>
          <t>High</t>
        </is>
      </c>
      <c r="V29">
        <f>IF(AND(OR(Dashboard!$C$6="All",E29=Dashboard!$C$6),OR(Dashboard!$F$6="All",G29=Dashboard!$F$6),OR(Dashboard!$I$6="All",H29=Dashboard!$I$6)),1,0)</f>
        <v/>
      </c>
    </row>
    <row r="30">
      <c r="A30" t="inlineStr">
        <is>
          <t>PF100021</t>
        </is>
      </c>
      <c r="B30" s="68" t="n">
        <v>45660</v>
      </c>
      <c r="C30" s="69" t="n">
        <v>2025</v>
      </c>
      <c r="D30" t="inlineStr">
        <is>
          <t>Jan</t>
        </is>
      </c>
      <c r="E30" t="inlineStr">
        <is>
          <t>United States</t>
        </is>
      </c>
      <c r="F30" t="inlineStr">
        <is>
          <t>USA</t>
        </is>
      </c>
      <c r="G30" t="inlineStr">
        <is>
          <t>Vyndaqel</t>
        </is>
      </c>
      <c r="H30" t="inlineStr">
        <is>
          <t>Government / tender</t>
        </is>
      </c>
      <c r="I30" t="inlineStr">
        <is>
          <t>Private insurer</t>
        </is>
      </c>
      <c r="J30" t="inlineStr">
        <is>
          <t>Aisha Bello</t>
        </is>
      </c>
      <c r="K30" s="70" t="n">
        <v>2295</v>
      </c>
      <c r="L30" s="71" t="n">
        <v>8924.83</v>
      </c>
      <c r="M30" s="71" t="n">
        <v>20482484.85</v>
      </c>
      <c r="N30" s="71" t="n">
        <v>7168869.7</v>
      </c>
      <c r="O30" s="71" t="n">
        <v>13313615.15</v>
      </c>
      <c r="P30" s="71" t="n">
        <v>1386558.23</v>
      </c>
      <c r="Q30" s="71" t="n">
        <v>11927056.92</v>
      </c>
      <c r="R30" t="inlineStr">
        <is>
          <t>Rare disease</t>
        </is>
      </c>
      <c r="S30" s="70" t="n">
        <v>1596</v>
      </c>
      <c r="T30" s="71" t="n">
        <v>3178255.29</v>
      </c>
      <c r="U30" t="inlineStr">
        <is>
          <t>Medium</t>
        </is>
      </c>
      <c r="V30">
        <f>IF(AND(OR(Dashboard!$C$6="All",E30=Dashboard!$C$6),OR(Dashboard!$F$6="All",G30=Dashboard!$F$6),OR(Dashboard!$I$6="All",H30=Dashboard!$I$6)),1,0)</f>
        <v/>
      </c>
    </row>
    <row r="31">
      <c r="A31" t="inlineStr">
        <is>
          <t>PF100022</t>
        </is>
      </c>
      <c r="B31" s="68" t="n">
        <v>45660</v>
      </c>
      <c r="C31" s="69" t="n">
        <v>2025</v>
      </c>
      <c r="D31" t="inlineStr">
        <is>
          <t>Jan</t>
        </is>
      </c>
      <c r="E31" t="inlineStr">
        <is>
          <t>United States</t>
        </is>
      </c>
      <c r="F31" t="inlineStr">
        <is>
          <t>USA</t>
        </is>
      </c>
      <c r="G31" t="inlineStr">
        <is>
          <t>Xeljanz</t>
        </is>
      </c>
      <c r="H31" t="inlineStr">
        <is>
          <t>Retail pharmacy</t>
        </is>
      </c>
      <c r="I31" t="inlineStr">
        <is>
          <t>Self-pay</t>
        </is>
      </c>
      <c r="J31" t="inlineStr">
        <is>
          <t>Fatima Al-Saud</t>
        </is>
      </c>
      <c r="K31" s="70" t="n">
        <v>1318</v>
      </c>
      <c r="L31" s="71" t="n">
        <v>2295.42</v>
      </c>
      <c r="M31" s="71" t="n">
        <v>3025363.56</v>
      </c>
      <c r="N31" s="71" t="n">
        <v>605072.71</v>
      </c>
      <c r="O31" s="71" t="n">
        <v>2420290.85</v>
      </c>
      <c r="P31" s="71" t="n">
        <v>320940.61</v>
      </c>
      <c r="Q31" s="71" t="n">
        <v>2099350.24</v>
      </c>
      <c r="R31" t="inlineStr">
        <is>
          <t>Inflammation</t>
        </is>
      </c>
      <c r="S31" s="70" t="n">
        <v>866</v>
      </c>
      <c r="T31" s="71" t="n">
        <v>603306.9399999999</v>
      </c>
      <c r="U31" t="inlineStr">
        <is>
          <t>High</t>
        </is>
      </c>
      <c r="V31">
        <f>IF(AND(OR(Dashboard!$C$6="All",E31=Dashboard!$C$6),OR(Dashboard!$F$6="All",G31=Dashboard!$F$6),OR(Dashboard!$I$6="All",H31=Dashboard!$I$6)),1,0)</f>
        <v/>
      </c>
    </row>
    <row r="32">
      <c r="A32" t="inlineStr">
        <is>
          <t>PF100023</t>
        </is>
      </c>
      <c r="B32" s="68" t="n">
        <v>45660</v>
      </c>
      <c r="C32" s="69" t="n">
        <v>2025</v>
      </c>
      <c r="D32" t="inlineStr">
        <is>
          <t>Jan</t>
        </is>
      </c>
      <c r="E32" t="inlineStr">
        <is>
          <t>Europe</t>
        </is>
      </c>
      <c r="F32" t="inlineStr">
        <is>
          <t>Italy</t>
        </is>
      </c>
      <c r="G32" t="inlineStr">
        <is>
          <t>Vyndaqel</t>
        </is>
      </c>
      <c r="H32" t="inlineStr">
        <is>
          <t>Hospital</t>
        </is>
      </c>
      <c r="I32" t="inlineStr">
        <is>
          <t>Public payer</t>
        </is>
      </c>
      <c r="J32" t="inlineStr">
        <is>
          <t>Fatima Al-Saud</t>
        </is>
      </c>
      <c r="K32" s="70" t="n">
        <v>524</v>
      </c>
      <c r="L32" s="71" t="n">
        <v>5396.62</v>
      </c>
      <c r="M32" s="71" t="n">
        <v>2827828.88</v>
      </c>
      <c r="N32" s="71" t="n">
        <v>282782.89</v>
      </c>
      <c r="O32" s="71" t="n">
        <v>2545045.99</v>
      </c>
      <c r="P32" s="71" t="n">
        <v>315385.94</v>
      </c>
      <c r="Q32" s="71" t="n">
        <v>2229660.05</v>
      </c>
      <c r="R32" t="inlineStr">
        <is>
          <t>Rare disease</t>
        </is>
      </c>
      <c r="S32" s="70" t="n">
        <v>418</v>
      </c>
      <c r="T32" s="71" t="n">
        <v>476713.3</v>
      </c>
      <c r="U32" t="inlineStr">
        <is>
          <t>Medium</t>
        </is>
      </c>
      <c r="V32">
        <f>IF(AND(OR(Dashboard!$C$6="All",E32=Dashboard!$C$6),OR(Dashboard!$F$6="All",G32=Dashboard!$F$6),OR(Dashboard!$I$6="All",H32=Dashboard!$I$6)),1,0)</f>
        <v/>
      </c>
    </row>
    <row r="33">
      <c r="A33" t="inlineStr">
        <is>
          <t>PF100024</t>
        </is>
      </c>
      <c r="B33" s="68" t="n">
        <v>45660</v>
      </c>
      <c r="C33" s="69" t="n">
        <v>2025</v>
      </c>
      <c r="D33" t="inlineStr">
        <is>
          <t>Jan</t>
        </is>
      </c>
      <c r="E33" t="inlineStr">
        <is>
          <t>International developed</t>
        </is>
      </c>
      <c r="F33" t="inlineStr">
        <is>
          <t>Canada</t>
        </is>
      </c>
      <c r="G33" t="inlineStr">
        <is>
          <t>Ibrance</t>
        </is>
      </c>
      <c r="H33" t="inlineStr">
        <is>
          <t>Hospital</t>
        </is>
      </c>
      <c r="I33" t="inlineStr">
        <is>
          <t>Private insurer</t>
        </is>
      </c>
      <c r="J33" t="inlineStr">
        <is>
          <t>Yuki Sato</t>
        </is>
      </c>
      <c r="K33" s="70" t="n">
        <v>1662</v>
      </c>
      <c r="L33" s="71" t="n">
        <v>2733.18</v>
      </c>
      <c r="M33" s="71" t="n">
        <v>4542545.16</v>
      </c>
      <c r="N33" s="71" t="n">
        <v>908509.03</v>
      </c>
      <c r="O33" s="71" t="n">
        <v>3634036.13</v>
      </c>
      <c r="P33" s="71" t="n">
        <v>702628.8199999999</v>
      </c>
      <c r="Q33" s="71" t="n">
        <v>2931407.31</v>
      </c>
      <c r="R33" t="inlineStr">
        <is>
          <t>Oncology</t>
        </is>
      </c>
      <c r="S33" s="70" t="n">
        <v>1576</v>
      </c>
      <c r="T33" s="71" t="n">
        <v>687336.9300000001</v>
      </c>
      <c r="U33" t="inlineStr">
        <is>
          <t>High</t>
        </is>
      </c>
      <c r="V33">
        <f>IF(AND(OR(Dashboard!$C$6="All",E33=Dashboard!$C$6),OR(Dashboard!$F$6="All",G33=Dashboard!$F$6),OR(Dashboard!$I$6="All",H33=Dashboard!$I$6)),1,0)</f>
        <v/>
      </c>
    </row>
    <row r="34">
      <c r="A34" t="inlineStr">
        <is>
          <t>PF100025</t>
        </is>
      </c>
      <c r="B34" s="68" t="n">
        <v>45660</v>
      </c>
      <c r="C34" s="69" t="n">
        <v>2025</v>
      </c>
      <c r="D34" t="inlineStr">
        <is>
          <t>Jan</t>
        </is>
      </c>
      <c r="E34" t="inlineStr">
        <is>
          <t>United States</t>
        </is>
      </c>
      <c r="F34" t="inlineStr">
        <is>
          <t>USA</t>
        </is>
      </c>
      <c r="G34" t="inlineStr">
        <is>
          <t>Ibrance</t>
        </is>
      </c>
      <c r="H34" t="inlineStr">
        <is>
          <t>Retail pharmacy</t>
        </is>
      </c>
      <c r="I34" t="inlineStr">
        <is>
          <t>Private insurer</t>
        </is>
      </c>
      <c r="J34" t="inlineStr">
        <is>
          <t>Amir Khan</t>
        </is>
      </c>
      <c r="K34" s="70" t="n">
        <v>1645</v>
      </c>
      <c r="L34" s="71" t="n">
        <v>4201.97</v>
      </c>
      <c r="M34" s="71" t="n">
        <v>6912240.65</v>
      </c>
      <c r="N34" s="71" t="n">
        <v>1036836.1</v>
      </c>
      <c r="O34" s="71" t="n">
        <v>5875404.55</v>
      </c>
      <c r="P34" s="71" t="n">
        <v>715424.39</v>
      </c>
      <c r="Q34" s="71" t="n">
        <v>5159980.16</v>
      </c>
      <c r="R34" t="inlineStr">
        <is>
          <t>Oncology</t>
        </is>
      </c>
      <c r="S34" s="70" t="n">
        <v>1092</v>
      </c>
      <c r="T34" s="71" t="n">
        <v>1095020.6</v>
      </c>
      <c r="U34" t="inlineStr">
        <is>
          <t>High</t>
        </is>
      </c>
      <c r="V34">
        <f>IF(AND(OR(Dashboard!$C$6="All",E34=Dashboard!$C$6),OR(Dashboard!$F$6="All",G34=Dashboard!$F$6),OR(Dashboard!$I$6="All",H34=Dashboard!$I$6)),1,0)</f>
        <v/>
      </c>
    </row>
    <row r="35">
      <c r="A35" t="inlineStr">
        <is>
          <t>PF100026</t>
        </is>
      </c>
      <c r="B35" s="68" t="n">
        <v>45660</v>
      </c>
      <c r="C35" s="69" t="n">
        <v>2025</v>
      </c>
      <c r="D35" t="inlineStr">
        <is>
          <t>Jan</t>
        </is>
      </c>
      <c r="E35" t="inlineStr">
        <is>
          <t>Emerging markets</t>
        </is>
      </c>
      <c r="F35" t="inlineStr">
        <is>
          <t>India</t>
        </is>
      </c>
      <c r="G35" t="inlineStr">
        <is>
          <t>Comirnaty</t>
        </is>
      </c>
      <c r="H35" t="inlineStr">
        <is>
          <t>Retail pharmacy</t>
        </is>
      </c>
      <c r="I35" t="inlineStr">
        <is>
          <t>Private insurer</t>
        </is>
      </c>
      <c r="J35" t="inlineStr">
        <is>
          <t>Aisha Bello</t>
        </is>
      </c>
      <c r="K35" s="70" t="n">
        <v>602</v>
      </c>
      <c r="L35" s="71" t="n">
        <v>114.66</v>
      </c>
      <c r="M35" s="71" t="n">
        <v>69025.32000000001</v>
      </c>
      <c r="N35" s="71" t="n">
        <v>13805.06</v>
      </c>
      <c r="O35" s="71" t="n">
        <v>55220.26</v>
      </c>
      <c r="P35" s="71" t="n">
        <v>23516.13</v>
      </c>
      <c r="Q35" s="71" t="n">
        <v>31704.13</v>
      </c>
      <c r="R35" t="inlineStr">
        <is>
          <t>Vaccines</t>
        </is>
      </c>
      <c r="S35" s="70" t="n">
        <v>400</v>
      </c>
      <c r="T35" s="71" t="n">
        <v>15057.57</v>
      </c>
      <c r="U35" t="inlineStr">
        <is>
          <t>Low</t>
        </is>
      </c>
      <c r="V35">
        <f>IF(AND(OR(Dashboard!$C$6="All",E35=Dashboard!$C$6),OR(Dashboard!$F$6="All",G35=Dashboard!$F$6),OR(Dashboard!$I$6="All",H35=Dashboard!$I$6)),1,0)</f>
        <v/>
      </c>
    </row>
    <row r="36">
      <c r="A36" t="inlineStr">
        <is>
          <t>PF100027</t>
        </is>
      </c>
      <c r="B36" s="68" t="n">
        <v>45660</v>
      </c>
      <c r="C36" s="69" t="n">
        <v>2025</v>
      </c>
      <c r="D36" t="inlineStr">
        <is>
          <t>Jan</t>
        </is>
      </c>
      <c r="E36" t="inlineStr">
        <is>
          <t>Emerging markets</t>
        </is>
      </c>
      <c r="F36" t="inlineStr">
        <is>
          <t>China</t>
        </is>
      </c>
      <c r="G36" t="inlineStr">
        <is>
          <t>Ibrance</t>
        </is>
      </c>
      <c r="H36" t="inlineStr">
        <is>
          <t>Government / tender</t>
        </is>
      </c>
      <c r="I36" t="inlineStr">
        <is>
          <t>Private insurer</t>
        </is>
      </c>
      <c r="J36" t="inlineStr">
        <is>
          <t>Ravindra Patil</t>
        </is>
      </c>
      <c r="K36" s="70" t="n">
        <v>2480</v>
      </c>
      <c r="L36" s="71" t="n">
        <v>3070.48</v>
      </c>
      <c r="M36" s="71" t="n">
        <v>7614790.4</v>
      </c>
      <c r="N36" s="71" t="n">
        <v>1903697.6</v>
      </c>
      <c r="O36" s="71" t="n">
        <v>5711092.8</v>
      </c>
      <c r="P36" s="71" t="n">
        <v>1065847.81</v>
      </c>
      <c r="Q36" s="71" t="n">
        <v>4645244.99</v>
      </c>
      <c r="R36" t="inlineStr">
        <is>
          <t>Oncology</t>
        </is>
      </c>
      <c r="S36" s="70" t="n">
        <v>2047</v>
      </c>
      <c r="T36" s="71" t="n">
        <v>1182546.2</v>
      </c>
      <c r="U36" t="inlineStr">
        <is>
          <t>High</t>
        </is>
      </c>
      <c r="V36">
        <f>IF(AND(OR(Dashboard!$C$6="All",E36=Dashboard!$C$6),OR(Dashboard!$F$6="All",G36=Dashboard!$F$6),OR(Dashboard!$I$6="All",H36=Dashboard!$I$6)),1,0)</f>
        <v/>
      </c>
    </row>
    <row r="37">
      <c r="A37" t="inlineStr">
        <is>
          <t>PF100028</t>
        </is>
      </c>
      <c r="B37" s="68" t="n">
        <v>45660</v>
      </c>
      <c r="C37" s="69" t="n">
        <v>2025</v>
      </c>
      <c r="D37" t="inlineStr">
        <is>
          <t>Jan</t>
        </is>
      </c>
      <c r="E37" t="inlineStr">
        <is>
          <t>Emerging markets</t>
        </is>
      </c>
      <c r="F37" t="inlineStr">
        <is>
          <t>Mexico</t>
        </is>
      </c>
      <c r="G37" t="inlineStr">
        <is>
          <t>Comirnaty</t>
        </is>
      </c>
      <c r="H37" t="inlineStr">
        <is>
          <t>Government / tender</t>
        </is>
      </c>
      <c r="I37" t="inlineStr">
        <is>
          <t>Private insurer</t>
        </is>
      </c>
      <c r="J37" t="inlineStr">
        <is>
          <t>Noah Smith</t>
        </is>
      </c>
      <c r="K37" s="70" t="n">
        <v>2025</v>
      </c>
      <c r="L37" s="71" t="n">
        <v>99.25</v>
      </c>
      <c r="M37" s="71" t="n">
        <v>200981.25</v>
      </c>
      <c r="N37" s="71" t="n">
        <v>20098.12</v>
      </c>
      <c r="O37" s="71" t="n">
        <v>180883.13</v>
      </c>
      <c r="P37" s="71" t="n">
        <v>74907.77</v>
      </c>
      <c r="Q37" s="71" t="n">
        <v>105975.36</v>
      </c>
      <c r="R37" t="inlineStr">
        <is>
          <t>Vaccines</t>
        </is>
      </c>
      <c r="S37" s="70" t="n">
        <v>1671</v>
      </c>
      <c r="T37" s="71" t="n">
        <v>39115.19</v>
      </c>
      <c r="U37" t="inlineStr">
        <is>
          <t>Low</t>
        </is>
      </c>
      <c r="V37">
        <f>IF(AND(OR(Dashboard!$C$6="All",E37=Dashboard!$C$6),OR(Dashboard!$F$6="All",G37=Dashboard!$F$6),OR(Dashboard!$I$6="All",H37=Dashboard!$I$6)),1,0)</f>
        <v/>
      </c>
    </row>
    <row r="38">
      <c r="A38" t="inlineStr">
        <is>
          <t>PF100029</t>
        </is>
      </c>
      <c r="B38" s="68" t="n">
        <v>45661</v>
      </c>
      <c r="C38" s="69" t="n">
        <v>2025</v>
      </c>
      <c r="D38" t="inlineStr">
        <is>
          <t>Jan</t>
        </is>
      </c>
      <c r="E38" t="inlineStr">
        <is>
          <t>United States</t>
        </is>
      </c>
      <c r="F38" t="inlineStr">
        <is>
          <t>USA</t>
        </is>
      </c>
      <c r="G38" t="inlineStr">
        <is>
          <t>Comirnaty</t>
        </is>
      </c>
      <c r="H38" t="inlineStr">
        <is>
          <t>Retail pharmacy</t>
        </is>
      </c>
      <c r="I38" t="inlineStr">
        <is>
          <t>Private insurer</t>
        </is>
      </c>
      <c r="J38" t="inlineStr">
        <is>
          <t>Carlos Silva</t>
        </is>
      </c>
      <c r="K38" s="70" t="n">
        <v>136</v>
      </c>
      <c r="L38" s="71" t="n">
        <v>168.67</v>
      </c>
      <c r="M38" s="71" t="n">
        <v>22939.12</v>
      </c>
      <c r="N38" s="71" t="n">
        <v>5734.78</v>
      </c>
      <c r="O38" s="71" t="n">
        <v>17204.34</v>
      </c>
      <c r="P38" s="71" t="n">
        <v>5281.62</v>
      </c>
      <c r="Q38" s="71" t="n">
        <v>11922.72</v>
      </c>
      <c r="R38" t="inlineStr">
        <is>
          <t>Vaccines</t>
        </is>
      </c>
      <c r="S38" s="70" t="n">
        <v>107</v>
      </c>
      <c r="T38" s="71" t="n">
        <v>4124.64</v>
      </c>
      <c r="U38" t="inlineStr">
        <is>
          <t>Low</t>
        </is>
      </c>
      <c r="V38">
        <f>IF(AND(OR(Dashboard!$C$6="All",E38=Dashboard!$C$6),OR(Dashboard!$F$6="All",G38=Dashboard!$F$6),OR(Dashboard!$I$6="All",H38=Dashboard!$I$6)),1,0)</f>
        <v/>
      </c>
    </row>
    <row r="39">
      <c r="A39" t="inlineStr">
        <is>
          <t>PF100030</t>
        </is>
      </c>
      <c r="B39" s="68" t="n">
        <v>45661</v>
      </c>
      <c r="C39" s="69" t="n">
        <v>2025</v>
      </c>
      <c r="D39" t="inlineStr">
        <is>
          <t>Jan</t>
        </is>
      </c>
      <c r="E39" t="inlineStr">
        <is>
          <t>United States</t>
        </is>
      </c>
      <c r="F39" t="inlineStr">
        <is>
          <t>USA</t>
        </is>
      </c>
      <c r="G39" t="inlineStr">
        <is>
          <t>Eliquis</t>
        </is>
      </c>
      <c r="H39" t="inlineStr">
        <is>
          <t>Government / tender</t>
        </is>
      </c>
      <c r="I39" t="inlineStr">
        <is>
          <t>Public payer</t>
        </is>
      </c>
      <c r="J39" t="inlineStr">
        <is>
          <t>Lucas Martin</t>
        </is>
      </c>
      <c r="K39" s="70" t="n">
        <v>1363</v>
      </c>
      <c r="L39" s="71" t="n">
        <v>687.74</v>
      </c>
      <c r="M39" s="71" t="n">
        <v>937389.62</v>
      </c>
      <c r="N39" s="71" t="n">
        <v>281216.89</v>
      </c>
      <c r="O39" s="71" t="n">
        <v>656172.73</v>
      </c>
      <c r="P39" s="71" t="n">
        <v>100924.39</v>
      </c>
      <c r="Q39" s="71" t="n">
        <v>555248.34</v>
      </c>
      <c r="R39" t="inlineStr">
        <is>
          <t>Cardiology</t>
        </is>
      </c>
      <c r="S39" s="70" t="n">
        <v>1190</v>
      </c>
      <c r="T39" s="71" t="n">
        <v>112493.02</v>
      </c>
      <c r="U39" t="inlineStr">
        <is>
          <t>High</t>
        </is>
      </c>
      <c r="V39">
        <f>IF(AND(OR(Dashboard!$C$6="All",E39=Dashboard!$C$6),OR(Dashboard!$F$6="All",G39=Dashboard!$F$6),OR(Dashboard!$I$6="All",H39=Dashboard!$I$6)),1,0)</f>
        <v/>
      </c>
    </row>
    <row r="40">
      <c r="A40" t="inlineStr">
        <is>
          <t>PF100031</t>
        </is>
      </c>
      <c r="B40" s="68" t="n">
        <v>45661</v>
      </c>
      <c r="C40" s="69" t="n">
        <v>2025</v>
      </c>
      <c r="D40" t="inlineStr">
        <is>
          <t>Jan</t>
        </is>
      </c>
      <c r="E40" t="inlineStr">
        <is>
          <t>United States</t>
        </is>
      </c>
      <c r="F40" t="inlineStr">
        <is>
          <t>USA</t>
        </is>
      </c>
      <c r="G40" t="inlineStr">
        <is>
          <t>Paxlovid</t>
        </is>
      </c>
      <c r="H40" t="inlineStr">
        <is>
          <t>Retail pharmacy</t>
        </is>
      </c>
      <c r="I40" t="inlineStr">
        <is>
          <t>Public payer</t>
        </is>
      </c>
      <c r="J40" t="inlineStr">
        <is>
          <t>Olivia Brown</t>
        </is>
      </c>
      <c r="K40" s="70" t="n">
        <v>112</v>
      </c>
      <c r="L40" s="71" t="n">
        <v>1923.39</v>
      </c>
      <c r="M40" s="71" t="n">
        <v>215419.68</v>
      </c>
      <c r="N40" s="71" t="n">
        <v>53854.92</v>
      </c>
      <c r="O40" s="71" t="n">
        <v>161564.76</v>
      </c>
      <c r="P40" s="71" t="n">
        <v>31625.3</v>
      </c>
      <c r="Q40" s="71" t="n">
        <v>129939.46</v>
      </c>
      <c r="R40" t="inlineStr">
        <is>
          <t>Antiviral</t>
        </is>
      </c>
      <c r="S40" s="70" t="n">
        <v>98</v>
      </c>
      <c r="T40" s="71" t="n">
        <v>30875.88</v>
      </c>
      <c r="U40" t="inlineStr">
        <is>
          <t>Low</t>
        </is>
      </c>
      <c r="V40">
        <f>IF(AND(OR(Dashboard!$C$6="All",E40=Dashboard!$C$6),OR(Dashboard!$F$6="All",G40=Dashboard!$F$6),OR(Dashboard!$I$6="All",H40=Dashboard!$I$6)),1,0)</f>
        <v/>
      </c>
    </row>
    <row r="41">
      <c r="A41" t="inlineStr">
        <is>
          <t>PF100032</t>
        </is>
      </c>
      <c r="B41" s="68" t="n">
        <v>45661</v>
      </c>
      <c r="C41" s="69" t="n">
        <v>2025</v>
      </c>
      <c r="D41" t="inlineStr">
        <is>
          <t>Jan</t>
        </is>
      </c>
      <c r="E41" t="inlineStr">
        <is>
          <t>United States</t>
        </is>
      </c>
      <c r="F41" t="inlineStr">
        <is>
          <t>USA</t>
        </is>
      </c>
      <c r="G41" t="inlineStr">
        <is>
          <t>Abrysvo</t>
        </is>
      </c>
      <c r="H41" t="inlineStr">
        <is>
          <t>Retail pharmacy</t>
        </is>
      </c>
      <c r="I41" t="inlineStr">
        <is>
          <t>Private insurer</t>
        </is>
      </c>
      <c r="J41" t="inlineStr">
        <is>
          <t>Emma Clarke</t>
        </is>
      </c>
      <c r="K41" s="70" t="n">
        <v>2110</v>
      </c>
      <c r="L41" s="71" t="n">
        <v>462.85</v>
      </c>
      <c r="M41" s="71" t="n">
        <v>976613.5</v>
      </c>
      <c r="N41" s="71" t="n">
        <v>341814.72</v>
      </c>
      <c r="O41" s="71" t="n">
        <v>634798.78</v>
      </c>
      <c r="P41" s="71" t="n">
        <v>170189.25</v>
      </c>
      <c r="Q41" s="71" t="n">
        <v>464609.53</v>
      </c>
      <c r="R41" t="inlineStr">
        <is>
          <t>Vaccines</t>
        </is>
      </c>
      <c r="S41" s="70" t="n">
        <v>1771</v>
      </c>
      <c r="T41" s="71" t="n">
        <v>140925.31</v>
      </c>
      <c r="U41" t="inlineStr">
        <is>
          <t>Low</t>
        </is>
      </c>
      <c r="V41">
        <f>IF(AND(OR(Dashboard!$C$6="All",E41=Dashboard!$C$6),OR(Dashboard!$F$6="All",G41=Dashboard!$F$6),OR(Dashboard!$I$6="All",H41=Dashboard!$I$6)),1,0)</f>
        <v/>
      </c>
    </row>
    <row r="42">
      <c r="A42" t="inlineStr">
        <is>
          <t>PF100033</t>
        </is>
      </c>
      <c r="B42" s="68" t="n">
        <v>45661</v>
      </c>
      <c r="C42" s="69" t="n">
        <v>2025</v>
      </c>
      <c r="D42" t="inlineStr">
        <is>
          <t>Jan</t>
        </is>
      </c>
      <c r="E42" t="inlineStr">
        <is>
          <t>United States</t>
        </is>
      </c>
      <c r="F42" t="inlineStr">
        <is>
          <t>USA</t>
        </is>
      </c>
      <c r="G42" t="inlineStr">
        <is>
          <t>Paxlovid</t>
        </is>
      </c>
      <c r="H42" t="inlineStr">
        <is>
          <t>Government / tender</t>
        </is>
      </c>
      <c r="I42" t="inlineStr">
        <is>
          <t>Private insurer</t>
        </is>
      </c>
      <c r="J42" t="inlineStr">
        <is>
          <t>Fatima Al-Saud</t>
        </is>
      </c>
      <c r="K42" s="70" t="n">
        <v>1690</v>
      </c>
      <c r="L42" s="71" t="n">
        <v>1819.66</v>
      </c>
      <c r="M42" s="71" t="n">
        <v>3075225.4</v>
      </c>
      <c r="N42" s="71" t="n">
        <v>1076328.89</v>
      </c>
      <c r="O42" s="71" t="n">
        <v>1998896.51</v>
      </c>
      <c r="P42" s="71" t="n">
        <v>464269.27</v>
      </c>
      <c r="Q42" s="71" t="n">
        <v>1534627.24</v>
      </c>
      <c r="R42" t="inlineStr">
        <is>
          <t>Antiviral</t>
        </is>
      </c>
      <c r="S42" s="70" t="n">
        <v>1382</v>
      </c>
      <c r="T42" s="71" t="n">
        <v>578177.97</v>
      </c>
      <c r="U42" t="inlineStr">
        <is>
          <t>Low</t>
        </is>
      </c>
      <c r="V42">
        <f>IF(AND(OR(Dashboard!$C$6="All",E42=Dashboard!$C$6),OR(Dashboard!$F$6="All",G42=Dashboard!$F$6),OR(Dashboard!$I$6="All",H42=Dashboard!$I$6)),1,0)</f>
        <v/>
      </c>
    </row>
    <row r="43">
      <c r="A43" t="inlineStr">
        <is>
          <t>PF100034</t>
        </is>
      </c>
      <c r="B43" s="68" t="n">
        <v>45661</v>
      </c>
      <c r="C43" s="69" t="n">
        <v>2025</v>
      </c>
      <c r="D43" t="inlineStr">
        <is>
          <t>Jan</t>
        </is>
      </c>
      <c r="E43" t="inlineStr">
        <is>
          <t>United States</t>
        </is>
      </c>
      <c r="F43" t="inlineStr">
        <is>
          <t>USA</t>
        </is>
      </c>
      <c r="G43" t="inlineStr">
        <is>
          <t>Prevnar 20</t>
        </is>
      </c>
      <c r="H43" t="inlineStr">
        <is>
          <t>Government / tender</t>
        </is>
      </c>
      <c r="I43" t="inlineStr">
        <is>
          <t>Public payer</t>
        </is>
      </c>
      <c r="J43" t="inlineStr">
        <is>
          <t>Ruhi Shaikh</t>
        </is>
      </c>
      <c r="K43" s="70" t="n">
        <v>1765</v>
      </c>
      <c r="L43" s="71" t="n">
        <v>351.3</v>
      </c>
      <c r="M43" s="71" t="n">
        <v>620044.5</v>
      </c>
      <c r="N43" s="71" t="n">
        <v>217015.57</v>
      </c>
      <c r="O43" s="71" t="n">
        <v>403028.93</v>
      </c>
      <c r="P43" s="71" t="n">
        <v>125514.07</v>
      </c>
      <c r="Q43" s="71" t="n">
        <v>277514.86</v>
      </c>
      <c r="R43" t="inlineStr">
        <is>
          <t>Vaccines</t>
        </is>
      </c>
      <c r="S43" s="70" t="n">
        <v>1671</v>
      </c>
      <c r="T43" s="71" t="n">
        <v>96241.83</v>
      </c>
      <c r="U43" t="inlineStr">
        <is>
          <t>Low</t>
        </is>
      </c>
      <c r="V43">
        <f>IF(AND(OR(Dashboard!$C$6="All",E43=Dashboard!$C$6),OR(Dashboard!$F$6="All",G43=Dashboard!$F$6),OR(Dashboard!$I$6="All",H43=Dashboard!$I$6)),1,0)</f>
        <v/>
      </c>
    </row>
    <row r="44">
      <c r="A44" t="inlineStr">
        <is>
          <t>PF100035</t>
        </is>
      </c>
      <c r="B44" s="68" t="n">
        <v>45661</v>
      </c>
      <c r="C44" s="69" t="n">
        <v>2025</v>
      </c>
      <c r="D44" t="inlineStr">
        <is>
          <t>Jan</t>
        </is>
      </c>
      <c r="E44" t="inlineStr">
        <is>
          <t>International developed</t>
        </is>
      </c>
      <c r="F44" t="inlineStr">
        <is>
          <t>Australia</t>
        </is>
      </c>
      <c r="G44" t="inlineStr">
        <is>
          <t>Ibrance</t>
        </is>
      </c>
      <c r="H44" t="inlineStr">
        <is>
          <t>Hospital</t>
        </is>
      </c>
      <c r="I44" t="inlineStr">
        <is>
          <t>Public payer</t>
        </is>
      </c>
      <c r="J44" t="inlineStr">
        <is>
          <t>Sophie Müller</t>
        </is>
      </c>
      <c r="K44" s="70" t="n">
        <v>2133</v>
      </c>
      <c r="L44" s="71" t="n">
        <v>3160.99</v>
      </c>
      <c r="M44" s="71" t="n">
        <v>6742391.67</v>
      </c>
      <c r="N44" s="71" t="n">
        <v>337119.58</v>
      </c>
      <c r="O44" s="71" t="n">
        <v>6405272.09</v>
      </c>
      <c r="P44" s="71" t="n">
        <v>951575.34</v>
      </c>
      <c r="Q44" s="71" t="n">
        <v>5453696.75</v>
      </c>
      <c r="R44" t="inlineStr">
        <is>
          <t>Oncology</t>
        </is>
      </c>
      <c r="S44" s="70" t="n">
        <v>1947</v>
      </c>
      <c r="T44" s="71" t="n">
        <v>1321816.74</v>
      </c>
      <c r="U44" t="inlineStr">
        <is>
          <t>High</t>
        </is>
      </c>
      <c r="V44">
        <f>IF(AND(OR(Dashboard!$C$6="All",E44=Dashboard!$C$6),OR(Dashboard!$F$6="All",G44=Dashboard!$F$6),OR(Dashboard!$I$6="All",H44=Dashboard!$I$6)),1,0)</f>
        <v/>
      </c>
    </row>
    <row r="45">
      <c r="A45" t="inlineStr">
        <is>
          <t>PF100036</t>
        </is>
      </c>
      <c r="B45" s="68" t="n">
        <v>45661</v>
      </c>
      <c r="C45" s="69" t="n">
        <v>2025</v>
      </c>
      <c r="D45" t="inlineStr">
        <is>
          <t>Jan</t>
        </is>
      </c>
      <c r="E45" t="inlineStr">
        <is>
          <t>Emerging markets</t>
        </is>
      </c>
      <c r="F45" t="inlineStr">
        <is>
          <t>Brazil</t>
        </is>
      </c>
      <c r="G45" t="inlineStr">
        <is>
          <t>Vyndaqel</t>
        </is>
      </c>
      <c r="H45" t="inlineStr">
        <is>
          <t>Hospital</t>
        </is>
      </c>
      <c r="I45" t="inlineStr">
        <is>
          <t>Public payer</t>
        </is>
      </c>
      <c r="J45" t="inlineStr">
        <is>
          <t>Arjun Mehta</t>
        </is>
      </c>
      <c r="K45" s="70" t="n">
        <v>2156</v>
      </c>
      <c r="L45" s="71" t="n">
        <v>5066.85</v>
      </c>
      <c r="M45" s="71" t="n">
        <v>10924128.6</v>
      </c>
      <c r="N45" s="71" t="n">
        <v>2731032.15</v>
      </c>
      <c r="O45" s="71" t="n">
        <v>8193096.45</v>
      </c>
      <c r="P45" s="71" t="n">
        <v>1375604.37</v>
      </c>
      <c r="Q45" s="71" t="n">
        <v>6817492.08</v>
      </c>
      <c r="R45" t="inlineStr">
        <is>
          <t>Rare disease</t>
        </is>
      </c>
      <c r="S45" s="70" t="n">
        <v>1423</v>
      </c>
      <c r="T45" s="71" t="n">
        <v>1395490.87</v>
      </c>
      <c r="U45" t="inlineStr">
        <is>
          <t>Medium</t>
        </is>
      </c>
      <c r="V45">
        <f>IF(AND(OR(Dashboard!$C$6="All",E45=Dashboard!$C$6),OR(Dashboard!$F$6="All",G45=Dashboard!$F$6),OR(Dashboard!$I$6="All",H45=Dashboard!$I$6)),1,0)</f>
        <v/>
      </c>
    </row>
    <row r="46">
      <c r="A46" t="inlineStr">
        <is>
          <t>PF100037</t>
        </is>
      </c>
      <c r="B46" s="68" t="n">
        <v>45662</v>
      </c>
      <c r="C46" s="69" t="n">
        <v>2025</v>
      </c>
      <c r="D46" t="inlineStr">
        <is>
          <t>Jan</t>
        </is>
      </c>
      <c r="E46" t="inlineStr">
        <is>
          <t>United States</t>
        </is>
      </c>
      <c r="F46" t="inlineStr">
        <is>
          <t>USA</t>
        </is>
      </c>
      <c r="G46" t="inlineStr">
        <is>
          <t>Abrysvo</t>
        </is>
      </c>
      <c r="H46" t="inlineStr">
        <is>
          <t>Hospital</t>
        </is>
      </c>
      <c r="I46" t="inlineStr">
        <is>
          <t>Self-pay</t>
        </is>
      </c>
      <c r="J46" t="inlineStr">
        <is>
          <t>Sophie Müller</t>
        </is>
      </c>
      <c r="K46" s="70" t="n">
        <v>1716</v>
      </c>
      <c r="L46" s="71" t="n">
        <v>415.6</v>
      </c>
      <c r="M46" s="71" t="n">
        <v>713169.6</v>
      </c>
      <c r="N46" s="71" t="n">
        <v>178292.4</v>
      </c>
      <c r="O46" s="71" t="n">
        <v>534877.2</v>
      </c>
      <c r="P46" s="71" t="n">
        <v>138380.79</v>
      </c>
      <c r="Q46" s="71" t="n">
        <v>396496.41</v>
      </c>
      <c r="R46" t="inlineStr">
        <is>
          <t>Vaccines</t>
        </is>
      </c>
      <c r="S46" s="70" t="n">
        <v>1195</v>
      </c>
      <c r="T46" s="71" t="n">
        <v>89945.64</v>
      </c>
      <c r="U46" t="inlineStr">
        <is>
          <t>Low</t>
        </is>
      </c>
      <c r="V46">
        <f>IF(AND(OR(Dashboard!$C$6="All",E46=Dashboard!$C$6),OR(Dashboard!$F$6="All",G46=Dashboard!$F$6),OR(Dashboard!$I$6="All",H46=Dashboard!$I$6)),1,0)</f>
        <v/>
      </c>
    </row>
    <row r="47">
      <c r="A47" t="inlineStr">
        <is>
          <t>PF100038</t>
        </is>
      </c>
      <c r="B47" s="68" t="n">
        <v>45662</v>
      </c>
      <c r="C47" s="69" t="n">
        <v>2025</v>
      </c>
      <c r="D47" t="inlineStr">
        <is>
          <t>Jan</t>
        </is>
      </c>
      <c r="E47" t="inlineStr">
        <is>
          <t>United States</t>
        </is>
      </c>
      <c r="F47" t="inlineStr">
        <is>
          <t>USA</t>
        </is>
      </c>
      <c r="G47" t="inlineStr">
        <is>
          <t>Eliquis</t>
        </is>
      </c>
      <c r="H47" t="inlineStr">
        <is>
          <t>Government / tender</t>
        </is>
      </c>
      <c r="I47" t="inlineStr">
        <is>
          <t>Public payer</t>
        </is>
      </c>
      <c r="J47" t="inlineStr">
        <is>
          <t>Carlos Silva</t>
        </is>
      </c>
      <c r="K47" s="70" t="n">
        <v>2269</v>
      </c>
      <c r="L47" s="71" t="n">
        <v>647.14</v>
      </c>
      <c r="M47" s="71" t="n">
        <v>1468360.66</v>
      </c>
      <c r="N47" s="71" t="n">
        <v>513926.23</v>
      </c>
      <c r="O47" s="71" t="n">
        <v>954434.4300000001</v>
      </c>
      <c r="P47" s="71" t="n">
        <v>170303.91</v>
      </c>
      <c r="Q47" s="71" t="n">
        <v>784130.52</v>
      </c>
      <c r="R47" t="inlineStr">
        <is>
          <t>Cardiology</t>
        </is>
      </c>
      <c r="S47" s="70" t="n">
        <v>1500</v>
      </c>
      <c r="T47" s="71" t="n">
        <v>228282.23</v>
      </c>
      <c r="U47" t="inlineStr">
        <is>
          <t>High</t>
        </is>
      </c>
      <c r="V47">
        <f>IF(AND(OR(Dashboard!$C$6="All",E47=Dashboard!$C$6),OR(Dashboard!$F$6="All",G47=Dashboard!$F$6),OR(Dashboard!$I$6="All",H47=Dashboard!$I$6)),1,0)</f>
        <v/>
      </c>
    </row>
    <row r="48">
      <c r="A48" t="inlineStr">
        <is>
          <t>PF100039</t>
        </is>
      </c>
      <c r="B48" s="68" t="n">
        <v>45662</v>
      </c>
      <c r="C48" s="69" t="n">
        <v>2025</v>
      </c>
      <c r="D48" t="inlineStr">
        <is>
          <t>Jan</t>
        </is>
      </c>
      <c r="E48" t="inlineStr">
        <is>
          <t>Europe</t>
        </is>
      </c>
      <c r="F48" t="inlineStr">
        <is>
          <t>UK</t>
        </is>
      </c>
      <c r="G48" t="inlineStr">
        <is>
          <t>Comirnaty</t>
        </is>
      </c>
      <c r="H48" t="inlineStr">
        <is>
          <t>Hospital</t>
        </is>
      </c>
      <c r="I48" t="inlineStr">
        <is>
          <t>Private insurer</t>
        </is>
      </c>
      <c r="J48" t="inlineStr">
        <is>
          <t>Omar Haddad</t>
        </is>
      </c>
      <c r="K48" s="70" t="n">
        <v>339</v>
      </c>
      <c r="L48" s="71" t="n">
        <v>101.45</v>
      </c>
      <c r="M48" s="71" t="n">
        <v>34391.55</v>
      </c>
      <c r="N48" s="71" t="n">
        <v>6878.31</v>
      </c>
      <c r="O48" s="71" t="n">
        <v>27513.24</v>
      </c>
      <c r="P48" s="71" t="n">
        <v>13193.04</v>
      </c>
      <c r="Q48" s="71" t="n">
        <v>14320.2</v>
      </c>
      <c r="R48" t="inlineStr">
        <is>
          <t>Vaccines</t>
        </is>
      </c>
      <c r="S48" s="70" t="n">
        <v>271</v>
      </c>
      <c r="T48" s="71" t="n">
        <v>4483.99</v>
      </c>
      <c r="U48" t="inlineStr">
        <is>
          <t>Low</t>
        </is>
      </c>
      <c r="V48">
        <f>IF(AND(OR(Dashboard!$C$6="All",E48=Dashboard!$C$6),OR(Dashboard!$F$6="All",G48=Dashboard!$F$6),OR(Dashboard!$I$6="All",H48=Dashboard!$I$6)),1,0)</f>
        <v/>
      </c>
    </row>
    <row r="49">
      <c r="A49" t="inlineStr">
        <is>
          <t>PF100040</t>
        </is>
      </c>
      <c r="B49" s="68" t="n">
        <v>45663</v>
      </c>
      <c r="C49" s="69" t="n">
        <v>2025</v>
      </c>
      <c r="D49" t="inlineStr">
        <is>
          <t>Jan</t>
        </is>
      </c>
      <c r="E49" t="inlineStr">
        <is>
          <t>Emerging markets</t>
        </is>
      </c>
      <c r="F49" t="inlineStr">
        <is>
          <t>India</t>
        </is>
      </c>
      <c r="G49" t="inlineStr">
        <is>
          <t>Abrysvo</t>
        </is>
      </c>
      <c r="H49" t="inlineStr">
        <is>
          <t>Hospital</t>
        </is>
      </c>
      <c r="I49" t="inlineStr">
        <is>
          <t>Public payer</t>
        </is>
      </c>
      <c r="J49" t="inlineStr">
        <is>
          <t>Ana Costa</t>
        </is>
      </c>
      <c r="K49" s="70" t="n">
        <v>1103</v>
      </c>
      <c r="L49" s="71" t="n">
        <v>276.14</v>
      </c>
      <c r="M49" s="71" t="n">
        <v>304582.42</v>
      </c>
      <c r="N49" s="71" t="n">
        <v>30458.24</v>
      </c>
      <c r="O49" s="71" t="n">
        <v>274124.18</v>
      </c>
      <c r="P49" s="71" t="n">
        <v>93837.34</v>
      </c>
      <c r="Q49" s="71" t="n">
        <v>180286.84</v>
      </c>
      <c r="R49" t="inlineStr">
        <is>
          <t>Vaccines</t>
        </is>
      </c>
      <c r="S49" s="70" t="n">
        <v>785</v>
      </c>
      <c r="T49" s="71" t="n">
        <v>45987</v>
      </c>
      <c r="U49" t="inlineStr">
        <is>
          <t>Low</t>
        </is>
      </c>
      <c r="V49">
        <f>IF(AND(OR(Dashboard!$C$6="All",E49=Dashboard!$C$6),OR(Dashboard!$F$6="All",G49=Dashboard!$F$6),OR(Dashboard!$I$6="All",H49=Dashboard!$I$6)),1,0)</f>
        <v/>
      </c>
    </row>
    <row r="50">
      <c r="A50" t="inlineStr">
        <is>
          <t>PF100041</t>
        </is>
      </c>
      <c r="B50" s="68" t="n">
        <v>45663</v>
      </c>
      <c r="C50" s="69" t="n">
        <v>2025</v>
      </c>
      <c r="D50" t="inlineStr">
        <is>
          <t>Jan</t>
        </is>
      </c>
      <c r="E50" t="inlineStr">
        <is>
          <t>International developed</t>
        </is>
      </c>
      <c r="F50" t="inlineStr">
        <is>
          <t>Australia</t>
        </is>
      </c>
      <c r="G50" t="inlineStr">
        <is>
          <t>Vyndaqel</t>
        </is>
      </c>
      <c r="H50" t="inlineStr">
        <is>
          <t>Government / tender</t>
        </is>
      </c>
      <c r="I50" t="inlineStr">
        <is>
          <t>Public payer</t>
        </is>
      </c>
      <c r="J50" t="inlineStr">
        <is>
          <t>Fatima Al-Saud</t>
        </is>
      </c>
      <c r="K50" s="70" t="n">
        <v>2405</v>
      </c>
      <c r="L50" s="71" t="n">
        <v>5490.17</v>
      </c>
      <c r="M50" s="71" t="n">
        <v>13203858.85</v>
      </c>
      <c r="N50" s="71" t="n">
        <v>1320385.89</v>
      </c>
      <c r="O50" s="71" t="n">
        <v>11883472.96</v>
      </c>
      <c r="P50" s="71" t="n">
        <v>1552038.12</v>
      </c>
      <c r="Q50" s="71" t="n">
        <v>10331434.84</v>
      </c>
      <c r="R50" t="inlineStr">
        <is>
          <t>Rare disease</t>
        </is>
      </c>
      <c r="S50" s="70" t="n">
        <v>1955</v>
      </c>
      <c r="T50" s="71" t="n">
        <v>2087160.9</v>
      </c>
      <c r="U50" t="inlineStr">
        <is>
          <t>Medium</t>
        </is>
      </c>
      <c r="V50">
        <f>IF(AND(OR(Dashboard!$C$6="All",E50=Dashboard!$C$6),OR(Dashboard!$F$6="All",G50=Dashboard!$F$6),OR(Dashboard!$I$6="All",H50=Dashboard!$I$6)),1,0)</f>
        <v/>
      </c>
    </row>
    <row r="51">
      <c r="A51" t="inlineStr">
        <is>
          <t>PF100042</t>
        </is>
      </c>
      <c r="B51" s="68" t="n">
        <v>45663</v>
      </c>
      <c r="C51" s="69" t="n">
        <v>2025</v>
      </c>
      <c r="D51" t="inlineStr">
        <is>
          <t>Jan</t>
        </is>
      </c>
      <c r="E51" t="inlineStr">
        <is>
          <t>Europe</t>
        </is>
      </c>
      <c r="F51" t="inlineStr">
        <is>
          <t>Spain</t>
        </is>
      </c>
      <c r="G51" t="inlineStr">
        <is>
          <t>Xeljanz</t>
        </is>
      </c>
      <c r="H51" t="inlineStr">
        <is>
          <t>Retail pharmacy</t>
        </is>
      </c>
      <c r="I51" t="inlineStr">
        <is>
          <t>Private insurer</t>
        </is>
      </c>
      <c r="J51" t="inlineStr">
        <is>
          <t>Omar Haddad</t>
        </is>
      </c>
      <c r="K51" s="70" t="n">
        <v>1828</v>
      </c>
      <c r="L51" s="71" t="n">
        <v>1434.54</v>
      </c>
      <c r="M51" s="71" t="n">
        <v>2622339.12</v>
      </c>
      <c r="N51" s="71" t="n">
        <v>655584.78</v>
      </c>
      <c r="O51" s="71" t="n">
        <v>1966754.34</v>
      </c>
      <c r="P51" s="71" t="n">
        <v>477698.37</v>
      </c>
      <c r="Q51" s="71" t="n">
        <v>1489055.97</v>
      </c>
      <c r="R51" t="inlineStr">
        <is>
          <t>Inflammation</t>
        </is>
      </c>
      <c r="S51" s="70" t="n">
        <v>1535</v>
      </c>
      <c r="T51" s="71" t="n">
        <v>539447.6899999999</v>
      </c>
      <c r="U51" t="inlineStr">
        <is>
          <t>High</t>
        </is>
      </c>
      <c r="V51">
        <f>IF(AND(OR(Dashboard!$C$6="All",E51=Dashboard!$C$6),OR(Dashboard!$F$6="All",G51=Dashboard!$F$6),OR(Dashboard!$I$6="All",H51=Dashboard!$I$6)),1,0)</f>
        <v/>
      </c>
    </row>
    <row r="52">
      <c r="A52" t="inlineStr">
        <is>
          <t>PF100043</t>
        </is>
      </c>
      <c r="B52" s="68" t="n">
        <v>45663</v>
      </c>
      <c r="C52" s="69" t="n">
        <v>2025</v>
      </c>
      <c r="D52" t="inlineStr">
        <is>
          <t>Jan</t>
        </is>
      </c>
      <c r="E52" t="inlineStr">
        <is>
          <t>Europe</t>
        </is>
      </c>
      <c r="F52" t="inlineStr">
        <is>
          <t>Spain</t>
        </is>
      </c>
      <c r="G52" t="inlineStr">
        <is>
          <t>Eliquis</t>
        </is>
      </c>
      <c r="H52" t="inlineStr">
        <is>
          <t>Retail pharmacy</t>
        </is>
      </c>
      <c r="I52" t="inlineStr">
        <is>
          <t>Private insurer</t>
        </is>
      </c>
      <c r="J52" t="inlineStr">
        <is>
          <t>Noah Smith</t>
        </is>
      </c>
      <c r="K52" s="70" t="n">
        <v>2451</v>
      </c>
      <c r="L52" s="71" t="n">
        <v>457.39</v>
      </c>
      <c r="M52" s="71" t="n">
        <v>1121062.89</v>
      </c>
      <c r="N52" s="71" t="n">
        <v>56053.14</v>
      </c>
      <c r="O52" s="71" t="n">
        <v>1065009.75</v>
      </c>
      <c r="P52" s="71" t="n">
        <v>186502.89</v>
      </c>
      <c r="Q52" s="71" t="n">
        <v>878506.86</v>
      </c>
      <c r="R52" t="inlineStr">
        <is>
          <t>Cardiology</t>
        </is>
      </c>
      <c r="S52" s="70" t="n">
        <v>1822</v>
      </c>
      <c r="T52" s="71" t="n">
        <v>206105.14</v>
      </c>
      <c r="U52" t="inlineStr">
        <is>
          <t>High</t>
        </is>
      </c>
      <c r="V52">
        <f>IF(AND(OR(Dashboard!$C$6="All",E52=Dashboard!$C$6),OR(Dashboard!$F$6="All",G52=Dashboard!$F$6),OR(Dashboard!$I$6="All",H52=Dashboard!$I$6)),1,0)</f>
        <v/>
      </c>
    </row>
    <row r="53">
      <c r="A53" t="inlineStr">
        <is>
          <t>PF100044</t>
        </is>
      </c>
      <c r="B53" s="68" t="n">
        <v>45663</v>
      </c>
      <c r="C53" s="69" t="n">
        <v>2025</v>
      </c>
      <c r="D53" t="inlineStr">
        <is>
          <t>Jan</t>
        </is>
      </c>
      <c r="E53" t="inlineStr">
        <is>
          <t>Europe</t>
        </is>
      </c>
      <c r="F53" t="inlineStr">
        <is>
          <t>Italy</t>
        </is>
      </c>
      <c r="G53" t="inlineStr">
        <is>
          <t>Eliquis</t>
        </is>
      </c>
      <c r="H53" t="inlineStr">
        <is>
          <t>Government / tender</t>
        </is>
      </c>
      <c r="I53" t="inlineStr">
        <is>
          <t>Public payer</t>
        </is>
      </c>
      <c r="J53" t="inlineStr">
        <is>
          <t>Emma Clarke</t>
        </is>
      </c>
      <c r="K53" s="70" t="n">
        <v>2745</v>
      </c>
      <c r="L53" s="71" t="n">
        <v>454.87</v>
      </c>
      <c r="M53" s="71" t="n">
        <v>1248618.15</v>
      </c>
      <c r="N53" s="71" t="n">
        <v>62430.91</v>
      </c>
      <c r="O53" s="71" t="n">
        <v>1186187.24</v>
      </c>
      <c r="P53" s="71" t="n">
        <v>205293.47</v>
      </c>
      <c r="Q53" s="71" t="n">
        <v>980893.77</v>
      </c>
      <c r="R53" t="inlineStr">
        <is>
          <t>Cardiology</t>
        </is>
      </c>
      <c r="S53" s="70" t="n">
        <v>2080</v>
      </c>
      <c r="T53" s="71" t="n">
        <v>246464.67</v>
      </c>
      <c r="U53" t="inlineStr">
        <is>
          <t>High</t>
        </is>
      </c>
      <c r="V53">
        <f>IF(AND(OR(Dashboard!$C$6="All",E53=Dashboard!$C$6),OR(Dashboard!$F$6="All",G53=Dashboard!$F$6),OR(Dashboard!$I$6="All",H53=Dashboard!$I$6)),1,0)</f>
        <v/>
      </c>
    </row>
    <row r="54">
      <c r="A54" t="inlineStr">
        <is>
          <t>PF100045</t>
        </is>
      </c>
      <c r="B54" s="68" t="n">
        <v>45663</v>
      </c>
      <c r="C54" s="69" t="n">
        <v>2025</v>
      </c>
      <c r="D54" t="inlineStr">
        <is>
          <t>Jan</t>
        </is>
      </c>
      <c r="E54" t="inlineStr">
        <is>
          <t>United States</t>
        </is>
      </c>
      <c r="F54" t="inlineStr">
        <is>
          <t>USA</t>
        </is>
      </c>
      <c r="G54" t="inlineStr">
        <is>
          <t>Comirnaty</t>
        </is>
      </c>
      <c r="H54" t="inlineStr">
        <is>
          <t>Hospital</t>
        </is>
      </c>
      <c r="I54" t="inlineStr">
        <is>
          <t>Private insurer</t>
        </is>
      </c>
      <c r="J54" t="inlineStr">
        <is>
          <t>Aisha Bello</t>
        </is>
      </c>
      <c r="K54" s="70" t="n">
        <v>98</v>
      </c>
      <c r="L54" s="71" t="n">
        <v>186.22</v>
      </c>
      <c r="M54" s="71" t="n">
        <v>18249.56</v>
      </c>
      <c r="N54" s="71" t="n">
        <v>6387.35</v>
      </c>
      <c r="O54" s="71" t="n">
        <v>11862.21</v>
      </c>
      <c r="P54" s="71" t="n">
        <v>3905.66</v>
      </c>
      <c r="Q54" s="71" t="n">
        <v>7956.55</v>
      </c>
      <c r="R54" t="inlineStr">
        <is>
          <t>Vaccines</t>
        </is>
      </c>
      <c r="S54" s="70" t="n">
        <v>61</v>
      </c>
      <c r="T54" s="71" t="n">
        <v>3155.08</v>
      </c>
      <c r="U54" t="inlineStr">
        <is>
          <t>Low</t>
        </is>
      </c>
      <c r="V54">
        <f>IF(AND(OR(Dashboard!$C$6="All",E54=Dashboard!$C$6),OR(Dashboard!$F$6="All",G54=Dashboard!$F$6),OR(Dashboard!$I$6="All",H54=Dashboard!$I$6)),1,0)</f>
        <v/>
      </c>
    </row>
    <row r="55">
      <c r="A55" t="inlineStr">
        <is>
          <t>PF100046</t>
        </is>
      </c>
      <c r="B55" s="68" t="n">
        <v>45664</v>
      </c>
      <c r="C55" s="69" t="n">
        <v>2025</v>
      </c>
      <c r="D55" t="inlineStr">
        <is>
          <t>Jan</t>
        </is>
      </c>
      <c r="E55" t="inlineStr">
        <is>
          <t>Europe</t>
        </is>
      </c>
      <c r="F55" t="inlineStr">
        <is>
          <t>Italy</t>
        </is>
      </c>
      <c r="G55" t="inlineStr">
        <is>
          <t>Prevnar 20</t>
        </is>
      </c>
      <c r="H55" t="inlineStr">
        <is>
          <t>Government / tender</t>
        </is>
      </c>
      <c r="I55" t="inlineStr">
        <is>
          <t>Public payer</t>
        </is>
      </c>
      <c r="J55" t="inlineStr">
        <is>
          <t>Ruhi Shaikh</t>
        </is>
      </c>
      <c r="K55" s="70" t="n">
        <v>1167</v>
      </c>
      <c r="L55" s="71" t="n">
        <v>250.06</v>
      </c>
      <c r="M55" s="71" t="n">
        <v>291820.02</v>
      </c>
      <c r="N55" s="71" t="n">
        <v>43773</v>
      </c>
      <c r="O55" s="71" t="n">
        <v>248047.02</v>
      </c>
      <c r="P55" s="71" t="n">
        <v>82667.55</v>
      </c>
      <c r="Q55" s="71" t="n">
        <v>165379.47</v>
      </c>
      <c r="R55" t="inlineStr">
        <is>
          <t>Vaccines</t>
        </is>
      </c>
      <c r="S55" s="70" t="n">
        <v>937</v>
      </c>
      <c r="T55" s="71" t="n">
        <v>40480.4</v>
      </c>
      <c r="U55" t="inlineStr">
        <is>
          <t>Low</t>
        </is>
      </c>
      <c r="V55">
        <f>IF(AND(OR(Dashboard!$C$6="All",E55=Dashboard!$C$6),OR(Dashboard!$F$6="All",G55=Dashboard!$F$6),OR(Dashboard!$I$6="All",H55=Dashboard!$I$6)),1,0)</f>
        <v/>
      </c>
    </row>
    <row r="56">
      <c r="A56" t="inlineStr">
        <is>
          <t>PF100047</t>
        </is>
      </c>
      <c r="B56" s="68" t="n">
        <v>45664</v>
      </c>
      <c r="C56" s="69" t="n">
        <v>2025</v>
      </c>
      <c r="D56" t="inlineStr">
        <is>
          <t>Jan</t>
        </is>
      </c>
      <c r="E56" t="inlineStr">
        <is>
          <t>Europe</t>
        </is>
      </c>
      <c r="F56" t="inlineStr">
        <is>
          <t>France</t>
        </is>
      </c>
      <c r="G56" t="inlineStr">
        <is>
          <t>Prevnar 20</t>
        </is>
      </c>
      <c r="H56" t="inlineStr">
        <is>
          <t>Retail pharmacy</t>
        </is>
      </c>
      <c r="I56" t="inlineStr">
        <is>
          <t>Private insurer</t>
        </is>
      </c>
      <c r="J56" t="inlineStr">
        <is>
          <t>Lucas Martin</t>
        </is>
      </c>
      <c r="K56" s="70" t="n">
        <v>967</v>
      </c>
      <c r="L56" s="71" t="n">
        <v>222.57</v>
      </c>
      <c r="M56" s="71" t="n">
        <v>215225.19</v>
      </c>
      <c r="N56" s="71" t="n">
        <v>43045.04</v>
      </c>
      <c r="O56" s="71" t="n">
        <v>172180.15</v>
      </c>
      <c r="P56" s="71" t="n">
        <v>64819.35</v>
      </c>
      <c r="Q56" s="71" t="n">
        <v>107360.8</v>
      </c>
      <c r="R56" t="inlineStr">
        <is>
          <t>Vaccines</t>
        </is>
      </c>
      <c r="S56" s="70" t="n">
        <v>745</v>
      </c>
      <c r="T56" s="71" t="n">
        <v>30577.7</v>
      </c>
      <c r="U56" t="inlineStr">
        <is>
          <t>Low</t>
        </is>
      </c>
      <c r="V56">
        <f>IF(AND(OR(Dashboard!$C$6="All",E56=Dashboard!$C$6),OR(Dashboard!$F$6="All",G56=Dashboard!$F$6),OR(Dashboard!$I$6="All",H56=Dashboard!$I$6)),1,0)</f>
        <v/>
      </c>
    </row>
    <row r="57">
      <c r="A57" t="inlineStr">
        <is>
          <t>PF100048</t>
        </is>
      </c>
      <c r="B57" s="68" t="n">
        <v>45664</v>
      </c>
      <c r="C57" s="69" t="n">
        <v>2025</v>
      </c>
      <c r="D57" t="inlineStr">
        <is>
          <t>Jan</t>
        </is>
      </c>
      <c r="E57" t="inlineStr">
        <is>
          <t>International developed</t>
        </is>
      </c>
      <c r="F57" t="inlineStr">
        <is>
          <t>Japan</t>
        </is>
      </c>
      <c r="G57" t="inlineStr">
        <is>
          <t>Comirnaty</t>
        </is>
      </c>
      <c r="H57" t="inlineStr">
        <is>
          <t>Hospital</t>
        </is>
      </c>
      <c r="I57" t="inlineStr">
        <is>
          <t>Self-pay</t>
        </is>
      </c>
      <c r="J57" t="inlineStr">
        <is>
          <t>Carlos Silva</t>
        </is>
      </c>
      <c r="K57" s="70" t="n">
        <v>2178</v>
      </c>
      <c r="L57" s="71" t="n">
        <v>105</v>
      </c>
      <c r="M57" s="71" t="n">
        <v>228690</v>
      </c>
      <c r="N57" s="71" t="n">
        <v>45738</v>
      </c>
      <c r="O57" s="71" t="n">
        <v>182952</v>
      </c>
      <c r="P57" s="71" t="n">
        <v>86050.7</v>
      </c>
      <c r="Q57" s="71" t="n">
        <v>96901.3</v>
      </c>
      <c r="R57" t="inlineStr">
        <is>
          <t>Vaccines</t>
        </is>
      </c>
      <c r="S57" s="70" t="n">
        <v>1458</v>
      </c>
      <c r="T57" s="71" t="n">
        <v>41716.6</v>
      </c>
      <c r="U57" t="inlineStr">
        <is>
          <t>Low</t>
        </is>
      </c>
      <c r="V57">
        <f>IF(AND(OR(Dashboard!$C$6="All",E57=Dashboard!$C$6),OR(Dashboard!$F$6="All",G57=Dashboard!$F$6),OR(Dashboard!$I$6="All",H57=Dashboard!$I$6)),1,0)</f>
        <v/>
      </c>
    </row>
    <row r="58">
      <c r="A58" t="inlineStr">
        <is>
          <t>PF100049</t>
        </is>
      </c>
      <c r="B58" s="68" t="n">
        <v>45664</v>
      </c>
      <c r="C58" s="69" t="n">
        <v>2025</v>
      </c>
      <c r="D58" t="inlineStr">
        <is>
          <t>Jan</t>
        </is>
      </c>
      <c r="E58" t="inlineStr">
        <is>
          <t>International developed</t>
        </is>
      </c>
      <c r="F58" t="inlineStr">
        <is>
          <t>Japan</t>
        </is>
      </c>
      <c r="G58" t="inlineStr">
        <is>
          <t>Prevnar 20</t>
        </is>
      </c>
      <c r="H58" t="inlineStr">
        <is>
          <t>Retail pharmacy</t>
        </is>
      </c>
      <c r="I58" t="inlineStr">
        <is>
          <t>Public payer</t>
        </is>
      </c>
      <c r="J58" t="inlineStr">
        <is>
          <t>Emma Clarke</t>
        </is>
      </c>
      <c r="K58" s="70" t="n">
        <v>1979</v>
      </c>
      <c r="L58" s="71" t="n">
        <v>230.86</v>
      </c>
      <c r="M58" s="71" t="n">
        <v>456871.94</v>
      </c>
      <c r="N58" s="71" t="n">
        <v>68530.78999999999</v>
      </c>
      <c r="O58" s="71" t="n">
        <v>388341.15</v>
      </c>
      <c r="P58" s="71" t="n">
        <v>140767.77</v>
      </c>
      <c r="Q58" s="71" t="n">
        <v>247573.38</v>
      </c>
      <c r="R58" t="inlineStr">
        <is>
          <t>Vaccines</t>
        </is>
      </c>
      <c r="S58" s="70" t="n">
        <v>1636</v>
      </c>
      <c r="T58" s="71" t="n">
        <v>64308.18</v>
      </c>
      <c r="U58" t="inlineStr">
        <is>
          <t>Low</t>
        </is>
      </c>
      <c r="V58">
        <f>IF(AND(OR(Dashboard!$C$6="All",E58=Dashboard!$C$6),OR(Dashboard!$F$6="All",G58=Dashboard!$F$6),OR(Dashboard!$I$6="All",H58=Dashboard!$I$6)),1,0)</f>
        <v/>
      </c>
    </row>
    <row r="59">
      <c r="A59" t="inlineStr">
        <is>
          <t>PF100050</t>
        </is>
      </c>
      <c r="B59" s="68" t="n">
        <v>45664</v>
      </c>
      <c r="C59" s="69" t="n">
        <v>2025</v>
      </c>
      <c r="D59" t="inlineStr">
        <is>
          <t>Jan</t>
        </is>
      </c>
      <c r="E59" t="inlineStr">
        <is>
          <t>Emerging markets</t>
        </is>
      </c>
      <c r="F59" t="inlineStr">
        <is>
          <t>Brazil</t>
        </is>
      </c>
      <c r="G59" t="inlineStr">
        <is>
          <t>Abrysvo</t>
        </is>
      </c>
      <c r="H59" t="inlineStr">
        <is>
          <t>Government / tender</t>
        </is>
      </c>
      <c r="I59" t="inlineStr">
        <is>
          <t>Public payer</t>
        </is>
      </c>
      <c r="J59" t="inlineStr">
        <is>
          <t>Ruhi Shaikh</t>
        </is>
      </c>
      <c r="K59" s="70" t="n">
        <v>1112</v>
      </c>
      <c r="L59" s="71" t="n">
        <v>286.45</v>
      </c>
      <c r="M59" s="71" t="n">
        <v>318532.4</v>
      </c>
      <c r="N59" s="71" t="n">
        <v>15926.62</v>
      </c>
      <c r="O59" s="71" t="n">
        <v>302605.78</v>
      </c>
      <c r="P59" s="71" t="n">
        <v>91342.97</v>
      </c>
      <c r="Q59" s="71" t="n">
        <v>211262.81</v>
      </c>
      <c r="R59" t="inlineStr">
        <is>
          <t>Vaccines</t>
        </is>
      </c>
      <c r="S59" s="70" t="n">
        <v>820</v>
      </c>
      <c r="T59" s="71" t="n">
        <v>64678.75</v>
      </c>
      <c r="U59" t="inlineStr">
        <is>
          <t>Low</t>
        </is>
      </c>
      <c r="V59">
        <f>IF(AND(OR(Dashboard!$C$6="All",E59=Dashboard!$C$6),OR(Dashboard!$F$6="All",G59=Dashboard!$F$6),OR(Dashboard!$I$6="All",H59=Dashboard!$I$6)),1,0)</f>
        <v/>
      </c>
    </row>
    <row r="60">
      <c r="A60" t="inlineStr">
        <is>
          <t>PF100051</t>
        </is>
      </c>
      <c r="B60" s="68" t="n">
        <v>45664</v>
      </c>
      <c r="C60" s="69" t="n">
        <v>2025</v>
      </c>
      <c r="D60" t="inlineStr">
        <is>
          <t>Jan</t>
        </is>
      </c>
      <c r="E60" t="inlineStr">
        <is>
          <t>Europe</t>
        </is>
      </c>
      <c r="F60" t="inlineStr">
        <is>
          <t>UK</t>
        </is>
      </c>
      <c r="G60" t="inlineStr">
        <is>
          <t>Eliquis</t>
        </is>
      </c>
      <c r="H60" t="inlineStr">
        <is>
          <t>Hospital</t>
        </is>
      </c>
      <c r="I60" t="inlineStr">
        <is>
          <t>Private insurer</t>
        </is>
      </c>
      <c r="J60" t="inlineStr">
        <is>
          <t>Yuki Sato</t>
        </is>
      </c>
      <c r="K60" s="70" t="n">
        <v>172</v>
      </c>
      <c r="L60" s="71" t="n">
        <v>394.61</v>
      </c>
      <c r="M60" s="71" t="n">
        <v>67872.92</v>
      </c>
      <c r="N60" s="71" t="n">
        <v>16968.23</v>
      </c>
      <c r="O60" s="71" t="n">
        <v>50904.69</v>
      </c>
      <c r="P60" s="71" t="n">
        <v>12704.09</v>
      </c>
      <c r="Q60" s="71" t="n">
        <v>38200.6</v>
      </c>
      <c r="R60" t="inlineStr">
        <is>
          <t>Cardiology</t>
        </is>
      </c>
      <c r="S60" s="70" t="n">
        <v>119</v>
      </c>
      <c r="T60" s="71" t="n">
        <v>10318.71</v>
      </c>
      <c r="U60" t="inlineStr">
        <is>
          <t>High</t>
        </is>
      </c>
      <c r="V60">
        <f>IF(AND(OR(Dashboard!$C$6="All",E60=Dashboard!$C$6),OR(Dashboard!$F$6="All",G60=Dashboard!$F$6),OR(Dashboard!$I$6="All",H60=Dashboard!$I$6)),1,0)</f>
        <v/>
      </c>
    </row>
    <row r="61">
      <c r="A61" t="inlineStr">
        <is>
          <t>PF100052</t>
        </is>
      </c>
      <c r="B61" s="68" t="n">
        <v>45664</v>
      </c>
      <c r="C61" s="69" t="n">
        <v>2025</v>
      </c>
      <c r="D61" t="inlineStr">
        <is>
          <t>Jan</t>
        </is>
      </c>
      <c r="E61" t="inlineStr">
        <is>
          <t>Emerging markets</t>
        </is>
      </c>
      <c r="F61" t="inlineStr">
        <is>
          <t>India</t>
        </is>
      </c>
      <c r="G61" t="inlineStr">
        <is>
          <t>Eliquis</t>
        </is>
      </c>
      <c r="H61" t="inlineStr">
        <is>
          <t>Hospital</t>
        </is>
      </c>
      <c r="I61" t="inlineStr">
        <is>
          <t>Private insurer</t>
        </is>
      </c>
      <c r="J61" t="inlineStr">
        <is>
          <t>Sophie Müller</t>
        </is>
      </c>
      <c r="K61" s="70" t="n">
        <v>2129</v>
      </c>
      <c r="L61" s="71" t="n">
        <v>420.19</v>
      </c>
      <c r="M61" s="71" t="n">
        <v>894584.51</v>
      </c>
      <c r="N61" s="71" t="n">
        <v>223646.13</v>
      </c>
      <c r="O61" s="71" t="n">
        <v>670938.38</v>
      </c>
      <c r="P61" s="71" t="n">
        <v>156856.99</v>
      </c>
      <c r="Q61" s="71" t="n">
        <v>514081.39</v>
      </c>
      <c r="R61" t="inlineStr">
        <is>
          <t>Cardiology</t>
        </is>
      </c>
      <c r="S61" s="70" t="n">
        <v>1843</v>
      </c>
      <c r="T61" s="71" t="n">
        <v>182998.07</v>
      </c>
      <c r="U61" t="inlineStr">
        <is>
          <t>High</t>
        </is>
      </c>
      <c r="V61">
        <f>IF(AND(OR(Dashboard!$C$6="All",E61=Dashboard!$C$6),OR(Dashboard!$F$6="All",G61=Dashboard!$F$6),OR(Dashboard!$I$6="All",H61=Dashboard!$I$6)),1,0)</f>
        <v/>
      </c>
    </row>
    <row r="62">
      <c r="A62" t="inlineStr">
        <is>
          <t>PF100053</t>
        </is>
      </c>
      <c r="B62" s="68" t="n">
        <v>45664</v>
      </c>
      <c r="C62" s="69" t="n">
        <v>2025</v>
      </c>
      <c r="D62" t="inlineStr">
        <is>
          <t>Jan</t>
        </is>
      </c>
      <c r="E62" t="inlineStr">
        <is>
          <t>United States</t>
        </is>
      </c>
      <c r="F62" t="inlineStr">
        <is>
          <t>USA</t>
        </is>
      </c>
      <c r="G62" t="inlineStr">
        <is>
          <t>Ibrance</t>
        </is>
      </c>
      <c r="H62" t="inlineStr">
        <is>
          <t>Government / tender</t>
        </is>
      </c>
      <c r="I62" t="inlineStr">
        <is>
          <t>Public payer</t>
        </is>
      </c>
      <c r="J62" t="inlineStr">
        <is>
          <t>Arjun Mehta</t>
        </is>
      </c>
      <c r="K62" s="70" t="n">
        <v>1197</v>
      </c>
      <c r="L62" s="71" t="n">
        <v>5013.52</v>
      </c>
      <c r="M62" s="71" t="n">
        <v>6001183.44</v>
      </c>
      <c r="N62" s="71" t="n">
        <v>900177.52</v>
      </c>
      <c r="O62" s="71" t="n">
        <v>5101005.92</v>
      </c>
      <c r="P62" s="71" t="n">
        <v>521238.39</v>
      </c>
      <c r="Q62" s="71" t="n">
        <v>4579767.53</v>
      </c>
      <c r="R62" t="inlineStr">
        <is>
          <t>Oncology</t>
        </is>
      </c>
      <c r="S62" s="70" t="n">
        <v>1088</v>
      </c>
      <c r="T62" s="71" t="n">
        <v>844527.98</v>
      </c>
      <c r="U62" t="inlineStr">
        <is>
          <t>High</t>
        </is>
      </c>
      <c r="V62">
        <f>IF(AND(OR(Dashboard!$C$6="All",E62=Dashboard!$C$6),OR(Dashboard!$F$6="All",G62=Dashboard!$F$6),OR(Dashboard!$I$6="All",H62=Dashboard!$I$6)),1,0)</f>
        <v/>
      </c>
    </row>
    <row r="63">
      <c r="A63" t="inlineStr">
        <is>
          <t>PF100054</t>
        </is>
      </c>
      <c r="B63" s="68" t="n">
        <v>45664</v>
      </c>
      <c r="C63" s="69" t="n">
        <v>2025</v>
      </c>
      <c r="D63" t="inlineStr">
        <is>
          <t>Jan</t>
        </is>
      </c>
      <c r="E63" t="inlineStr">
        <is>
          <t>Emerging markets</t>
        </is>
      </c>
      <c r="F63" t="inlineStr">
        <is>
          <t>Mexico</t>
        </is>
      </c>
      <c r="G63" t="inlineStr">
        <is>
          <t>Abrysvo</t>
        </is>
      </c>
      <c r="H63" t="inlineStr">
        <is>
          <t>Government / tender</t>
        </is>
      </c>
      <c r="I63" t="inlineStr">
        <is>
          <t>Public payer</t>
        </is>
      </c>
      <c r="J63" t="inlineStr">
        <is>
          <t>Ruhi Shaikh</t>
        </is>
      </c>
      <c r="K63" s="70" t="n">
        <v>1859</v>
      </c>
      <c r="L63" s="71" t="n">
        <v>302.15</v>
      </c>
      <c r="M63" s="71" t="n">
        <v>561696.85</v>
      </c>
      <c r="N63" s="71" t="n">
        <v>84254.53</v>
      </c>
      <c r="O63" s="71" t="n">
        <v>477442.32</v>
      </c>
      <c r="P63" s="71" t="n">
        <v>157818.9</v>
      </c>
      <c r="Q63" s="71" t="n">
        <v>319623.42</v>
      </c>
      <c r="R63" t="inlineStr">
        <is>
          <t>Vaccines</t>
        </is>
      </c>
      <c r="S63" s="70" t="n">
        <v>1179</v>
      </c>
      <c r="T63" s="71" t="n">
        <v>105229.82</v>
      </c>
      <c r="U63" t="inlineStr">
        <is>
          <t>Low</t>
        </is>
      </c>
      <c r="V63">
        <f>IF(AND(OR(Dashboard!$C$6="All",E63=Dashboard!$C$6),OR(Dashboard!$F$6="All",G63=Dashboard!$F$6),OR(Dashboard!$I$6="All",H63=Dashboard!$I$6)),1,0)</f>
        <v/>
      </c>
    </row>
    <row r="64">
      <c r="A64" t="inlineStr">
        <is>
          <t>PF100055</t>
        </is>
      </c>
      <c r="B64" s="68" t="n">
        <v>45665</v>
      </c>
      <c r="C64" s="69" t="n">
        <v>2025</v>
      </c>
      <c r="D64" t="inlineStr">
        <is>
          <t>Jan</t>
        </is>
      </c>
      <c r="E64" t="inlineStr">
        <is>
          <t>United States</t>
        </is>
      </c>
      <c r="F64" t="inlineStr">
        <is>
          <t>USA</t>
        </is>
      </c>
      <c r="G64" t="inlineStr">
        <is>
          <t>Prevnar 20</t>
        </is>
      </c>
      <c r="H64" t="inlineStr">
        <is>
          <t>Retail pharmacy</t>
        </is>
      </c>
      <c r="I64" t="inlineStr">
        <is>
          <t>Private insurer</t>
        </is>
      </c>
      <c r="J64" t="inlineStr">
        <is>
          <t>Carlos Silva</t>
        </is>
      </c>
      <c r="K64" s="70" t="n">
        <v>2723</v>
      </c>
      <c r="L64" s="71" t="n">
        <v>355.5</v>
      </c>
      <c r="M64" s="71" t="n">
        <v>968026.5</v>
      </c>
      <c r="N64" s="71" t="n">
        <v>290407.95</v>
      </c>
      <c r="O64" s="71" t="n">
        <v>677618.55</v>
      </c>
      <c r="P64" s="71" t="n">
        <v>188561.85</v>
      </c>
      <c r="Q64" s="71" t="n">
        <v>489056.7</v>
      </c>
      <c r="R64" t="inlineStr">
        <is>
          <t>Vaccines</t>
        </is>
      </c>
      <c r="S64" s="70" t="n">
        <v>2328</v>
      </c>
      <c r="T64" s="71" t="n">
        <v>211984.62</v>
      </c>
      <c r="U64" t="inlineStr">
        <is>
          <t>Low</t>
        </is>
      </c>
      <c r="V64">
        <f>IF(AND(OR(Dashboard!$C$6="All",E64=Dashboard!$C$6),OR(Dashboard!$F$6="All",G64=Dashboard!$F$6),OR(Dashboard!$I$6="All",H64=Dashboard!$I$6)),1,0)</f>
        <v/>
      </c>
    </row>
    <row r="65">
      <c r="A65" t="inlineStr">
        <is>
          <t>PF100056</t>
        </is>
      </c>
      <c r="B65" s="68" t="n">
        <v>45665</v>
      </c>
      <c r="C65" s="69" t="n">
        <v>2025</v>
      </c>
      <c r="D65" t="inlineStr">
        <is>
          <t>Jan</t>
        </is>
      </c>
      <c r="E65" t="inlineStr">
        <is>
          <t>International developed</t>
        </is>
      </c>
      <c r="F65" t="inlineStr">
        <is>
          <t>Japan</t>
        </is>
      </c>
      <c r="G65" t="inlineStr">
        <is>
          <t>Prevnar 20</t>
        </is>
      </c>
      <c r="H65" t="inlineStr">
        <is>
          <t>Government / tender</t>
        </is>
      </c>
      <c r="I65" t="inlineStr">
        <is>
          <t>Private insurer</t>
        </is>
      </c>
      <c r="J65" t="inlineStr">
        <is>
          <t>Ruhi Shaikh</t>
        </is>
      </c>
      <c r="K65" s="70" t="n">
        <v>2501</v>
      </c>
      <c r="L65" s="71" t="n">
        <v>248.5</v>
      </c>
      <c r="M65" s="71" t="n">
        <v>621498.5</v>
      </c>
      <c r="N65" s="71" t="n">
        <v>124299.7</v>
      </c>
      <c r="O65" s="71" t="n">
        <v>497198.8</v>
      </c>
      <c r="P65" s="71" t="n">
        <v>172523.74</v>
      </c>
      <c r="Q65" s="71" t="n">
        <v>324675.06</v>
      </c>
      <c r="R65" t="inlineStr">
        <is>
          <t>Vaccines</t>
        </is>
      </c>
      <c r="S65" s="70" t="n">
        <v>2466</v>
      </c>
      <c r="T65" s="71" t="n">
        <v>79365.88</v>
      </c>
      <c r="U65" t="inlineStr">
        <is>
          <t>Low</t>
        </is>
      </c>
      <c r="V65">
        <f>IF(AND(OR(Dashboard!$C$6="All",E65=Dashboard!$C$6),OR(Dashboard!$F$6="All",G65=Dashboard!$F$6),OR(Dashboard!$I$6="All",H65=Dashboard!$I$6)),1,0)</f>
        <v/>
      </c>
    </row>
    <row r="66">
      <c r="A66" t="inlineStr">
        <is>
          <t>PF100057</t>
        </is>
      </c>
      <c r="B66" s="68" t="n">
        <v>45665</v>
      </c>
      <c r="C66" s="69" t="n">
        <v>2025</v>
      </c>
      <c r="D66" t="inlineStr">
        <is>
          <t>Jan</t>
        </is>
      </c>
      <c r="E66" t="inlineStr">
        <is>
          <t>United States</t>
        </is>
      </c>
      <c r="F66" t="inlineStr">
        <is>
          <t>USA</t>
        </is>
      </c>
      <c r="G66" t="inlineStr">
        <is>
          <t>Eliquis</t>
        </is>
      </c>
      <c r="H66" t="inlineStr">
        <is>
          <t>Hospital</t>
        </is>
      </c>
      <c r="I66" t="inlineStr">
        <is>
          <t>Public payer</t>
        </is>
      </c>
      <c r="J66" t="inlineStr">
        <is>
          <t>Sara Rossi</t>
        </is>
      </c>
      <c r="K66" s="70" t="n">
        <v>60</v>
      </c>
      <c r="L66" s="71" t="n">
        <v>686.1</v>
      </c>
      <c r="M66" s="71" t="n">
        <v>41166</v>
      </c>
      <c r="N66" s="71" t="n">
        <v>8233.200000000001</v>
      </c>
      <c r="O66" s="71" t="n">
        <v>32932.8</v>
      </c>
      <c r="P66" s="71" t="n">
        <v>4694.7</v>
      </c>
      <c r="Q66" s="71" t="n">
        <v>28238.1</v>
      </c>
      <c r="R66" t="inlineStr">
        <is>
          <t>Cardiology</t>
        </is>
      </c>
      <c r="S66" s="70" t="n">
        <v>57</v>
      </c>
      <c r="T66" s="71" t="n">
        <v>6596.21</v>
      </c>
      <c r="U66" t="inlineStr">
        <is>
          <t>High</t>
        </is>
      </c>
      <c r="V66">
        <f>IF(AND(OR(Dashboard!$C$6="All",E66=Dashboard!$C$6),OR(Dashboard!$F$6="All",G66=Dashboard!$F$6),OR(Dashboard!$I$6="All",H66=Dashboard!$I$6)),1,0)</f>
        <v/>
      </c>
    </row>
    <row r="67">
      <c r="A67" t="inlineStr">
        <is>
          <t>PF100058</t>
        </is>
      </c>
      <c r="B67" s="68" t="n">
        <v>45665</v>
      </c>
      <c r="C67" s="69" t="n">
        <v>2025</v>
      </c>
      <c r="D67" t="inlineStr">
        <is>
          <t>Jan</t>
        </is>
      </c>
      <c r="E67" t="inlineStr">
        <is>
          <t>United States</t>
        </is>
      </c>
      <c r="F67" t="inlineStr">
        <is>
          <t>USA</t>
        </is>
      </c>
      <c r="G67" t="inlineStr">
        <is>
          <t>Ibrance</t>
        </is>
      </c>
      <c r="H67" t="inlineStr">
        <is>
          <t>Retail pharmacy</t>
        </is>
      </c>
      <c r="I67" t="inlineStr">
        <is>
          <t>Public payer</t>
        </is>
      </c>
      <c r="J67" t="inlineStr">
        <is>
          <t>Yuki Sato</t>
        </is>
      </c>
      <c r="K67" s="70" t="n">
        <v>557</v>
      </c>
      <c r="L67" s="71" t="n">
        <v>4327.86</v>
      </c>
      <c r="M67" s="71" t="n">
        <v>2410618.02</v>
      </c>
      <c r="N67" s="71" t="n">
        <v>723185.41</v>
      </c>
      <c r="O67" s="71" t="n">
        <v>1687432.61</v>
      </c>
      <c r="P67" s="71" t="n">
        <v>241274.82</v>
      </c>
      <c r="Q67" s="71" t="n">
        <v>1446157.79</v>
      </c>
      <c r="R67" t="inlineStr">
        <is>
          <t>Oncology</t>
        </is>
      </c>
      <c r="S67" s="70" t="n">
        <v>421</v>
      </c>
      <c r="T67" s="71" t="n">
        <v>359997.9</v>
      </c>
      <c r="U67" t="inlineStr">
        <is>
          <t>High</t>
        </is>
      </c>
      <c r="V67">
        <f>IF(AND(OR(Dashboard!$C$6="All",E67=Dashboard!$C$6),OR(Dashboard!$F$6="All",G67=Dashboard!$F$6),OR(Dashboard!$I$6="All",H67=Dashboard!$I$6)),1,0)</f>
        <v/>
      </c>
    </row>
    <row r="68">
      <c r="A68" t="inlineStr">
        <is>
          <t>PF100059</t>
        </is>
      </c>
      <c r="B68" s="68" t="n">
        <v>45665</v>
      </c>
      <c r="C68" s="69" t="n">
        <v>2025</v>
      </c>
      <c r="D68" t="inlineStr">
        <is>
          <t>Jan</t>
        </is>
      </c>
      <c r="E68" t="inlineStr">
        <is>
          <t>United States</t>
        </is>
      </c>
      <c r="F68" t="inlineStr">
        <is>
          <t>USA</t>
        </is>
      </c>
      <c r="G68" t="inlineStr">
        <is>
          <t>Vyndaqel</t>
        </is>
      </c>
      <c r="H68" t="inlineStr">
        <is>
          <t>Hospital</t>
        </is>
      </c>
      <c r="I68" t="inlineStr">
        <is>
          <t>Private insurer</t>
        </is>
      </c>
      <c r="J68" t="inlineStr">
        <is>
          <t>Wei Chen</t>
        </is>
      </c>
      <c r="K68" s="70" t="n">
        <v>2659</v>
      </c>
      <c r="L68" s="71" t="n">
        <v>7729.25</v>
      </c>
      <c r="M68" s="71" t="n">
        <v>20552075.75</v>
      </c>
      <c r="N68" s="71" t="n">
        <v>5138018.94</v>
      </c>
      <c r="O68" s="71" t="n">
        <v>15414056.81</v>
      </c>
      <c r="P68" s="71" t="n">
        <v>1639149.49</v>
      </c>
      <c r="Q68" s="71" t="n">
        <v>13774907.32</v>
      </c>
      <c r="R68" t="inlineStr">
        <is>
          <t>Rare disease</t>
        </is>
      </c>
      <c r="S68" s="70" t="n">
        <v>1678</v>
      </c>
      <c r="T68" s="71" t="n">
        <v>3777401.54</v>
      </c>
      <c r="U68" t="inlineStr">
        <is>
          <t>Medium</t>
        </is>
      </c>
      <c r="V68">
        <f>IF(AND(OR(Dashboard!$C$6="All",E68=Dashboard!$C$6),OR(Dashboard!$F$6="All",G68=Dashboard!$F$6),OR(Dashboard!$I$6="All",H68=Dashboard!$I$6)),1,0)</f>
        <v/>
      </c>
    </row>
    <row r="69">
      <c r="A69" t="inlineStr">
        <is>
          <t>PF100060</t>
        </is>
      </c>
      <c r="B69" s="68" t="n">
        <v>45665</v>
      </c>
      <c r="C69" s="69" t="n">
        <v>2025</v>
      </c>
      <c r="D69" t="inlineStr">
        <is>
          <t>Jan</t>
        </is>
      </c>
      <c r="E69" t="inlineStr">
        <is>
          <t>Emerging markets</t>
        </is>
      </c>
      <c r="F69" t="inlineStr">
        <is>
          <t>Brazil</t>
        </is>
      </c>
      <c r="G69" t="inlineStr">
        <is>
          <t>Prevnar 20</t>
        </is>
      </c>
      <c r="H69" t="inlineStr">
        <is>
          <t>Hospital</t>
        </is>
      </c>
      <c r="I69" t="inlineStr">
        <is>
          <t>Public payer</t>
        </is>
      </c>
      <c r="J69" t="inlineStr">
        <is>
          <t>Lucas Martin</t>
        </is>
      </c>
      <c r="K69" s="70" t="n">
        <v>1778</v>
      </c>
      <c r="L69" s="71" t="n">
        <v>216.09</v>
      </c>
      <c r="M69" s="71" t="n">
        <v>384208.02</v>
      </c>
      <c r="N69" s="71" t="n">
        <v>96052.00999999999</v>
      </c>
      <c r="O69" s="71" t="n">
        <v>288156.01</v>
      </c>
      <c r="P69" s="71" t="n">
        <v>119473.94</v>
      </c>
      <c r="Q69" s="71" t="n">
        <v>168682.07</v>
      </c>
      <c r="R69" t="inlineStr">
        <is>
          <t>Vaccines</t>
        </is>
      </c>
      <c r="S69" s="70" t="n">
        <v>1236</v>
      </c>
      <c r="T69" s="71" t="n">
        <v>63237.99</v>
      </c>
      <c r="U69" t="inlineStr">
        <is>
          <t>Low</t>
        </is>
      </c>
      <c r="V69">
        <f>IF(AND(OR(Dashboard!$C$6="All",E69=Dashboard!$C$6),OR(Dashboard!$F$6="All",G69=Dashboard!$F$6),OR(Dashboard!$I$6="All",H69=Dashboard!$I$6)),1,0)</f>
        <v/>
      </c>
    </row>
    <row r="70">
      <c r="A70" t="inlineStr">
        <is>
          <t>PF100061</t>
        </is>
      </c>
      <c r="B70" s="68" t="n">
        <v>45665</v>
      </c>
      <c r="C70" s="69" t="n">
        <v>2025</v>
      </c>
      <c r="D70" t="inlineStr">
        <is>
          <t>Jan</t>
        </is>
      </c>
      <c r="E70" t="inlineStr">
        <is>
          <t>United States</t>
        </is>
      </c>
      <c r="F70" t="inlineStr">
        <is>
          <t>USA</t>
        </is>
      </c>
      <c r="G70" t="inlineStr">
        <is>
          <t>Comirnaty</t>
        </is>
      </c>
      <c r="H70" t="inlineStr">
        <is>
          <t>Government / tender</t>
        </is>
      </c>
      <c r="I70" t="inlineStr">
        <is>
          <t>Public payer</t>
        </is>
      </c>
      <c r="J70" t="inlineStr">
        <is>
          <t>Omar Haddad</t>
        </is>
      </c>
      <c r="K70" s="70" t="n">
        <v>1791</v>
      </c>
      <c r="L70" s="71" t="n">
        <v>163.71</v>
      </c>
      <c r="M70" s="71" t="n">
        <v>293204.61</v>
      </c>
      <c r="N70" s="71" t="n">
        <v>102621.61</v>
      </c>
      <c r="O70" s="71" t="n">
        <v>190583</v>
      </c>
      <c r="P70" s="71" t="n">
        <v>67578.91</v>
      </c>
      <c r="Q70" s="71" t="n">
        <v>123004.09</v>
      </c>
      <c r="R70" t="inlineStr">
        <is>
          <t>Vaccines</t>
        </is>
      </c>
      <c r="S70" s="70" t="n">
        <v>1183</v>
      </c>
      <c r="T70" s="71" t="n">
        <v>36632.43</v>
      </c>
      <c r="U70" t="inlineStr">
        <is>
          <t>Low</t>
        </is>
      </c>
      <c r="V70">
        <f>IF(AND(OR(Dashboard!$C$6="All",E70=Dashboard!$C$6),OR(Dashboard!$F$6="All",G70=Dashboard!$F$6),OR(Dashboard!$I$6="All",H70=Dashboard!$I$6)),1,0)</f>
        <v/>
      </c>
    </row>
    <row r="71">
      <c r="A71" t="inlineStr">
        <is>
          <t>PF100062</t>
        </is>
      </c>
      <c r="B71" s="68" t="n">
        <v>45665</v>
      </c>
      <c r="C71" s="69" t="n">
        <v>2025</v>
      </c>
      <c r="D71" t="inlineStr">
        <is>
          <t>Jan</t>
        </is>
      </c>
      <c r="E71" t="inlineStr">
        <is>
          <t>Europe</t>
        </is>
      </c>
      <c r="F71" t="inlineStr">
        <is>
          <t>UK</t>
        </is>
      </c>
      <c r="G71" t="inlineStr">
        <is>
          <t>Abrysvo</t>
        </is>
      </c>
      <c r="H71" t="inlineStr">
        <is>
          <t>Government / tender</t>
        </is>
      </c>
      <c r="I71" t="inlineStr">
        <is>
          <t>Public payer</t>
        </is>
      </c>
      <c r="J71" t="inlineStr">
        <is>
          <t>Kofi Mensah</t>
        </is>
      </c>
      <c r="K71" s="70" t="n">
        <v>973</v>
      </c>
      <c r="L71" s="71" t="n">
        <v>307.47</v>
      </c>
      <c r="M71" s="71" t="n">
        <v>299168.31</v>
      </c>
      <c r="N71" s="71" t="n">
        <v>44875.25</v>
      </c>
      <c r="O71" s="71" t="n">
        <v>254293.06</v>
      </c>
      <c r="P71" s="71" t="n">
        <v>79940.92999999999</v>
      </c>
      <c r="Q71" s="71" t="n">
        <v>174352.13</v>
      </c>
      <c r="R71" t="inlineStr">
        <is>
          <t>Vaccines</t>
        </is>
      </c>
      <c r="S71" s="70" t="n">
        <v>693</v>
      </c>
      <c r="T71" s="71" t="n">
        <v>49386.38</v>
      </c>
      <c r="U71" t="inlineStr">
        <is>
          <t>Low</t>
        </is>
      </c>
      <c r="V71">
        <f>IF(AND(OR(Dashboard!$C$6="All",E71=Dashboard!$C$6),OR(Dashboard!$F$6="All",G71=Dashboard!$F$6),OR(Dashboard!$I$6="All",H71=Dashboard!$I$6)),1,0)</f>
        <v/>
      </c>
    </row>
    <row r="72">
      <c r="A72" t="inlineStr">
        <is>
          <t>PF100063</t>
        </is>
      </c>
      <c r="B72" s="68" t="n">
        <v>45665</v>
      </c>
      <c r="C72" s="69" t="n">
        <v>2025</v>
      </c>
      <c r="D72" t="inlineStr">
        <is>
          <t>Jan</t>
        </is>
      </c>
      <c r="E72" t="inlineStr">
        <is>
          <t>International developed</t>
        </is>
      </c>
      <c r="F72" t="inlineStr">
        <is>
          <t>Canada</t>
        </is>
      </c>
      <c r="G72" t="inlineStr">
        <is>
          <t>Vyndaqel</t>
        </is>
      </c>
      <c r="H72" t="inlineStr">
        <is>
          <t>Retail pharmacy</t>
        </is>
      </c>
      <c r="I72" t="inlineStr">
        <is>
          <t>Public payer</t>
        </is>
      </c>
      <c r="J72" t="inlineStr">
        <is>
          <t>Ruhi Shaikh</t>
        </is>
      </c>
      <c r="K72" s="70" t="n">
        <v>1737</v>
      </c>
      <c r="L72" s="71" t="n">
        <v>5271.35</v>
      </c>
      <c r="M72" s="71" t="n">
        <v>9156334.949999999</v>
      </c>
      <c r="N72" s="71" t="n">
        <v>457816.75</v>
      </c>
      <c r="O72" s="71" t="n">
        <v>8698518.199999999</v>
      </c>
      <c r="P72" s="71" t="n">
        <v>1088549.86</v>
      </c>
      <c r="Q72" s="71" t="n">
        <v>7609968.34</v>
      </c>
      <c r="R72" t="inlineStr">
        <is>
          <t>Rare disease</t>
        </is>
      </c>
      <c r="S72" s="70" t="n">
        <v>1089</v>
      </c>
      <c r="T72" s="71" t="n">
        <v>1248420.07</v>
      </c>
      <c r="U72" t="inlineStr">
        <is>
          <t>Medium</t>
        </is>
      </c>
      <c r="V72">
        <f>IF(AND(OR(Dashboard!$C$6="All",E72=Dashboard!$C$6),OR(Dashboard!$F$6="All",G72=Dashboard!$F$6),OR(Dashboard!$I$6="All",H72=Dashboard!$I$6)),1,0)</f>
        <v/>
      </c>
    </row>
    <row r="73">
      <c r="A73" t="inlineStr">
        <is>
          <t>PF100064</t>
        </is>
      </c>
      <c r="B73" s="68" t="n">
        <v>45666</v>
      </c>
      <c r="C73" s="69" t="n">
        <v>2025</v>
      </c>
      <c r="D73" t="inlineStr">
        <is>
          <t>Jan</t>
        </is>
      </c>
      <c r="E73" t="inlineStr">
        <is>
          <t>United States</t>
        </is>
      </c>
      <c r="F73" t="inlineStr">
        <is>
          <t>USA</t>
        </is>
      </c>
      <c r="G73" t="inlineStr">
        <is>
          <t>Xeljanz</t>
        </is>
      </c>
      <c r="H73" t="inlineStr">
        <is>
          <t>Retail pharmacy</t>
        </is>
      </c>
      <c r="I73" t="inlineStr">
        <is>
          <t>Self-pay</t>
        </is>
      </c>
      <c r="J73" t="inlineStr">
        <is>
          <t>Amir Khan</t>
        </is>
      </c>
      <c r="K73" s="70" t="n">
        <v>2173</v>
      </c>
      <c r="L73" s="71" t="n">
        <v>2179.3</v>
      </c>
      <c r="M73" s="71" t="n">
        <v>4735618.9</v>
      </c>
      <c r="N73" s="71" t="n">
        <v>947123.78</v>
      </c>
      <c r="O73" s="71" t="n">
        <v>3788495.12</v>
      </c>
      <c r="P73" s="71" t="n">
        <v>530635.45</v>
      </c>
      <c r="Q73" s="71" t="n">
        <v>3257859.67</v>
      </c>
      <c r="R73" t="inlineStr">
        <is>
          <t>Inflammation</t>
        </is>
      </c>
      <c r="S73" s="70" t="n">
        <v>1472</v>
      </c>
      <c r="T73" s="71" t="n">
        <v>797240.53</v>
      </c>
      <c r="U73" t="inlineStr">
        <is>
          <t>High</t>
        </is>
      </c>
      <c r="V73">
        <f>IF(AND(OR(Dashboard!$C$6="All",E73=Dashboard!$C$6),OR(Dashboard!$F$6="All",G73=Dashboard!$F$6),OR(Dashboard!$I$6="All",H73=Dashboard!$I$6)),1,0)</f>
        <v/>
      </c>
    </row>
    <row r="74">
      <c r="A74" t="inlineStr">
        <is>
          <t>PF100065</t>
        </is>
      </c>
      <c r="B74" s="68" t="n">
        <v>45666</v>
      </c>
      <c r="C74" s="69" t="n">
        <v>2025</v>
      </c>
      <c r="D74" t="inlineStr">
        <is>
          <t>Jan</t>
        </is>
      </c>
      <c r="E74" t="inlineStr">
        <is>
          <t>United States</t>
        </is>
      </c>
      <c r="F74" t="inlineStr">
        <is>
          <t>USA</t>
        </is>
      </c>
      <c r="G74" t="inlineStr">
        <is>
          <t>Xeljanz</t>
        </is>
      </c>
      <c r="H74" t="inlineStr">
        <is>
          <t>Government / tender</t>
        </is>
      </c>
      <c r="I74" t="inlineStr">
        <is>
          <t>Public payer</t>
        </is>
      </c>
      <c r="J74" t="inlineStr">
        <is>
          <t>Carlos Silva</t>
        </is>
      </c>
      <c r="K74" s="70" t="n">
        <v>2455</v>
      </c>
      <c r="L74" s="71" t="n">
        <v>2331.3</v>
      </c>
      <c r="M74" s="71" t="n">
        <v>5723341.5</v>
      </c>
      <c r="N74" s="71" t="n">
        <v>1144668.3</v>
      </c>
      <c r="O74" s="71" t="n">
        <v>4578673.2</v>
      </c>
      <c r="P74" s="71" t="n">
        <v>594478.78</v>
      </c>
      <c r="Q74" s="71" t="n">
        <v>3984194.42</v>
      </c>
      <c r="R74" t="inlineStr">
        <is>
          <t>Inflammation</t>
        </is>
      </c>
      <c r="S74" s="70" t="n">
        <v>2176</v>
      </c>
      <c r="T74" s="71" t="n">
        <v>708572.96</v>
      </c>
      <c r="U74" t="inlineStr">
        <is>
          <t>High</t>
        </is>
      </c>
      <c r="V74">
        <f>IF(AND(OR(Dashboard!$C$6="All",E74=Dashboard!$C$6),OR(Dashboard!$F$6="All",G74=Dashboard!$F$6),OR(Dashboard!$I$6="All",H74=Dashboard!$I$6)),1,0)</f>
        <v/>
      </c>
    </row>
    <row r="75">
      <c r="A75" t="inlineStr">
        <is>
          <t>PF100066</t>
        </is>
      </c>
      <c r="B75" s="68" t="n">
        <v>45666</v>
      </c>
      <c r="C75" s="69" t="n">
        <v>2025</v>
      </c>
      <c r="D75" t="inlineStr">
        <is>
          <t>Jan</t>
        </is>
      </c>
      <c r="E75" t="inlineStr">
        <is>
          <t>United States</t>
        </is>
      </c>
      <c r="F75" t="inlineStr">
        <is>
          <t>USA</t>
        </is>
      </c>
      <c r="G75" t="inlineStr">
        <is>
          <t>Xeljanz</t>
        </is>
      </c>
      <c r="H75" t="inlineStr">
        <is>
          <t>Retail pharmacy</t>
        </is>
      </c>
      <c r="I75" t="inlineStr">
        <is>
          <t>Public payer</t>
        </is>
      </c>
      <c r="J75" t="inlineStr">
        <is>
          <t>Omar Haddad</t>
        </is>
      </c>
      <c r="K75" s="70" t="n">
        <v>1281</v>
      </c>
      <c r="L75" s="71" t="n">
        <v>2106.53</v>
      </c>
      <c r="M75" s="71" t="n">
        <v>2698464.93</v>
      </c>
      <c r="N75" s="71" t="n">
        <v>404769.74</v>
      </c>
      <c r="O75" s="71" t="n">
        <v>2293695.19</v>
      </c>
      <c r="P75" s="71" t="n">
        <v>324180.39</v>
      </c>
      <c r="Q75" s="71" t="n">
        <v>1969514.8</v>
      </c>
      <c r="R75" t="inlineStr">
        <is>
          <t>Inflammation</t>
        </is>
      </c>
      <c r="S75" s="70" t="n">
        <v>1145</v>
      </c>
      <c r="T75" s="71" t="n">
        <v>484635.11</v>
      </c>
      <c r="U75" t="inlineStr">
        <is>
          <t>High</t>
        </is>
      </c>
      <c r="V75">
        <f>IF(AND(OR(Dashboard!$C$6="All",E75=Dashboard!$C$6),OR(Dashboard!$F$6="All",G75=Dashboard!$F$6),OR(Dashboard!$I$6="All",H75=Dashboard!$I$6)),1,0)</f>
        <v/>
      </c>
    </row>
    <row r="76">
      <c r="A76" t="inlineStr">
        <is>
          <t>PF100067</t>
        </is>
      </c>
      <c r="B76" s="68" t="n">
        <v>45666</v>
      </c>
      <c r="C76" s="69" t="n">
        <v>2025</v>
      </c>
      <c r="D76" t="inlineStr">
        <is>
          <t>Jan</t>
        </is>
      </c>
      <c r="E76" t="inlineStr">
        <is>
          <t>International developed</t>
        </is>
      </c>
      <c r="F76" t="inlineStr">
        <is>
          <t>Japan</t>
        </is>
      </c>
      <c r="G76" t="inlineStr">
        <is>
          <t>Eliquis</t>
        </is>
      </c>
      <c r="H76" t="inlineStr">
        <is>
          <t>Hospital</t>
        </is>
      </c>
      <c r="I76" t="inlineStr">
        <is>
          <t>Private insurer</t>
        </is>
      </c>
      <c r="J76" t="inlineStr">
        <is>
          <t>Sophie Müller</t>
        </is>
      </c>
      <c r="K76" s="70" t="n">
        <v>401</v>
      </c>
      <c r="L76" s="71" t="n">
        <v>420.56</v>
      </c>
      <c r="M76" s="71" t="n">
        <v>168644.56</v>
      </c>
      <c r="N76" s="71" t="n">
        <v>42161.14</v>
      </c>
      <c r="O76" s="71" t="n">
        <v>126483.42</v>
      </c>
      <c r="P76" s="71" t="n">
        <v>29486.88</v>
      </c>
      <c r="Q76" s="71" t="n">
        <v>96996.53999999999</v>
      </c>
      <c r="R76" t="inlineStr">
        <is>
          <t>Cardiology</t>
        </is>
      </c>
      <c r="S76" s="70" t="n">
        <v>352</v>
      </c>
      <c r="T76" s="71" t="n">
        <v>27410.94</v>
      </c>
      <c r="U76" t="inlineStr">
        <is>
          <t>High</t>
        </is>
      </c>
      <c r="V76">
        <f>IF(AND(OR(Dashboard!$C$6="All",E76=Dashboard!$C$6),OR(Dashboard!$F$6="All",G76=Dashboard!$F$6),OR(Dashboard!$I$6="All",H76=Dashboard!$I$6)),1,0)</f>
        <v/>
      </c>
    </row>
    <row r="77">
      <c r="A77" t="inlineStr">
        <is>
          <t>PF100068</t>
        </is>
      </c>
      <c r="B77" s="68" t="n">
        <v>45666</v>
      </c>
      <c r="C77" s="69" t="n">
        <v>2025</v>
      </c>
      <c r="D77" t="inlineStr">
        <is>
          <t>Jan</t>
        </is>
      </c>
      <c r="E77" t="inlineStr">
        <is>
          <t>United States</t>
        </is>
      </c>
      <c r="F77" t="inlineStr">
        <is>
          <t>USA</t>
        </is>
      </c>
      <c r="G77" t="inlineStr">
        <is>
          <t>Ibrance</t>
        </is>
      </c>
      <c r="H77" t="inlineStr">
        <is>
          <t>Hospital</t>
        </is>
      </c>
      <c r="I77" t="inlineStr">
        <is>
          <t>Public payer</t>
        </is>
      </c>
      <c r="J77" t="inlineStr">
        <is>
          <t>Noah Smith</t>
        </is>
      </c>
      <c r="K77" s="70" t="n">
        <v>1698</v>
      </c>
      <c r="L77" s="71" t="n">
        <v>4827.22</v>
      </c>
      <c r="M77" s="71" t="n">
        <v>8196619.56</v>
      </c>
      <c r="N77" s="71" t="n">
        <v>2049154.89</v>
      </c>
      <c r="O77" s="71" t="n">
        <v>6147464.67</v>
      </c>
      <c r="P77" s="71" t="n">
        <v>758480.25</v>
      </c>
      <c r="Q77" s="71" t="n">
        <v>5388984.42</v>
      </c>
      <c r="R77" t="inlineStr">
        <is>
          <t>Oncology</t>
        </is>
      </c>
      <c r="S77" s="70" t="n">
        <v>1552</v>
      </c>
      <c r="T77" s="71" t="n">
        <v>993275.87</v>
      </c>
      <c r="U77" t="inlineStr">
        <is>
          <t>High</t>
        </is>
      </c>
      <c r="V77">
        <f>IF(AND(OR(Dashboard!$C$6="All",E77=Dashboard!$C$6),OR(Dashboard!$F$6="All",G77=Dashboard!$F$6),OR(Dashboard!$I$6="All",H77=Dashboard!$I$6)),1,0)</f>
        <v/>
      </c>
    </row>
    <row r="78">
      <c r="A78" t="inlineStr">
        <is>
          <t>PF100069</t>
        </is>
      </c>
      <c r="B78" s="68" t="n">
        <v>45666</v>
      </c>
      <c r="C78" s="69" t="n">
        <v>2025</v>
      </c>
      <c r="D78" t="inlineStr">
        <is>
          <t>Jan</t>
        </is>
      </c>
      <c r="E78" t="inlineStr">
        <is>
          <t>International developed</t>
        </is>
      </c>
      <c r="F78" t="inlineStr">
        <is>
          <t>Australia</t>
        </is>
      </c>
      <c r="G78" t="inlineStr">
        <is>
          <t>Vyndaqel</t>
        </is>
      </c>
      <c r="H78" t="inlineStr">
        <is>
          <t>Hospital</t>
        </is>
      </c>
      <c r="I78" t="inlineStr">
        <is>
          <t>Private insurer</t>
        </is>
      </c>
      <c r="J78" t="inlineStr">
        <is>
          <t>Mei Lin</t>
        </is>
      </c>
      <c r="K78" s="70" t="n">
        <v>1317</v>
      </c>
      <c r="L78" s="71" t="n">
        <v>5278.46</v>
      </c>
      <c r="M78" s="71" t="n">
        <v>6951731.82</v>
      </c>
      <c r="N78" s="71" t="n">
        <v>1390346.36</v>
      </c>
      <c r="O78" s="71" t="n">
        <v>5561385.46</v>
      </c>
      <c r="P78" s="71" t="n">
        <v>849704.04</v>
      </c>
      <c r="Q78" s="71" t="n">
        <v>4711681.42</v>
      </c>
      <c r="R78" t="inlineStr">
        <is>
          <t>Rare disease</t>
        </is>
      </c>
      <c r="S78" s="70" t="n">
        <v>1254</v>
      </c>
      <c r="T78" s="71" t="n">
        <v>865959.17</v>
      </c>
      <c r="U78" t="inlineStr">
        <is>
          <t>Medium</t>
        </is>
      </c>
      <c r="V78">
        <f>IF(AND(OR(Dashboard!$C$6="All",E78=Dashboard!$C$6),OR(Dashboard!$F$6="All",G78=Dashboard!$F$6),OR(Dashboard!$I$6="All",H78=Dashboard!$I$6)),1,0)</f>
        <v/>
      </c>
    </row>
    <row r="79">
      <c r="A79" t="inlineStr">
        <is>
          <t>PF100070</t>
        </is>
      </c>
      <c r="B79" s="68" t="n">
        <v>45667</v>
      </c>
      <c r="C79" s="69" t="n">
        <v>2025</v>
      </c>
      <c r="D79" t="inlineStr">
        <is>
          <t>Jan</t>
        </is>
      </c>
      <c r="E79" t="inlineStr">
        <is>
          <t>International developed</t>
        </is>
      </c>
      <c r="F79" t="inlineStr">
        <is>
          <t>Australia</t>
        </is>
      </c>
      <c r="G79" t="inlineStr">
        <is>
          <t>Comirnaty</t>
        </is>
      </c>
      <c r="H79" t="inlineStr">
        <is>
          <t>Retail pharmacy</t>
        </is>
      </c>
      <c r="I79" t="inlineStr">
        <is>
          <t>Private insurer</t>
        </is>
      </c>
      <c r="J79" t="inlineStr">
        <is>
          <t>Shraddha Kulkarni</t>
        </is>
      </c>
      <c r="K79" s="70" t="n">
        <v>2131</v>
      </c>
      <c r="L79" s="71" t="n">
        <v>117.06</v>
      </c>
      <c r="M79" s="71" t="n">
        <v>249454.86</v>
      </c>
      <c r="N79" s="71" t="n">
        <v>12472.74</v>
      </c>
      <c r="O79" s="71" t="n">
        <v>236982.12</v>
      </c>
      <c r="P79" s="71" t="n">
        <v>84682.86</v>
      </c>
      <c r="Q79" s="71" t="n">
        <v>152299.26</v>
      </c>
      <c r="R79" t="inlineStr">
        <is>
          <t>Vaccines</t>
        </is>
      </c>
      <c r="S79" s="70" t="n">
        <v>1776</v>
      </c>
      <c r="T79" s="71" t="n">
        <v>43351.29</v>
      </c>
      <c r="U79" t="inlineStr">
        <is>
          <t>Low</t>
        </is>
      </c>
      <c r="V79">
        <f>IF(AND(OR(Dashboard!$C$6="All",E79=Dashboard!$C$6),OR(Dashboard!$F$6="All",G79=Dashboard!$F$6),OR(Dashboard!$I$6="All",H79=Dashboard!$I$6)),1,0)</f>
        <v/>
      </c>
    </row>
    <row r="80">
      <c r="A80" t="inlineStr">
        <is>
          <t>PF100071</t>
        </is>
      </c>
      <c r="B80" s="68" t="n">
        <v>45667</v>
      </c>
      <c r="C80" s="69" t="n">
        <v>2025</v>
      </c>
      <c r="D80" t="inlineStr">
        <is>
          <t>Jan</t>
        </is>
      </c>
      <c r="E80" t="inlineStr">
        <is>
          <t>Emerging markets</t>
        </is>
      </c>
      <c r="F80" t="inlineStr">
        <is>
          <t>Mexico</t>
        </is>
      </c>
      <c r="G80" t="inlineStr">
        <is>
          <t>Vyndaqel</t>
        </is>
      </c>
      <c r="H80" t="inlineStr">
        <is>
          <t>Retail pharmacy</t>
        </is>
      </c>
      <c r="I80" t="inlineStr">
        <is>
          <t>Private insurer</t>
        </is>
      </c>
      <c r="J80" t="inlineStr">
        <is>
          <t>Zoya Ahmed</t>
        </is>
      </c>
      <c r="K80" s="70" t="n">
        <v>562</v>
      </c>
      <c r="L80" s="71" t="n">
        <v>5422.73</v>
      </c>
      <c r="M80" s="71" t="n">
        <v>3047574.26</v>
      </c>
      <c r="N80" s="71" t="n">
        <v>304757.43</v>
      </c>
      <c r="O80" s="71" t="n">
        <v>2742816.83</v>
      </c>
      <c r="P80" s="71" t="n">
        <v>362053.44</v>
      </c>
      <c r="Q80" s="71" t="n">
        <v>2380763.39</v>
      </c>
      <c r="R80" t="inlineStr">
        <is>
          <t>Rare disease</t>
        </is>
      </c>
      <c r="S80" s="70" t="n">
        <v>372</v>
      </c>
      <c r="T80" s="71" t="n">
        <v>580684</v>
      </c>
      <c r="U80" t="inlineStr">
        <is>
          <t>Medium</t>
        </is>
      </c>
      <c r="V80">
        <f>IF(AND(OR(Dashboard!$C$6="All",E80=Dashboard!$C$6),OR(Dashboard!$F$6="All",G80=Dashboard!$F$6),OR(Dashboard!$I$6="All",H80=Dashboard!$I$6)),1,0)</f>
        <v/>
      </c>
    </row>
    <row r="81">
      <c r="A81" t="inlineStr">
        <is>
          <t>PF100072</t>
        </is>
      </c>
      <c r="B81" s="68" t="n">
        <v>45667</v>
      </c>
      <c r="C81" s="69" t="n">
        <v>2025</v>
      </c>
      <c r="D81" t="inlineStr">
        <is>
          <t>Jan</t>
        </is>
      </c>
      <c r="E81" t="inlineStr">
        <is>
          <t>Europe</t>
        </is>
      </c>
      <c r="F81" t="inlineStr">
        <is>
          <t>France</t>
        </is>
      </c>
      <c r="G81" t="inlineStr">
        <is>
          <t>Eliquis</t>
        </is>
      </c>
      <c r="H81" t="inlineStr">
        <is>
          <t>Retail pharmacy</t>
        </is>
      </c>
      <c r="I81" t="inlineStr">
        <is>
          <t>Private insurer</t>
        </is>
      </c>
      <c r="J81" t="inlineStr">
        <is>
          <t>Noah Smith</t>
        </is>
      </c>
      <c r="K81" s="70" t="n">
        <v>408</v>
      </c>
      <c r="L81" s="71" t="n">
        <v>436.55</v>
      </c>
      <c r="M81" s="71" t="n">
        <v>178112.4</v>
      </c>
      <c r="N81" s="71" t="n">
        <v>8905.620000000001</v>
      </c>
      <c r="O81" s="71" t="n">
        <v>169206.78</v>
      </c>
      <c r="P81" s="71" t="n">
        <v>31304.3</v>
      </c>
      <c r="Q81" s="71" t="n">
        <v>137902.48</v>
      </c>
      <c r="R81" t="inlineStr">
        <is>
          <t>Cardiology</t>
        </is>
      </c>
      <c r="S81" s="70" t="n">
        <v>305</v>
      </c>
      <c r="T81" s="71" t="n">
        <v>26161.09</v>
      </c>
      <c r="U81" t="inlineStr">
        <is>
          <t>High</t>
        </is>
      </c>
      <c r="V81">
        <f>IF(AND(OR(Dashboard!$C$6="All",E81=Dashboard!$C$6),OR(Dashboard!$F$6="All",G81=Dashboard!$F$6),OR(Dashboard!$I$6="All",H81=Dashboard!$I$6)),1,0)</f>
        <v/>
      </c>
    </row>
    <row r="82">
      <c r="A82" t="inlineStr">
        <is>
          <t>PF100073</t>
        </is>
      </c>
      <c r="B82" s="68" t="n">
        <v>45667</v>
      </c>
      <c r="C82" s="69" t="n">
        <v>2025</v>
      </c>
      <c r="D82" t="inlineStr">
        <is>
          <t>Jan</t>
        </is>
      </c>
      <c r="E82" t="inlineStr">
        <is>
          <t>Emerging markets</t>
        </is>
      </c>
      <c r="F82" t="inlineStr">
        <is>
          <t>China</t>
        </is>
      </c>
      <c r="G82" t="inlineStr">
        <is>
          <t>Ibrance</t>
        </is>
      </c>
      <c r="H82" t="inlineStr">
        <is>
          <t>Retail pharmacy</t>
        </is>
      </c>
      <c r="I82" t="inlineStr">
        <is>
          <t>Self-pay</t>
        </is>
      </c>
      <c r="J82" t="inlineStr">
        <is>
          <t>Omar Haddad</t>
        </is>
      </c>
      <c r="K82" s="70" t="n">
        <v>2504</v>
      </c>
      <c r="L82" s="71" t="n">
        <v>2691.17</v>
      </c>
      <c r="M82" s="71" t="n">
        <v>6738689.68</v>
      </c>
      <c r="N82" s="71" t="n">
        <v>1684672.42</v>
      </c>
      <c r="O82" s="71" t="n">
        <v>5054017.26</v>
      </c>
      <c r="P82" s="71" t="n">
        <v>1102768.08</v>
      </c>
      <c r="Q82" s="71" t="n">
        <v>3951249.18</v>
      </c>
      <c r="R82" t="inlineStr">
        <is>
          <t>Oncology</t>
        </is>
      </c>
      <c r="S82" s="70" t="n">
        <v>1605</v>
      </c>
      <c r="T82" s="71" t="n">
        <v>870145.27</v>
      </c>
      <c r="U82" t="inlineStr">
        <is>
          <t>High</t>
        </is>
      </c>
      <c r="V82">
        <f>IF(AND(OR(Dashboard!$C$6="All",E82=Dashboard!$C$6),OR(Dashboard!$F$6="All",G82=Dashboard!$F$6),OR(Dashboard!$I$6="All",H82=Dashboard!$I$6)),1,0)</f>
        <v/>
      </c>
    </row>
    <row r="83">
      <c r="A83" t="inlineStr">
        <is>
          <t>PF100074</t>
        </is>
      </c>
      <c r="B83" s="68" t="n">
        <v>45667</v>
      </c>
      <c r="C83" s="69" t="n">
        <v>2025</v>
      </c>
      <c r="D83" t="inlineStr">
        <is>
          <t>Jan</t>
        </is>
      </c>
      <c r="E83" t="inlineStr">
        <is>
          <t>International developed</t>
        </is>
      </c>
      <c r="F83" t="inlineStr">
        <is>
          <t>Canada</t>
        </is>
      </c>
      <c r="G83" t="inlineStr">
        <is>
          <t>Xeljanz</t>
        </is>
      </c>
      <c r="H83" t="inlineStr">
        <is>
          <t>Retail pharmacy</t>
        </is>
      </c>
      <c r="I83" t="inlineStr">
        <is>
          <t>Public payer</t>
        </is>
      </c>
      <c r="J83" t="inlineStr">
        <is>
          <t>Emma Clarke</t>
        </is>
      </c>
      <c r="K83" s="70" t="n">
        <v>963</v>
      </c>
      <c r="L83" s="71" t="n">
        <v>1280.51</v>
      </c>
      <c r="M83" s="71" t="n">
        <v>1233131.13</v>
      </c>
      <c r="N83" s="71" t="n">
        <v>61656.56</v>
      </c>
      <c r="O83" s="71" t="n">
        <v>1171474.57</v>
      </c>
      <c r="P83" s="71" t="n">
        <v>239358.73</v>
      </c>
      <c r="Q83" s="71" t="n">
        <v>932115.84</v>
      </c>
      <c r="R83" t="inlineStr">
        <is>
          <t>Inflammation</t>
        </is>
      </c>
      <c r="S83" s="70" t="n">
        <v>799</v>
      </c>
      <c r="T83" s="71" t="n">
        <v>259694.28</v>
      </c>
      <c r="U83" t="inlineStr">
        <is>
          <t>High</t>
        </is>
      </c>
      <c r="V83">
        <f>IF(AND(OR(Dashboard!$C$6="All",E83=Dashboard!$C$6),OR(Dashboard!$F$6="All",G83=Dashboard!$F$6),OR(Dashboard!$I$6="All",H83=Dashboard!$I$6)),1,0)</f>
        <v/>
      </c>
    </row>
    <row r="84">
      <c r="A84" t="inlineStr">
        <is>
          <t>PF100075</t>
        </is>
      </c>
      <c r="B84" s="68" t="n">
        <v>45667</v>
      </c>
      <c r="C84" s="69" t="n">
        <v>2025</v>
      </c>
      <c r="D84" t="inlineStr">
        <is>
          <t>Jan</t>
        </is>
      </c>
      <c r="E84" t="inlineStr">
        <is>
          <t>United States</t>
        </is>
      </c>
      <c r="F84" t="inlineStr">
        <is>
          <t>USA</t>
        </is>
      </c>
      <c r="G84" t="inlineStr">
        <is>
          <t>Xeljanz</t>
        </is>
      </c>
      <c r="H84" t="inlineStr">
        <is>
          <t>Retail pharmacy</t>
        </is>
      </c>
      <c r="I84" t="inlineStr">
        <is>
          <t>Public payer</t>
        </is>
      </c>
      <c r="J84" t="inlineStr">
        <is>
          <t>Priya Nair</t>
        </is>
      </c>
      <c r="K84" s="70" t="n">
        <v>1307</v>
      </c>
      <c r="L84" s="71" t="n">
        <v>2323.49</v>
      </c>
      <c r="M84" s="71" t="n">
        <v>3036801.43</v>
      </c>
      <c r="N84" s="71" t="n">
        <v>607360.29</v>
      </c>
      <c r="O84" s="71" t="n">
        <v>2429441.14</v>
      </c>
      <c r="P84" s="71" t="n">
        <v>328709.69</v>
      </c>
      <c r="Q84" s="71" t="n">
        <v>2100731.45</v>
      </c>
      <c r="R84" t="inlineStr">
        <is>
          <t>Inflammation</t>
        </is>
      </c>
      <c r="S84" s="70" t="n">
        <v>1054</v>
      </c>
      <c r="T84" s="71" t="n">
        <v>600826.38</v>
      </c>
      <c r="U84" t="inlineStr">
        <is>
          <t>High</t>
        </is>
      </c>
      <c r="V84">
        <f>IF(AND(OR(Dashboard!$C$6="All",E84=Dashboard!$C$6),OR(Dashboard!$F$6="All",G84=Dashboard!$F$6),OR(Dashboard!$I$6="All",H84=Dashboard!$I$6)),1,0)</f>
        <v/>
      </c>
    </row>
    <row r="85">
      <c r="A85" t="inlineStr">
        <is>
          <t>PF100076</t>
        </is>
      </c>
      <c r="B85" s="68" t="n">
        <v>45667</v>
      </c>
      <c r="C85" s="69" t="n">
        <v>2025</v>
      </c>
      <c r="D85" t="inlineStr">
        <is>
          <t>Jan</t>
        </is>
      </c>
      <c r="E85" t="inlineStr">
        <is>
          <t>United States</t>
        </is>
      </c>
      <c r="F85" t="inlineStr">
        <is>
          <t>USA</t>
        </is>
      </c>
      <c r="G85" t="inlineStr">
        <is>
          <t>Prevnar 20</t>
        </is>
      </c>
      <c r="H85" t="inlineStr">
        <is>
          <t>Government / tender</t>
        </is>
      </c>
      <c r="I85" t="inlineStr">
        <is>
          <t>Public payer</t>
        </is>
      </c>
      <c r="J85" t="inlineStr">
        <is>
          <t>Lucas Martin</t>
        </is>
      </c>
      <c r="K85" s="70" t="n">
        <v>2440</v>
      </c>
      <c r="L85" s="71" t="n">
        <v>370.1</v>
      </c>
      <c r="M85" s="71" t="n">
        <v>903044</v>
      </c>
      <c r="N85" s="71" t="n">
        <v>135456.6</v>
      </c>
      <c r="O85" s="71" t="n">
        <v>767587.4</v>
      </c>
      <c r="P85" s="71" t="n">
        <v>171713.12</v>
      </c>
      <c r="Q85" s="71" t="n">
        <v>595874.28</v>
      </c>
      <c r="R85" t="inlineStr">
        <is>
          <t>Vaccines</t>
        </is>
      </c>
      <c r="S85" s="70" t="n">
        <v>1604</v>
      </c>
      <c r="T85" s="71" t="n">
        <v>165437.28</v>
      </c>
      <c r="U85" t="inlineStr">
        <is>
          <t>Low</t>
        </is>
      </c>
      <c r="V85">
        <f>IF(AND(OR(Dashboard!$C$6="All",E85=Dashboard!$C$6),OR(Dashboard!$F$6="All",G85=Dashboard!$F$6),OR(Dashboard!$I$6="All",H85=Dashboard!$I$6)),1,0)</f>
        <v/>
      </c>
    </row>
    <row r="86">
      <c r="A86" t="inlineStr">
        <is>
          <t>PF100077</t>
        </is>
      </c>
      <c r="B86" s="68" t="n">
        <v>45667</v>
      </c>
      <c r="C86" s="69" t="n">
        <v>2025</v>
      </c>
      <c r="D86" t="inlineStr">
        <is>
          <t>Jan</t>
        </is>
      </c>
      <c r="E86" t="inlineStr">
        <is>
          <t>Emerging markets</t>
        </is>
      </c>
      <c r="F86" t="inlineStr">
        <is>
          <t>Mexico</t>
        </is>
      </c>
      <c r="G86" t="inlineStr">
        <is>
          <t>Abrysvo</t>
        </is>
      </c>
      <c r="H86" t="inlineStr">
        <is>
          <t>Retail pharmacy</t>
        </is>
      </c>
      <c r="I86" t="inlineStr">
        <is>
          <t>Public payer</t>
        </is>
      </c>
      <c r="J86" t="inlineStr">
        <is>
          <t>Fatima Al-Saud</t>
        </is>
      </c>
      <c r="K86" s="70" t="n">
        <v>341</v>
      </c>
      <c r="L86" s="71" t="n">
        <v>302.61</v>
      </c>
      <c r="M86" s="71" t="n">
        <v>103190.01</v>
      </c>
      <c r="N86" s="71" t="n">
        <v>15478.5</v>
      </c>
      <c r="O86" s="71" t="n">
        <v>87711.50999999999</v>
      </c>
      <c r="P86" s="71" t="n">
        <v>29512.66</v>
      </c>
      <c r="Q86" s="71" t="n">
        <v>58198.85</v>
      </c>
      <c r="R86" t="inlineStr">
        <is>
          <t>Vaccines</t>
        </is>
      </c>
      <c r="S86" s="70" t="n">
        <v>258</v>
      </c>
      <c r="T86" s="71" t="n">
        <v>17892.99</v>
      </c>
      <c r="U86" t="inlineStr">
        <is>
          <t>Low</t>
        </is>
      </c>
      <c r="V86">
        <f>IF(AND(OR(Dashboard!$C$6="All",E86=Dashboard!$C$6),OR(Dashboard!$F$6="All",G86=Dashboard!$F$6),OR(Dashboard!$I$6="All",H86=Dashboard!$I$6)),1,0)</f>
        <v/>
      </c>
    </row>
    <row r="87">
      <c r="A87" t="inlineStr">
        <is>
          <t>PF100078</t>
        </is>
      </c>
      <c r="B87" s="68" t="n">
        <v>45667</v>
      </c>
      <c r="C87" s="69" t="n">
        <v>2025</v>
      </c>
      <c r="D87" t="inlineStr">
        <is>
          <t>Jan</t>
        </is>
      </c>
      <c r="E87" t="inlineStr">
        <is>
          <t>United States</t>
        </is>
      </c>
      <c r="F87" t="inlineStr">
        <is>
          <t>USA</t>
        </is>
      </c>
      <c r="G87" t="inlineStr">
        <is>
          <t>Prevnar 20</t>
        </is>
      </c>
      <c r="H87" t="inlineStr">
        <is>
          <t>Retail pharmacy</t>
        </is>
      </c>
      <c r="I87" t="inlineStr">
        <is>
          <t>Private insurer</t>
        </is>
      </c>
      <c r="J87" t="inlineStr">
        <is>
          <t>Carlos Silva</t>
        </is>
      </c>
      <c r="K87" s="70" t="n">
        <v>1621</v>
      </c>
      <c r="L87" s="71" t="n">
        <v>340.11</v>
      </c>
      <c r="M87" s="71" t="n">
        <v>551318.3100000001</v>
      </c>
      <c r="N87" s="71" t="n">
        <v>110263.66</v>
      </c>
      <c r="O87" s="71" t="n">
        <v>441054.65</v>
      </c>
      <c r="P87" s="71" t="n">
        <v>108191.79</v>
      </c>
      <c r="Q87" s="71" t="n">
        <v>332862.86</v>
      </c>
      <c r="R87" t="inlineStr">
        <is>
          <t>Vaccines</t>
        </is>
      </c>
      <c r="S87" s="70" t="n">
        <v>1189</v>
      </c>
      <c r="T87" s="71" t="n">
        <v>113986.41</v>
      </c>
      <c r="U87" t="inlineStr">
        <is>
          <t>Low</t>
        </is>
      </c>
      <c r="V87">
        <f>IF(AND(OR(Dashboard!$C$6="All",E87=Dashboard!$C$6),OR(Dashboard!$F$6="All",G87=Dashboard!$F$6),OR(Dashboard!$I$6="All",H87=Dashboard!$I$6)),1,0)</f>
        <v/>
      </c>
    </row>
    <row r="88">
      <c r="A88" t="inlineStr">
        <is>
          <t>PF100079</t>
        </is>
      </c>
      <c r="B88" s="68" t="n">
        <v>45667</v>
      </c>
      <c r="C88" s="69" t="n">
        <v>2025</v>
      </c>
      <c r="D88" t="inlineStr">
        <is>
          <t>Jan</t>
        </is>
      </c>
      <c r="E88" t="inlineStr">
        <is>
          <t>United States</t>
        </is>
      </c>
      <c r="F88" t="inlineStr">
        <is>
          <t>USA</t>
        </is>
      </c>
      <c r="G88" t="inlineStr">
        <is>
          <t>Abrysvo</t>
        </is>
      </c>
      <c r="H88" t="inlineStr">
        <is>
          <t>Retail pharmacy</t>
        </is>
      </c>
      <c r="I88" t="inlineStr">
        <is>
          <t>Self-pay</t>
        </is>
      </c>
      <c r="J88" t="inlineStr">
        <is>
          <t>Olivia Brown</t>
        </is>
      </c>
      <c r="K88" s="70" t="n">
        <v>270</v>
      </c>
      <c r="L88" s="71" t="n">
        <v>479.26</v>
      </c>
      <c r="M88" s="71" t="n">
        <v>129400.2</v>
      </c>
      <c r="N88" s="71" t="n">
        <v>32350.05</v>
      </c>
      <c r="O88" s="71" t="n">
        <v>97050.14999999999</v>
      </c>
      <c r="P88" s="71" t="n">
        <v>22197.21</v>
      </c>
      <c r="Q88" s="71" t="n">
        <v>74852.94</v>
      </c>
      <c r="R88" t="inlineStr">
        <is>
          <t>Vaccines</t>
        </is>
      </c>
      <c r="S88" s="70" t="n">
        <v>188</v>
      </c>
      <c r="T88" s="71" t="n">
        <v>27873.65</v>
      </c>
      <c r="U88" t="inlineStr">
        <is>
          <t>Low</t>
        </is>
      </c>
      <c r="V88">
        <f>IF(AND(OR(Dashboard!$C$6="All",E88=Dashboard!$C$6),OR(Dashboard!$F$6="All",G88=Dashboard!$F$6),OR(Dashboard!$I$6="All",H88=Dashboard!$I$6)),1,0)</f>
        <v/>
      </c>
    </row>
    <row r="89">
      <c r="A89" t="inlineStr">
        <is>
          <t>PF100080</t>
        </is>
      </c>
      <c r="B89" s="68" t="n">
        <v>45667</v>
      </c>
      <c r="C89" s="69" t="n">
        <v>2025</v>
      </c>
      <c r="D89" t="inlineStr">
        <is>
          <t>Jan</t>
        </is>
      </c>
      <c r="E89" t="inlineStr">
        <is>
          <t>International developed</t>
        </is>
      </c>
      <c r="F89" t="inlineStr">
        <is>
          <t>Japan</t>
        </is>
      </c>
      <c r="G89" t="inlineStr">
        <is>
          <t>Xeljanz</t>
        </is>
      </c>
      <c r="H89" t="inlineStr">
        <is>
          <t>Retail pharmacy</t>
        </is>
      </c>
      <c r="I89" t="inlineStr">
        <is>
          <t>Public payer</t>
        </is>
      </c>
      <c r="J89" t="inlineStr">
        <is>
          <t>Amir Khan</t>
        </is>
      </c>
      <c r="K89" s="70" t="n">
        <v>221</v>
      </c>
      <c r="L89" s="71" t="n">
        <v>1492.01</v>
      </c>
      <c r="M89" s="71" t="n">
        <v>329734.21</v>
      </c>
      <c r="N89" s="71" t="n">
        <v>49460.13</v>
      </c>
      <c r="O89" s="71" t="n">
        <v>280274.08</v>
      </c>
      <c r="P89" s="71" t="n">
        <v>56475.23</v>
      </c>
      <c r="Q89" s="71" t="n">
        <v>223798.85</v>
      </c>
      <c r="R89" t="inlineStr">
        <is>
          <t>Inflammation</t>
        </is>
      </c>
      <c r="S89" s="70" t="n">
        <v>142</v>
      </c>
      <c r="T89" s="71" t="n">
        <v>53428.39</v>
      </c>
      <c r="U89" t="inlineStr">
        <is>
          <t>High</t>
        </is>
      </c>
      <c r="V89">
        <f>IF(AND(OR(Dashboard!$C$6="All",E89=Dashboard!$C$6),OR(Dashboard!$F$6="All",G89=Dashboard!$F$6),OR(Dashboard!$I$6="All",H89=Dashboard!$I$6)),1,0)</f>
        <v/>
      </c>
    </row>
    <row r="90">
      <c r="A90" t="inlineStr">
        <is>
          <t>PF100081</t>
        </is>
      </c>
      <c r="B90" s="68" t="n">
        <v>45668</v>
      </c>
      <c r="C90" s="69" t="n">
        <v>2025</v>
      </c>
      <c r="D90" t="inlineStr">
        <is>
          <t>Jan</t>
        </is>
      </c>
      <c r="E90" t="inlineStr">
        <is>
          <t>United States</t>
        </is>
      </c>
      <c r="F90" t="inlineStr">
        <is>
          <t>USA</t>
        </is>
      </c>
      <c r="G90" t="inlineStr">
        <is>
          <t>Eliquis</t>
        </is>
      </c>
      <c r="H90" t="inlineStr">
        <is>
          <t>Government / tender</t>
        </is>
      </c>
      <c r="I90" t="inlineStr">
        <is>
          <t>Public payer</t>
        </is>
      </c>
      <c r="J90" t="inlineStr">
        <is>
          <t>Lucas Martin</t>
        </is>
      </c>
      <c r="K90" s="70" t="n">
        <v>1742</v>
      </c>
      <c r="L90" s="71" t="n">
        <v>711.6</v>
      </c>
      <c r="M90" s="71" t="n">
        <v>1239607.2</v>
      </c>
      <c r="N90" s="71" t="n">
        <v>247921.44</v>
      </c>
      <c r="O90" s="71" t="n">
        <v>991685.76</v>
      </c>
      <c r="P90" s="71" t="n">
        <v>134083.62</v>
      </c>
      <c r="Q90" s="71" t="n">
        <v>857602.14</v>
      </c>
      <c r="R90" t="inlineStr">
        <is>
          <t>Cardiology</t>
        </is>
      </c>
      <c r="S90" s="70" t="n">
        <v>1346</v>
      </c>
      <c r="T90" s="71" t="n">
        <v>203385.34</v>
      </c>
      <c r="U90" t="inlineStr">
        <is>
          <t>High</t>
        </is>
      </c>
      <c r="V90">
        <f>IF(AND(OR(Dashboard!$C$6="All",E90=Dashboard!$C$6),OR(Dashboard!$F$6="All",G90=Dashboard!$F$6),OR(Dashboard!$I$6="All",H90=Dashboard!$I$6)),1,0)</f>
        <v/>
      </c>
    </row>
    <row r="91">
      <c r="A91" t="inlineStr">
        <is>
          <t>PF100082</t>
        </is>
      </c>
      <c r="B91" s="68" t="n">
        <v>45668</v>
      </c>
      <c r="C91" s="69" t="n">
        <v>2025</v>
      </c>
      <c r="D91" t="inlineStr">
        <is>
          <t>Jan</t>
        </is>
      </c>
      <c r="E91" t="inlineStr">
        <is>
          <t>Europe</t>
        </is>
      </c>
      <c r="F91" t="inlineStr">
        <is>
          <t>Germany</t>
        </is>
      </c>
      <c r="G91" t="inlineStr">
        <is>
          <t>Ibrance</t>
        </is>
      </c>
      <c r="H91" t="inlineStr">
        <is>
          <t>Retail pharmacy</t>
        </is>
      </c>
      <c r="I91" t="inlineStr">
        <is>
          <t>Public payer</t>
        </is>
      </c>
      <c r="J91" t="inlineStr">
        <is>
          <t>Emma Clarke</t>
        </is>
      </c>
      <c r="K91" s="70" t="n">
        <v>1598</v>
      </c>
      <c r="L91" s="71" t="n">
        <v>2982.66</v>
      </c>
      <c r="M91" s="71" t="n">
        <v>4766290.68</v>
      </c>
      <c r="N91" s="71" t="n">
        <v>714943.6</v>
      </c>
      <c r="O91" s="71" t="n">
        <v>4051347.08</v>
      </c>
      <c r="P91" s="71" t="n">
        <v>677940.83</v>
      </c>
      <c r="Q91" s="71" t="n">
        <v>3373406.25</v>
      </c>
      <c r="R91" t="inlineStr">
        <is>
          <t>Oncology</t>
        </is>
      </c>
      <c r="S91" s="70" t="n">
        <v>1075</v>
      </c>
      <c r="T91" s="71" t="n">
        <v>724790.89</v>
      </c>
      <c r="U91" t="inlineStr">
        <is>
          <t>High</t>
        </is>
      </c>
      <c r="V91">
        <f>IF(AND(OR(Dashboard!$C$6="All",E91=Dashboard!$C$6),OR(Dashboard!$F$6="All",G91=Dashboard!$F$6),OR(Dashboard!$I$6="All",H91=Dashboard!$I$6)),1,0)</f>
        <v/>
      </c>
    </row>
    <row r="92">
      <c r="A92" t="inlineStr">
        <is>
          <t>PF100083</t>
        </is>
      </c>
      <c r="B92" s="68" t="n">
        <v>45668</v>
      </c>
      <c r="C92" s="69" t="n">
        <v>2025</v>
      </c>
      <c r="D92" t="inlineStr">
        <is>
          <t>Jan</t>
        </is>
      </c>
      <c r="E92" t="inlineStr">
        <is>
          <t>International developed</t>
        </is>
      </c>
      <c r="F92" t="inlineStr">
        <is>
          <t>Japan</t>
        </is>
      </c>
      <c r="G92" t="inlineStr">
        <is>
          <t>Vyndaqel</t>
        </is>
      </c>
      <c r="H92" t="inlineStr">
        <is>
          <t>Retail pharmacy</t>
        </is>
      </c>
      <c r="I92" t="inlineStr">
        <is>
          <t>Private insurer</t>
        </is>
      </c>
      <c r="J92" t="inlineStr">
        <is>
          <t>Amir Khan</t>
        </is>
      </c>
      <c r="K92" s="70" t="n">
        <v>2587</v>
      </c>
      <c r="L92" s="71" t="n">
        <v>5417.46</v>
      </c>
      <c r="M92" s="71" t="n">
        <v>14014969.02</v>
      </c>
      <c r="N92" s="71" t="n">
        <v>1401496.9</v>
      </c>
      <c r="O92" s="71" t="n">
        <v>12613472.12</v>
      </c>
      <c r="P92" s="71" t="n">
        <v>1646028.03</v>
      </c>
      <c r="Q92" s="71" t="n">
        <v>10967444.09</v>
      </c>
      <c r="R92" t="inlineStr">
        <is>
          <t>Rare disease</t>
        </is>
      </c>
      <c r="S92" s="70" t="n">
        <v>2032</v>
      </c>
      <c r="T92" s="71" t="n">
        <v>2308932.2</v>
      </c>
      <c r="U92" t="inlineStr">
        <is>
          <t>Medium</t>
        </is>
      </c>
      <c r="V92">
        <f>IF(AND(OR(Dashboard!$C$6="All",E92=Dashboard!$C$6),OR(Dashboard!$F$6="All",G92=Dashboard!$F$6),OR(Dashboard!$I$6="All",H92=Dashboard!$I$6)),1,0)</f>
        <v/>
      </c>
    </row>
    <row r="93">
      <c r="A93" t="inlineStr">
        <is>
          <t>PF100084</t>
        </is>
      </c>
      <c r="B93" s="68" t="n">
        <v>45668</v>
      </c>
      <c r="C93" s="69" t="n">
        <v>2025</v>
      </c>
      <c r="D93" t="inlineStr">
        <is>
          <t>Jan</t>
        </is>
      </c>
      <c r="E93" t="inlineStr">
        <is>
          <t>United States</t>
        </is>
      </c>
      <c r="F93" t="inlineStr">
        <is>
          <t>USA</t>
        </is>
      </c>
      <c r="G93" t="inlineStr">
        <is>
          <t>Vyndaqel</t>
        </is>
      </c>
      <c r="H93" t="inlineStr">
        <is>
          <t>Hospital</t>
        </is>
      </c>
      <c r="I93" t="inlineStr">
        <is>
          <t>Private insurer</t>
        </is>
      </c>
      <c r="J93" t="inlineStr">
        <is>
          <t>Aisha Bello</t>
        </is>
      </c>
      <c r="K93" s="70" t="n">
        <v>987</v>
      </c>
      <c r="L93" s="71" t="n">
        <v>8030.22</v>
      </c>
      <c r="M93" s="71" t="n">
        <v>7925827.14</v>
      </c>
      <c r="N93" s="71" t="n">
        <v>2377748.14</v>
      </c>
      <c r="O93" s="71" t="n">
        <v>5548079</v>
      </c>
      <c r="P93" s="71" t="n">
        <v>611816.97</v>
      </c>
      <c r="Q93" s="71" t="n">
        <v>4936262.03</v>
      </c>
      <c r="R93" t="inlineStr">
        <is>
          <t>Rare disease</t>
        </is>
      </c>
      <c r="S93" s="70" t="n">
        <v>853</v>
      </c>
      <c r="T93" s="71" t="n">
        <v>1274193.59</v>
      </c>
      <c r="U93" t="inlineStr">
        <is>
          <t>Medium</t>
        </is>
      </c>
      <c r="V93">
        <f>IF(AND(OR(Dashboard!$C$6="All",E93=Dashboard!$C$6),OR(Dashboard!$F$6="All",G93=Dashboard!$F$6),OR(Dashboard!$I$6="All",H93=Dashboard!$I$6)),1,0)</f>
        <v/>
      </c>
    </row>
    <row r="94">
      <c r="A94" t="inlineStr">
        <is>
          <t>PF100085</t>
        </is>
      </c>
      <c r="B94" s="68" t="n">
        <v>45668</v>
      </c>
      <c r="C94" s="69" t="n">
        <v>2025</v>
      </c>
      <c r="D94" t="inlineStr">
        <is>
          <t>Jan</t>
        </is>
      </c>
      <c r="E94" t="inlineStr">
        <is>
          <t>United States</t>
        </is>
      </c>
      <c r="F94" t="inlineStr">
        <is>
          <t>USA</t>
        </is>
      </c>
      <c r="G94" t="inlineStr">
        <is>
          <t>Abrysvo</t>
        </is>
      </c>
      <c r="H94" t="inlineStr">
        <is>
          <t>Hospital</t>
        </is>
      </c>
      <c r="I94" t="inlineStr">
        <is>
          <t>Private insurer</t>
        </is>
      </c>
      <c r="J94" t="inlineStr">
        <is>
          <t>Aisha Bello</t>
        </is>
      </c>
      <c r="K94" s="70" t="n">
        <v>231</v>
      </c>
      <c r="L94" s="71" t="n">
        <v>435.02</v>
      </c>
      <c r="M94" s="71" t="n">
        <v>100489.62</v>
      </c>
      <c r="N94" s="71" t="n">
        <v>15073.44</v>
      </c>
      <c r="O94" s="71" t="n">
        <v>85416.17999999999</v>
      </c>
      <c r="P94" s="71" t="n">
        <v>19365.36</v>
      </c>
      <c r="Q94" s="71" t="n">
        <v>66050.82000000001</v>
      </c>
      <c r="R94" t="inlineStr">
        <is>
          <t>Vaccines</t>
        </is>
      </c>
      <c r="S94" s="70" t="n">
        <v>162</v>
      </c>
      <c r="T94" s="71" t="n">
        <v>13097.65</v>
      </c>
      <c r="U94" t="inlineStr">
        <is>
          <t>Low</t>
        </is>
      </c>
      <c r="V94">
        <f>IF(AND(OR(Dashboard!$C$6="All",E94=Dashboard!$C$6),OR(Dashboard!$F$6="All",G94=Dashboard!$F$6),OR(Dashboard!$I$6="All",H94=Dashboard!$I$6)),1,0)</f>
        <v/>
      </c>
    </row>
    <row r="95">
      <c r="A95" t="inlineStr">
        <is>
          <t>PF100086</t>
        </is>
      </c>
      <c r="B95" s="68" t="n">
        <v>45668</v>
      </c>
      <c r="C95" s="69" t="n">
        <v>2025</v>
      </c>
      <c r="D95" t="inlineStr">
        <is>
          <t>Jan</t>
        </is>
      </c>
      <c r="E95" t="inlineStr">
        <is>
          <t>Emerging markets</t>
        </is>
      </c>
      <c r="F95" t="inlineStr">
        <is>
          <t>Brazil</t>
        </is>
      </c>
      <c r="G95" t="inlineStr">
        <is>
          <t>Comirnaty</t>
        </is>
      </c>
      <c r="H95" t="inlineStr">
        <is>
          <t>Government / tender</t>
        </is>
      </c>
      <c r="I95" t="inlineStr">
        <is>
          <t>Self-pay</t>
        </is>
      </c>
      <c r="J95" t="inlineStr">
        <is>
          <t>Ruhi Shaikh</t>
        </is>
      </c>
      <c r="K95" s="70" t="n">
        <v>2416</v>
      </c>
      <c r="L95" s="71" t="n">
        <v>103.02</v>
      </c>
      <c r="M95" s="71" t="n">
        <v>248896.32</v>
      </c>
      <c r="N95" s="71" t="n">
        <v>12444.82</v>
      </c>
      <c r="O95" s="71" t="n">
        <v>236451.5</v>
      </c>
      <c r="P95" s="71" t="n">
        <v>92727.77</v>
      </c>
      <c r="Q95" s="71" t="n">
        <v>143723.73</v>
      </c>
      <c r="R95" t="inlineStr">
        <is>
          <t>Vaccines</t>
        </is>
      </c>
      <c r="S95" s="70" t="n">
        <v>2095</v>
      </c>
      <c r="T95" s="71" t="n">
        <v>36476.31</v>
      </c>
      <c r="U95" t="inlineStr">
        <is>
          <t>Low</t>
        </is>
      </c>
      <c r="V95">
        <f>IF(AND(OR(Dashboard!$C$6="All",E95=Dashboard!$C$6),OR(Dashboard!$F$6="All",G95=Dashboard!$F$6),OR(Dashboard!$I$6="All",H95=Dashboard!$I$6)),1,0)</f>
        <v/>
      </c>
    </row>
    <row r="96">
      <c r="A96" t="inlineStr">
        <is>
          <t>PF100087</t>
        </is>
      </c>
      <c r="B96" s="68" t="n">
        <v>45668</v>
      </c>
      <c r="C96" s="69" t="n">
        <v>2025</v>
      </c>
      <c r="D96" t="inlineStr">
        <is>
          <t>Jan</t>
        </is>
      </c>
      <c r="E96" t="inlineStr">
        <is>
          <t>Europe</t>
        </is>
      </c>
      <c r="F96" t="inlineStr">
        <is>
          <t>Spain</t>
        </is>
      </c>
      <c r="G96" t="inlineStr">
        <is>
          <t>Abrysvo</t>
        </is>
      </c>
      <c r="H96" t="inlineStr">
        <is>
          <t>Retail pharmacy</t>
        </is>
      </c>
      <c r="I96" t="inlineStr">
        <is>
          <t>Private insurer</t>
        </is>
      </c>
      <c r="J96" t="inlineStr">
        <is>
          <t>Fatima Al-Saud</t>
        </is>
      </c>
      <c r="K96" s="70" t="n">
        <v>1561</v>
      </c>
      <c r="L96" s="71" t="n">
        <v>276.51</v>
      </c>
      <c r="M96" s="71" t="n">
        <v>431632.11</v>
      </c>
      <c r="N96" s="71" t="n">
        <v>21581.61</v>
      </c>
      <c r="O96" s="71" t="n">
        <v>410050.5</v>
      </c>
      <c r="P96" s="71" t="n">
        <v>135399.99</v>
      </c>
      <c r="Q96" s="71" t="n">
        <v>274650.51</v>
      </c>
      <c r="R96" t="inlineStr">
        <is>
          <t>Vaccines</t>
        </is>
      </c>
      <c r="S96" s="70" t="n">
        <v>1069</v>
      </c>
      <c r="T96" s="71" t="n">
        <v>54212.75</v>
      </c>
      <c r="U96" t="inlineStr">
        <is>
          <t>Low</t>
        </is>
      </c>
      <c r="V96">
        <f>IF(AND(OR(Dashboard!$C$6="All",E96=Dashboard!$C$6),OR(Dashboard!$F$6="All",G96=Dashboard!$F$6),OR(Dashboard!$I$6="All",H96=Dashboard!$I$6)),1,0)</f>
        <v/>
      </c>
    </row>
    <row r="97">
      <c r="A97" t="inlineStr">
        <is>
          <t>PF100088</t>
        </is>
      </c>
      <c r="B97" s="68" t="n">
        <v>45668</v>
      </c>
      <c r="C97" s="69" t="n">
        <v>2025</v>
      </c>
      <c r="D97" t="inlineStr">
        <is>
          <t>Jan</t>
        </is>
      </c>
      <c r="E97" t="inlineStr">
        <is>
          <t>International developed</t>
        </is>
      </c>
      <c r="F97" t="inlineStr">
        <is>
          <t>Japan</t>
        </is>
      </c>
      <c r="G97" t="inlineStr">
        <is>
          <t>Prevnar 20</t>
        </is>
      </c>
      <c r="H97" t="inlineStr">
        <is>
          <t>Hospital</t>
        </is>
      </c>
      <c r="I97" t="inlineStr">
        <is>
          <t>Public payer</t>
        </is>
      </c>
      <c r="J97" t="inlineStr">
        <is>
          <t>Aisha Bello</t>
        </is>
      </c>
      <c r="K97" s="70" t="n">
        <v>2140</v>
      </c>
      <c r="L97" s="71" t="n">
        <v>228.2</v>
      </c>
      <c r="M97" s="71" t="n">
        <v>488348</v>
      </c>
      <c r="N97" s="71" t="n">
        <v>97669.60000000001</v>
      </c>
      <c r="O97" s="71" t="n">
        <v>390678.4</v>
      </c>
      <c r="P97" s="71" t="n">
        <v>148070.59</v>
      </c>
      <c r="Q97" s="71" t="n">
        <v>242607.81</v>
      </c>
      <c r="R97" t="inlineStr">
        <is>
          <t>Vaccines</t>
        </is>
      </c>
      <c r="S97" s="70" t="n">
        <v>1431</v>
      </c>
      <c r="T97" s="71" t="n">
        <v>73707.48</v>
      </c>
      <c r="U97" t="inlineStr">
        <is>
          <t>Low</t>
        </is>
      </c>
      <c r="V97">
        <f>IF(AND(OR(Dashboard!$C$6="All",E97=Dashboard!$C$6),OR(Dashboard!$F$6="All",G97=Dashboard!$F$6),OR(Dashboard!$I$6="All",H97=Dashboard!$I$6)),1,0)</f>
        <v/>
      </c>
    </row>
    <row r="98">
      <c r="A98" t="inlineStr">
        <is>
          <t>PF100089</t>
        </is>
      </c>
      <c r="B98" s="68" t="n">
        <v>45669</v>
      </c>
      <c r="C98" s="69" t="n">
        <v>2025</v>
      </c>
      <c r="D98" t="inlineStr">
        <is>
          <t>Jan</t>
        </is>
      </c>
      <c r="E98" t="inlineStr">
        <is>
          <t>Europe</t>
        </is>
      </c>
      <c r="F98" t="inlineStr">
        <is>
          <t>Spain</t>
        </is>
      </c>
      <c r="G98" t="inlineStr">
        <is>
          <t>Vyndaqel</t>
        </is>
      </c>
      <c r="H98" t="inlineStr">
        <is>
          <t>Retail pharmacy</t>
        </is>
      </c>
      <c r="I98" t="inlineStr">
        <is>
          <t>Public payer</t>
        </is>
      </c>
      <c r="J98" t="inlineStr">
        <is>
          <t>Zoya Ahmed</t>
        </is>
      </c>
      <c r="K98" s="70" t="n">
        <v>2263</v>
      </c>
      <c r="L98" s="71" t="n">
        <v>5509.75</v>
      </c>
      <c r="M98" s="71" t="n">
        <v>12468564.25</v>
      </c>
      <c r="N98" s="71" t="n">
        <v>3117141.06</v>
      </c>
      <c r="O98" s="71" t="n">
        <v>9351423.189999999</v>
      </c>
      <c r="P98" s="71" t="n">
        <v>1381845.48</v>
      </c>
      <c r="Q98" s="71" t="n">
        <v>7969577.71</v>
      </c>
      <c r="R98" t="inlineStr">
        <is>
          <t>Rare disease</t>
        </is>
      </c>
      <c r="S98" s="70" t="n">
        <v>1676</v>
      </c>
      <c r="T98" s="71" t="n">
        <v>2261938.06</v>
      </c>
      <c r="U98" t="inlineStr">
        <is>
          <t>Medium</t>
        </is>
      </c>
      <c r="V98">
        <f>IF(AND(OR(Dashboard!$C$6="All",E98=Dashboard!$C$6),OR(Dashboard!$F$6="All",G98=Dashboard!$F$6),OR(Dashboard!$I$6="All",H98=Dashboard!$I$6)),1,0)</f>
        <v/>
      </c>
    </row>
    <row r="99">
      <c r="A99" t="inlineStr">
        <is>
          <t>PF100090</t>
        </is>
      </c>
      <c r="B99" s="68" t="n">
        <v>45669</v>
      </c>
      <c r="C99" s="69" t="n">
        <v>2025</v>
      </c>
      <c r="D99" t="inlineStr">
        <is>
          <t>Jan</t>
        </is>
      </c>
      <c r="E99" t="inlineStr">
        <is>
          <t>United States</t>
        </is>
      </c>
      <c r="F99" t="inlineStr">
        <is>
          <t>USA</t>
        </is>
      </c>
      <c r="G99" t="inlineStr">
        <is>
          <t>Eliquis</t>
        </is>
      </c>
      <c r="H99" t="inlineStr">
        <is>
          <t>Hospital</t>
        </is>
      </c>
      <c r="I99" t="inlineStr">
        <is>
          <t>Public payer</t>
        </is>
      </c>
      <c r="J99" t="inlineStr">
        <is>
          <t>Lucas Martin</t>
        </is>
      </c>
      <c r="K99" s="70" t="n">
        <v>1694</v>
      </c>
      <c r="L99" s="71" t="n">
        <v>736.11</v>
      </c>
      <c r="M99" s="71" t="n">
        <v>1246970.34</v>
      </c>
      <c r="N99" s="71" t="n">
        <v>187045.55</v>
      </c>
      <c r="O99" s="71" t="n">
        <v>1059924.79</v>
      </c>
      <c r="P99" s="71" t="n">
        <v>133029.9</v>
      </c>
      <c r="Q99" s="71" t="n">
        <v>926894.89</v>
      </c>
      <c r="R99" t="inlineStr">
        <is>
          <t>Cardiology</t>
        </is>
      </c>
      <c r="S99" s="70" t="n">
        <v>1280</v>
      </c>
      <c r="T99" s="71" t="n">
        <v>177873.77</v>
      </c>
      <c r="U99" t="inlineStr">
        <is>
          <t>High</t>
        </is>
      </c>
      <c r="V99">
        <f>IF(AND(OR(Dashboard!$C$6="All",E99=Dashboard!$C$6),OR(Dashboard!$F$6="All",G99=Dashboard!$F$6),OR(Dashboard!$I$6="All",H99=Dashboard!$I$6)),1,0)</f>
        <v/>
      </c>
    </row>
    <row r="100">
      <c r="A100" t="inlineStr">
        <is>
          <t>PF100091</t>
        </is>
      </c>
      <c r="B100" s="68" t="n">
        <v>45669</v>
      </c>
      <c r="C100" s="69" t="n">
        <v>2025</v>
      </c>
      <c r="D100" t="inlineStr">
        <is>
          <t>Jan</t>
        </is>
      </c>
      <c r="E100" t="inlineStr">
        <is>
          <t>United States</t>
        </is>
      </c>
      <c r="F100" t="inlineStr">
        <is>
          <t>USA</t>
        </is>
      </c>
      <c r="G100" t="inlineStr">
        <is>
          <t>Eliquis</t>
        </is>
      </c>
      <c r="H100" t="inlineStr">
        <is>
          <t>Hospital</t>
        </is>
      </c>
      <c r="I100" t="inlineStr">
        <is>
          <t>Private insurer</t>
        </is>
      </c>
      <c r="J100" t="inlineStr">
        <is>
          <t>Mei Lin</t>
        </is>
      </c>
      <c r="K100" s="70" t="n">
        <v>2318</v>
      </c>
      <c r="L100" s="71" t="n">
        <v>710.91</v>
      </c>
      <c r="M100" s="71" t="n">
        <v>1647889.38</v>
      </c>
      <c r="N100" s="71" t="n">
        <v>494366.81</v>
      </c>
      <c r="O100" s="71" t="n">
        <v>1153522.57</v>
      </c>
      <c r="P100" s="71" t="n">
        <v>180523.5</v>
      </c>
      <c r="Q100" s="71" t="n">
        <v>972999.0699999999</v>
      </c>
      <c r="R100" t="inlineStr">
        <is>
          <t>Cardiology</t>
        </is>
      </c>
      <c r="S100" s="70" t="n">
        <v>2270</v>
      </c>
      <c r="T100" s="71" t="n">
        <v>223993.69</v>
      </c>
      <c r="U100" t="inlineStr">
        <is>
          <t>High</t>
        </is>
      </c>
      <c r="V100">
        <f>IF(AND(OR(Dashboard!$C$6="All",E100=Dashboard!$C$6),OR(Dashboard!$F$6="All",G100=Dashboard!$F$6),OR(Dashboard!$I$6="All",H100=Dashboard!$I$6)),1,0)</f>
        <v/>
      </c>
    </row>
    <row r="101">
      <c r="A101" t="inlineStr">
        <is>
          <t>PF100092</t>
        </is>
      </c>
      <c r="B101" s="68" t="n">
        <v>45669</v>
      </c>
      <c r="C101" s="69" t="n">
        <v>2025</v>
      </c>
      <c r="D101" t="inlineStr">
        <is>
          <t>Jan</t>
        </is>
      </c>
      <c r="E101" t="inlineStr">
        <is>
          <t>United States</t>
        </is>
      </c>
      <c r="F101" t="inlineStr">
        <is>
          <t>USA</t>
        </is>
      </c>
      <c r="G101" t="inlineStr">
        <is>
          <t>Prevnar 20</t>
        </is>
      </c>
      <c r="H101" t="inlineStr">
        <is>
          <t>Retail pharmacy</t>
        </is>
      </c>
      <c r="I101" t="inlineStr">
        <is>
          <t>Public payer</t>
        </is>
      </c>
      <c r="J101" t="inlineStr">
        <is>
          <t>Sophie Müller</t>
        </is>
      </c>
      <c r="K101" s="70" t="n">
        <v>1116</v>
      </c>
      <c r="L101" s="71" t="n">
        <v>391.26</v>
      </c>
      <c r="M101" s="71" t="n">
        <v>436646.16</v>
      </c>
      <c r="N101" s="71" t="n">
        <v>109161.54</v>
      </c>
      <c r="O101" s="71" t="n">
        <v>327484.62</v>
      </c>
      <c r="P101" s="71" t="n">
        <v>75894.14</v>
      </c>
      <c r="Q101" s="71" t="n">
        <v>251590.48</v>
      </c>
      <c r="R101" t="inlineStr">
        <is>
          <t>Vaccines</t>
        </is>
      </c>
      <c r="S101" s="70" t="n">
        <v>764</v>
      </c>
      <c r="T101" s="71" t="n">
        <v>58617.13</v>
      </c>
      <c r="U101" t="inlineStr">
        <is>
          <t>Low</t>
        </is>
      </c>
      <c r="V101">
        <f>IF(AND(OR(Dashboard!$C$6="All",E101=Dashboard!$C$6),OR(Dashboard!$F$6="All",G101=Dashboard!$F$6),OR(Dashboard!$I$6="All",H101=Dashboard!$I$6)),1,0)</f>
        <v/>
      </c>
    </row>
    <row r="102">
      <c r="A102" t="inlineStr">
        <is>
          <t>PF100093</t>
        </is>
      </c>
      <c r="B102" s="68" t="n">
        <v>45669</v>
      </c>
      <c r="C102" s="69" t="n">
        <v>2025</v>
      </c>
      <c r="D102" t="inlineStr">
        <is>
          <t>Jan</t>
        </is>
      </c>
      <c r="E102" t="inlineStr">
        <is>
          <t>Emerging markets</t>
        </is>
      </c>
      <c r="F102" t="inlineStr">
        <is>
          <t>China</t>
        </is>
      </c>
      <c r="G102" t="inlineStr">
        <is>
          <t>Xeljanz</t>
        </is>
      </c>
      <c r="H102" t="inlineStr">
        <is>
          <t>Government / tender</t>
        </is>
      </c>
      <c r="I102" t="inlineStr">
        <is>
          <t>Public payer</t>
        </is>
      </c>
      <c r="J102" t="inlineStr">
        <is>
          <t>Kofi Mensah</t>
        </is>
      </c>
      <c r="K102" s="70" t="n">
        <v>2190</v>
      </c>
      <c r="L102" s="71" t="n">
        <v>1466.47</v>
      </c>
      <c r="M102" s="71" t="n">
        <v>3211569.3</v>
      </c>
      <c r="N102" s="71" t="n">
        <v>642313.86</v>
      </c>
      <c r="O102" s="71" t="n">
        <v>2569255.44</v>
      </c>
      <c r="P102" s="71" t="n">
        <v>545414.1800000001</v>
      </c>
      <c r="Q102" s="71" t="n">
        <v>2023841.26</v>
      </c>
      <c r="R102" t="inlineStr">
        <is>
          <t>Inflammation</t>
        </is>
      </c>
      <c r="S102" s="70" t="n">
        <v>2174</v>
      </c>
      <c r="T102" s="71" t="n">
        <v>669678.12</v>
      </c>
      <c r="U102" t="inlineStr">
        <is>
          <t>High</t>
        </is>
      </c>
      <c r="V102">
        <f>IF(AND(OR(Dashboard!$C$6="All",E102=Dashboard!$C$6),OR(Dashboard!$F$6="All",G102=Dashboard!$F$6),OR(Dashboard!$I$6="All",H102=Dashboard!$I$6)),1,0)</f>
        <v/>
      </c>
    </row>
    <row r="103">
      <c r="A103" t="inlineStr">
        <is>
          <t>PF100094</t>
        </is>
      </c>
      <c r="B103" s="68" t="n">
        <v>45669</v>
      </c>
      <c r="C103" s="69" t="n">
        <v>2025</v>
      </c>
      <c r="D103" t="inlineStr">
        <is>
          <t>Jan</t>
        </is>
      </c>
      <c r="E103" t="inlineStr">
        <is>
          <t>Europe</t>
        </is>
      </c>
      <c r="F103" t="inlineStr">
        <is>
          <t>Spain</t>
        </is>
      </c>
      <c r="G103" t="inlineStr">
        <is>
          <t>Eliquis</t>
        </is>
      </c>
      <c r="H103" t="inlineStr">
        <is>
          <t>Government / tender</t>
        </is>
      </c>
      <c r="I103" t="inlineStr">
        <is>
          <t>Private insurer</t>
        </is>
      </c>
      <c r="J103" t="inlineStr">
        <is>
          <t>Carlos Silva</t>
        </is>
      </c>
      <c r="K103" s="70" t="n">
        <v>315</v>
      </c>
      <c r="L103" s="71" t="n">
        <v>380.46</v>
      </c>
      <c r="M103" s="71" t="n">
        <v>119844.9</v>
      </c>
      <c r="N103" s="71" t="n">
        <v>11984.49</v>
      </c>
      <c r="O103" s="71" t="n">
        <v>107860.41</v>
      </c>
      <c r="P103" s="71" t="n">
        <v>24109.79</v>
      </c>
      <c r="Q103" s="71" t="n">
        <v>83750.62</v>
      </c>
      <c r="R103" t="inlineStr">
        <is>
          <t>Cardiology</t>
        </is>
      </c>
      <c r="S103" s="70" t="n">
        <v>270</v>
      </c>
      <c r="T103" s="71" t="n">
        <v>22442</v>
      </c>
      <c r="U103" t="inlineStr">
        <is>
          <t>High</t>
        </is>
      </c>
      <c r="V103">
        <f>IF(AND(OR(Dashboard!$C$6="All",E103=Dashboard!$C$6),OR(Dashboard!$F$6="All",G103=Dashboard!$F$6),OR(Dashboard!$I$6="All",H103=Dashboard!$I$6)),1,0)</f>
        <v/>
      </c>
    </row>
    <row r="104">
      <c r="A104" t="inlineStr">
        <is>
          <t>PF100095</t>
        </is>
      </c>
      <c r="B104" s="68" t="n">
        <v>45669</v>
      </c>
      <c r="C104" s="69" t="n">
        <v>2025</v>
      </c>
      <c r="D104" t="inlineStr">
        <is>
          <t>Jan</t>
        </is>
      </c>
      <c r="E104" t="inlineStr">
        <is>
          <t>Europe</t>
        </is>
      </c>
      <c r="F104" t="inlineStr">
        <is>
          <t>Spain</t>
        </is>
      </c>
      <c r="G104" t="inlineStr">
        <is>
          <t>Prevnar 20</t>
        </is>
      </c>
      <c r="H104" t="inlineStr">
        <is>
          <t>Hospital</t>
        </is>
      </c>
      <c r="I104" t="inlineStr">
        <is>
          <t>Public payer</t>
        </is>
      </c>
      <c r="J104" t="inlineStr">
        <is>
          <t>Zoya Ahmed</t>
        </is>
      </c>
      <c r="K104" s="70" t="n">
        <v>2080</v>
      </c>
      <c r="L104" s="71" t="n">
        <v>239.25</v>
      </c>
      <c r="M104" s="71" t="n">
        <v>497640</v>
      </c>
      <c r="N104" s="71" t="n">
        <v>99528</v>
      </c>
      <c r="O104" s="71" t="n">
        <v>398112</v>
      </c>
      <c r="P104" s="71" t="n">
        <v>140340.88</v>
      </c>
      <c r="Q104" s="71" t="n">
        <v>257771.12</v>
      </c>
      <c r="R104" t="inlineStr">
        <is>
          <t>Vaccines</t>
        </is>
      </c>
      <c r="S104" s="70" t="n">
        <v>1964</v>
      </c>
      <c r="T104" s="71" t="n">
        <v>75310.12</v>
      </c>
      <c r="U104" t="inlineStr">
        <is>
          <t>Low</t>
        </is>
      </c>
      <c r="V104">
        <f>IF(AND(OR(Dashboard!$C$6="All",E104=Dashboard!$C$6),OR(Dashboard!$F$6="All",G104=Dashboard!$F$6),OR(Dashboard!$I$6="All",H104=Dashboard!$I$6)),1,0)</f>
        <v/>
      </c>
    </row>
    <row r="105">
      <c r="A105" t="inlineStr">
        <is>
          <t>PF100096</t>
        </is>
      </c>
      <c r="B105" s="68" t="n">
        <v>45669</v>
      </c>
      <c r="C105" s="69" t="n">
        <v>2025</v>
      </c>
      <c r="D105" t="inlineStr">
        <is>
          <t>Jan</t>
        </is>
      </c>
      <c r="E105" t="inlineStr">
        <is>
          <t>United States</t>
        </is>
      </c>
      <c r="F105" t="inlineStr">
        <is>
          <t>USA</t>
        </is>
      </c>
      <c r="G105" t="inlineStr">
        <is>
          <t>Ibrance</t>
        </is>
      </c>
      <c r="H105" t="inlineStr">
        <is>
          <t>Hospital</t>
        </is>
      </c>
      <c r="I105" t="inlineStr">
        <is>
          <t>Private insurer</t>
        </is>
      </c>
      <c r="J105" t="inlineStr">
        <is>
          <t>Wei Chen</t>
        </is>
      </c>
      <c r="K105" s="70" t="n">
        <v>358</v>
      </c>
      <c r="L105" s="71" t="n">
        <v>4221.89</v>
      </c>
      <c r="M105" s="71" t="n">
        <v>1511436.62</v>
      </c>
      <c r="N105" s="71" t="n">
        <v>377859.16</v>
      </c>
      <c r="O105" s="71" t="n">
        <v>1133577.46</v>
      </c>
      <c r="P105" s="71" t="n">
        <v>153917.22</v>
      </c>
      <c r="Q105" s="71" t="n">
        <v>979660.24</v>
      </c>
      <c r="R105" t="inlineStr">
        <is>
          <t>Oncology</t>
        </is>
      </c>
      <c r="S105" s="70" t="n">
        <v>227</v>
      </c>
      <c r="T105" s="71" t="n">
        <v>205086.35</v>
      </c>
      <c r="U105" t="inlineStr">
        <is>
          <t>High</t>
        </is>
      </c>
      <c r="V105">
        <f>IF(AND(OR(Dashboard!$C$6="All",E105=Dashboard!$C$6),OR(Dashboard!$F$6="All",G105=Dashboard!$F$6),OR(Dashboard!$I$6="All",H105=Dashboard!$I$6)),1,0)</f>
        <v/>
      </c>
    </row>
    <row r="106">
      <c r="A106" t="inlineStr">
        <is>
          <t>PF100097</t>
        </is>
      </c>
      <c r="B106" s="68" t="n">
        <v>45669</v>
      </c>
      <c r="C106" s="69" t="n">
        <v>2025</v>
      </c>
      <c r="D106" t="inlineStr">
        <is>
          <t>Jan</t>
        </is>
      </c>
      <c r="E106" t="inlineStr">
        <is>
          <t>Europe</t>
        </is>
      </c>
      <c r="F106" t="inlineStr">
        <is>
          <t>UK</t>
        </is>
      </c>
      <c r="G106" t="inlineStr">
        <is>
          <t>Comirnaty</t>
        </is>
      </c>
      <c r="H106" t="inlineStr">
        <is>
          <t>Retail pharmacy</t>
        </is>
      </c>
      <c r="I106" t="inlineStr">
        <is>
          <t>Private insurer</t>
        </is>
      </c>
      <c r="J106" t="inlineStr">
        <is>
          <t>Arjun Mehta</t>
        </is>
      </c>
      <c r="K106" s="70" t="n">
        <v>1482</v>
      </c>
      <c r="L106" s="71" t="n">
        <v>112.04</v>
      </c>
      <c r="M106" s="71" t="n">
        <v>166043.28</v>
      </c>
      <c r="N106" s="71" t="n">
        <v>8302.16</v>
      </c>
      <c r="O106" s="71" t="n">
        <v>157741.12</v>
      </c>
      <c r="P106" s="71" t="n">
        <v>56179.93</v>
      </c>
      <c r="Q106" s="71" t="n">
        <v>101561.19</v>
      </c>
      <c r="R106" t="inlineStr">
        <is>
          <t>Vaccines</t>
        </is>
      </c>
      <c r="S106" s="70" t="n">
        <v>1000</v>
      </c>
      <c r="T106" s="71" t="n">
        <v>20640.83</v>
      </c>
      <c r="U106" t="inlineStr">
        <is>
          <t>Low</t>
        </is>
      </c>
      <c r="V106">
        <f>IF(AND(OR(Dashboard!$C$6="All",E106=Dashboard!$C$6),OR(Dashboard!$F$6="All",G106=Dashboard!$F$6),OR(Dashboard!$I$6="All",H106=Dashboard!$I$6)),1,0)</f>
        <v/>
      </c>
    </row>
    <row r="107">
      <c r="A107" t="inlineStr">
        <is>
          <t>PF100098</t>
        </is>
      </c>
      <c r="B107" s="68" t="n">
        <v>45669</v>
      </c>
      <c r="C107" s="69" t="n">
        <v>2025</v>
      </c>
      <c r="D107" t="inlineStr">
        <is>
          <t>Jan</t>
        </is>
      </c>
      <c r="E107" t="inlineStr">
        <is>
          <t>United States</t>
        </is>
      </c>
      <c r="F107" t="inlineStr">
        <is>
          <t>USA</t>
        </is>
      </c>
      <c r="G107" t="inlineStr">
        <is>
          <t>Comirnaty</t>
        </is>
      </c>
      <c r="H107" t="inlineStr">
        <is>
          <t>Government / tender</t>
        </is>
      </c>
      <c r="I107" t="inlineStr">
        <is>
          <t>Private insurer</t>
        </is>
      </c>
      <c r="J107" t="inlineStr">
        <is>
          <t>Lucas Martin</t>
        </is>
      </c>
      <c r="K107" s="70" t="n">
        <v>1806</v>
      </c>
      <c r="L107" s="71" t="n">
        <v>162.48</v>
      </c>
      <c r="M107" s="71" t="n">
        <v>293438.88</v>
      </c>
      <c r="N107" s="71" t="n">
        <v>73359.72</v>
      </c>
      <c r="O107" s="71" t="n">
        <v>220079.16</v>
      </c>
      <c r="P107" s="71" t="n">
        <v>67899.69</v>
      </c>
      <c r="Q107" s="71" t="n">
        <v>152179.47</v>
      </c>
      <c r="R107" t="inlineStr">
        <is>
          <t>Vaccines</t>
        </is>
      </c>
      <c r="S107" s="70" t="n">
        <v>1490</v>
      </c>
      <c r="T107" s="71" t="n">
        <v>44681.02</v>
      </c>
      <c r="U107" t="inlineStr">
        <is>
          <t>Low</t>
        </is>
      </c>
      <c r="V107">
        <f>IF(AND(OR(Dashboard!$C$6="All",E107=Dashboard!$C$6),OR(Dashboard!$F$6="All",G107=Dashboard!$F$6),OR(Dashboard!$I$6="All",H107=Dashboard!$I$6)),1,0)</f>
        <v/>
      </c>
    </row>
    <row r="108">
      <c r="A108" t="inlineStr">
        <is>
          <t>PF100099</t>
        </is>
      </c>
      <c r="B108" s="68" t="n">
        <v>45670</v>
      </c>
      <c r="C108" s="69" t="n">
        <v>2025</v>
      </c>
      <c r="D108" t="inlineStr">
        <is>
          <t>Jan</t>
        </is>
      </c>
      <c r="E108" t="inlineStr">
        <is>
          <t>Europe</t>
        </is>
      </c>
      <c r="F108" t="inlineStr">
        <is>
          <t>Italy</t>
        </is>
      </c>
      <c r="G108" t="inlineStr">
        <is>
          <t>Ibrance</t>
        </is>
      </c>
      <c r="H108" t="inlineStr">
        <is>
          <t>Retail pharmacy</t>
        </is>
      </c>
      <c r="I108" t="inlineStr">
        <is>
          <t>Private insurer</t>
        </is>
      </c>
      <c r="J108" t="inlineStr">
        <is>
          <t>Amir Khan</t>
        </is>
      </c>
      <c r="K108" s="70" t="n">
        <v>202</v>
      </c>
      <c r="L108" s="71" t="n">
        <v>2758.04</v>
      </c>
      <c r="M108" s="71" t="n">
        <v>557124.08</v>
      </c>
      <c r="N108" s="71" t="n">
        <v>27856.2</v>
      </c>
      <c r="O108" s="71" t="n">
        <v>529267.88</v>
      </c>
      <c r="P108" s="71" t="n">
        <v>85930.21000000001</v>
      </c>
      <c r="Q108" s="71" t="n">
        <v>443337.67</v>
      </c>
      <c r="R108" t="inlineStr">
        <is>
          <t>Oncology</t>
        </is>
      </c>
      <c r="S108" s="70" t="n">
        <v>172</v>
      </c>
      <c r="T108" s="71" t="n">
        <v>68104.39</v>
      </c>
      <c r="U108" t="inlineStr">
        <is>
          <t>High</t>
        </is>
      </c>
      <c r="V108">
        <f>IF(AND(OR(Dashboard!$C$6="All",E108=Dashboard!$C$6),OR(Dashboard!$F$6="All",G108=Dashboard!$F$6),OR(Dashboard!$I$6="All",H108=Dashboard!$I$6)),1,0)</f>
        <v/>
      </c>
    </row>
    <row r="109">
      <c r="A109" t="inlineStr">
        <is>
          <t>PF100100</t>
        </is>
      </c>
      <c r="B109" s="68" t="n">
        <v>45670</v>
      </c>
      <c r="C109" s="69" t="n">
        <v>2025</v>
      </c>
      <c r="D109" t="inlineStr">
        <is>
          <t>Jan</t>
        </is>
      </c>
      <c r="E109" t="inlineStr">
        <is>
          <t>Emerging markets</t>
        </is>
      </c>
      <c r="F109" t="inlineStr">
        <is>
          <t>India</t>
        </is>
      </c>
      <c r="G109" t="inlineStr">
        <is>
          <t>Prevnar 20</t>
        </is>
      </c>
      <c r="H109" t="inlineStr">
        <is>
          <t>Hospital</t>
        </is>
      </c>
      <c r="I109" t="inlineStr">
        <is>
          <t>Private insurer</t>
        </is>
      </c>
      <c r="J109" t="inlineStr">
        <is>
          <t>Shraddha Kulkarni</t>
        </is>
      </c>
      <c r="K109" s="70" t="n">
        <v>1595</v>
      </c>
      <c r="L109" s="71" t="n">
        <v>233.95</v>
      </c>
      <c r="M109" s="71" t="n">
        <v>373150.25</v>
      </c>
      <c r="N109" s="71" t="n">
        <v>93287.56</v>
      </c>
      <c r="O109" s="71" t="n">
        <v>279862.69</v>
      </c>
      <c r="P109" s="71" t="n">
        <v>106308.88</v>
      </c>
      <c r="Q109" s="71" t="n">
        <v>173553.81</v>
      </c>
      <c r="R109" t="inlineStr">
        <is>
          <t>Vaccines</t>
        </is>
      </c>
      <c r="S109" s="70" t="n">
        <v>1006</v>
      </c>
      <c r="T109" s="71" t="n">
        <v>66071.24000000001</v>
      </c>
      <c r="U109" t="inlineStr">
        <is>
          <t>Low</t>
        </is>
      </c>
      <c r="V109">
        <f>IF(AND(OR(Dashboard!$C$6="All",E109=Dashboard!$C$6),OR(Dashboard!$F$6="All",G109=Dashboard!$F$6),OR(Dashboard!$I$6="All",H109=Dashboard!$I$6)),1,0)</f>
        <v/>
      </c>
    </row>
    <row r="110">
      <c r="A110" t="inlineStr">
        <is>
          <t>PF100101</t>
        </is>
      </c>
      <c r="B110" s="68" t="n">
        <v>45670</v>
      </c>
      <c r="C110" s="69" t="n">
        <v>2025</v>
      </c>
      <c r="D110" t="inlineStr">
        <is>
          <t>Jan</t>
        </is>
      </c>
      <c r="E110" t="inlineStr">
        <is>
          <t>Europe</t>
        </is>
      </c>
      <c r="F110" t="inlineStr">
        <is>
          <t>Germany</t>
        </is>
      </c>
      <c r="G110" t="inlineStr">
        <is>
          <t>Vyndaqel</t>
        </is>
      </c>
      <c r="H110" t="inlineStr">
        <is>
          <t>Government / tender</t>
        </is>
      </c>
      <c r="I110" t="inlineStr">
        <is>
          <t>Public payer</t>
        </is>
      </c>
      <c r="J110" t="inlineStr">
        <is>
          <t>Arjun Mehta</t>
        </is>
      </c>
      <c r="K110" s="70" t="n">
        <v>1443</v>
      </c>
      <c r="L110" s="71" t="n">
        <v>5368.28</v>
      </c>
      <c r="M110" s="71" t="n">
        <v>7746428.04</v>
      </c>
      <c r="N110" s="71" t="n">
        <v>1936607.01</v>
      </c>
      <c r="O110" s="71" t="n">
        <v>5809821.03</v>
      </c>
      <c r="P110" s="71" t="n">
        <v>885624.39</v>
      </c>
      <c r="Q110" s="71" t="n">
        <v>4924196.64</v>
      </c>
      <c r="R110" t="inlineStr">
        <is>
          <t>Rare disease</t>
        </is>
      </c>
      <c r="S110" s="70" t="n">
        <v>1035</v>
      </c>
      <c r="T110" s="71" t="n">
        <v>1148501.15</v>
      </c>
      <c r="U110" t="inlineStr">
        <is>
          <t>Medium</t>
        </is>
      </c>
      <c r="V110">
        <f>IF(AND(OR(Dashboard!$C$6="All",E110=Dashboard!$C$6),OR(Dashboard!$F$6="All",G110=Dashboard!$F$6),OR(Dashboard!$I$6="All",H110=Dashboard!$I$6)),1,0)</f>
        <v/>
      </c>
    </row>
    <row r="111">
      <c r="A111" t="inlineStr">
        <is>
          <t>PF100102</t>
        </is>
      </c>
      <c r="B111" s="68" t="n">
        <v>45670</v>
      </c>
      <c r="C111" s="69" t="n">
        <v>2025</v>
      </c>
      <c r="D111" t="inlineStr">
        <is>
          <t>Jan</t>
        </is>
      </c>
      <c r="E111" t="inlineStr">
        <is>
          <t>United States</t>
        </is>
      </c>
      <c r="F111" t="inlineStr">
        <is>
          <t>USA</t>
        </is>
      </c>
      <c r="G111" t="inlineStr">
        <is>
          <t>Prevnar 20</t>
        </is>
      </c>
      <c r="H111" t="inlineStr">
        <is>
          <t>Hospital</t>
        </is>
      </c>
      <c r="I111" t="inlineStr">
        <is>
          <t>Public payer</t>
        </is>
      </c>
      <c r="J111" t="inlineStr">
        <is>
          <t>Liam O'Brien</t>
        </is>
      </c>
      <c r="K111" s="70" t="n">
        <v>2641</v>
      </c>
      <c r="L111" s="71" t="n">
        <v>344.54</v>
      </c>
      <c r="M111" s="71" t="n">
        <v>909930.14</v>
      </c>
      <c r="N111" s="71" t="n">
        <v>227482.54</v>
      </c>
      <c r="O111" s="71" t="n">
        <v>682447.6</v>
      </c>
      <c r="P111" s="71" t="n">
        <v>177902.19</v>
      </c>
      <c r="Q111" s="71" t="n">
        <v>504545.41</v>
      </c>
      <c r="R111" t="inlineStr">
        <is>
          <t>Vaccines</t>
        </is>
      </c>
      <c r="S111" s="70" t="n">
        <v>2075</v>
      </c>
      <c r="T111" s="71" t="n">
        <v>152678.73</v>
      </c>
      <c r="U111" t="inlineStr">
        <is>
          <t>Low</t>
        </is>
      </c>
      <c r="V111">
        <f>IF(AND(OR(Dashboard!$C$6="All",E111=Dashboard!$C$6),OR(Dashboard!$F$6="All",G111=Dashboard!$F$6),OR(Dashboard!$I$6="All",H111=Dashboard!$I$6)),1,0)</f>
        <v/>
      </c>
    </row>
    <row r="112">
      <c r="A112" t="inlineStr">
        <is>
          <t>PF100103</t>
        </is>
      </c>
      <c r="B112" s="68" t="n">
        <v>45670</v>
      </c>
      <c r="C112" s="69" t="n">
        <v>2025</v>
      </c>
      <c r="D112" t="inlineStr">
        <is>
          <t>Jan</t>
        </is>
      </c>
      <c r="E112" t="inlineStr">
        <is>
          <t>Europe</t>
        </is>
      </c>
      <c r="F112" t="inlineStr">
        <is>
          <t>Italy</t>
        </is>
      </c>
      <c r="G112" t="inlineStr">
        <is>
          <t>Comirnaty</t>
        </is>
      </c>
      <c r="H112" t="inlineStr">
        <is>
          <t>Retail pharmacy</t>
        </is>
      </c>
      <c r="I112" t="inlineStr">
        <is>
          <t>Self-pay</t>
        </is>
      </c>
      <c r="J112" t="inlineStr">
        <is>
          <t>Zoya Ahmed</t>
        </is>
      </c>
      <c r="K112" s="70" t="n">
        <v>2666</v>
      </c>
      <c r="L112" s="71" t="n">
        <v>105.13</v>
      </c>
      <c r="M112" s="71" t="n">
        <v>280276.58</v>
      </c>
      <c r="N112" s="71" t="n">
        <v>42041.49</v>
      </c>
      <c r="O112" s="71" t="n">
        <v>238235.09</v>
      </c>
      <c r="P112" s="71" t="n">
        <v>105612.04</v>
      </c>
      <c r="Q112" s="71" t="n">
        <v>132623.05</v>
      </c>
      <c r="R112" t="inlineStr">
        <is>
          <t>Vaccines</t>
        </is>
      </c>
      <c r="S112" s="70" t="n">
        <v>1758</v>
      </c>
      <c r="T112" s="71" t="n">
        <v>50266.96</v>
      </c>
      <c r="U112" t="inlineStr">
        <is>
          <t>Low</t>
        </is>
      </c>
      <c r="V112">
        <f>IF(AND(OR(Dashboard!$C$6="All",E112=Dashboard!$C$6),OR(Dashboard!$F$6="All",G112=Dashboard!$F$6),OR(Dashboard!$I$6="All",H112=Dashboard!$I$6)),1,0)</f>
        <v/>
      </c>
    </row>
    <row r="113">
      <c r="A113" t="inlineStr">
        <is>
          <t>PF100104</t>
        </is>
      </c>
      <c r="B113" s="68" t="n">
        <v>45670</v>
      </c>
      <c r="C113" s="69" t="n">
        <v>2025</v>
      </c>
      <c r="D113" t="inlineStr">
        <is>
          <t>Jan</t>
        </is>
      </c>
      <c r="E113" t="inlineStr">
        <is>
          <t>Emerging markets</t>
        </is>
      </c>
      <c r="F113" t="inlineStr">
        <is>
          <t>China</t>
        </is>
      </c>
      <c r="G113" t="inlineStr">
        <is>
          <t>Prevnar 20</t>
        </is>
      </c>
      <c r="H113" t="inlineStr">
        <is>
          <t>Government / tender</t>
        </is>
      </c>
      <c r="I113" t="inlineStr">
        <is>
          <t>Public payer</t>
        </is>
      </c>
      <c r="J113" t="inlineStr">
        <is>
          <t>Carlos Silva</t>
        </is>
      </c>
      <c r="K113" s="70" t="n">
        <v>1320</v>
      </c>
      <c r="L113" s="71" t="n">
        <v>236.35</v>
      </c>
      <c r="M113" s="71" t="n">
        <v>311982</v>
      </c>
      <c r="N113" s="71" t="n">
        <v>77995.5</v>
      </c>
      <c r="O113" s="71" t="n">
        <v>233986.5</v>
      </c>
      <c r="P113" s="71" t="n">
        <v>94633.36</v>
      </c>
      <c r="Q113" s="71" t="n">
        <v>139353.14</v>
      </c>
      <c r="R113" t="inlineStr">
        <is>
          <t>Vaccines</t>
        </is>
      </c>
      <c r="S113" s="70" t="n">
        <v>990</v>
      </c>
      <c r="T113" s="71" t="n">
        <v>54722.74</v>
      </c>
      <c r="U113" t="inlineStr">
        <is>
          <t>Low</t>
        </is>
      </c>
      <c r="V113">
        <f>IF(AND(OR(Dashboard!$C$6="All",E113=Dashboard!$C$6),OR(Dashboard!$F$6="All",G113=Dashboard!$F$6),OR(Dashboard!$I$6="All",H113=Dashboard!$I$6)),1,0)</f>
        <v/>
      </c>
    </row>
    <row r="114">
      <c r="A114" t="inlineStr">
        <is>
          <t>PF100105</t>
        </is>
      </c>
      <c r="B114" s="68" t="n">
        <v>45670</v>
      </c>
      <c r="C114" s="69" t="n">
        <v>2025</v>
      </c>
      <c r="D114" t="inlineStr">
        <is>
          <t>Jan</t>
        </is>
      </c>
      <c r="E114" t="inlineStr">
        <is>
          <t>United States</t>
        </is>
      </c>
      <c r="F114" t="inlineStr">
        <is>
          <t>USA</t>
        </is>
      </c>
      <c r="G114" t="inlineStr">
        <is>
          <t>Eliquis</t>
        </is>
      </c>
      <c r="H114" t="inlineStr">
        <is>
          <t>Government / tender</t>
        </is>
      </c>
      <c r="I114" t="inlineStr">
        <is>
          <t>Public payer</t>
        </is>
      </c>
      <c r="J114" t="inlineStr">
        <is>
          <t>Sophie Müller</t>
        </is>
      </c>
      <c r="K114" s="70" t="n">
        <v>2585</v>
      </c>
      <c r="L114" s="71" t="n">
        <v>612.78</v>
      </c>
      <c r="M114" s="71" t="n">
        <v>1584036.3</v>
      </c>
      <c r="N114" s="71" t="n">
        <v>316807.26</v>
      </c>
      <c r="O114" s="71" t="n">
        <v>1267229.04</v>
      </c>
      <c r="P114" s="71" t="n">
        <v>201987.27</v>
      </c>
      <c r="Q114" s="71" t="n">
        <v>1065241.77</v>
      </c>
      <c r="R114" t="inlineStr">
        <is>
          <t>Cardiology</t>
        </is>
      </c>
      <c r="S114" s="70" t="n">
        <v>2137</v>
      </c>
      <c r="T114" s="71" t="n">
        <v>223377.7</v>
      </c>
      <c r="U114" t="inlineStr">
        <is>
          <t>High</t>
        </is>
      </c>
      <c r="V114">
        <f>IF(AND(OR(Dashboard!$C$6="All",E114=Dashboard!$C$6),OR(Dashboard!$F$6="All",G114=Dashboard!$F$6),OR(Dashboard!$I$6="All",H114=Dashboard!$I$6)),1,0)</f>
        <v/>
      </c>
    </row>
    <row r="115">
      <c r="A115" t="inlineStr">
        <is>
          <t>PF100106</t>
        </is>
      </c>
      <c r="B115" s="68" t="n">
        <v>45670</v>
      </c>
      <c r="C115" s="69" t="n">
        <v>2025</v>
      </c>
      <c r="D115" t="inlineStr">
        <is>
          <t>Jan</t>
        </is>
      </c>
      <c r="E115" t="inlineStr">
        <is>
          <t>Europe</t>
        </is>
      </c>
      <c r="F115" t="inlineStr">
        <is>
          <t>France</t>
        </is>
      </c>
      <c r="G115" t="inlineStr">
        <is>
          <t>Eliquis</t>
        </is>
      </c>
      <c r="H115" t="inlineStr">
        <is>
          <t>Retail pharmacy</t>
        </is>
      </c>
      <c r="I115" t="inlineStr">
        <is>
          <t>Private insurer</t>
        </is>
      </c>
      <c r="J115" t="inlineStr">
        <is>
          <t>Carlos Silva</t>
        </is>
      </c>
      <c r="K115" s="70" t="n">
        <v>1416</v>
      </c>
      <c r="L115" s="71" t="n">
        <v>414.71</v>
      </c>
      <c r="M115" s="71" t="n">
        <v>587229.36</v>
      </c>
      <c r="N115" s="71" t="n">
        <v>58722.94</v>
      </c>
      <c r="O115" s="71" t="n">
        <v>528506.42</v>
      </c>
      <c r="P115" s="71" t="n">
        <v>108118.39</v>
      </c>
      <c r="Q115" s="71" t="n">
        <v>420388.03</v>
      </c>
      <c r="R115" t="inlineStr">
        <is>
          <t>Cardiology</t>
        </is>
      </c>
      <c r="S115" s="70" t="n">
        <v>972</v>
      </c>
      <c r="T115" s="71" t="n">
        <v>78425</v>
      </c>
      <c r="U115" t="inlineStr">
        <is>
          <t>High</t>
        </is>
      </c>
      <c r="V115">
        <f>IF(AND(OR(Dashboard!$C$6="All",E115=Dashboard!$C$6),OR(Dashboard!$F$6="All",G115=Dashboard!$F$6),OR(Dashboard!$I$6="All",H115=Dashboard!$I$6)),1,0)</f>
        <v/>
      </c>
    </row>
    <row r="116">
      <c r="A116" t="inlineStr">
        <is>
          <t>PF100107</t>
        </is>
      </c>
      <c r="B116" s="68" t="n">
        <v>45670</v>
      </c>
      <c r="C116" s="69" t="n">
        <v>2025</v>
      </c>
      <c r="D116" t="inlineStr">
        <is>
          <t>Jan</t>
        </is>
      </c>
      <c r="E116" t="inlineStr">
        <is>
          <t>Europe</t>
        </is>
      </c>
      <c r="F116" t="inlineStr">
        <is>
          <t>Spain</t>
        </is>
      </c>
      <c r="G116" t="inlineStr">
        <is>
          <t>Eliquis</t>
        </is>
      </c>
      <c r="H116" t="inlineStr">
        <is>
          <t>Retail pharmacy</t>
        </is>
      </c>
      <c r="I116" t="inlineStr">
        <is>
          <t>Public payer</t>
        </is>
      </c>
      <c r="J116" t="inlineStr">
        <is>
          <t>Zoya Ahmed</t>
        </is>
      </c>
      <c r="K116" s="70" t="n">
        <v>106</v>
      </c>
      <c r="L116" s="71" t="n">
        <v>430.54</v>
      </c>
      <c r="M116" s="71" t="n">
        <v>45637.24</v>
      </c>
      <c r="N116" s="71" t="n">
        <v>9127.450000000001</v>
      </c>
      <c r="O116" s="71" t="n">
        <v>36509.79</v>
      </c>
      <c r="P116" s="71" t="n">
        <v>8069.8</v>
      </c>
      <c r="Q116" s="71" t="n">
        <v>28439.99</v>
      </c>
      <c r="R116" t="inlineStr">
        <is>
          <t>Cardiology</t>
        </is>
      </c>
      <c r="S116" s="70" t="n">
        <v>88</v>
      </c>
      <c r="T116" s="71" t="n">
        <v>8235.719999999999</v>
      </c>
      <c r="U116" t="inlineStr">
        <is>
          <t>High</t>
        </is>
      </c>
      <c r="V116">
        <f>IF(AND(OR(Dashboard!$C$6="All",E116=Dashboard!$C$6),OR(Dashboard!$F$6="All",G116=Dashboard!$F$6),OR(Dashboard!$I$6="All",H116=Dashboard!$I$6)),1,0)</f>
        <v/>
      </c>
    </row>
    <row r="117">
      <c r="A117" t="inlineStr">
        <is>
          <t>PF100108</t>
        </is>
      </c>
      <c r="B117" s="68" t="n">
        <v>45670</v>
      </c>
      <c r="C117" s="69" t="n">
        <v>2025</v>
      </c>
      <c r="D117" t="inlineStr">
        <is>
          <t>Jan</t>
        </is>
      </c>
      <c r="E117" t="inlineStr">
        <is>
          <t>International developed</t>
        </is>
      </c>
      <c r="F117" t="inlineStr">
        <is>
          <t>Japan</t>
        </is>
      </c>
      <c r="G117" t="inlineStr">
        <is>
          <t>Comirnaty</t>
        </is>
      </c>
      <c r="H117" t="inlineStr">
        <is>
          <t>Hospital</t>
        </is>
      </c>
      <c r="I117" t="inlineStr">
        <is>
          <t>Public payer</t>
        </is>
      </c>
      <c r="J117" t="inlineStr">
        <is>
          <t>Carlos Silva</t>
        </is>
      </c>
      <c r="K117" s="70" t="n">
        <v>2093</v>
      </c>
      <c r="L117" s="71" t="n">
        <v>105.57</v>
      </c>
      <c r="M117" s="71" t="n">
        <v>220958.01</v>
      </c>
      <c r="N117" s="71" t="n">
        <v>44191.6</v>
      </c>
      <c r="O117" s="71" t="n">
        <v>176766.41</v>
      </c>
      <c r="P117" s="71" t="n">
        <v>80532.25999999999</v>
      </c>
      <c r="Q117" s="71" t="n">
        <v>96234.14999999999</v>
      </c>
      <c r="R117" t="inlineStr">
        <is>
          <t>Vaccines</t>
        </is>
      </c>
      <c r="S117" s="70" t="n">
        <v>1663</v>
      </c>
      <c r="T117" s="71" t="n">
        <v>31265.4</v>
      </c>
      <c r="U117" t="inlineStr">
        <is>
          <t>Low</t>
        </is>
      </c>
      <c r="V117">
        <f>IF(AND(OR(Dashboard!$C$6="All",E117=Dashboard!$C$6),OR(Dashboard!$F$6="All",G117=Dashboard!$F$6),OR(Dashboard!$I$6="All",H117=Dashboard!$I$6)),1,0)</f>
        <v/>
      </c>
    </row>
    <row r="118">
      <c r="A118" t="inlineStr">
        <is>
          <t>PF100109</t>
        </is>
      </c>
      <c r="B118" s="68" t="n">
        <v>45670</v>
      </c>
      <c r="C118" s="69" t="n">
        <v>2025</v>
      </c>
      <c r="D118" t="inlineStr">
        <is>
          <t>Jan</t>
        </is>
      </c>
      <c r="E118" t="inlineStr">
        <is>
          <t>United States</t>
        </is>
      </c>
      <c r="F118" t="inlineStr">
        <is>
          <t>USA</t>
        </is>
      </c>
      <c r="G118" t="inlineStr">
        <is>
          <t>Vyndaqel</t>
        </is>
      </c>
      <c r="H118" t="inlineStr">
        <is>
          <t>Retail pharmacy</t>
        </is>
      </c>
      <c r="I118" t="inlineStr">
        <is>
          <t>Public payer</t>
        </is>
      </c>
      <c r="J118" t="inlineStr">
        <is>
          <t>Carlos Silva</t>
        </is>
      </c>
      <c r="K118" s="70" t="n">
        <v>977</v>
      </c>
      <c r="L118" s="71" t="n">
        <v>9104.75</v>
      </c>
      <c r="M118" s="71" t="n">
        <v>8895340.75</v>
      </c>
      <c r="N118" s="71" t="n">
        <v>2668602.23</v>
      </c>
      <c r="O118" s="71" t="n">
        <v>6226738.52</v>
      </c>
      <c r="P118" s="71" t="n">
        <v>616633.8100000001</v>
      </c>
      <c r="Q118" s="71" t="n">
        <v>5610104.71</v>
      </c>
      <c r="R118" t="inlineStr">
        <is>
          <t>Rare disease</t>
        </is>
      </c>
      <c r="S118" s="70" t="n">
        <v>620</v>
      </c>
      <c r="T118" s="71" t="n">
        <v>1257122.39</v>
      </c>
      <c r="U118" t="inlineStr">
        <is>
          <t>Medium</t>
        </is>
      </c>
      <c r="V118">
        <f>IF(AND(OR(Dashboard!$C$6="All",E118=Dashboard!$C$6),OR(Dashboard!$F$6="All",G118=Dashboard!$F$6),OR(Dashboard!$I$6="All",H118=Dashboard!$I$6)),1,0)</f>
        <v/>
      </c>
    </row>
    <row r="119">
      <c r="A119" t="inlineStr">
        <is>
          <t>PF100110</t>
        </is>
      </c>
      <c r="B119" s="68" t="n">
        <v>45671</v>
      </c>
      <c r="C119" s="69" t="n">
        <v>2025</v>
      </c>
      <c r="D119" t="inlineStr">
        <is>
          <t>Jan</t>
        </is>
      </c>
      <c r="E119" t="inlineStr">
        <is>
          <t>Emerging markets</t>
        </is>
      </c>
      <c r="F119" t="inlineStr">
        <is>
          <t>China</t>
        </is>
      </c>
      <c r="G119" t="inlineStr">
        <is>
          <t>Eliquis</t>
        </is>
      </c>
      <c r="H119" t="inlineStr">
        <is>
          <t>Retail pharmacy</t>
        </is>
      </c>
      <c r="I119" t="inlineStr">
        <is>
          <t>Private insurer</t>
        </is>
      </c>
      <c r="J119" t="inlineStr">
        <is>
          <t>Omar Haddad</t>
        </is>
      </c>
      <c r="K119" s="70" t="n">
        <v>868</v>
      </c>
      <c r="L119" s="71" t="n">
        <v>396</v>
      </c>
      <c r="M119" s="71" t="n">
        <v>343728</v>
      </c>
      <c r="N119" s="71" t="n">
        <v>17186.4</v>
      </c>
      <c r="O119" s="71" t="n">
        <v>326541.6</v>
      </c>
      <c r="P119" s="71" t="n">
        <v>65286.8</v>
      </c>
      <c r="Q119" s="71" t="n">
        <v>261254.8</v>
      </c>
      <c r="R119" t="inlineStr">
        <is>
          <t>Cardiology</t>
        </is>
      </c>
      <c r="S119" s="70" t="n">
        <v>680</v>
      </c>
      <c r="T119" s="71" t="n">
        <v>48348.08</v>
      </c>
      <c r="U119" t="inlineStr">
        <is>
          <t>High</t>
        </is>
      </c>
      <c r="V119">
        <f>IF(AND(OR(Dashboard!$C$6="All",E119=Dashboard!$C$6),OR(Dashboard!$F$6="All",G119=Dashboard!$F$6),OR(Dashboard!$I$6="All",H119=Dashboard!$I$6)),1,0)</f>
        <v/>
      </c>
    </row>
    <row r="120">
      <c r="A120" t="inlineStr">
        <is>
          <t>PF100111</t>
        </is>
      </c>
      <c r="B120" s="68" t="n">
        <v>45671</v>
      </c>
      <c r="C120" s="69" t="n">
        <v>2025</v>
      </c>
      <c r="D120" t="inlineStr">
        <is>
          <t>Jan</t>
        </is>
      </c>
      <c r="E120" t="inlineStr">
        <is>
          <t>Europe</t>
        </is>
      </c>
      <c r="F120" t="inlineStr">
        <is>
          <t>France</t>
        </is>
      </c>
      <c r="G120" t="inlineStr">
        <is>
          <t>Prevnar 20</t>
        </is>
      </c>
      <c r="H120" t="inlineStr">
        <is>
          <t>Retail pharmacy</t>
        </is>
      </c>
      <c r="I120" t="inlineStr">
        <is>
          <t>Private insurer</t>
        </is>
      </c>
      <c r="J120" t="inlineStr">
        <is>
          <t>Lucas Martin</t>
        </is>
      </c>
      <c r="K120" s="70" t="n">
        <v>2574</v>
      </c>
      <c r="L120" s="71" t="n">
        <v>227.22</v>
      </c>
      <c r="M120" s="71" t="n">
        <v>584864.28</v>
      </c>
      <c r="N120" s="71" t="n">
        <v>146216.07</v>
      </c>
      <c r="O120" s="71" t="n">
        <v>438648.21</v>
      </c>
      <c r="P120" s="71" t="n">
        <v>178317.73</v>
      </c>
      <c r="Q120" s="71" t="n">
        <v>260330.48</v>
      </c>
      <c r="R120" t="inlineStr">
        <is>
          <t>Vaccines</t>
        </is>
      </c>
      <c r="S120" s="70" t="n">
        <v>2232</v>
      </c>
      <c r="T120" s="71" t="n">
        <v>124809.04</v>
      </c>
      <c r="U120" t="inlineStr">
        <is>
          <t>Low</t>
        </is>
      </c>
      <c r="V120">
        <f>IF(AND(OR(Dashboard!$C$6="All",E120=Dashboard!$C$6),OR(Dashboard!$F$6="All",G120=Dashboard!$F$6),OR(Dashboard!$I$6="All",H120=Dashboard!$I$6)),1,0)</f>
        <v/>
      </c>
    </row>
    <row r="121">
      <c r="A121" t="inlineStr">
        <is>
          <t>PF100112</t>
        </is>
      </c>
      <c r="B121" s="68" t="n">
        <v>45671</v>
      </c>
      <c r="C121" s="69" t="n">
        <v>2025</v>
      </c>
      <c r="D121" t="inlineStr">
        <is>
          <t>Jan</t>
        </is>
      </c>
      <c r="E121" t="inlineStr">
        <is>
          <t>Europe</t>
        </is>
      </c>
      <c r="F121" t="inlineStr">
        <is>
          <t>France</t>
        </is>
      </c>
      <c r="G121" t="inlineStr">
        <is>
          <t>Vyndaqel</t>
        </is>
      </c>
      <c r="H121" t="inlineStr">
        <is>
          <t>Retail pharmacy</t>
        </is>
      </c>
      <c r="I121" t="inlineStr">
        <is>
          <t>Public payer</t>
        </is>
      </c>
      <c r="J121" t="inlineStr">
        <is>
          <t>Ana Costa</t>
        </is>
      </c>
      <c r="K121" s="70" t="n">
        <v>273</v>
      </c>
      <c r="L121" s="71" t="n">
        <v>5522.87</v>
      </c>
      <c r="M121" s="71" t="n">
        <v>1507743.51</v>
      </c>
      <c r="N121" s="71" t="n">
        <v>376935.88</v>
      </c>
      <c r="O121" s="71" t="n">
        <v>1130807.63</v>
      </c>
      <c r="P121" s="71" t="n">
        <v>167951.9</v>
      </c>
      <c r="Q121" s="71" t="n">
        <v>962855.73</v>
      </c>
      <c r="R121" t="inlineStr">
        <is>
          <t>Rare disease</t>
        </is>
      </c>
      <c r="S121" s="70" t="n">
        <v>214</v>
      </c>
      <c r="T121" s="71" t="n">
        <v>209480.93</v>
      </c>
      <c r="U121" t="inlineStr">
        <is>
          <t>Medium</t>
        </is>
      </c>
      <c r="V121">
        <f>IF(AND(OR(Dashboard!$C$6="All",E121=Dashboard!$C$6),OR(Dashboard!$F$6="All",G121=Dashboard!$F$6),OR(Dashboard!$I$6="All",H121=Dashboard!$I$6)),1,0)</f>
        <v/>
      </c>
    </row>
    <row r="122">
      <c r="A122" t="inlineStr">
        <is>
          <t>PF100113</t>
        </is>
      </c>
      <c r="B122" s="68" t="n">
        <v>45671</v>
      </c>
      <c r="C122" s="69" t="n">
        <v>2025</v>
      </c>
      <c r="D122" t="inlineStr">
        <is>
          <t>Jan</t>
        </is>
      </c>
      <c r="E122" t="inlineStr">
        <is>
          <t>Emerging markets</t>
        </is>
      </c>
      <c r="F122" t="inlineStr">
        <is>
          <t>China</t>
        </is>
      </c>
      <c r="G122" t="inlineStr">
        <is>
          <t>Comirnaty</t>
        </is>
      </c>
      <c r="H122" t="inlineStr">
        <is>
          <t>Retail pharmacy</t>
        </is>
      </c>
      <c r="I122" t="inlineStr">
        <is>
          <t>Public payer</t>
        </is>
      </c>
      <c r="J122" t="inlineStr">
        <is>
          <t>Kofi Mensah</t>
        </is>
      </c>
      <c r="K122" s="70" t="n">
        <v>327</v>
      </c>
      <c r="L122" s="71" t="n">
        <v>99.97</v>
      </c>
      <c r="M122" s="71" t="n">
        <v>32690.19</v>
      </c>
      <c r="N122" s="71" t="n">
        <v>1634.51</v>
      </c>
      <c r="O122" s="71" t="n">
        <v>31055.68</v>
      </c>
      <c r="P122" s="71" t="n">
        <v>12626.38</v>
      </c>
      <c r="Q122" s="71" t="n">
        <v>18429.3</v>
      </c>
      <c r="R122" t="inlineStr">
        <is>
          <t>Vaccines</t>
        </is>
      </c>
      <c r="S122" s="70" t="n">
        <v>243</v>
      </c>
      <c r="T122" s="71" t="n">
        <v>4434.1</v>
      </c>
      <c r="U122" t="inlineStr">
        <is>
          <t>Low</t>
        </is>
      </c>
      <c r="V122">
        <f>IF(AND(OR(Dashboard!$C$6="All",E122=Dashboard!$C$6),OR(Dashboard!$F$6="All",G122=Dashboard!$F$6),OR(Dashboard!$I$6="All",H122=Dashboard!$I$6)),1,0)</f>
        <v/>
      </c>
    </row>
    <row r="123">
      <c r="A123" t="inlineStr">
        <is>
          <t>PF100114</t>
        </is>
      </c>
      <c r="B123" s="68" t="n">
        <v>45671</v>
      </c>
      <c r="C123" s="69" t="n">
        <v>2025</v>
      </c>
      <c r="D123" t="inlineStr">
        <is>
          <t>Jan</t>
        </is>
      </c>
      <c r="E123" t="inlineStr">
        <is>
          <t>United States</t>
        </is>
      </c>
      <c r="F123" t="inlineStr">
        <is>
          <t>USA</t>
        </is>
      </c>
      <c r="G123" t="inlineStr">
        <is>
          <t>Vyndaqel</t>
        </is>
      </c>
      <c r="H123" t="inlineStr">
        <is>
          <t>Retail pharmacy</t>
        </is>
      </c>
      <c r="I123" t="inlineStr">
        <is>
          <t>Public payer</t>
        </is>
      </c>
      <c r="J123" t="inlineStr">
        <is>
          <t>Ravindra Patil</t>
        </is>
      </c>
      <c r="K123" s="70" t="n">
        <v>1742</v>
      </c>
      <c r="L123" s="71" t="n">
        <v>9147.219999999999</v>
      </c>
      <c r="M123" s="71" t="n">
        <v>15934457.24</v>
      </c>
      <c r="N123" s="71" t="n">
        <v>3983614.31</v>
      </c>
      <c r="O123" s="71" t="n">
        <v>11950842.93</v>
      </c>
      <c r="P123" s="71" t="n">
        <v>1088731.39</v>
      </c>
      <c r="Q123" s="71" t="n">
        <v>10862111.54</v>
      </c>
      <c r="R123" t="inlineStr">
        <is>
          <t>Rare disease</t>
        </is>
      </c>
      <c r="S123" s="70" t="n">
        <v>1269</v>
      </c>
      <c r="T123" s="71" t="n">
        <v>2842269.75</v>
      </c>
      <c r="U123" t="inlineStr">
        <is>
          <t>Medium</t>
        </is>
      </c>
      <c r="V123">
        <f>IF(AND(OR(Dashboard!$C$6="All",E123=Dashboard!$C$6),OR(Dashboard!$F$6="All",G123=Dashboard!$F$6),OR(Dashboard!$I$6="All",H123=Dashboard!$I$6)),1,0)</f>
        <v/>
      </c>
    </row>
    <row r="124">
      <c r="A124" t="inlineStr">
        <is>
          <t>PF100115</t>
        </is>
      </c>
      <c r="B124" s="68" t="n">
        <v>45671</v>
      </c>
      <c r="C124" s="69" t="n">
        <v>2025</v>
      </c>
      <c r="D124" t="inlineStr">
        <is>
          <t>Jan</t>
        </is>
      </c>
      <c r="E124" t="inlineStr">
        <is>
          <t>Emerging markets</t>
        </is>
      </c>
      <c r="F124" t="inlineStr">
        <is>
          <t>Brazil</t>
        </is>
      </c>
      <c r="G124" t="inlineStr">
        <is>
          <t>Ibrance</t>
        </is>
      </c>
      <c r="H124" t="inlineStr">
        <is>
          <t>Retail pharmacy</t>
        </is>
      </c>
      <c r="I124" t="inlineStr">
        <is>
          <t>Private insurer</t>
        </is>
      </c>
      <c r="J124" t="inlineStr">
        <is>
          <t>Sara Rossi</t>
        </is>
      </c>
      <c r="K124" s="70" t="n">
        <v>2681</v>
      </c>
      <c r="L124" s="71" t="n">
        <v>3011.7</v>
      </c>
      <c r="M124" s="71" t="n">
        <v>8074367.7</v>
      </c>
      <c r="N124" s="71" t="n">
        <v>1614873.54</v>
      </c>
      <c r="O124" s="71" t="n">
        <v>6459494.16</v>
      </c>
      <c r="P124" s="71" t="n">
        <v>1148126.4</v>
      </c>
      <c r="Q124" s="71" t="n">
        <v>5311367.76</v>
      </c>
      <c r="R124" t="inlineStr">
        <is>
          <t>Oncology</t>
        </is>
      </c>
      <c r="S124" s="70" t="n">
        <v>2500</v>
      </c>
      <c r="T124" s="71" t="n">
        <v>1312026.36</v>
      </c>
      <c r="U124" t="inlineStr">
        <is>
          <t>High</t>
        </is>
      </c>
      <c r="V124">
        <f>IF(AND(OR(Dashboard!$C$6="All",E124=Dashboard!$C$6),OR(Dashboard!$F$6="All",G124=Dashboard!$F$6),OR(Dashboard!$I$6="All",H124=Dashboard!$I$6)),1,0)</f>
        <v/>
      </c>
    </row>
    <row r="125">
      <c r="A125" t="inlineStr">
        <is>
          <t>PF100116</t>
        </is>
      </c>
      <c r="B125" s="68" t="n">
        <v>45671</v>
      </c>
      <c r="C125" s="69" t="n">
        <v>2025</v>
      </c>
      <c r="D125" t="inlineStr">
        <is>
          <t>Jan</t>
        </is>
      </c>
      <c r="E125" t="inlineStr">
        <is>
          <t>International developed</t>
        </is>
      </c>
      <c r="F125" t="inlineStr">
        <is>
          <t>Japan</t>
        </is>
      </c>
      <c r="G125" t="inlineStr">
        <is>
          <t>Ibrance</t>
        </is>
      </c>
      <c r="H125" t="inlineStr">
        <is>
          <t>Retail pharmacy</t>
        </is>
      </c>
      <c r="I125" t="inlineStr">
        <is>
          <t>Public payer</t>
        </is>
      </c>
      <c r="J125" t="inlineStr">
        <is>
          <t>Liam O'Brien</t>
        </is>
      </c>
      <c r="K125" s="70" t="n">
        <v>2372</v>
      </c>
      <c r="L125" s="71" t="n">
        <v>2947.21</v>
      </c>
      <c r="M125" s="71" t="n">
        <v>6990782.12</v>
      </c>
      <c r="N125" s="71" t="n">
        <v>1747695.53</v>
      </c>
      <c r="O125" s="71" t="n">
        <v>5243086.59</v>
      </c>
      <c r="P125" s="71" t="n">
        <v>1063685.84</v>
      </c>
      <c r="Q125" s="71" t="n">
        <v>4179400.75</v>
      </c>
      <c r="R125" t="inlineStr">
        <is>
          <t>Oncology</t>
        </is>
      </c>
      <c r="S125" s="70" t="n">
        <v>1591</v>
      </c>
      <c r="T125" s="71" t="n">
        <v>913395.03</v>
      </c>
      <c r="U125" t="inlineStr">
        <is>
          <t>High</t>
        </is>
      </c>
      <c r="V125">
        <f>IF(AND(OR(Dashboard!$C$6="All",E125=Dashboard!$C$6),OR(Dashboard!$F$6="All",G125=Dashboard!$F$6),OR(Dashboard!$I$6="All",H125=Dashboard!$I$6)),1,0)</f>
        <v/>
      </c>
    </row>
    <row r="126">
      <c r="A126" t="inlineStr">
        <is>
          <t>PF100117</t>
        </is>
      </c>
      <c r="B126" s="68" t="n">
        <v>45671</v>
      </c>
      <c r="C126" s="69" t="n">
        <v>2025</v>
      </c>
      <c r="D126" t="inlineStr">
        <is>
          <t>Jan</t>
        </is>
      </c>
      <c r="E126" t="inlineStr">
        <is>
          <t>International developed</t>
        </is>
      </c>
      <c r="F126" t="inlineStr">
        <is>
          <t>Japan</t>
        </is>
      </c>
      <c r="G126" t="inlineStr">
        <is>
          <t>Ibrance</t>
        </is>
      </c>
      <c r="H126" t="inlineStr">
        <is>
          <t>Retail pharmacy</t>
        </is>
      </c>
      <c r="I126" t="inlineStr">
        <is>
          <t>Public payer</t>
        </is>
      </c>
      <c r="J126" t="inlineStr">
        <is>
          <t>Hiroshi Tanaka</t>
        </is>
      </c>
      <c r="K126" s="70" t="n">
        <v>736</v>
      </c>
      <c r="L126" s="71" t="n">
        <v>3074.58</v>
      </c>
      <c r="M126" s="71" t="n">
        <v>2262890.88</v>
      </c>
      <c r="N126" s="71" t="n">
        <v>113144.54</v>
      </c>
      <c r="O126" s="71" t="n">
        <v>2149746.34</v>
      </c>
      <c r="P126" s="71" t="n">
        <v>316651.79</v>
      </c>
      <c r="Q126" s="71" t="n">
        <v>1833094.55</v>
      </c>
      <c r="R126" t="inlineStr">
        <is>
          <t>Oncology</t>
        </is>
      </c>
      <c r="S126" s="70" t="n">
        <v>509</v>
      </c>
      <c r="T126" s="71" t="n">
        <v>373642.18</v>
      </c>
      <c r="U126" t="inlineStr">
        <is>
          <t>High</t>
        </is>
      </c>
      <c r="V126">
        <f>IF(AND(OR(Dashboard!$C$6="All",E126=Dashboard!$C$6),OR(Dashboard!$F$6="All",G126=Dashboard!$F$6),OR(Dashboard!$I$6="All",H126=Dashboard!$I$6)),1,0)</f>
        <v/>
      </c>
    </row>
    <row r="127">
      <c r="A127" t="inlineStr">
        <is>
          <t>PF100118</t>
        </is>
      </c>
      <c r="B127" s="68" t="n">
        <v>45671</v>
      </c>
      <c r="C127" s="69" t="n">
        <v>2025</v>
      </c>
      <c r="D127" t="inlineStr">
        <is>
          <t>Jan</t>
        </is>
      </c>
      <c r="E127" t="inlineStr">
        <is>
          <t>United States</t>
        </is>
      </c>
      <c r="F127" t="inlineStr">
        <is>
          <t>USA</t>
        </is>
      </c>
      <c r="G127" t="inlineStr">
        <is>
          <t>Eliquis</t>
        </is>
      </c>
      <c r="H127" t="inlineStr">
        <is>
          <t>Hospital</t>
        </is>
      </c>
      <c r="I127" t="inlineStr">
        <is>
          <t>Private insurer</t>
        </is>
      </c>
      <c r="J127" t="inlineStr">
        <is>
          <t>Ravindra Patil</t>
        </is>
      </c>
      <c r="K127" s="70" t="n">
        <v>1377</v>
      </c>
      <c r="L127" s="71" t="n">
        <v>728.85</v>
      </c>
      <c r="M127" s="71" t="n">
        <v>1003626.45</v>
      </c>
      <c r="N127" s="71" t="n">
        <v>250906.61</v>
      </c>
      <c r="O127" s="71" t="n">
        <v>752719.84</v>
      </c>
      <c r="P127" s="71" t="n">
        <v>107333.07</v>
      </c>
      <c r="Q127" s="71" t="n">
        <v>645386.77</v>
      </c>
      <c r="R127" t="inlineStr">
        <is>
          <t>Cardiology</t>
        </is>
      </c>
      <c r="S127" s="70" t="n">
        <v>869</v>
      </c>
      <c r="T127" s="71" t="n">
        <v>138222.11</v>
      </c>
      <c r="U127" t="inlineStr">
        <is>
          <t>High</t>
        </is>
      </c>
      <c r="V127">
        <f>IF(AND(OR(Dashboard!$C$6="All",E127=Dashboard!$C$6),OR(Dashboard!$F$6="All",G127=Dashboard!$F$6),OR(Dashboard!$I$6="All",H127=Dashboard!$I$6)),1,0)</f>
        <v/>
      </c>
    </row>
    <row r="128">
      <c r="A128" t="inlineStr">
        <is>
          <t>PF100119</t>
        </is>
      </c>
      <c r="B128" s="68" t="n">
        <v>45672</v>
      </c>
      <c r="C128" s="69" t="n">
        <v>2025</v>
      </c>
      <c r="D128" t="inlineStr">
        <is>
          <t>Jan</t>
        </is>
      </c>
      <c r="E128" t="inlineStr">
        <is>
          <t>Europe</t>
        </is>
      </c>
      <c r="F128" t="inlineStr">
        <is>
          <t>Spain</t>
        </is>
      </c>
      <c r="G128" t="inlineStr">
        <is>
          <t>Abrysvo</t>
        </is>
      </c>
      <c r="H128" t="inlineStr">
        <is>
          <t>Hospital</t>
        </is>
      </c>
      <c r="I128" t="inlineStr">
        <is>
          <t>Public payer</t>
        </is>
      </c>
      <c r="J128" t="inlineStr">
        <is>
          <t>Mei Lin</t>
        </is>
      </c>
      <c r="K128" s="70" t="n">
        <v>2613</v>
      </c>
      <c r="L128" s="71" t="n">
        <v>293.94</v>
      </c>
      <c r="M128" s="71" t="n">
        <v>768065.22</v>
      </c>
      <c r="N128" s="71" t="n">
        <v>153613.04</v>
      </c>
      <c r="O128" s="71" t="n">
        <v>614452.1800000001</v>
      </c>
      <c r="P128" s="71" t="n">
        <v>211876.21</v>
      </c>
      <c r="Q128" s="71" t="n">
        <v>402575.97</v>
      </c>
      <c r="R128" t="inlineStr">
        <is>
          <t>Vaccines</t>
        </is>
      </c>
      <c r="S128" s="70" t="n">
        <v>1714</v>
      </c>
      <c r="T128" s="71" t="n">
        <v>159150.47</v>
      </c>
      <c r="U128" t="inlineStr">
        <is>
          <t>Low</t>
        </is>
      </c>
      <c r="V128">
        <f>IF(AND(OR(Dashboard!$C$6="All",E128=Dashboard!$C$6),OR(Dashboard!$F$6="All",G128=Dashboard!$F$6),OR(Dashboard!$I$6="All",H128=Dashboard!$I$6)),1,0)</f>
        <v/>
      </c>
    </row>
    <row r="129">
      <c r="A129" t="inlineStr">
        <is>
          <t>PF100120</t>
        </is>
      </c>
      <c r="B129" s="68" t="n">
        <v>45672</v>
      </c>
      <c r="C129" s="69" t="n">
        <v>2025</v>
      </c>
      <c r="D129" t="inlineStr">
        <is>
          <t>Jan</t>
        </is>
      </c>
      <c r="E129" t="inlineStr">
        <is>
          <t>United States</t>
        </is>
      </c>
      <c r="F129" t="inlineStr">
        <is>
          <t>USA</t>
        </is>
      </c>
      <c r="G129" t="inlineStr">
        <is>
          <t>Abrysvo</t>
        </is>
      </c>
      <c r="H129" t="inlineStr">
        <is>
          <t>Government / tender</t>
        </is>
      </c>
      <c r="I129" t="inlineStr">
        <is>
          <t>Public payer</t>
        </is>
      </c>
      <c r="J129" t="inlineStr">
        <is>
          <t>Ravindra Patil</t>
        </is>
      </c>
      <c r="K129" s="70" t="n">
        <v>1405</v>
      </c>
      <c r="L129" s="71" t="n">
        <v>481.06</v>
      </c>
      <c r="M129" s="71" t="n">
        <v>675889.3</v>
      </c>
      <c r="N129" s="71" t="n">
        <v>168972.33</v>
      </c>
      <c r="O129" s="71" t="n">
        <v>506916.97</v>
      </c>
      <c r="P129" s="71" t="n">
        <v>121466.39</v>
      </c>
      <c r="Q129" s="71" t="n">
        <v>385450.58</v>
      </c>
      <c r="R129" t="inlineStr">
        <is>
          <t>Vaccines</t>
        </is>
      </c>
      <c r="S129" s="70" t="n">
        <v>936</v>
      </c>
      <c r="T129" s="71" t="n">
        <v>109300.29</v>
      </c>
      <c r="U129" t="inlineStr">
        <is>
          <t>Low</t>
        </is>
      </c>
      <c r="V129">
        <f>IF(AND(OR(Dashboard!$C$6="All",E129=Dashboard!$C$6),OR(Dashboard!$F$6="All",G129=Dashboard!$F$6),OR(Dashboard!$I$6="All",H129=Dashboard!$I$6)),1,0)</f>
        <v/>
      </c>
    </row>
    <row r="130">
      <c r="A130" t="inlineStr">
        <is>
          <t>PF100121</t>
        </is>
      </c>
      <c r="B130" s="68" t="n">
        <v>45672</v>
      </c>
      <c r="C130" s="69" t="n">
        <v>2025</v>
      </c>
      <c r="D130" t="inlineStr">
        <is>
          <t>Jan</t>
        </is>
      </c>
      <c r="E130" t="inlineStr">
        <is>
          <t>Europe</t>
        </is>
      </c>
      <c r="F130" t="inlineStr">
        <is>
          <t>UK</t>
        </is>
      </c>
      <c r="G130" t="inlineStr">
        <is>
          <t>Paxlovid</t>
        </is>
      </c>
      <c r="H130" t="inlineStr">
        <is>
          <t>Hospital</t>
        </is>
      </c>
      <c r="I130" t="inlineStr">
        <is>
          <t>Private insurer</t>
        </is>
      </c>
      <c r="J130" t="inlineStr">
        <is>
          <t>Arjun Mehta</t>
        </is>
      </c>
      <c r="K130" s="70" t="n">
        <v>1354</v>
      </c>
      <c r="L130" s="71" t="n">
        <v>1056.76</v>
      </c>
      <c r="M130" s="71" t="n">
        <v>1430853.04</v>
      </c>
      <c r="N130" s="71" t="n">
        <v>143085.3</v>
      </c>
      <c r="O130" s="71" t="n">
        <v>1287767.74</v>
      </c>
      <c r="P130" s="71" t="n">
        <v>365245.33</v>
      </c>
      <c r="Q130" s="71" t="n">
        <v>922522.41</v>
      </c>
      <c r="R130" t="inlineStr">
        <is>
          <t>Antiviral</t>
        </is>
      </c>
      <c r="S130" s="70" t="n">
        <v>1340</v>
      </c>
      <c r="T130" s="71" t="n">
        <v>262957.49</v>
      </c>
      <c r="U130" t="inlineStr">
        <is>
          <t>Low</t>
        </is>
      </c>
      <c r="V130">
        <f>IF(AND(OR(Dashboard!$C$6="All",E130=Dashboard!$C$6),OR(Dashboard!$F$6="All",G130=Dashboard!$F$6),OR(Dashboard!$I$6="All",H130=Dashboard!$I$6)),1,0)</f>
        <v/>
      </c>
    </row>
    <row r="131">
      <c r="A131" t="inlineStr">
        <is>
          <t>PF100122</t>
        </is>
      </c>
      <c r="B131" s="68" t="n">
        <v>45672</v>
      </c>
      <c r="C131" s="69" t="n">
        <v>2025</v>
      </c>
      <c r="D131" t="inlineStr">
        <is>
          <t>Jan</t>
        </is>
      </c>
      <c r="E131" t="inlineStr">
        <is>
          <t>Emerging markets</t>
        </is>
      </c>
      <c r="F131" t="inlineStr">
        <is>
          <t>Brazil</t>
        </is>
      </c>
      <c r="G131" t="inlineStr">
        <is>
          <t>Paxlovid</t>
        </is>
      </c>
      <c r="H131" t="inlineStr">
        <is>
          <t>Retail pharmacy</t>
        </is>
      </c>
      <c r="I131" t="inlineStr">
        <is>
          <t>Public payer</t>
        </is>
      </c>
      <c r="J131" t="inlineStr">
        <is>
          <t>Fatima Al-Saud</t>
        </is>
      </c>
      <c r="K131" s="70" t="n">
        <v>424</v>
      </c>
      <c r="L131" s="71" t="n">
        <v>1144.42</v>
      </c>
      <c r="M131" s="71" t="n">
        <v>485234.08</v>
      </c>
      <c r="N131" s="71" t="n">
        <v>121308.52</v>
      </c>
      <c r="O131" s="71" t="n">
        <v>363925.56</v>
      </c>
      <c r="P131" s="71" t="n">
        <v>118951.4</v>
      </c>
      <c r="Q131" s="71" t="n">
        <v>244974.16</v>
      </c>
      <c r="R131" t="inlineStr">
        <is>
          <t>Antiviral</t>
        </is>
      </c>
      <c r="S131" s="70" t="n">
        <v>372</v>
      </c>
      <c r="T131" s="71" t="n">
        <v>104429.48</v>
      </c>
      <c r="U131" t="inlineStr">
        <is>
          <t>Low</t>
        </is>
      </c>
      <c r="V131">
        <f>IF(AND(OR(Dashboard!$C$6="All",E131=Dashboard!$C$6),OR(Dashboard!$F$6="All",G131=Dashboard!$F$6),OR(Dashboard!$I$6="All",H131=Dashboard!$I$6)),1,0)</f>
        <v/>
      </c>
    </row>
    <row r="132">
      <c r="A132" t="inlineStr">
        <is>
          <t>PF100123</t>
        </is>
      </c>
      <c r="B132" s="68" t="n">
        <v>45672</v>
      </c>
      <c r="C132" s="69" t="n">
        <v>2025</v>
      </c>
      <c r="D132" t="inlineStr">
        <is>
          <t>Jan</t>
        </is>
      </c>
      <c r="E132" t="inlineStr">
        <is>
          <t>Europe</t>
        </is>
      </c>
      <c r="F132" t="inlineStr">
        <is>
          <t>UK</t>
        </is>
      </c>
      <c r="G132" t="inlineStr">
        <is>
          <t>Abrysvo</t>
        </is>
      </c>
      <c r="H132" t="inlineStr">
        <is>
          <t>Retail pharmacy</t>
        </is>
      </c>
      <c r="I132" t="inlineStr">
        <is>
          <t>Private insurer</t>
        </is>
      </c>
      <c r="J132" t="inlineStr">
        <is>
          <t>Omar Haddad</t>
        </is>
      </c>
      <c r="K132" s="70" t="n">
        <v>1883</v>
      </c>
      <c r="L132" s="71" t="n">
        <v>285.01</v>
      </c>
      <c r="M132" s="71" t="n">
        <v>536673.83</v>
      </c>
      <c r="N132" s="71" t="n">
        <v>107334.77</v>
      </c>
      <c r="O132" s="71" t="n">
        <v>429339.06</v>
      </c>
      <c r="P132" s="71" t="n">
        <v>159570.94</v>
      </c>
      <c r="Q132" s="71" t="n">
        <v>269768.12</v>
      </c>
      <c r="R132" t="inlineStr">
        <is>
          <t>Vaccines</t>
        </is>
      </c>
      <c r="S132" s="70" t="n">
        <v>1315</v>
      </c>
      <c r="T132" s="71" t="n">
        <v>91180.42</v>
      </c>
      <c r="U132" t="inlineStr">
        <is>
          <t>Low</t>
        </is>
      </c>
      <c r="V132">
        <f>IF(AND(OR(Dashboard!$C$6="All",E132=Dashboard!$C$6),OR(Dashboard!$F$6="All",G132=Dashboard!$F$6),OR(Dashboard!$I$6="All",H132=Dashboard!$I$6)),1,0)</f>
        <v/>
      </c>
    </row>
    <row r="133">
      <c r="A133" t="inlineStr">
        <is>
          <t>PF100124</t>
        </is>
      </c>
      <c r="B133" s="68" t="n">
        <v>45672</v>
      </c>
      <c r="C133" s="69" t="n">
        <v>2025</v>
      </c>
      <c r="D133" t="inlineStr">
        <is>
          <t>Jan</t>
        </is>
      </c>
      <c r="E133" t="inlineStr">
        <is>
          <t>Europe</t>
        </is>
      </c>
      <c r="F133" t="inlineStr">
        <is>
          <t>Spain</t>
        </is>
      </c>
      <c r="G133" t="inlineStr">
        <is>
          <t>Eliquis</t>
        </is>
      </c>
      <c r="H133" t="inlineStr">
        <is>
          <t>Hospital</t>
        </is>
      </c>
      <c r="I133" t="inlineStr">
        <is>
          <t>Public payer</t>
        </is>
      </c>
      <c r="J133" t="inlineStr">
        <is>
          <t>Wei Chen</t>
        </is>
      </c>
      <c r="K133" s="70" t="n">
        <v>91</v>
      </c>
      <c r="L133" s="71" t="n">
        <v>378.78</v>
      </c>
      <c r="M133" s="71" t="n">
        <v>34468.98</v>
      </c>
      <c r="N133" s="71" t="n">
        <v>1723.45</v>
      </c>
      <c r="O133" s="71" t="n">
        <v>32745.53</v>
      </c>
      <c r="P133" s="71" t="n">
        <v>7114.13</v>
      </c>
      <c r="Q133" s="71" t="n">
        <v>25631.4</v>
      </c>
      <c r="R133" t="inlineStr">
        <is>
          <t>Cardiology</t>
        </is>
      </c>
      <c r="S133" s="70" t="n">
        <v>89</v>
      </c>
      <c r="T133" s="71" t="n">
        <v>4820.5</v>
      </c>
      <c r="U133" t="inlineStr">
        <is>
          <t>High</t>
        </is>
      </c>
      <c r="V133">
        <f>IF(AND(OR(Dashboard!$C$6="All",E133=Dashboard!$C$6),OR(Dashboard!$F$6="All",G133=Dashboard!$F$6),OR(Dashboard!$I$6="All",H133=Dashboard!$I$6)),1,0)</f>
        <v/>
      </c>
    </row>
    <row r="134">
      <c r="A134" t="inlineStr">
        <is>
          <t>PF100125</t>
        </is>
      </c>
      <c r="B134" s="68" t="n">
        <v>45672</v>
      </c>
      <c r="C134" s="69" t="n">
        <v>2025</v>
      </c>
      <c r="D134" t="inlineStr">
        <is>
          <t>Jan</t>
        </is>
      </c>
      <c r="E134" t="inlineStr">
        <is>
          <t>United States</t>
        </is>
      </c>
      <c r="F134" t="inlineStr">
        <is>
          <t>USA</t>
        </is>
      </c>
      <c r="G134" t="inlineStr">
        <is>
          <t>Paxlovid</t>
        </is>
      </c>
      <c r="H134" t="inlineStr">
        <is>
          <t>Hospital</t>
        </is>
      </c>
      <c r="I134" t="inlineStr">
        <is>
          <t>Public payer</t>
        </is>
      </c>
      <c r="J134" t="inlineStr">
        <is>
          <t>Sara Rossi</t>
        </is>
      </c>
      <c r="K134" s="70" t="n">
        <v>2125</v>
      </c>
      <c r="L134" s="71" t="n">
        <v>1680.96</v>
      </c>
      <c r="M134" s="71" t="n">
        <v>3572040</v>
      </c>
      <c r="N134" s="71" t="n">
        <v>714408</v>
      </c>
      <c r="O134" s="71" t="n">
        <v>2857632</v>
      </c>
      <c r="P134" s="71" t="n">
        <v>598358.8</v>
      </c>
      <c r="Q134" s="71" t="n">
        <v>2259273.2</v>
      </c>
      <c r="R134" t="inlineStr">
        <is>
          <t>Antiviral</t>
        </is>
      </c>
      <c r="S134" s="70" t="n">
        <v>1683</v>
      </c>
      <c r="T134" s="71" t="n">
        <v>650894.24</v>
      </c>
      <c r="U134" t="inlineStr">
        <is>
          <t>Low</t>
        </is>
      </c>
      <c r="V134">
        <f>IF(AND(OR(Dashboard!$C$6="All",E134=Dashboard!$C$6),OR(Dashboard!$F$6="All",G134=Dashboard!$F$6),OR(Dashboard!$I$6="All",H134=Dashboard!$I$6)),1,0)</f>
        <v/>
      </c>
    </row>
    <row r="135">
      <c r="A135" t="inlineStr">
        <is>
          <t>PF100126</t>
        </is>
      </c>
      <c r="B135" s="68" t="n">
        <v>45672</v>
      </c>
      <c r="C135" s="69" t="n">
        <v>2025</v>
      </c>
      <c r="D135" t="inlineStr">
        <is>
          <t>Jan</t>
        </is>
      </c>
      <c r="E135" t="inlineStr">
        <is>
          <t>United States</t>
        </is>
      </c>
      <c r="F135" t="inlineStr">
        <is>
          <t>USA</t>
        </is>
      </c>
      <c r="G135" t="inlineStr">
        <is>
          <t>Abrysvo</t>
        </is>
      </c>
      <c r="H135" t="inlineStr">
        <is>
          <t>Government / tender</t>
        </is>
      </c>
      <c r="I135" t="inlineStr">
        <is>
          <t>Public payer</t>
        </is>
      </c>
      <c r="J135" t="inlineStr">
        <is>
          <t>Emma Clarke</t>
        </is>
      </c>
      <c r="K135" s="70" t="n">
        <v>987</v>
      </c>
      <c r="L135" s="71" t="n">
        <v>432.77</v>
      </c>
      <c r="M135" s="71" t="n">
        <v>427143.99</v>
      </c>
      <c r="N135" s="71" t="n">
        <v>149500.4</v>
      </c>
      <c r="O135" s="71" t="n">
        <v>277643.59</v>
      </c>
      <c r="P135" s="71" t="n">
        <v>82181.41</v>
      </c>
      <c r="Q135" s="71" t="n">
        <v>195462.18</v>
      </c>
      <c r="R135" t="inlineStr">
        <is>
          <t>Vaccines</t>
        </is>
      </c>
      <c r="S135" s="70" t="n">
        <v>895</v>
      </c>
      <c r="T135" s="71" t="n">
        <v>84244.56</v>
      </c>
      <c r="U135" t="inlineStr">
        <is>
          <t>Low</t>
        </is>
      </c>
      <c r="V135">
        <f>IF(AND(OR(Dashboard!$C$6="All",E135=Dashboard!$C$6),OR(Dashboard!$F$6="All",G135=Dashboard!$F$6),OR(Dashboard!$I$6="All",H135=Dashboard!$I$6)),1,0)</f>
        <v/>
      </c>
    </row>
    <row r="136">
      <c r="A136" t="inlineStr">
        <is>
          <t>PF100127</t>
        </is>
      </c>
      <c r="B136" s="68" t="n">
        <v>45672</v>
      </c>
      <c r="C136" s="69" t="n">
        <v>2025</v>
      </c>
      <c r="D136" t="inlineStr">
        <is>
          <t>Jan</t>
        </is>
      </c>
      <c r="E136" t="inlineStr">
        <is>
          <t>United States</t>
        </is>
      </c>
      <c r="F136" t="inlineStr">
        <is>
          <t>USA</t>
        </is>
      </c>
      <c r="G136" t="inlineStr">
        <is>
          <t>Paxlovid</t>
        </is>
      </c>
      <c r="H136" t="inlineStr">
        <is>
          <t>Retail pharmacy</t>
        </is>
      </c>
      <c r="I136" t="inlineStr">
        <is>
          <t>Public payer</t>
        </is>
      </c>
      <c r="J136" t="inlineStr">
        <is>
          <t>Liam O'Brien</t>
        </is>
      </c>
      <c r="K136" s="70" t="n">
        <v>569</v>
      </c>
      <c r="L136" s="71" t="n">
        <v>1935.09</v>
      </c>
      <c r="M136" s="71" t="n">
        <v>1101066.21</v>
      </c>
      <c r="N136" s="71" t="n">
        <v>330319.86</v>
      </c>
      <c r="O136" s="71" t="n">
        <v>770746.35</v>
      </c>
      <c r="P136" s="71" t="n">
        <v>151629.48</v>
      </c>
      <c r="Q136" s="71" t="n">
        <v>619116.87</v>
      </c>
      <c r="R136" t="inlineStr">
        <is>
          <t>Antiviral</t>
        </is>
      </c>
      <c r="S136" s="70" t="n">
        <v>435</v>
      </c>
      <c r="T136" s="71" t="n">
        <v>239379.08</v>
      </c>
      <c r="U136" t="inlineStr">
        <is>
          <t>Low</t>
        </is>
      </c>
      <c r="V136">
        <f>IF(AND(OR(Dashboard!$C$6="All",E136=Dashboard!$C$6),OR(Dashboard!$F$6="All",G136=Dashboard!$F$6),OR(Dashboard!$I$6="All",H136=Dashboard!$I$6)),1,0)</f>
        <v/>
      </c>
    </row>
    <row r="137">
      <c r="A137" t="inlineStr">
        <is>
          <t>PF100128</t>
        </is>
      </c>
      <c r="B137" s="68" t="n">
        <v>45672</v>
      </c>
      <c r="C137" s="69" t="n">
        <v>2025</v>
      </c>
      <c r="D137" t="inlineStr">
        <is>
          <t>Jan</t>
        </is>
      </c>
      <c r="E137" t="inlineStr">
        <is>
          <t>Emerging markets</t>
        </is>
      </c>
      <c r="F137" t="inlineStr">
        <is>
          <t>India</t>
        </is>
      </c>
      <c r="G137" t="inlineStr">
        <is>
          <t>Paxlovid</t>
        </is>
      </c>
      <c r="H137" t="inlineStr">
        <is>
          <t>Government / tender</t>
        </is>
      </c>
      <c r="I137" t="inlineStr">
        <is>
          <t>Public payer</t>
        </is>
      </c>
      <c r="J137" t="inlineStr">
        <is>
          <t>Sara Rossi</t>
        </is>
      </c>
      <c r="K137" s="70" t="n">
        <v>2317</v>
      </c>
      <c r="L137" s="71" t="n">
        <v>1155.54</v>
      </c>
      <c r="M137" s="71" t="n">
        <v>2677386.18</v>
      </c>
      <c r="N137" s="71" t="n">
        <v>267738.62</v>
      </c>
      <c r="O137" s="71" t="n">
        <v>2409647.56</v>
      </c>
      <c r="P137" s="71" t="n">
        <v>629349.63</v>
      </c>
      <c r="Q137" s="71" t="n">
        <v>1780297.93</v>
      </c>
      <c r="R137" t="inlineStr">
        <is>
          <t>Antiviral</t>
        </is>
      </c>
      <c r="S137" s="70" t="n">
        <v>1461</v>
      </c>
      <c r="T137" s="71" t="n">
        <v>430308.18</v>
      </c>
      <c r="U137" t="inlineStr">
        <is>
          <t>Low</t>
        </is>
      </c>
      <c r="V137">
        <f>IF(AND(OR(Dashboard!$C$6="All",E137=Dashboard!$C$6),OR(Dashboard!$F$6="All",G137=Dashboard!$F$6),OR(Dashboard!$I$6="All",H137=Dashboard!$I$6)),1,0)</f>
        <v/>
      </c>
    </row>
    <row r="138">
      <c r="A138" t="inlineStr">
        <is>
          <t>PF100129</t>
        </is>
      </c>
      <c r="B138" s="68" t="n">
        <v>45672</v>
      </c>
      <c r="C138" s="69" t="n">
        <v>2025</v>
      </c>
      <c r="D138" t="inlineStr">
        <is>
          <t>Jan</t>
        </is>
      </c>
      <c r="E138" t="inlineStr">
        <is>
          <t>United States</t>
        </is>
      </c>
      <c r="F138" t="inlineStr">
        <is>
          <t>USA</t>
        </is>
      </c>
      <c r="G138" t="inlineStr">
        <is>
          <t>Eliquis</t>
        </is>
      </c>
      <c r="H138" t="inlineStr">
        <is>
          <t>Retail pharmacy</t>
        </is>
      </c>
      <c r="I138" t="inlineStr">
        <is>
          <t>Public payer</t>
        </is>
      </c>
      <c r="J138" t="inlineStr">
        <is>
          <t>Amir Khan</t>
        </is>
      </c>
      <c r="K138" s="70" t="n">
        <v>685</v>
      </c>
      <c r="L138" s="71" t="n">
        <v>669.6</v>
      </c>
      <c r="M138" s="71" t="n">
        <v>458676</v>
      </c>
      <c r="N138" s="71" t="n">
        <v>68801.39999999999</v>
      </c>
      <c r="O138" s="71" t="n">
        <v>389874.6</v>
      </c>
      <c r="P138" s="71" t="n">
        <v>50922.1</v>
      </c>
      <c r="Q138" s="71" t="n">
        <v>338952.5</v>
      </c>
      <c r="R138" t="inlineStr">
        <is>
          <t>Cardiology</t>
        </is>
      </c>
      <c r="S138" s="70" t="n">
        <v>643</v>
      </c>
      <c r="T138" s="71" t="n">
        <v>74130.3</v>
      </c>
      <c r="U138" t="inlineStr">
        <is>
          <t>High</t>
        </is>
      </c>
      <c r="V138">
        <f>IF(AND(OR(Dashboard!$C$6="All",E138=Dashboard!$C$6),OR(Dashboard!$F$6="All",G138=Dashboard!$F$6),OR(Dashboard!$I$6="All",H138=Dashboard!$I$6)),1,0)</f>
        <v/>
      </c>
    </row>
    <row r="139">
      <c r="A139" t="inlineStr">
        <is>
          <t>PF100130</t>
        </is>
      </c>
      <c r="B139" s="68" t="n">
        <v>45672</v>
      </c>
      <c r="C139" s="69" t="n">
        <v>2025</v>
      </c>
      <c r="D139" t="inlineStr">
        <is>
          <t>Jan</t>
        </is>
      </c>
      <c r="E139" t="inlineStr">
        <is>
          <t>Europe</t>
        </is>
      </c>
      <c r="F139" t="inlineStr">
        <is>
          <t>France</t>
        </is>
      </c>
      <c r="G139" t="inlineStr">
        <is>
          <t>Abrysvo</t>
        </is>
      </c>
      <c r="H139" t="inlineStr">
        <is>
          <t>Retail pharmacy</t>
        </is>
      </c>
      <c r="I139" t="inlineStr">
        <is>
          <t>Public payer</t>
        </is>
      </c>
      <c r="J139" t="inlineStr">
        <is>
          <t>Fatima Al-Saud</t>
        </is>
      </c>
      <c r="K139" s="70" t="n">
        <v>1486</v>
      </c>
      <c r="L139" s="71" t="n">
        <v>299.1</v>
      </c>
      <c r="M139" s="71" t="n">
        <v>444462.6</v>
      </c>
      <c r="N139" s="71" t="n">
        <v>88892.52</v>
      </c>
      <c r="O139" s="71" t="n">
        <v>355570.08</v>
      </c>
      <c r="P139" s="71" t="n">
        <v>129212.91</v>
      </c>
      <c r="Q139" s="71" t="n">
        <v>226357.17</v>
      </c>
      <c r="R139" t="inlineStr">
        <is>
          <t>Vaccines</t>
        </is>
      </c>
      <c r="S139" s="70" t="n">
        <v>1400</v>
      </c>
      <c r="T139" s="71" t="n">
        <v>72735.10000000001</v>
      </c>
      <c r="U139" t="inlineStr">
        <is>
          <t>Low</t>
        </is>
      </c>
      <c r="V139">
        <f>IF(AND(OR(Dashboard!$C$6="All",E139=Dashboard!$C$6),OR(Dashboard!$F$6="All",G139=Dashboard!$F$6),OR(Dashboard!$I$6="All",H139=Dashboard!$I$6)),1,0)</f>
        <v/>
      </c>
    </row>
    <row r="140">
      <c r="A140" t="inlineStr">
        <is>
          <t>PF100131</t>
        </is>
      </c>
      <c r="B140" s="68" t="n">
        <v>45673</v>
      </c>
      <c r="C140" s="69" t="n">
        <v>2025</v>
      </c>
      <c r="D140" t="inlineStr">
        <is>
          <t>Jan</t>
        </is>
      </c>
      <c r="E140" t="inlineStr">
        <is>
          <t>Emerging markets</t>
        </is>
      </c>
      <c r="F140" t="inlineStr">
        <is>
          <t>Brazil</t>
        </is>
      </c>
      <c r="G140" t="inlineStr">
        <is>
          <t>Comirnaty</t>
        </is>
      </c>
      <c r="H140" t="inlineStr">
        <is>
          <t>Hospital</t>
        </is>
      </c>
      <c r="I140" t="inlineStr">
        <is>
          <t>Private insurer</t>
        </is>
      </c>
      <c r="J140" t="inlineStr">
        <is>
          <t>Wei Chen</t>
        </is>
      </c>
      <c r="K140" s="70" t="n">
        <v>2490</v>
      </c>
      <c r="L140" s="71" t="n">
        <v>105.44</v>
      </c>
      <c r="M140" s="71" t="n">
        <v>262545.6</v>
      </c>
      <c r="N140" s="71" t="n">
        <v>39381.84</v>
      </c>
      <c r="O140" s="71" t="n">
        <v>223163.76</v>
      </c>
      <c r="P140" s="71" t="n">
        <v>93299.53</v>
      </c>
      <c r="Q140" s="71" t="n">
        <v>129864.23</v>
      </c>
      <c r="R140" t="inlineStr">
        <is>
          <t>Vaccines</t>
        </is>
      </c>
      <c r="S140" s="70" t="n">
        <v>2394</v>
      </c>
      <c r="T140" s="71" t="n">
        <v>55762.81</v>
      </c>
      <c r="U140" t="inlineStr">
        <is>
          <t>Low</t>
        </is>
      </c>
      <c r="V140">
        <f>IF(AND(OR(Dashboard!$C$6="All",E140=Dashboard!$C$6),OR(Dashboard!$F$6="All",G140=Dashboard!$F$6),OR(Dashboard!$I$6="All",H140=Dashboard!$I$6)),1,0)</f>
        <v/>
      </c>
    </row>
    <row r="141">
      <c r="A141" t="inlineStr">
        <is>
          <t>PF100132</t>
        </is>
      </c>
      <c r="B141" s="68" t="n">
        <v>45673</v>
      </c>
      <c r="C141" s="69" t="n">
        <v>2025</v>
      </c>
      <c r="D141" t="inlineStr">
        <is>
          <t>Jan</t>
        </is>
      </c>
      <c r="E141" t="inlineStr">
        <is>
          <t>Europe</t>
        </is>
      </c>
      <c r="F141" t="inlineStr">
        <is>
          <t>France</t>
        </is>
      </c>
      <c r="G141" t="inlineStr">
        <is>
          <t>Xeljanz</t>
        </is>
      </c>
      <c r="H141" t="inlineStr">
        <is>
          <t>Retail pharmacy</t>
        </is>
      </c>
      <c r="I141" t="inlineStr">
        <is>
          <t>Public payer</t>
        </is>
      </c>
      <c r="J141" t="inlineStr">
        <is>
          <t>Lucas Martin</t>
        </is>
      </c>
      <c r="K141" s="70" t="n">
        <v>1008</v>
      </c>
      <c r="L141" s="71" t="n">
        <v>1353.55</v>
      </c>
      <c r="M141" s="71" t="n">
        <v>1364378.4</v>
      </c>
      <c r="N141" s="71" t="n">
        <v>136437.84</v>
      </c>
      <c r="O141" s="71" t="n">
        <v>1227940.56</v>
      </c>
      <c r="P141" s="71" t="n">
        <v>262694.5</v>
      </c>
      <c r="Q141" s="71" t="n">
        <v>965246.0600000001</v>
      </c>
      <c r="R141" t="inlineStr">
        <is>
          <t>Inflammation</t>
        </is>
      </c>
      <c r="S141" s="70" t="n">
        <v>695</v>
      </c>
      <c r="T141" s="71" t="n">
        <v>180125.05</v>
      </c>
      <c r="U141" t="inlineStr">
        <is>
          <t>High</t>
        </is>
      </c>
      <c r="V141">
        <f>IF(AND(OR(Dashboard!$C$6="All",E141=Dashboard!$C$6),OR(Dashboard!$F$6="All",G141=Dashboard!$F$6),OR(Dashboard!$I$6="All",H141=Dashboard!$I$6)),1,0)</f>
        <v/>
      </c>
    </row>
    <row r="142">
      <c r="A142" t="inlineStr">
        <is>
          <t>PF100133</t>
        </is>
      </c>
      <c r="B142" s="68" t="n">
        <v>45673</v>
      </c>
      <c r="C142" s="69" t="n">
        <v>2025</v>
      </c>
      <c r="D142" t="inlineStr">
        <is>
          <t>Jan</t>
        </is>
      </c>
      <c r="E142" t="inlineStr">
        <is>
          <t>United States</t>
        </is>
      </c>
      <c r="F142" t="inlineStr">
        <is>
          <t>USA</t>
        </is>
      </c>
      <c r="G142" t="inlineStr">
        <is>
          <t>Xeljanz</t>
        </is>
      </c>
      <c r="H142" t="inlineStr">
        <is>
          <t>Government / tender</t>
        </is>
      </c>
      <c r="I142" t="inlineStr">
        <is>
          <t>Private insurer</t>
        </is>
      </c>
      <c r="J142" t="inlineStr">
        <is>
          <t>Hiroshi Tanaka</t>
        </is>
      </c>
      <c r="K142" s="70" t="n">
        <v>2704</v>
      </c>
      <c r="L142" s="71" t="n">
        <v>2457.76</v>
      </c>
      <c r="M142" s="71" t="n">
        <v>6645783.04</v>
      </c>
      <c r="N142" s="71" t="n">
        <v>2326024.06</v>
      </c>
      <c r="O142" s="71" t="n">
        <v>4319758.98</v>
      </c>
      <c r="P142" s="71" t="n">
        <v>697290.8100000001</v>
      </c>
      <c r="Q142" s="71" t="n">
        <v>3622468.17</v>
      </c>
      <c r="R142" t="inlineStr">
        <is>
          <t>Inflammation</t>
        </is>
      </c>
      <c r="S142" s="70" t="n">
        <v>2184</v>
      </c>
      <c r="T142" s="71" t="n">
        <v>1385415.49</v>
      </c>
      <c r="U142" t="inlineStr">
        <is>
          <t>High</t>
        </is>
      </c>
      <c r="V142">
        <f>IF(AND(OR(Dashboard!$C$6="All",E142=Dashboard!$C$6),OR(Dashboard!$F$6="All",G142=Dashboard!$F$6),OR(Dashboard!$I$6="All",H142=Dashboard!$I$6)),1,0)</f>
        <v/>
      </c>
    </row>
    <row r="143">
      <c r="A143" t="inlineStr">
        <is>
          <t>PF100134</t>
        </is>
      </c>
      <c r="B143" s="68" t="n">
        <v>45673</v>
      </c>
      <c r="C143" s="69" t="n">
        <v>2025</v>
      </c>
      <c r="D143" t="inlineStr">
        <is>
          <t>Jan</t>
        </is>
      </c>
      <c r="E143" t="inlineStr">
        <is>
          <t>United States</t>
        </is>
      </c>
      <c r="F143" t="inlineStr">
        <is>
          <t>USA</t>
        </is>
      </c>
      <c r="G143" t="inlineStr">
        <is>
          <t>Paxlovid</t>
        </is>
      </c>
      <c r="H143" t="inlineStr">
        <is>
          <t>Hospital</t>
        </is>
      </c>
      <c r="I143" t="inlineStr">
        <is>
          <t>Private insurer</t>
        </is>
      </c>
      <c r="J143" t="inlineStr">
        <is>
          <t>Shraddha Kulkarni</t>
        </is>
      </c>
      <c r="K143" s="70" t="n">
        <v>181</v>
      </c>
      <c r="L143" s="71" t="n">
        <v>1755.09</v>
      </c>
      <c r="M143" s="71" t="n">
        <v>317671.29</v>
      </c>
      <c r="N143" s="71" t="n">
        <v>79417.82000000001</v>
      </c>
      <c r="O143" s="71" t="n">
        <v>238253.47</v>
      </c>
      <c r="P143" s="71" t="n">
        <v>50662.22</v>
      </c>
      <c r="Q143" s="71" t="n">
        <v>187591.25</v>
      </c>
      <c r="R143" t="inlineStr">
        <is>
          <t>Antiviral</t>
        </is>
      </c>
      <c r="S143" s="70" t="n">
        <v>140</v>
      </c>
      <c r="T143" s="71" t="n">
        <v>58950.47</v>
      </c>
      <c r="U143" t="inlineStr">
        <is>
          <t>Low</t>
        </is>
      </c>
      <c r="V143">
        <f>IF(AND(OR(Dashboard!$C$6="All",E143=Dashboard!$C$6),OR(Dashboard!$F$6="All",G143=Dashboard!$F$6),OR(Dashboard!$I$6="All",H143=Dashboard!$I$6)),1,0)</f>
        <v/>
      </c>
    </row>
    <row r="144">
      <c r="A144" t="inlineStr">
        <is>
          <t>PF100135</t>
        </is>
      </c>
      <c r="B144" s="68" t="n">
        <v>45673</v>
      </c>
      <c r="C144" s="69" t="n">
        <v>2025</v>
      </c>
      <c r="D144" t="inlineStr">
        <is>
          <t>Jan</t>
        </is>
      </c>
      <c r="E144" t="inlineStr">
        <is>
          <t>United States</t>
        </is>
      </c>
      <c r="F144" t="inlineStr">
        <is>
          <t>USA</t>
        </is>
      </c>
      <c r="G144" t="inlineStr">
        <is>
          <t>Paxlovid</t>
        </is>
      </c>
      <c r="H144" t="inlineStr">
        <is>
          <t>Hospital</t>
        </is>
      </c>
      <c r="I144" t="inlineStr">
        <is>
          <t>Public payer</t>
        </is>
      </c>
      <c r="J144" t="inlineStr">
        <is>
          <t>Ana Costa</t>
        </is>
      </c>
      <c r="K144" s="70" t="n">
        <v>2522</v>
      </c>
      <c r="L144" s="71" t="n">
        <v>1671.65</v>
      </c>
      <c r="M144" s="71" t="n">
        <v>4215901.3</v>
      </c>
      <c r="N144" s="71" t="n">
        <v>1475565.45</v>
      </c>
      <c r="O144" s="71" t="n">
        <v>2740335.85</v>
      </c>
      <c r="P144" s="71" t="n">
        <v>689315.37</v>
      </c>
      <c r="Q144" s="71" t="n">
        <v>2051020.48</v>
      </c>
      <c r="R144" t="inlineStr">
        <is>
          <t>Antiviral</t>
        </is>
      </c>
      <c r="S144" s="70" t="n">
        <v>1649</v>
      </c>
      <c r="T144" s="71" t="n">
        <v>697306.4399999999</v>
      </c>
      <c r="U144" t="inlineStr">
        <is>
          <t>Low</t>
        </is>
      </c>
      <c r="V144">
        <f>IF(AND(OR(Dashboard!$C$6="All",E144=Dashboard!$C$6),OR(Dashboard!$F$6="All",G144=Dashboard!$F$6),OR(Dashboard!$I$6="All",H144=Dashboard!$I$6)),1,0)</f>
        <v/>
      </c>
    </row>
    <row r="145">
      <c r="A145" t="inlineStr">
        <is>
          <t>PF100136</t>
        </is>
      </c>
      <c r="B145" s="68" t="n">
        <v>45674</v>
      </c>
      <c r="C145" s="69" t="n">
        <v>2025</v>
      </c>
      <c r="D145" t="inlineStr">
        <is>
          <t>Jan</t>
        </is>
      </c>
      <c r="E145" t="inlineStr">
        <is>
          <t>Europe</t>
        </is>
      </c>
      <c r="F145" t="inlineStr">
        <is>
          <t>Italy</t>
        </is>
      </c>
      <c r="G145" t="inlineStr">
        <is>
          <t>Eliquis</t>
        </is>
      </c>
      <c r="H145" t="inlineStr">
        <is>
          <t>Government / tender</t>
        </is>
      </c>
      <c r="I145" t="inlineStr">
        <is>
          <t>Public payer</t>
        </is>
      </c>
      <c r="J145" t="inlineStr">
        <is>
          <t>Sara Rossi</t>
        </is>
      </c>
      <c r="K145" s="70" t="n">
        <v>1547</v>
      </c>
      <c r="L145" s="71" t="n">
        <v>414.22</v>
      </c>
      <c r="M145" s="71" t="n">
        <v>640798.34</v>
      </c>
      <c r="N145" s="71" t="n">
        <v>160199.58</v>
      </c>
      <c r="O145" s="71" t="n">
        <v>480598.76</v>
      </c>
      <c r="P145" s="71" t="n">
        <v>118229.39</v>
      </c>
      <c r="Q145" s="71" t="n">
        <v>362369.37</v>
      </c>
      <c r="R145" t="inlineStr">
        <is>
          <t>Cardiology</t>
        </is>
      </c>
      <c r="S145" s="70" t="n">
        <v>1101</v>
      </c>
      <c r="T145" s="71" t="n">
        <v>134690.81</v>
      </c>
      <c r="U145" t="inlineStr">
        <is>
          <t>High</t>
        </is>
      </c>
      <c r="V145">
        <f>IF(AND(OR(Dashboard!$C$6="All",E145=Dashboard!$C$6),OR(Dashboard!$F$6="All",G145=Dashboard!$F$6),OR(Dashboard!$I$6="All",H145=Dashboard!$I$6)),1,0)</f>
        <v/>
      </c>
    </row>
    <row r="146">
      <c r="A146" t="inlineStr">
        <is>
          <t>PF100137</t>
        </is>
      </c>
      <c r="B146" s="68" t="n">
        <v>45674</v>
      </c>
      <c r="C146" s="69" t="n">
        <v>2025</v>
      </c>
      <c r="D146" t="inlineStr">
        <is>
          <t>Jan</t>
        </is>
      </c>
      <c r="E146" t="inlineStr">
        <is>
          <t>Europe</t>
        </is>
      </c>
      <c r="F146" t="inlineStr">
        <is>
          <t>Italy</t>
        </is>
      </c>
      <c r="G146" t="inlineStr">
        <is>
          <t>Eliquis</t>
        </is>
      </c>
      <c r="H146" t="inlineStr">
        <is>
          <t>Government / tender</t>
        </is>
      </c>
      <c r="I146" t="inlineStr">
        <is>
          <t>Private insurer</t>
        </is>
      </c>
      <c r="J146" t="inlineStr">
        <is>
          <t>Shraddha Kulkarni</t>
        </is>
      </c>
      <c r="K146" s="70" t="n">
        <v>550</v>
      </c>
      <c r="L146" s="71" t="n">
        <v>435.76</v>
      </c>
      <c r="M146" s="71" t="n">
        <v>239668</v>
      </c>
      <c r="N146" s="71" t="n">
        <v>59917</v>
      </c>
      <c r="O146" s="71" t="n">
        <v>179751</v>
      </c>
      <c r="P146" s="71" t="n">
        <v>42436.45</v>
      </c>
      <c r="Q146" s="71" t="n">
        <v>137314.55</v>
      </c>
      <c r="R146" t="inlineStr">
        <is>
          <t>Cardiology</t>
        </is>
      </c>
      <c r="S146" s="70" t="n">
        <v>484</v>
      </c>
      <c r="T146" s="71" t="n">
        <v>41919.12</v>
      </c>
      <c r="U146" t="inlineStr">
        <is>
          <t>High</t>
        </is>
      </c>
      <c r="V146">
        <f>IF(AND(OR(Dashboard!$C$6="All",E146=Dashboard!$C$6),OR(Dashboard!$F$6="All",G146=Dashboard!$F$6),OR(Dashboard!$I$6="All",H146=Dashboard!$I$6)),1,0)</f>
        <v/>
      </c>
    </row>
    <row r="147">
      <c r="A147" t="inlineStr">
        <is>
          <t>PF100138</t>
        </is>
      </c>
      <c r="B147" s="68" t="n">
        <v>45674</v>
      </c>
      <c r="C147" s="69" t="n">
        <v>2025</v>
      </c>
      <c r="D147" t="inlineStr">
        <is>
          <t>Jan</t>
        </is>
      </c>
      <c r="E147" t="inlineStr">
        <is>
          <t>United States</t>
        </is>
      </c>
      <c r="F147" t="inlineStr">
        <is>
          <t>USA</t>
        </is>
      </c>
      <c r="G147" t="inlineStr">
        <is>
          <t>Prevnar 20</t>
        </is>
      </c>
      <c r="H147" t="inlineStr">
        <is>
          <t>Government / tender</t>
        </is>
      </c>
      <c r="I147" t="inlineStr">
        <is>
          <t>Public payer</t>
        </is>
      </c>
      <c r="J147" t="inlineStr">
        <is>
          <t>Hiroshi Tanaka</t>
        </is>
      </c>
      <c r="K147" s="70" t="n">
        <v>497</v>
      </c>
      <c r="L147" s="71" t="n">
        <v>375.3</v>
      </c>
      <c r="M147" s="71" t="n">
        <v>186524.1</v>
      </c>
      <c r="N147" s="71" t="n">
        <v>37304.82</v>
      </c>
      <c r="O147" s="71" t="n">
        <v>149219.28</v>
      </c>
      <c r="P147" s="71" t="n">
        <v>34895.84</v>
      </c>
      <c r="Q147" s="71" t="n">
        <v>114323.44</v>
      </c>
      <c r="R147" t="inlineStr">
        <is>
          <t>Vaccines</t>
        </is>
      </c>
      <c r="S147" s="70" t="n">
        <v>323</v>
      </c>
      <c r="T147" s="71" t="n">
        <v>23257.12</v>
      </c>
      <c r="U147" t="inlineStr">
        <is>
          <t>Low</t>
        </is>
      </c>
      <c r="V147">
        <f>IF(AND(OR(Dashboard!$C$6="All",E147=Dashboard!$C$6),OR(Dashboard!$F$6="All",G147=Dashboard!$F$6),OR(Dashboard!$I$6="All",H147=Dashboard!$I$6)),1,0)</f>
        <v/>
      </c>
    </row>
    <row r="148">
      <c r="A148" t="inlineStr">
        <is>
          <t>PF100139</t>
        </is>
      </c>
      <c r="B148" s="68" t="n">
        <v>45674</v>
      </c>
      <c r="C148" s="69" t="n">
        <v>2025</v>
      </c>
      <c r="D148" t="inlineStr">
        <is>
          <t>Jan</t>
        </is>
      </c>
      <c r="E148" t="inlineStr">
        <is>
          <t>United States</t>
        </is>
      </c>
      <c r="F148" t="inlineStr">
        <is>
          <t>USA</t>
        </is>
      </c>
      <c r="G148" t="inlineStr">
        <is>
          <t>Vyndaqel</t>
        </is>
      </c>
      <c r="H148" t="inlineStr">
        <is>
          <t>Retail pharmacy</t>
        </is>
      </c>
      <c r="I148" t="inlineStr">
        <is>
          <t>Public payer</t>
        </is>
      </c>
      <c r="J148" t="inlineStr">
        <is>
          <t>Ana Costa</t>
        </is>
      </c>
      <c r="K148" s="70" t="n">
        <v>2570</v>
      </c>
      <c r="L148" s="71" t="n">
        <v>9131.360000000001</v>
      </c>
      <c r="M148" s="71" t="n">
        <v>23467595.2</v>
      </c>
      <c r="N148" s="71" t="n">
        <v>4693519.04</v>
      </c>
      <c r="O148" s="71" t="n">
        <v>18774076.16</v>
      </c>
      <c r="P148" s="71" t="n">
        <v>1573317.47</v>
      </c>
      <c r="Q148" s="71" t="n">
        <v>17200758.69</v>
      </c>
      <c r="R148" t="inlineStr">
        <is>
          <t>Rare disease</t>
        </is>
      </c>
      <c r="S148" s="70" t="n">
        <v>2208</v>
      </c>
      <c r="T148" s="71" t="n">
        <v>4504909.06</v>
      </c>
      <c r="U148" t="inlineStr">
        <is>
          <t>Medium</t>
        </is>
      </c>
      <c r="V148">
        <f>IF(AND(OR(Dashboard!$C$6="All",E148=Dashboard!$C$6),OR(Dashboard!$F$6="All",G148=Dashboard!$F$6),OR(Dashboard!$I$6="All",H148=Dashboard!$I$6)),1,0)</f>
        <v/>
      </c>
    </row>
    <row r="149">
      <c r="A149" t="inlineStr">
        <is>
          <t>PF100140</t>
        </is>
      </c>
      <c r="B149" s="68" t="n">
        <v>45674</v>
      </c>
      <c r="C149" s="69" t="n">
        <v>2025</v>
      </c>
      <c r="D149" t="inlineStr">
        <is>
          <t>Jan</t>
        </is>
      </c>
      <c r="E149" t="inlineStr">
        <is>
          <t>Emerging markets</t>
        </is>
      </c>
      <c r="F149" t="inlineStr">
        <is>
          <t>Mexico</t>
        </is>
      </c>
      <c r="G149" t="inlineStr">
        <is>
          <t>Paxlovid</t>
        </is>
      </c>
      <c r="H149" t="inlineStr">
        <is>
          <t>Hospital</t>
        </is>
      </c>
      <c r="I149" t="inlineStr">
        <is>
          <t>Self-pay</t>
        </is>
      </c>
      <c r="J149" t="inlineStr">
        <is>
          <t>Arjun Mehta</t>
        </is>
      </c>
      <c r="K149" s="70" t="n">
        <v>426</v>
      </c>
      <c r="L149" s="71" t="n">
        <v>1138.25</v>
      </c>
      <c r="M149" s="71" t="n">
        <v>484894.5</v>
      </c>
      <c r="N149" s="71" t="n">
        <v>72734.17999999999</v>
      </c>
      <c r="O149" s="71" t="n">
        <v>412160.32</v>
      </c>
      <c r="P149" s="71" t="n">
        <v>116704.24</v>
      </c>
      <c r="Q149" s="71" t="n">
        <v>295456.08</v>
      </c>
      <c r="R149" t="inlineStr">
        <is>
          <t>Antiviral</t>
        </is>
      </c>
      <c r="S149" s="70" t="n">
        <v>294</v>
      </c>
      <c r="T149" s="71" t="n">
        <v>81999.12</v>
      </c>
      <c r="U149" t="inlineStr">
        <is>
          <t>Low</t>
        </is>
      </c>
      <c r="V149">
        <f>IF(AND(OR(Dashboard!$C$6="All",E149=Dashboard!$C$6),OR(Dashboard!$F$6="All",G149=Dashboard!$F$6),OR(Dashboard!$I$6="All",H149=Dashboard!$I$6)),1,0)</f>
        <v/>
      </c>
    </row>
    <row r="150">
      <c r="A150" t="inlineStr">
        <is>
          <t>PF100141</t>
        </is>
      </c>
      <c r="B150" s="68" t="n">
        <v>45674</v>
      </c>
      <c r="C150" s="69" t="n">
        <v>2025</v>
      </c>
      <c r="D150" t="inlineStr">
        <is>
          <t>Jan</t>
        </is>
      </c>
      <c r="E150" t="inlineStr">
        <is>
          <t>Europe</t>
        </is>
      </c>
      <c r="F150" t="inlineStr">
        <is>
          <t>France</t>
        </is>
      </c>
      <c r="G150" t="inlineStr">
        <is>
          <t>Abrysvo</t>
        </is>
      </c>
      <c r="H150" t="inlineStr">
        <is>
          <t>Hospital</t>
        </is>
      </c>
      <c r="I150" t="inlineStr">
        <is>
          <t>Public payer</t>
        </is>
      </c>
      <c r="J150" t="inlineStr">
        <is>
          <t>Sophie Müller</t>
        </is>
      </c>
      <c r="K150" s="70" t="n">
        <v>1075</v>
      </c>
      <c r="L150" s="71" t="n">
        <v>284.09</v>
      </c>
      <c r="M150" s="71" t="n">
        <v>305396.75</v>
      </c>
      <c r="N150" s="71" t="n">
        <v>76349.19</v>
      </c>
      <c r="O150" s="71" t="n">
        <v>229047.56</v>
      </c>
      <c r="P150" s="71" t="n">
        <v>88704.86</v>
      </c>
      <c r="Q150" s="71" t="n">
        <v>140342.7</v>
      </c>
      <c r="R150" t="inlineStr">
        <is>
          <t>Vaccines</t>
        </is>
      </c>
      <c r="S150" s="70" t="n">
        <v>790</v>
      </c>
      <c r="T150" s="71" t="n">
        <v>50275.29</v>
      </c>
      <c r="U150" t="inlineStr">
        <is>
          <t>Low</t>
        </is>
      </c>
      <c r="V150">
        <f>IF(AND(OR(Dashboard!$C$6="All",E150=Dashboard!$C$6),OR(Dashboard!$F$6="All",G150=Dashboard!$F$6),OR(Dashboard!$I$6="All",H150=Dashboard!$I$6)),1,0)</f>
        <v/>
      </c>
    </row>
    <row r="151">
      <c r="A151" t="inlineStr">
        <is>
          <t>PF100142</t>
        </is>
      </c>
      <c r="B151" s="68" t="n">
        <v>45674</v>
      </c>
      <c r="C151" s="69" t="n">
        <v>2025</v>
      </c>
      <c r="D151" t="inlineStr">
        <is>
          <t>Jan</t>
        </is>
      </c>
      <c r="E151" t="inlineStr">
        <is>
          <t>United States</t>
        </is>
      </c>
      <c r="F151" t="inlineStr">
        <is>
          <t>USA</t>
        </is>
      </c>
      <c r="G151" t="inlineStr">
        <is>
          <t>Eliquis</t>
        </is>
      </c>
      <c r="H151" t="inlineStr">
        <is>
          <t>Retail pharmacy</t>
        </is>
      </c>
      <c r="I151" t="inlineStr">
        <is>
          <t>Public payer</t>
        </is>
      </c>
      <c r="J151" t="inlineStr">
        <is>
          <t>Liam O'Brien</t>
        </is>
      </c>
      <c r="K151" s="70" t="n">
        <v>2046</v>
      </c>
      <c r="L151" s="71" t="n">
        <v>662.03</v>
      </c>
      <c r="M151" s="71" t="n">
        <v>1354513.38</v>
      </c>
      <c r="N151" s="71" t="n">
        <v>203177.01</v>
      </c>
      <c r="O151" s="71" t="n">
        <v>1151336.37</v>
      </c>
      <c r="P151" s="71" t="n">
        <v>156969.13</v>
      </c>
      <c r="Q151" s="71" t="n">
        <v>994367.24</v>
      </c>
      <c r="R151" t="inlineStr">
        <is>
          <t>Cardiology</t>
        </is>
      </c>
      <c r="S151" s="70" t="n">
        <v>1992</v>
      </c>
      <c r="T151" s="71" t="n">
        <v>286479.17</v>
      </c>
      <c r="U151" t="inlineStr">
        <is>
          <t>High</t>
        </is>
      </c>
      <c r="V151">
        <f>IF(AND(OR(Dashboard!$C$6="All",E151=Dashboard!$C$6),OR(Dashboard!$F$6="All",G151=Dashboard!$F$6),OR(Dashboard!$I$6="All",H151=Dashboard!$I$6)),1,0)</f>
        <v/>
      </c>
    </row>
    <row r="152">
      <c r="A152" t="inlineStr">
        <is>
          <t>PF100143</t>
        </is>
      </c>
      <c r="B152" s="68" t="n">
        <v>45674</v>
      </c>
      <c r="C152" s="69" t="n">
        <v>2025</v>
      </c>
      <c r="D152" t="inlineStr">
        <is>
          <t>Jan</t>
        </is>
      </c>
      <c r="E152" t="inlineStr">
        <is>
          <t>Europe</t>
        </is>
      </c>
      <c r="F152" t="inlineStr">
        <is>
          <t>France</t>
        </is>
      </c>
      <c r="G152" t="inlineStr">
        <is>
          <t>Eliquis</t>
        </is>
      </c>
      <c r="H152" t="inlineStr">
        <is>
          <t>Retail pharmacy</t>
        </is>
      </c>
      <c r="I152" t="inlineStr">
        <is>
          <t>Private insurer</t>
        </is>
      </c>
      <c r="J152" t="inlineStr">
        <is>
          <t>Priya Nair</t>
        </is>
      </c>
      <c r="K152" s="70" t="n">
        <v>1025</v>
      </c>
      <c r="L152" s="71" t="n">
        <v>425.63</v>
      </c>
      <c r="M152" s="71" t="n">
        <v>436270.75</v>
      </c>
      <c r="N152" s="71" t="n">
        <v>43627.08</v>
      </c>
      <c r="O152" s="71" t="n">
        <v>392643.67</v>
      </c>
      <c r="P152" s="71" t="n">
        <v>78456.89999999999</v>
      </c>
      <c r="Q152" s="71" t="n">
        <v>314186.77</v>
      </c>
      <c r="R152" t="inlineStr">
        <is>
          <t>Cardiology</t>
        </is>
      </c>
      <c r="S152" s="70" t="n">
        <v>845</v>
      </c>
      <c r="T152" s="71" t="n">
        <v>91837.27</v>
      </c>
      <c r="U152" t="inlineStr">
        <is>
          <t>High</t>
        </is>
      </c>
      <c r="V152">
        <f>IF(AND(OR(Dashboard!$C$6="All",E152=Dashboard!$C$6),OR(Dashboard!$F$6="All",G152=Dashboard!$F$6),OR(Dashboard!$I$6="All",H152=Dashboard!$I$6)),1,0)</f>
        <v/>
      </c>
    </row>
    <row r="153">
      <c r="A153" t="inlineStr">
        <is>
          <t>PF100144</t>
        </is>
      </c>
      <c r="B153" s="68" t="n">
        <v>45674</v>
      </c>
      <c r="C153" s="69" t="n">
        <v>2025</v>
      </c>
      <c r="D153" t="inlineStr">
        <is>
          <t>Jan</t>
        </is>
      </c>
      <c r="E153" t="inlineStr">
        <is>
          <t>Europe</t>
        </is>
      </c>
      <c r="F153" t="inlineStr">
        <is>
          <t>Germany</t>
        </is>
      </c>
      <c r="G153" t="inlineStr">
        <is>
          <t>Ibrance</t>
        </is>
      </c>
      <c r="H153" t="inlineStr">
        <is>
          <t>Retail pharmacy</t>
        </is>
      </c>
      <c r="I153" t="inlineStr">
        <is>
          <t>Private insurer</t>
        </is>
      </c>
      <c r="J153" t="inlineStr">
        <is>
          <t>Fatima Al-Saud</t>
        </is>
      </c>
      <c r="K153" s="70" t="n">
        <v>1610</v>
      </c>
      <c r="L153" s="71" t="n">
        <v>2805.54</v>
      </c>
      <c r="M153" s="71" t="n">
        <v>4516919.4</v>
      </c>
      <c r="N153" s="71" t="n">
        <v>677537.91</v>
      </c>
      <c r="O153" s="71" t="n">
        <v>3839381.49</v>
      </c>
      <c r="P153" s="71" t="n">
        <v>684991.7</v>
      </c>
      <c r="Q153" s="71" t="n">
        <v>3154389.79</v>
      </c>
      <c r="R153" t="inlineStr">
        <is>
          <t>Oncology</t>
        </is>
      </c>
      <c r="S153" s="70" t="n">
        <v>1021</v>
      </c>
      <c r="T153" s="71" t="n">
        <v>783808.04</v>
      </c>
      <c r="U153" t="inlineStr">
        <is>
          <t>High</t>
        </is>
      </c>
      <c r="V153">
        <f>IF(AND(OR(Dashboard!$C$6="All",E153=Dashboard!$C$6),OR(Dashboard!$F$6="All",G153=Dashboard!$F$6),OR(Dashboard!$I$6="All",H153=Dashboard!$I$6)),1,0)</f>
        <v/>
      </c>
    </row>
    <row r="154">
      <c r="A154" t="inlineStr">
        <is>
          <t>PF100145</t>
        </is>
      </c>
      <c r="B154" s="68" t="n">
        <v>45674</v>
      </c>
      <c r="C154" s="69" t="n">
        <v>2025</v>
      </c>
      <c r="D154" t="inlineStr">
        <is>
          <t>Jan</t>
        </is>
      </c>
      <c r="E154" t="inlineStr">
        <is>
          <t>Emerging markets</t>
        </is>
      </c>
      <c r="F154" t="inlineStr">
        <is>
          <t>China</t>
        </is>
      </c>
      <c r="G154" t="inlineStr">
        <is>
          <t>Ibrance</t>
        </is>
      </c>
      <c r="H154" t="inlineStr">
        <is>
          <t>Retail pharmacy</t>
        </is>
      </c>
      <c r="I154" t="inlineStr">
        <is>
          <t>Private insurer</t>
        </is>
      </c>
      <c r="J154" t="inlineStr">
        <is>
          <t>Sophie Müller</t>
        </is>
      </c>
      <c r="K154" s="70" t="n">
        <v>1952</v>
      </c>
      <c r="L154" s="71" t="n">
        <v>3048.07</v>
      </c>
      <c r="M154" s="71" t="n">
        <v>5949832.64</v>
      </c>
      <c r="N154" s="71" t="n">
        <v>297491.63</v>
      </c>
      <c r="O154" s="71" t="n">
        <v>5652341.01</v>
      </c>
      <c r="P154" s="71" t="n">
        <v>818743.49</v>
      </c>
      <c r="Q154" s="71" t="n">
        <v>4833597.52</v>
      </c>
      <c r="R154" t="inlineStr">
        <is>
          <t>Oncology</t>
        </is>
      </c>
      <c r="S154" s="70" t="n">
        <v>1277</v>
      </c>
      <c r="T154" s="71" t="n">
        <v>818955.65</v>
      </c>
      <c r="U154" t="inlineStr">
        <is>
          <t>High</t>
        </is>
      </c>
      <c r="V154">
        <f>IF(AND(OR(Dashboard!$C$6="All",E154=Dashboard!$C$6),OR(Dashboard!$F$6="All",G154=Dashboard!$F$6),OR(Dashboard!$I$6="All",H154=Dashboard!$I$6)),1,0)</f>
        <v/>
      </c>
    </row>
    <row r="155">
      <c r="A155" t="inlineStr">
        <is>
          <t>PF100146</t>
        </is>
      </c>
      <c r="B155" s="68" t="n">
        <v>45675</v>
      </c>
      <c r="C155" s="69" t="n">
        <v>2025</v>
      </c>
      <c r="D155" t="inlineStr">
        <is>
          <t>Jan</t>
        </is>
      </c>
      <c r="E155" t="inlineStr">
        <is>
          <t>Europe</t>
        </is>
      </c>
      <c r="F155" t="inlineStr">
        <is>
          <t>UK</t>
        </is>
      </c>
      <c r="G155" t="inlineStr">
        <is>
          <t>Vyndaqel</t>
        </is>
      </c>
      <c r="H155" t="inlineStr">
        <is>
          <t>Government / tender</t>
        </is>
      </c>
      <c r="I155" t="inlineStr">
        <is>
          <t>Public payer</t>
        </is>
      </c>
      <c r="J155" t="inlineStr">
        <is>
          <t>Lucas Martin</t>
        </is>
      </c>
      <c r="K155" s="70" t="n">
        <v>1063</v>
      </c>
      <c r="L155" s="71" t="n">
        <v>5044.61</v>
      </c>
      <c r="M155" s="71" t="n">
        <v>5362420.43</v>
      </c>
      <c r="N155" s="71" t="n">
        <v>536242.04</v>
      </c>
      <c r="O155" s="71" t="n">
        <v>4826178.39</v>
      </c>
      <c r="P155" s="71" t="n">
        <v>664091.78</v>
      </c>
      <c r="Q155" s="71" t="n">
        <v>4162086.61</v>
      </c>
      <c r="R155" t="inlineStr">
        <is>
          <t>Rare disease</t>
        </is>
      </c>
      <c r="S155" s="70" t="n">
        <v>938</v>
      </c>
      <c r="T155" s="71" t="n">
        <v>756034.0699999999</v>
      </c>
      <c r="U155" t="inlineStr">
        <is>
          <t>Medium</t>
        </is>
      </c>
      <c r="V155">
        <f>IF(AND(OR(Dashboard!$C$6="All",E155=Dashboard!$C$6),OR(Dashboard!$F$6="All",G155=Dashboard!$F$6),OR(Dashboard!$I$6="All",H155=Dashboard!$I$6)),1,0)</f>
        <v/>
      </c>
    </row>
    <row r="156">
      <c r="A156" t="inlineStr">
        <is>
          <t>PF100147</t>
        </is>
      </c>
      <c r="B156" s="68" t="n">
        <v>45675</v>
      </c>
      <c r="C156" s="69" t="n">
        <v>2025</v>
      </c>
      <c r="D156" t="inlineStr">
        <is>
          <t>Jan</t>
        </is>
      </c>
      <c r="E156" t="inlineStr">
        <is>
          <t>United States</t>
        </is>
      </c>
      <c r="F156" t="inlineStr">
        <is>
          <t>USA</t>
        </is>
      </c>
      <c r="G156" t="inlineStr">
        <is>
          <t>Paxlovid</t>
        </is>
      </c>
      <c r="H156" t="inlineStr">
        <is>
          <t>Retail pharmacy</t>
        </is>
      </c>
      <c r="I156" t="inlineStr">
        <is>
          <t>Private insurer</t>
        </is>
      </c>
      <c r="J156" t="inlineStr">
        <is>
          <t>Aisha Bello</t>
        </is>
      </c>
      <c r="K156" s="70" t="n">
        <v>2511</v>
      </c>
      <c r="L156" s="71" t="n">
        <v>1935.79</v>
      </c>
      <c r="M156" s="71" t="n">
        <v>4860768.69</v>
      </c>
      <c r="N156" s="71" t="n">
        <v>729115.3</v>
      </c>
      <c r="O156" s="71" t="n">
        <v>4131653.39</v>
      </c>
      <c r="P156" s="71" t="n">
        <v>711843.9</v>
      </c>
      <c r="Q156" s="71" t="n">
        <v>3419809.49</v>
      </c>
      <c r="R156" t="inlineStr">
        <is>
          <t>Antiviral</t>
        </is>
      </c>
      <c r="S156" s="70" t="n">
        <v>2275</v>
      </c>
      <c r="T156" s="71" t="n">
        <v>1042841.21</v>
      </c>
      <c r="U156" t="inlineStr">
        <is>
          <t>Low</t>
        </is>
      </c>
      <c r="V156">
        <f>IF(AND(OR(Dashboard!$C$6="All",E156=Dashboard!$C$6),OR(Dashboard!$F$6="All",G156=Dashboard!$F$6),OR(Dashboard!$I$6="All",H156=Dashboard!$I$6)),1,0)</f>
        <v/>
      </c>
    </row>
    <row r="157">
      <c r="A157" t="inlineStr">
        <is>
          <t>PF100148</t>
        </is>
      </c>
      <c r="B157" s="68" t="n">
        <v>45675</v>
      </c>
      <c r="C157" s="69" t="n">
        <v>2025</v>
      </c>
      <c r="D157" t="inlineStr">
        <is>
          <t>Jan</t>
        </is>
      </c>
      <c r="E157" t="inlineStr">
        <is>
          <t>Europe</t>
        </is>
      </c>
      <c r="F157" t="inlineStr">
        <is>
          <t>Germany</t>
        </is>
      </c>
      <c r="G157" t="inlineStr">
        <is>
          <t>Paxlovid</t>
        </is>
      </c>
      <c r="H157" t="inlineStr">
        <is>
          <t>Hospital</t>
        </is>
      </c>
      <c r="I157" t="inlineStr">
        <is>
          <t>Public payer</t>
        </is>
      </c>
      <c r="J157" t="inlineStr">
        <is>
          <t>Zoya Ahmed</t>
        </is>
      </c>
      <c r="K157" s="70" t="n">
        <v>504</v>
      </c>
      <c r="L157" s="71" t="n">
        <v>993.1</v>
      </c>
      <c r="M157" s="71" t="n">
        <v>500522.4</v>
      </c>
      <c r="N157" s="71" t="n">
        <v>75078.36</v>
      </c>
      <c r="O157" s="71" t="n">
        <v>425444.04</v>
      </c>
      <c r="P157" s="71" t="n">
        <v>142081.78</v>
      </c>
      <c r="Q157" s="71" t="n">
        <v>283362.26</v>
      </c>
      <c r="R157" t="inlineStr">
        <is>
          <t>Antiviral</t>
        </is>
      </c>
      <c r="S157" s="70" t="n">
        <v>464</v>
      </c>
      <c r="T157" s="71" t="n">
        <v>68017.87</v>
      </c>
      <c r="U157" t="inlineStr">
        <is>
          <t>Low</t>
        </is>
      </c>
      <c r="V157">
        <f>IF(AND(OR(Dashboard!$C$6="All",E157=Dashboard!$C$6),OR(Dashboard!$F$6="All",G157=Dashboard!$F$6),OR(Dashboard!$I$6="All",H157=Dashboard!$I$6)),1,0)</f>
        <v/>
      </c>
    </row>
    <row r="158">
      <c r="A158" t="inlineStr">
        <is>
          <t>PF100149</t>
        </is>
      </c>
      <c r="B158" s="68" t="n">
        <v>45675</v>
      </c>
      <c r="C158" s="69" t="n">
        <v>2025</v>
      </c>
      <c r="D158" t="inlineStr">
        <is>
          <t>Jan</t>
        </is>
      </c>
      <c r="E158" t="inlineStr">
        <is>
          <t>International developed</t>
        </is>
      </c>
      <c r="F158" t="inlineStr">
        <is>
          <t>Australia</t>
        </is>
      </c>
      <c r="G158" t="inlineStr">
        <is>
          <t>Comirnaty</t>
        </is>
      </c>
      <c r="H158" t="inlineStr">
        <is>
          <t>Hospital</t>
        </is>
      </c>
      <c r="I158" t="inlineStr">
        <is>
          <t>Private insurer</t>
        </is>
      </c>
      <c r="J158" t="inlineStr">
        <is>
          <t>Wei Chen</t>
        </is>
      </c>
      <c r="K158" s="70" t="n">
        <v>1412</v>
      </c>
      <c r="L158" s="71" t="n">
        <v>118.72</v>
      </c>
      <c r="M158" s="71" t="n">
        <v>167632.64</v>
      </c>
      <c r="N158" s="71" t="n">
        <v>16763.26</v>
      </c>
      <c r="O158" s="71" t="n">
        <v>150869.38</v>
      </c>
      <c r="P158" s="71" t="n">
        <v>54410.71</v>
      </c>
      <c r="Q158" s="71" t="n">
        <v>96458.67</v>
      </c>
      <c r="R158" t="inlineStr">
        <is>
          <t>Vaccines</t>
        </is>
      </c>
      <c r="S158" s="70" t="n">
        <v>1259</v>
      </c>
      <c r="T158" s="71" t="n">
        <v>22284.5</v>
      </c>
      <c r="U158" t="inlineStr">
        <is>
          <t>Low</t>
        </is>
      </c>
      <c r="V158">
        <f>IF(AND(OR(Dashboard!$C$6="All",E158=Dashboard!$C$6),OR(Dashboard!$F$6="All",G158=Dashboard!$F$6),OR(Dashboard!$I$6="All",H158=Dashboard!$I$6)),1,0)</f>
        <v/>
      </c>
    </row>
    <row r="159">
      <c r="A159" t="inlineStr">
        <is>
          <t>PF100150</t>
        </is>
      </c>
      <c r="B159" s="68" t="n">
        <v>45675</v>
      </c>
      <c r="C159" s="69" t="n">
        <v>2025</v>
      </c>
      <c r="D159" t="inlineStr">
        <is>
          <t>Jan</t>
        </is>
      </c>
      <c r="E159" t="inlineStr">
        <is>
          <t>Emerging markets</t>
        </is>
      </c>
      <c r="F159" t="inlineStr">
        <is>
          <t>Brazil</t>
        </is>
      </c>
      <c r="G159" t="inlineStr">
        <is>
          <t>Prevnar 20</t>
        </is>
      </c>
      <c r="H159" t="inlineStr">
        <is>
          <t>Government / tender</t>
        </is>
      </c>
      <c r="I159" t="inlineStr">
        <is>
          <t>Public payer</t>
        </is>
      </c>
      <c r="J159" t="inlineStr">
        <is>
          <t>Ana Costa</t>
        </is>
      </c>
      <c r="K159" s="70" t="n">
        <v>2057</v>
      </c>
      <c r="L159" s="71" t="n">
        <v>250.74</v>
      </c>
      <c r="M159" s="71" t="n">
        <v>515772.18</v>
      </c>
      <c r="N159" s="71" t="n">
        <v>128943.04</v>
      </c>
      <c r="O159" s="71" t="n">
        <v>386829.14</v>
      </c>
      <c r="P159" s="71" t="n">
        <v>141725.43</v>
      </c>
      <c r="Q159" s="71" t="n">
        <v>245103.71</v>
      </c>
      <c r="R159" t="inlineStr">
        <is>
          <t>Vaccines</t>
        </is>
      </c>
      <c r="S159" s="70" t="n">
        <v>1419</v>
      </c>
      <c r="T159" s="71" t="n">
        <v>75255.69</v>
      </c>
      <c r="U159" t="inlineStr">
        <is>
          <t>Low</t>
        </is>
      </c>
      <c r="V159">
        <f>IF(AND(OR(Dashboard!$C$6="All",E159=Dashboard!$C$6),OR(Dashboard!$F$6="All",G159=Dashboard!$F$6),OR(Dashboard!$I$6="All",H159=Dashboard!$I$6)),1,0)</f>
        <v/>
      </c>
    </row>
    <row r="160">
      <c r="A160" t="inlineStr">
        <is>
          <t>PF100151</t>
        </is>
      </c>
      <c r="B160" s="68" t="n">
        <v>45675</v>
      </c>
      <c r="C160" s="69" t="n">
        <v>2025</v>
      </c>
      <c r="D160" t="inlineStr">
        <is>
          <t>Jan</t>
        </is>
      </c>
      <c r="E160" t="inlineStr">
        <is>
          <t>Europe</t>
        </is>
      </c>
      <c r="F160" t="inlineStr">
        <is>
          <t>France</t>
        </is>
      </c>
      <c r="G160" t="inlineStr">
        <is>
          <t>Eliquis</t>
        </is>
      </c>
      <c r="H160" t="inlineStr">
        <is>
          <t>Retail pharmacy</t>
        </is>
      </c>
      <c r="I160" t="inlineStr">
        <is>
          <t>Private insurer</t>
        </is>
      </c>
      <c r="J160" t="inlineStr">
        <is>
          <t>Wei Chen</t>
        </is>
      </c>
      <c r="K160" s="70" t="n">
        <v>1772</v>
      </c>
      <c r="L160" s="71" t="n">
        <v>395.98</v>
      </c>
      <c r="M160" s="71" t="n">
        <v>701676.5600000001</v>
      </c>
      <c r="N160" s="71" t="n">
        <v>140335.31</v>
      </c>
      <c r="O160" s="71" t="n">
        <v>561341.25</v>
      </c>
      <c r="P160" s="71" t="n">
        <v>136600.25</v>
      </c>
      <c r="Q160" s="71" t="n">
        <v>424741</v>
      </c>
      <c r="R160" t="inlineStr">
        <is>
          <t>Cardiology</t>
        </is>
      </c>
      <c r="S160" s="70" t="n">
        <v>1766</v>
      </c>
      <c r="T160" s="71" t="n">
        <v>151880.63</v>
      </c>
      <c r="U160" t="inlineStr">
        <is>
          <t>High</t>
        </is>
      </c>
      <c r="V160">
        <f>IF(AND(OR(Dashboard!$C$6="All",E160=Dashboard!$C$6),OR(Dashboard!$F$6="All",G160=Dashboard!$F$6),OR(Dashboard!$I$6="All",H160=Dashboard!$I$6)),1,0)</f>
        <v/>
      </c>
    </row>
    <row r="161">
      <c r="A161" t="inlineStr">
        <is>
          <t>PF100152</t>
        </is>
      </c>
      <c r="B161" s="68" t="n">
        <v>45675</v>
      </c>
      <c r="C161" s="69" t="n">
        <v>2025</v>
      </c>
      <c r="D161" t="inlineStr">
        <is>
          <t>Jan</t>
        </is>
      </c>
      <c r="E161" t="inlineStr">
        <is>
          <t>United States</t>
        </is>
      </c>
      <c r="F161" t="inlineStr">
        <is>
          <t>USA</t>
        </is>
      </c>
      <c r="G161" t="inlineStr">
        <is>
          <t>Ibrance</t>
        </is>
      </c>
      <c r="H161" t="inlineStr">
        <is>
          <t>Retail pharmacy</t>
        </is>
      </c>
      <c r="I161" t="inlineStr">
        <is>
          <t>Private insurer</t>
        </is>
      </c>
      <c r="J161" t="inlineStr">
        <is>
          <t>Yuki Sato</t>
        </is>
      </c>
      <c r="K161" s="70" t="n">
        <v>1032</v>
      </c>
      <c r="L161" s="71" t="n">
        <v>4326.85</v>
      </c>
      <c r="M161" s="71" t="n">
        <v>4465309.2</v>
      </c>
      <c r="N161" s="71" t="n">
        <v>1116327.3</v>
      </c>
      <c r="O161" s="71" t="n">
        <v>3348981.9</v>
      </c>
      <c r="P161" s="71" t="n">
        <v>437270.5</v>
      </c>
      <c r="Q161" s="71" t="n">
        <v>2911711.4</v>
      </c>
      <c r="R161" t="inlineStr">
        <is>
          <t>Oncology</t>
        </is>
      </c>
      <c r="S161" s="70" t="n">
        <v>824</v>
      </c>
      <c r="T161" s="71" t="n">
        <v>723894.79</v>
      </c>
      <c r="U161" t="inlineStr">
        <is>
          <t>High</t>
        </is>
      </c>
      <c r="V161">
        <f>IF(AND(OR(Dashboard!$C$6="All",E161=Dashboard!$C$6),OR(Dashboard!$F$6="All",G161=Dashboard!$F$6),OR(Dashboard!$I$6="All",H161=Dashboard!$I$6)),1,0)</f>
        <v/>
      </c>
    </row>
    <row r="162">
      <c r="A162" t="inlineStr">
        <is>
          <t>PF100153</t>
        </is>
      </c>
      <c r="B162" s="68" t="n">
        <v>45675</v>
      </c>
      <c r="C162" s="69" t="n">
        <v>2025</v>
      </c>
      <c r="D162" t="inlineStr">
        <is>
          <t>Jan</t>
        </is>
      </c>
      <c r="E162" t="inlineStr">
        <is>
          <t>United States</t>
        </is>
      </c>
      <c r="F162" t="inlineStr">
        <is>
          <t>USA</t>
        </is>
      </c>
      <c r="G162" t="inlineStr">
        <is>
          <t>Eliquis</t>
        </is>
      </c>
      <c r="H162" t="inlineStr">
        <is>
          <t>Retail pharmacy</t>
        </is>
      </c>
      <c r="I162" t="inlineStr">
        <is>
          <t>Private insurer</t>
        </is>
      </c>
      <c r="J162" t="inlineStr">
        <is>
          <t>Lucas Martin</t>
        </is>
      </c>
      <c r="K162" s="70" t="n">
        <v>960</v>
      </c>
      <c r="L162" s="71" t="n">
        <v>693.09</v>
      </c>
      <c r="M162" s="71" t="n">
        <v>665366.4</v>
      </c>
      <c r="N162" s="71" t="n">
        <v>133073.28</v>
      </c>
      <c r="O162" s="71" t="n">
        <v>532293.12</v>
      </c>
      <c r="P162" s="71" t="n">
        <v>72811.69</v>
      </c>
      <c r="Q162" s="71" t="n">
        <v>459481.43</v>
      </c>
      <c r="R162" t="inlineStr">
        <is>
          <t>Cardiology</t>
        </is>
      </c>
      <c r="S162" s="70" t="n">
        <v>819</v>
      </c>
      <c r="T162" s="71" t="n">
        <v>134340.8</v>
      </c>
      <c r="U162" t="inlineStr">
        <is>
          <t>High</t>
        </is>
      </c>
      <c r="V162">
        <f>IF(AND(OR(Dashboard!$C$6="All",E162=Dashboard!$C$6),OR(Dashboard!$F$6="All",G162=Dashboard!$F$6),OR(Dashboard!$I$6="All",H162=Dashboard!$I$6)),1,0)</f>
        <v/>
      </c>
    </row>
    <row r="163">
      <c r="A163" t="inlineStr">
        <is>
          <t>PF100154</t>
        </is>
      </c>
      <c r="B163" s="68" t="n">
        <v>45675</v>
      </c>
      <c r="C163" s="69" t="n">
        <v>2025</v>
      </c>
      <c r="D163" t="inlineStr">
        <is>
          <t>Jan</t>
        </is>
      </c>
      <c r="E163" t="inlineStr">
        <is>
          <t>United States</t>
        </is>
      </c>
      <c r="F163" t="inlineStr">
        <is>
          <t>USA</t>
        </is>
      </c>
      <c r="G163" t="inlineStr">
        <is>
          <t>Ibrance</t>
        </is>
      </c>
      <c r="H163" t="inlineStr">
        <is>
          <t>Hospital</t>
        </is>
      </c>
      <c r="I163" t="inlineStr">
        <is>
          <t>Public payer</t>
        </is>
      </c>
      <c r="J163" t="inlineStr">
        <is>
          <t>Priya Nair</t>
        </is>
      </c>
      <c r="K163" s="70" t="n">
        <v>866</v>
      </c>
      <c r="L163" s="71" t="n">
        <v>4490.96</v>
      </c>
      <c r="M163" s="71" t="n">
        <v>3889171.36</v>
      </c>
      <c r="N163" s="71" t="n">
        <v>972292.84</v>
      </c>
      <c r="O163" s="71" t="n">
        <v>2916878.52</v>
      </c>
      <c r="P163" s="71" t="n">
        <v>386021.38</v>
      </c>
      <c r="Q163" s="71" t="n">
        <v>2530857.14</v>
      </c>
      <c r="R163" t="inlineStr">
        <is>
          <t>Oncology</t>
        </is>
      </c>
      <c r="S163" s="70" t="n">
        <v>775</v>
      </c>
      <c r="T163" s="71" t="n">
        <v>530207.87</v>
      </c>
      <c r="U163" t="inlineStr">
        <is>
          <t>High</t>
        </is>
      </c>
      <c r="V163">
        <f>IF(AND(OR(Dashboard!$C$6="All",E163=Dashboard!$C$6),OR(Dashboard!$F$6="All",G163=Dashboard!$F$6),OR(Dashboard!$I$6="All",H163=Dashboard!$I$6)),1,0)</f>
        <v/>
      </c>
    </row>
    <row r="164">
      <c r="A164" t="inlineStr">
        <is>
          <t>PF100155</t>
        </is>
      </c>
      <c r="B164" s="68" t="n">
        <v>45675</v>
      </c>
      <c r="C164" s="69" t="n">
        <v>2025</v>
      </c>
      <c r="D164" t="inlineStr">
        <is>
          <t>Jan</t>
        </is>
      </c>
      <c r="E164" t="inlineStr">
        <is>
          <t>Europe</t>
        </is>
      </c>
      <c r="F164" t="inlineStr">
        <is>
          <t>UK</t>
        </is>
      </c>
      <c r="G164" t="inlineStr">
        <is>
          <t>Comirnaty</t>
        </is>
      </c>
      <c r="H164" t="inlineStr">
        <is>
          <t>Retail pharmacy</t>
        </is>
      </c>
      <c r="I164" t="inlineStr">
        <is>
          <t>Private insurer</t>
        </is>
      </c>
      <c r="J164" t="inlineStr">
        <is>
          <t>Amir Khan</t>
        </is>
      </c>
      <c r="K164" s="70" t="n">
        <v>1788</v>
      </c>
      <c r="L164" s="71" t="n">
        <v>109.83</v>
      </c>
      <c r="M164" s="71" t="n">
        <v>196376.04</v>
      </c>
      <c r="N164" s="71" t="n">
        <v>49094.01</v>
      </c>
      <c r="O164" s="71" t="n">
        <v>147282.03</v>
      </c>
      <c r="P164" s="71" t="n">
        <v>67065.85000000001</v>
      </c>
      <c r="Q164" s="71" t="n">
        <v>80216.17999999999</v>
      </c>
      <c r="R164" t="inlineStr">
        <is>
          <t>Vaccines</t>
        </is>
      </c>
      <c r="S164" s="70" t="n">
        <v>1289</v>
      </c>
      <c r="T164" s="71" t="n">
        <v>41279.02</v>
      </c>
      <c r="U164" t="inlineStr">
        <is>
          <t>Low</t>
        </is>
      </c>
      <c r="V164">
        <f>IF(AND(OR(Dashboard!$C$6="All",E164=Dashboard!$C$6),OR(Dashboard!$F$6="All",G164=Dashboard!$F$6),OR(Dashboard!$I$6="All",H164=Dashboard!$I$6)),1,0)</f>
        <v/>
      </c>
    </row>
    <row r="165">
      <c r="A165" t="inlineStr">
        <is>
          <t>PF100156</t>
        </is>
      </c>
      <c r="B165" s="68" t="n">
        <v>45675</v>
      </c>
      <c r="C165" s="69" t="n">
        <v>2025</v>
      </c>
      <c r="D165" t="inlineStr">
        <is>
          <t>Jan</t>
        </is>
      </c>
      <c r="E165" t="inlineStr">
        <is>
          <t>Emerging markets</t>
        </is>
      </c>
      <c r="F165" t="inlineStr">
        <is>
          <t>Mexico</t>
        </is>
      </c>
      <c r="G165" t="inlineStr">
        <is>
          <t>Vyndaqel</t>
        </is>
      </c>
      <c r="H165" t="inlineStr">
        <is>
          <t>Hospital</t>
        </is>
      </c>
      <c r="I165" t="inlineStr">
        <is>
          <t>Public payer</t>
        </is>
      </c>
      <c r="J165" t="inlineStr">
        <is>
          <t>Priya Nair</t>
        </is>
      </c>
      <c r="K165" s="70" t="n">
        <v>1550</v>
      </c>
      <c r="L165" s="71" t="n">
        <v>4691.35</v>
      </c>
      <c r="M165" s="71" t="n">
        <v>7271592.5</v>
      </c>
      <c r="N165" s="71" t="n">
        <v>1454318.5</v>
      </c>
      <c r="O165" s="71" t="n">
        <v>5817274</v>
      </c>
      <c r="P165" s="71" t="n">
        <v>984785.67</v>
      </c>
      <c r="Q165" s="71" t="n">
        <v>4832488.33</v>
      </c>
      <c r="R165" t="inlineStr">
        <is>
          <t>Rare disease</t>
        </is>
      </c>
      <c r="S165" s="70" t="n">
        <v>1476</v>
      </c>
      <c r="T165" s="71" t="n">
        <v>1591121.66</v>
      </c>
      <c r="U165" t="inlineStr">
        <is>
          <t>Medium</t>
        </is>
      </c>
      <c r="V165">
        <f>IF(AND(OR(Dashboard!$C$6="All",E165=Dashboard!$C$6),OR(Dashboard!$F$6="All",G165=Dashboard!$F$6),OR(Dashboard!$I$6="All",H165=Dashboard!$I$6)),1,0)</f>
        <v/>
      </c>
    </row>
    <row r="166">
      <c r="A166" t="inlineStr">
        <is>
          <t>PF100157</t>
        </is>
      </c>
      <c r="B166" s="68" t="n">
        <v>45676</v>
      </c>
      <c r="C166" s="69" t="n">
        <v>2025</v>
      </c>
      <c r="D166" t="inlineStr">
        <is>
          <t>Jan</t>
        </is>
      </c>
      <c r="E166" t="inlineStr">
        <is>
          <t>United States</t>
        </is>
      </c>
      <c r="F166" t="inlineStr">
        <is>
          <t>USA</t>
        </is>
      </c>
      <c r="G166" t="inlineStr">
        <is>
          <t>Abrysvo</t>
        </is>
      </c>
      <c r="H166" t="inlineStr">
        <is>
          <t>Government / tender</t>
        </is>
      </c>
      <c r="I166" t="inlineStr">
        <is>
          <t>Private insurer</t>
        </is>
      </c>
      <c r="J166" t="inlineStr">
        <is>
          <t>Omar Haddad</t>
        </is>
      </c>
      <c r="K166" s="70" t="n">
        <v>1229</v>
      </c>
      <c r="L166" s="71" t="n">
        <v>468.18</v>
      </c>
      <c r="M166" s="71" t="n">
        <v>575393.22</v>
      </c>
      <c r="N166" s="71" t="n">
        <v>115078.64</v>
      </c>
      <c r="O166" s="71" t="n">
        <v>460314.58</v>
      </c>
      <c r="P166" s="71" t="n">
        <v>101483.17</v>
      </c>
      <c r="Q166" s="71" t="n">
        <v>358831.41</v>
      </c>
      <c r="R166" t="inlineStr">
        <is>
          <t>Vaccines</t>
        </is>
      </c>
      <c r="S166" s="70" t="n">
        <v>979</v>
      </c>
      <c r="T166" s="71" t="n">
        <v>112109.18</v>
      </c>
      <c r="U166" t="inlineStr">
        <is>
          <t>Low</t>
        </is>
      </c>
      <c r="V166">
        <f>IF(AND(OR(Dashboard!$C$6="All",E166=Dashboard!$C$6),OR(Dashboard!$F$6="All",G166=Dashboard!$F$6),OR(Dashboard!$I$6="All",H166=Dashboard!$I$6)),1,0)</f>
        <v/>
      </c>
    </row>
    <row r="167">
      <c r="A167" t="inlineStr">
        <is>
          <t>PF100158</t>
        </is>
      </c>
      <c r="B167" s="68" t="n">
        <v>45676</v>
      </c>
      <c r="C167" s="69" t="n">
        <v>2025</v>
      </c>
      <c r="D167" t="inlineStr">
        <is>
          <t>Jan</t>
        </is>
      </c>
      <c r="E167" t="inlineStr">
        <is>
          <t>Emerging markets</t>
        </is>
      </c>
      <c r="F167" t="inlineStr">
        <is>
          <t>India</t>
        </is>
      </c>
      <c r="G167" t="inlineStr">
        <is>
          <t>Eliquis</t>
        </is>
      </c>
      <c r="H167" t="inlineStr">
        <is>
          <t>Government / tender</t>
        </is>
      </c>
      <c r="I167" t="inlineStr">
        <is>
          <t>Self-pay</t>
        </is>
      </c>
      <c r="J167" t="inlineStr">
        <is>
          <t>Ravindra Patil</t>
        </is>
      </c>
      <c r="K167" s="70" t="n">
        <v>170</v>
      </c>
      <c r="L167" s="71" t="n">
        <v>447.7</v>
      </c>
      <c r="M167" s="71" t="n">
        <v>76109</v>
      </c>
      <c r="N167" s="71" t="n">
        <v>15221.8</v>
      </c>
      <c r="O167" s="71" t="n">
        <v>60887.2</v>
      </c>
      <c r="P167" s="71" t="n">
        <v>12441.65</v>
      </c>
      <c r="Q167" s="71" t="n">
        <v>48445.55</v>
      </c>
      <c r="R167" t="inlineStr">
        <is>
          <t>Cardiology</t>
        </is>
      </c>
      <c r="S167" s="70" t="n">
        <v>129</v>
      </c>
      <c r="T167" s="71" t="n">
        <v>12761.46</v>
      </c>
      <c r="U167" t="inlineStr">
        <is>
          <t>High</t>
        </is>
      </c>
      <c r="V167">
        <f>IF(AND(OR(Dashboard!$C$6="All",E167=Dashboard!$C$6),OR(Dashboard!$F$6="All",G167=Dashboard!$F$6),OR(Dashboard!$I$6="All",H167=Dashboard!$I$6)),1,0)</f>
        <v/>
      </c>
    </row>
    <row r="168">
      <c r="A168" t="inlineStr">
        <is>
          <t>PF100159</t>
        </is>
      </c>
      <c r="B168" s="68" t="n">
        <v>45676</v>
      </c>
      <c r="C168" s="69" t="n">
        <v>2025</v>
      </c>
      <c r="D168" t="inlineStr">
        <is>
          <t>Jan</t>
        </is>
      </c>
      <c r="E168" t="inlineStr">
        <is>
          <t>Emerging markets</t>
        </is>
      </c>
      <c r="F168" t="inlineStr">
        <is>
          <t>India</t>
        </is>
      </c>
      <c r="G168" t="inlineStr">
        <is>
          <t>Eliquis</t>
        </is>
      </c>
      <c r="H168" t="inlineStr">
        <is>
          <t>Retail pharmacy</t>
        </is>
      </c>
      <c r="I168" t="inlineStr">
        <is>
          <t>Private insurer</t>
        </is>
      </c>
      <c r="J168" t="inlineStr">
        <is>
          <t>Yuki Sato</t>
        </is>
      </c>
      <c r="K168" s="70" t="n">
        <v>1683</v>
      </c>
      <c r="L168" s="71" t="n">
        <v>389.96</v>
      </c>
      <c r="M168" s="71" t="n">
        <v>656302.6800000001</v>
      </c>
      <c r="N168" s="71" t="n">
        <v>65630.27</v>
      </c>
      <c r="O168" s="71" t="n">
        <v>590672.41</v>
      </c>
      <c r="P168" s="71" t="n">
        <v>123667.42</v>
      </c>
      <c r="Q168" s="71" t="n">
        <v>467004.99</v>
      </c>
      <c r="R168" t="inlineStr">
        <is>
          <t>Cardiology</t>
        </is>
      </c>
      <c r="S168" s="70" t="n">
        <v>1095</v>
      </c>
      <c r="T168" s="71" t="n">
        <v>99521.46000000001</v>
      </c>
      <c r="U168" t="inlineStr">
        <is>
          <t>High</t>
        </is>
      </c>
      <c r="V168">
        <f>IF(AND(OR(Dashboard!$C$6="All",E168=Dashboard!$C$6),OR(Dashboard!$F$6="All",G168=Dashboard!$F$6),OR(Dashboard!$I$6="All",H168=Dashboard!$I$6)),1,0)</f>
        <v/>
      </c>
    </row>
    <row r="169">
      <c r="A169" t="inlineStr">
        <is>
          <t>PF100160</t>
        </is>
      </c>
      <c r="B169" s="68" t="n">
        <v>45676</v>
      </c>
      <c r="C169" s="69" t="n">
        <v>2025</v>
      </c>
      <c r="D169" t="inlineStr">
        <is>
          <t>Jan</t>
        </is>
      </c>
      <c r="E169" t="inlineStr">
        <is>
          <t>International developed</t>
        </is>
      </c>
      <c r="F169" t="inlineStr">
        <is>
          <t>Canada</t>
        </is>
      </c>
      <c r="G169" t="inlineStr">
        <is>
          <t>Comirnaty</t>
        </is>
      </c>
      <c r="H169" t="inlineStr">
        <is>
          <t>Retail pharmacy</t>
        </is>
      </c>
      <c r="I169" t="inlineStr">
        <is>
          <t>Public payer</t>
        </is>
      </c>
      <c r="J169" t="inlineStr">
        <is>
          <t>Fatima Al-Saud</t>
        </is>
      </c>
      <c r="K169" s="70" t="n">
        <v>1700</v>
      </c>
      <c r="L169" s="71" t="n">
        <v>102.36</v>
      </c>
      <c r="M169" s="71" t="n">
        <v>174012</v>
      </c>
      <c r="N169" s="71" t="n">
        <v>17401.2</v>
      </c>
      <c r="O169" s="71" t="n">
        <v>156610.8</v>
      </c>
      <c r="P169" s="71" t="n">
        <v>66831.62</v>
      </c>
      <c r="Q169" s="71" t="n">
        <v>89779.17999999999</v>
      </c>
      <c r="R169" t="inlineStr">
        <is>
          <t>Vaccines</t>
        </is>
      </c>
      <c r="S169" s="70" t="n">
        <v>1466</v>
      </c>
      <c r="T169" s="71" t="n">
        <v>24416.09</v>
      </c>
      <c r="U169" t="inlineStr">
        <is>
          <t>Low</t>
        </is>
      </c>
      <c r="V169">
        <f>IF(AND(OR(Dashboard!$C$6="All",E169=Dashboard!$C$6),OR(Dashboard!$F$6="All",G169=Dashboard!$F$6),OR(Dashboard!$I$6="All",H169=Dashboard!$I$6)),1,0)</f>
        <v/>
      </c>
    </row>
    <row r="170">
      <c r="A170" t="inlineStr">
        <is>
          <t>PF100161</t>
        </is>
      </c>
      <c r="B170" s="68" t="n">
        <v>45676</v>
      </c>
      <c r="C170" s="69" t="n">
        <v>2025</v>
      </c>
      <c r="D170" t="inlineStr">
        <is>
          <t>Jan</t>
        </is>
      </c>
      <c r="E170" t="inlineStr">
        <is>
          <t>Europe</t>
        </is>
      </c>
      <c r="F170" t="inlineStr">
        <is>
          <t>UK</t>
        </is>
      </c>
      <c r="G170" t="inlineStr">
        <is>
          <t>Paxlovid</t>
        </is>
      </c>
      <c r="H170" t="inlineStr">
        <is>
          <t>Retail pharmacy</t>
        </is>
      </c>
      <c r="I170" t="inlineStr">
        <is>
          <t>Private insurer</t>
        </is>
      </c>
      <c r="J170" t="inlineStr">
        <is>
          <t>Ruhi Shaikh</t>
        </is>
      </c>
      <c r="K170" s="70" t="n">
        <v>739</v>
      </c>
      <c r="L170" s="71" t="n">
        <v>1053.38</v>
      </c>
      <c r="M170" s="71" t="n">
        <v>778447.8199999999</v>
      </c>
      <c r="N170" s="71" t="n">
        <v>77844.78</v>
      </c>
      <c r="O170" s="71" t="n">
        <v>700603.04</v>
      </c>
      <c r="P170" s="71" t="n">
        <v>198413.01</v>
      </c>
      <c r="Q170" s="71" t="n">
        <v>502190.03</v>
      </c>
      <c r="R170" t="inlineStr">
        <is>
          <t>Antiviral</t>
        </is>
      </c>
      <c r="S170" s="70" t="n">
        <v>706</v>
      </c>
      <c r="T170" s="71" t="n">
        <v>166473.07</v>
      </c>
      <c r="U170" t="inlineStr">
        <is>
          <t>Low</t>
        </is>
      </c>
      <c r="V170">
        <f>IF(AND(OR(Dashboard!$C$6="All",E170=Dashboard!$C$6),OR(Dashboard!$F$6="All",G170=Dashboard!$F$6),OR(Dashboard!$I$6="All",H170=Dashboard!$I$6)),1,0)</f>
        <v/>
      </c>
    </row>
    <row r="171">
      <c r="A171" t="inlineStr">
        <is>
          <t>PF100162</t>
        </is>
      </c>
      <c r="B171" s="68" t="n">
        <v>45676</v>
      </c>
      <c r="C171" s="69" t="n">
        <v>2025</v>
      </c>
      <c r="D171" t="inlineStr">
        <is>
          <t>Jan</t>
        </is>
      </c>
      <c r="E171" t="inlineStr">
        <is>
          <t>Europe</t>
        </is>
      </c>
      <c r="F171" t="inlineStr">
        <is>
          <t>Italy</t>
        </is>
      </c>
      <c r="G171" t="inlineStr">
        <is>
          <t>Prevnar 20</t>
        </is>
      </c>
      <c r="H171" t="inlineStr">
        <is>
          <t>Hospital</t>
        </is>
      </c>
      <c r="I171" t="inlineStr">
        <is>
          <t>Private insurer</t>
        </is>
      </c>
      <c r="J171" t="inlineStr">
        <is>
          <t>Aisha Bello</t>
        </is>
      </c>
      <c r="K171" s="70" t="n">
        <v>1411</v>
      </c>
      <c r="L171" s="71" t="n">
        <v>249.63</v>
      </c>
      <c r="M171" s="71" t="n">
        <v>352227.93</v>
      </c>
      <c r="N171" s="71" t="n">
        <v>70445.59</v>
      </c>
      <c r="O171" s="71" t="n">
        <v>281782.34</v>
      </c>
      <c r="P171" s="71" t="n">
        <v>96924.45</v>
      </c>
      <c r="Q171" s="71" t="n">
        <v>184857.89</v>
      </c>
      <c r="R171" t="inlineStr">
        <is>
          <t>Vaccines</t>
        </is>
      </c>
      <c r="S171" s="70" t="n">
        <v>1345</v>
      </c>
      <c r="T171" s="71" t="n">
        <v>70062.24000000001</v>
      </c>
      <c r="U171" t="inlineStr">
        <is>
          <t>Low</t>
        </is>
      </c>
      <c r="V171">
        <f>IF(AND(OR(Dashboard!$C$6="All",E171=Dashboard!$C$6),OR(Dashboard!$F$6="All",G171=Dashboard!$F$6),OR(Dashboard!$I$6="All",H171=Dashboard!$I$6)),1,0)</f>
        <v/>
      </c>
    </row>
    <row r="172">
      <c r="A172" t="inlineStr">
        <is>
          <t>PF100163</t>
        </is>
      </c>
      <c r="B172" s="68" t="n">
        <v>45676</v>
      </c>
      <c r="C172" s="69" t="n">
        <v>2025</v>
      </c>
      <c r="D172" t="inlineStr">
        <is>
          <t>Jan</t>
        </is>
      </c>
      <c r="E172" t="inlineStr">
        <is>
          <t>Europe</t>
        </is>
      </c>
      <c r="F172" t="inlineStr">
        <is>
          <t>UK</t>
        </is>
      </c>
      <c r="G172" t="inlineStr">
        <is>
          <t>Ibrance</t>
        </is>
      </c>
      <c r="H172" t="inlineStr">
        <is>
          <t>Retail pharmacy</t>
        </is>
      </c>
      <c r="I172" t="inlineStr">
        <is>
          <t>Private insurer</t>
        </is>
      </c>
      <c r="J172" t="inlineStr">
        <is>
          <t>Sophie Müller</t>
        </is>
      </c>
      <c r="K172" s="70" t="n">
        <v>2299</v>
      </c>
      <c r="L172" s="71" t="n">
        <v>2936.67</v>
      </c>
      <c r="M172" s="71" t="n">
        <v>6751404.33</v>
      </c>
      <c r="N172" s="71" t="n">
        <v>1350280.87</v>
      </c>
      <c r="O172" s="71" t="n">
        <v>5401123.46</v>
      </c>
      <c r="P172" s="71" t="n">
        <v>1037993.82</v>
      </c>
      <c r="Q172" s="71" t="n">
        <v>4363129.64</v>
      </c>
      <c r="R172" t="inlineStr">
        <is>
          <t>Oncology</t>
        </is>
      </c>
      <c r="S172" s="70" t="n">
        <v>2091</v>
      </c>
      <c r="T172" s="71" t="n">
        <v>1116284.08</v>
      </c>
      <c r="U172" t="inlineStr">
        <is>
          <t>High</t>
        </is>
      </c>
      <c r="V172">
        <f>IF(AND(OR(Dashboard!$C$6="All",E172=Dashboard!$C$6),OR(Dashboard!$F$6="All",G172=Dashboard!$F$6),OR(Dashboard!$I$6="All",H172=Dashboard!$I$6)),1,0)</f>
        <v/>
      </c>
    </row>
    <row r="173">
      <c r="A173" t="inlineStr">
        <is>
          <t>PF100164</t>
        </is>
      </c>
      <c r="B173" s="68" t="n">
        <v>45676</v>
      </c>
      <c r="C173" s="69" t="n">
        <v>2025</v>
      </c>
      <c r="D173" t="inlineStr">
        <is>
          <t>Jan</t>
        </is>
      </c>
      <c r="E173" t="inlineStr">
        <is>
          <t>United States</t>
        </is>
      </c>
      <c r="F173" t="inlineStr">
        <is>
          <t>USA</t>
        </is>
      </c>
      <c r="G173" t="inlineStr">
        <is>
          <t>Vyndaqel</t>
        </is>
      </c>
      <c r="H173" t="inlineStr">
        <is>
          <t>Retail pharmacy</t>
        </is>
      </c>
      <c r="I173" t="inlineStr">
        <is>
          <t>Private insurer</t>
        </is>
      </c>
      <c r="J173" t="inlineStr">
        <is>
          <t>Priya Nair</t>
        </is>
      </c>
      <c r="K173" s="70" t="n">
        <v>96</v>
      </c>
      <c r="L173" s="71" t="n">
        <v>8661.07</v>
      </c>
      <c r="M173" s="71" t="n">
        <v>831462.72</v>
      </c>
      <c r="N173" s="71" t="n">
        <v>166292.54</v>
      </c>
      <c r="O173" s="71" t="n">
        <v>665170.1800000001</v>
      </c>
      <c r="P173" s="71" t="n">
        <v>60472.41</v>
      </c>
      <c r="Q173" s="71" t="n">
        <v>604697.77</v>
      </c>
      <c r="R173" t="inlineStr">
        <is>
          <t>Rare disease</t>
        </is>
      </c>
      <c r="S173" s="70" t="n">
        <v>60</v>
      </c>
      <c r="T173" s="71" t="n">
        <v>115583.2</v>
      </c>
      <c r="U173" t="inlineStr">
        <is>
          <t>Medium</t>
        </is>
      </c>
      <c r="V173">
        <f>IF(AND(OR(Dashboard!$C$6="All",E173=Dashboard!$C$6),OR(Dashboard!$F$6="All",G173=Dashboard!$F$6),OR(Dashboard!$I$6="All",H173=Dashboard!$I$6)),1,0)</f>
        <v/>
      </c>
    </row>
    <row r="174">
      <c r="A174" t="inlineStr">
        <is>
          <t>PF100165</t>
        </is>
      </c>
      <c r="B174" s="68" t="n">
        <v>45676</v>
      </c>
      <c r="C174" s="69" t="n">
        <v>2025</v>
      </c>
      <c r="D174" t="inlineStr">
        <is>
          <t>Jan</t>
        </is>
      </c>
      <c r="E174" t="inlineStr">
        <is>
          <t>United States</t>
        </is>
      </c>
      <c r="F174" t="inlineStr">
        <is>
          <t>USA</t>
        </is>
      </c>
      <c r="G174" t="inlineStr">
        <is>
          <t>Paxlovid</t>
        </is>
      </c>
      <c r="H174" t="inlineStr">
        <is>
          <t>Hospital</t>
        </is>
      </c>
      <c r="I174" t="inlineStr">
        <is>
          <t>Public payer</t>
        </is>
      </c>
      <c r="J174" t="inlineStr">
        <is>
          <t>Arjun Mehta</t>
        </is>
      </c>
      <c r="K174" s="70" t="n">
        <v>2000</v>
      </c>
      <c r="L174" s="71" t="n">
        <v>1585.25</v>
      </c>
      <c r="M174" s="71" t="n">
        <v>3170500</v>
      </c>
      <c r="N174" s="71" t="n">
        <v>634100</v>
      </c>
      <c r="O174" s="71" t="n">
        <v>2536400</v>
      </c>
      <c r="P174" s="71" t="n">
        <v>563652.59</v>
      </c>
      <c r="Q174" s="71" t="n">
        <v>1972747.41</v>
      </c>
      <c r="R174" t="inlineStr">
        <is>
          <t>Antiviral</t>
        </is>
      </c>
      <c r="S174" s="70" t="n">
        <v>1297</v>
      </c>
      <c r="T174" s="71" t="n">
        <v>662596.47</v>
      </c>
      <c r="U174" t="inlineStr">
        <is>
          <t>Low</t>
        </is>
      </c>
      <c r="V174">
        <f>IF(AND(OR(Dashboard!$C$6="All",E174=Dashboard!$C$6),OR(Dashboard!$F$6="All",G174=Dashboard!$F$6),OR(Dashboard!$I$6="All",H174=Dashboard!$I$6)),1,0)</f>
        <v/>
      </c>
    </row>
    <row r="175">
      <c r="A175" t="inlineStr">
        <is>
          <t>PF100166</t>
        </is>
      </c>
      <c r="B175" s="68" t="n">
        <v>45676</v>
      </c>
      <c r="C175" s="69" t="n">
        <v>2025</v>
      </c>
      <c r="D175" t="inlineStr">
        <is>
          <t>Jan</t>
        </is>
      </c>
      <c r="E175" t="inlineStr">
        <is>
          <t>United States</t>
        </is>
      </c>
      <c r="F175" t="inlineStr">
        <is>
          <t>USA</t>
        </is>
      </c>
      <c r="G175" t="inlineStr">
        <is>
          <t>Comirnaty</t>
        </is>
      </c>
      <c r="H175" t="inlineStr">
        <is>
          <t>Retail pharmacy</t>
        </is>
      </c>
      <c r="I175" t="inlineStr">
        <is>
          <t>Private insurer</t>
        </is>
      </c>
      <c r="J175" t="inlineStr">
        <is>
          <t>Mei Lin</t>
        </is>
      </c>
      <c r="K175" s="70" t="n">
        <v>2635</v>
      </c>
      <c r="L175" s="71" t="n">
        <v>183.63</v>
      </c>
      <c r="M175" s="71" t="n">
        <v>483865.05</v>
      </c>
      <c r="N175" s="71" t="n">
        <v>120966.26</v>
      </c>
      <c r="O175" s="71" t="n">
        <v>362898.79</v>
      </c>
      <c r="P175" s="71" t="n">
        <v>104442.21</v>
      </c>
      <c r="Q175" s="71" t="n">
        <v>258456.58</v>
      </c>
      <c r="R175" t="inlineStr">
        <is>
          <t>Vaccines</t>
        </is>
      </c>
      <c r="S175" s="70" t="n">
        <v>2330</v>
      </c>
      <c r="T175" s="71" t="n">
        <v>101227.61</v>
      </c>
      <c r="U175" t="inlineStr">
        <is>
          <t>Low</t>
        </is>
      </c>
      <c r="V175">
        <f>IF(AND(OR(Dashboard!$C$6="All",E175=Dashboard!$C$6),OR(Dashboard!$F$6="All",G175=Dashboard!$F$6),OR(Dashboard!$I$6="All",H175=Dashboard!$I$6)),1,0)</f>
        <v/>
      </c>
    </row>
    <row r="176">
      <c r="A176" t="inlineStr">
        <is>
          <t>PF100167</t>
        </is>
      </c>
      <c r="B176" s="68" t="n">
        <v>45676</v>
      </c>
      <c r="C176" s="69" t="n">
        <v>2025</v>
      </c>
      <c r="D176" t="inlineStr">
        <is>
          <t>Jan</t>
        </is>
      </c>
      <c r="E176" t="inlineStr">
        <is>
          <t>Europe</t>
        </is>
      </c>
      <c r="F176" t="inlineStr">
        <is>
          <t>France</t>
        </is>
      </c>
      <c r="G176" t="inlineStr">
        <is>
          <t>Xeljanz</t>
        </is>
      </c>
      <c r="H176" t="inlineStr">
        <is>
          <t>Retail pharmacy</t>
        </is>
      </c>
      <c r="I176" t="inlineStr">
        <is>
          <t>Self-pay</t>
        </is>
      </c>
      <c r="J176" t="inlineStr">
        <is>
          <t>Kofi Mensah</t>
        </is>
      </c>
      <c r="K176" s="70" t="n">
        <v>1048</v>
      </c>
      <c r="L176" s="71" t="n">
        <v>1314.94</v>
      </c>
      <c r="M176" s="71" t="n">
        <v>1378057.12</v>
      </c>
      <c r="N176" s="71" t="n">
        <v>344514.28</v>
      </c>
      <c r="O176" s="71" t="n">
        <v>1033542.84</v>
      </c>
      <c r="P176" s="71" t="n">
        <v>272346.23</v>
      </c>
      <c r="Q176" s="71" t="n">
        <v>761196.61</v>
      </c>
      <c r="R176" t="inlineStr">
        <is>
          <t>Inflammation</t>
        </is>
      </c>
      <c r="S176" s="70" t="n">
        <v>700</v>
      </c>
      <c r="T176" s="71" t="n">
        <v>275099.24</v>
      </c>
      <c r="U176" t="inlineStr">
        <is>
          <t>High</t>
        </is>
      </c>
      <c r="V176">
        <f>IF(AND(OR(Dashboard!$C$6="All",E176=Dashboard!$C$6),OR(Dashboard!$F$6="All",G176=Dashboard!$F$6),OR(Dashboard!$I$6="All",H176=Dashboard!$I$6)),1,0)</f>
        <v/>
      </c>
    </row>
    <row r="177">
      <c r="A177" t="inlineStr">
        <is>
          <t>PF100168</t>
        </is>
      </c>
      <c r="B177" s="68" t="n">
        <v>45677</v>
      </c>
      <c r="C177" s="69" t="n">
        <v>2025</v>
      </c>
      <c r="D177" t="inlineStr">
        <is>
          <t>Jan</t>
        </is>
      </c>
      <c r="E177" t="inlineStr">
        <is>
          <t>United States</t>
        </is>
      </c>
      <c r="F177" t="inlineStr">
        <is>
          <t>USA</t>
        </is>
      </c>
      <c r="G177" t="inlineStr">
        <is>
          <t>Comirnaty</t>
        </is>
      </c>
      <c r="H177" t="inlineStr">
        <is>
          <t>Hospital</t>
        </is>
      </c>
      <c r="I177" t="inlineStr">
        <is>
          <t>Private insurer</t>
        </is>
      </c>
      <c r="J177" t="inlineStr">
        <is>
          <t>Sara Rossi</t>
        </is>
      </c>
      <c r="K177" s="70" t="n">
        <v>198</v>
      </c>
      <c r="L177" s="71" t="n">
        <v>160.03</v>
      </c>
      <c r="M177" s="71" t="n">
        <v>31685.94</v>
      </c>
      <c r="N177" s="71" t="n">
        <v>6337.19</v>
      </c>
      <c r="O177" s="71" t="n">
        <v>25348.75</v>
      </c>
      <c r="P177" s="71" t="n">
        <v>7727.92</v>
      </c>
      <c r="Q177" s="71" t="n">
        <v>17620.83</v>
      </c>
      <c r="R177" t="inlineStr">
        <is>
          <t>Vaccines</t>
        </is>
      </c>
      <c r="S177" s="70" t="n">
        <v>134</v>
      </c>
      <c r="T177" s="71" t="n">
        <v>5432.48</v>
      </c>
      <c r="U177" t="inlineStr">
        <is>
          <t>Low</t>
        </is>
      </c>
      <c r="V177">
        <f>IF(AND(OR(Dashboard!$C$6="All",E177=Dashboard!$C$6),OR(Dashboard!$F$6="All",G177=Dashboard!$F$6),OR(Dashboard!$I$6="All",H177=Dashboard!$I$6)),1,0)</f>
        <v/>
      </c>
    </row>
    <row r="178">
      <c r="A178" t="inlineStr">
        <is>
          <t>PF100169</t>
        </is>
      </c>
      <c r="B178" s="68" t="n">
        <v>45677</v>
      </c>
      <c r="C178" s="69" t="n">
        <v>2025</v>
      </c>
      <c r="D178" t="inlineStr">
        <is>
          <t>Jan</t>
        </is>
      </c>
      <c r="E178" t="inlineStr">
        <is>
          <t>International developed</t>
        </is>
      </c>
      <c r="F178" t="inlineStr">
        <is>
          <t>Canada</t>
        </is>
      </c>
      <c r="G178" t="inlineStr">
        <is>
          <t>Eliquis</t>
        </is>
      </c>
      <c r="H178" t="inlineStr">
        <is>
          <t>Retail pharmacy</t>
        </is>
      </c>
      <c r="I178" t="inlineStr">
        <is>
          <t>Private insurer</t>
        </is>
      </c>
      <c r="J178" t="inlineStr">
        <is>
          <t>Ravindra Patil</t>
        </is>
      </c>
      <c r="K178" s="70" t="n">
        <v>2271</v>
      </c>
      <c r="L178" s="71" t="n">
        <v>456.26</v>
      </c>
      <c r="M178" s="71" t="n">
        <v>1036166.46</v>
      </c>
      <c r="N178" s="71" t="n">
        <v>155424.97</v>
      </c>
      <c r="O178" s="71" t="n">
        <v>880741.49</v>
      </c>
      <c r="P178" s="71" t="n">
        <v>169230.57</v>
      </c>
      <c r="Q178" s="71" t="n">
        <v>711510.92</v>
      </c>
      <c r="R178" t="inlineStr">
        <is>
          <t>Cardiology</t>
        </is>
      </c>
      <c r="S178" s="70" t="n">
        <v>1692</v>
      </c>
      <c r="T178" s="71" t="n">
        <v>222401.76</v>
      </c>
      <c r="U178" t="inlineStr">
        <is>
          <t>High</t>
        </is>
      </c>
      <c r="V178">
        <f>IF(AND(OR(Dashboard!$C$6="All",E178=Dashboard!$C$6),OR(Dashboard!$F$6="All",G178=Dashboard!$F$6),OR(Dashboard!$I$6="All",H178=Dashboard!$I$6)),1,0)</f>
        <v/>
      </c>
    </row>
    <row r="179">
      <c r="A179" t="inlineStr">
        <is>
          <t>PF100170</t>
        </is>
      </c>
      <c r="B179" s="68" t="n">
        <v>45677</v>
      </c>
      <c r="C179" s="69" t="n">
        <v>2025</v>
      </c>
      <c r="D179" t="inlineStr">
        <is>
          <t>Jan</t>
        </is>
      </c>
      <c r="E179" t="inlineStr">
        <is>
          <t>Emerging markets</t>
        </is>
      </c>
      <c r="F179" t="inlineStr">
        <is>
          <t>China</t>
        </is>
      </c>
      <c r="G179" t="inlineStr">
        <is>
          <t>Comirnaty</t>
        </is>
      </c>
      <c r="H179" t="inlineStr">
        <is>
          <t>Retail pharmacy</t>
        </is>
      </c>
      <c r="I179" t="inlineStr">
        <is>
          <t>Public payer</t>
        </is>
      </c>
      <c r="J179" t="inlineStr">
        <is>
          <t>Yuki Sato</t>
        </is>
      </c>
      <c r="K179" s="70" t="n">
        <v>582</v>
      </c>
      <c r="L179" s="71" t="n">
        <v>109.82</v>
      </c>
      <c r="M179" s="71" t="n">
        <v>63915.24</v>
      </c>
      <c r="N179" s="71" t="n">
        <v>6391.52</v>
      </c>
      <c r="O179" s="71" t="n">
        <v>57523.72</v>
      </c>
      <c r="P179" s="71" t="n">
        <v>23180.36</v>
      </c>
      <c r="Q179" s="71" t="n">
        <v>34343.36</v>
      </c>
      <c r="R179" t="inlineStr">
        <is>
          <t>Vaccines</t>
        </is>
      </c>
      <c r="S179" s="70" t="n">
        <v>519</v>
      </c>
      <c r="T179" s="71" t="n">
        <v>9655.52</v>
      </c>
      <c r="U179" t="inlineStr">
        <is>
          <t>Low</t>
        </is>
      </c>
      <c r="V179">
        <f>IF(AND(OR(Dashboard!$C$6="All",E179=Dashboard!$C$6),OR(Dashboard!$F$6="All",G179=Dashboard!$F$6),OR(Dashboard!$I$6="All",H179=Dashboard!$I$6)),1,0)</f>
        <v/>
      </c>
    </row>
    <row r="180">
      <c r="A180" t="inlineStr">
        <is>
          <t>PF100171</t>
        </is>
      </c>
      <c r="B180" s="68" t="n">
        <v>45677</v>
      </c>
      <c r="C180" s="69" t="n">
        <v>2025</v>
      </c>
      <c r="D180" t="inlineStr">
        <is>
          <t>Jan</t>
        </is>
      </c>
      <c r="E180" t="inlineStr">
        <is>
          <t>Emerging markets</t>
        </is>
      </c>
      <c r="F180" t="inlineStr">
        <is>
          <t>India</t>
        </is>
      </c>
      <c r="G180" t="inlineStr">
        <is>
          <t>Eliquis</t>
        </is>
      </c>
      <c r="H180" t="inlineStr">
        <is>
          <t>Retail pharmacy</t>
        </is>
      </c>
      <c r="I180" t="inlineStr">
        <is>
          <t>Public payer</t>
        </is>
      </c>
      <c r="J180" t="inlineStr">
        <is>
          <t>Lucas Martin</t>
        </is>
      </c>
      <c r="K180" s="70" t="n">
        <v>1984</v>
      </c>
      <c r="L180" s="71" t="n">
        <v>380.42</v>
      </c>
      <c r="M180" s="71" t="n">
        <v>754753.28</v>
      </c>
      <c r="N180" s="71" t="n">
        <v>150950.66</v>
      </c>
      <c r="O180" s="71" t="n">
        <v>603802.62</v>
      </c>
      <c r="P180" s="71" t="n">
        <v>148915.37</v>
      </c>
      <c r="Q180" s="71" t="n">
        <v>454887.25</v>
      </c>
      <c r="R180" t="inlineStr">
        <is>
          <t>Cardiology</t>
        </is>
      </c>
      <c r="S180" s="70" t="n">
        <v>1578</v>
      </c>
      <c r="T180" s="71" t="n">
        <v>140020.96</v>
      </c>
      <c r="U180" t="inlineStr">
        <is>
          <t>High</t>
        </is>
      </c>
      <c r="V180">
        <f>IF(AND(OR(Dashboard!$C$6="All",E180=Dashboard!$C$6),OR(Dashboard!$F$6="All",G180=Dashboard!$F$6),OR(Dashboard!$I$6="All",H180=Dashboard!$I$6)),1,0)</f>
        <v/>
      </c>
    </row>
    <row r="181">
      <c r="A181" t="inlineStr">
        <is>
          <t>PF100172</t>
        </is>
      </c>
      <c r="B181" s="68" t="n">
        <v>45677</v>
      </c>
      <c r="C181" s="69" t="n">
        <v>2025</v>
      </c>
      <c r="D181" t="inlineStr">
        <is>
          <t>Jan</t>
        </is>
      </c>
      <c r="E181" t="inlineStr">
        <is>
          <t>United States</t>
        </is>
      </c>
      <c r="F181" t="inlineStr">
        <is>
          <t>USA</t>
        </is>
      </c>
      <c r="G181" t="inlineStr">
        <is>
          <t>Vyndaqel</t>
        </is>
      </c>
      <c r="H181" t="inlineStr">
        <is>
          <t>Retail pharmacy</t>
        </is>
      </c>
      <c r="I181" t="inlineStr">
        <is>
          <t>Private insurer</t>
        </is>
      </c>
      <c r="J181" t="inlineStr">
        <is>
          <t>Amir Khan</t>
        </is>
      </c>
      <c r="K181" s="70" t="n">
        <v>915</v>
      </c>
      <c r="L181" s="71" t="n">
        <v>8840.16</v>
      </c>
      <c r="M181" s="71" t="n">
        <v>8088746.4</v>
      </c>
      <c r="N181" s="71" t="n">
        <v>1617749.28</v>
      </c>
      <c r="O181" s="71" t="n">
        <v>6470997.12</v>
      </c>
      <c r="P181" s="71" t="n">
        <v>576221.63</v>
      </c>
      <c r="Q181" s="71" t="n">
        <v>5894775.49</v>
      </c>
      <c r="R181" t="inlineStr">
        <is>
          <t>Rare disease</t>
        </is>
      </c>
      <c r="S181" s="70" t="n">
        <v>681</v>
      </c>
      <c r="T181" s="71" t="n">
        <v>1048181.28</v>
      </c>
      <c r="U181" t="inlineStr">
        <is>
          <t>Medium</t>
        </is>
      </c>
      <c r="V181">
        <f>IF(AND(OR(Dashboard!$C$6="All",E181=Dashboard!$C$6),OR(Dashboard!$F$6="All",G181=Dashboard!$F$6),OR(Dashboard!$I$6="All",H181=Dashboard!$I$6)),1,0)</f>
        <v/>
      </c>
    </row>
    <row r="182">
      <c r="A182" t="inlineStr">
        <is>
          <t>PF100173</t>
        </is>
      </c>
      <c r="B182" s="68" t="n">
        <v>45677</v>
      </c>
      <c r="C182" s="69" t="n">
        <v>2025</v>
      </c>
      <c r="D182" t="inlineStr">
        <is>
          <t>Jan</t>
        </is>
      </c>
      <c r="E182" t="inlineStr">
        <is>
          <t>United States</t>
        </is>
      </c>
      <c r="F182" t="inlineStr">
        <is>
          <t>USA</t>
        </is>
      </c>
      <c r="G182" t="inlineStr">
        <is>
          <t>Comirnaty</t>
        </is>
      </c>
      <c r="H182" t="inlineStr">
        <is>
          <t>Hospital</t>
        </is>
      </c>
      <c r="I182" t="inlineStr">
        <is>
          <t>Private insurer</t>
        </is>
      </c>
      <c r="J182" t="inlineStr">
        <is>
          <t>Shraddha Kulkarni</t>
        </is>
      </c>
      <c r="K182" s="70" t="n">
        <v>760</v>
      </c>
      <c r="L182" s="71" t="n">
        <v>188.53</v>
      </c>
      <c r="M182" s="71" t="n">
        <v>143282.8</v>
      </c>
      <c r="N182" s="71" t="n">
        <v>35820.7</v>
      </c>
      <c r="O182" s="71" t="n">
        <v>107462.1</v>
      </c>
      <c r="P182" s="71" t="n">
        <v>28787.25</v>
      </c>
      <c r="Q182" s="71" t="n">
        <v>78674.85000000001</v>
      </c>
      <c r="R182" t="inlineStr">
        <is>
          <t>Vaccines</t>
        </is>
      </c>
      <c r="S182" s="70" t="n">
        <v>504</v>
      </c>
      <c r="T182" s="71" t="n">
        <v>28527.91</v>
      </c>
      <c r="U182" t="inlineStr">
        <is>
          <t>Low</t>
        </is>
      </c>
      <c r="V182">
        <f>IF(AND(OR(Dashboard!$C$6="All",E182=Dashboard!$C$6),OR(Dashboard!$F$6="All",G182=Dashboard!$F$6),OR(Dashboard!$I$6="All",H182=Dashboard!$I$6)),1,0)</f>
        <v/>
      </c>
    </row>
    <row r="183">
      <c r="A183" t="inlineStr">
        <is>
          <t>PF100174</t>
        </is>
      </c>
      <c r="B183" s="68" t="n">
        <v>45677</v>
      </c>
      <c r="C183" s="69" t="n">
        <v>2025</v>
      </c>
      <c r="D183" t="inlineStr">
        <is>
          <t>Jan</t>
        </is>
      </c>
      <c r="E183" t="inlineStr">
        <is>
          <t>Europe</t>
        </is>
      </c>
      <c r="F183" t="inlineStr">
        <is>
          <t>Germany</t>
        </is>
      </c>
      <c r="G183" t="inlineStr">
        <is>
          <t>Prevnar 20</t>
        </is>
      </c>
      <c r="H183" t="inlineStr">
        <is>
          <t>Government / tender</t>
        </is>
      </c>
      <c r="I183" t="inlineStr">
        <is>
          <t>Private insurer</t>
        </is>
      </c>
      <c r="J183" t="inlineStr">
        <is>
          <t>Shraddha Kulkarni</t>
        </is>
      </c>
      <c r="K183" s="70" t="n">
        <v>2361</v>
      </c>
      <c r="L183" s="71" t="n">
        <v>223.7</v>
      </c>
      <c r="M183" s="71" t="n">
        <v>528155.7</v>
      </c>
      <c r="N183" s="71" t="n">
        <v>26407.78</v>
      </c>
      <c r="O183" s="71" t="n">
        <v>501747.92</v>
      </c>
      <c r="P183" s="71" t="n">
        <v>159276.67</v>
      </c>
      <c r="Q183" s="71" t="n">
        <v>342471.25</v>
      </c>
      <c r="R183" t="inlineStr">
        <is>
          <t>Vaccines</t>
        </is>
      </c>
      <c r="S183" s="70" t="n">
        <v>2266</v>
      </c>
      <c r="T183" s="71" t="n">
        <v>96042.89</v>
      </c>
      <c r="U183" t="inlineStr">
        <is>
          <t>Low</t>
        </is>
      </c>
      <c r="V183">
        <f>IF(AND(OR(Dashboard!$C$6="All",E183=Dashboard!$C$6),OR(Dashboard!$F$6="All",G183=Dashboard!$F$6),OR(Dashboard!$I$6="All",H183=Dashboard!$I$6)),1,0)</f>
        <v/>
      </c>
    </row>
    <row r="184">
      <c r="A184" t="inlineStr">
        <is>
          <t>PF100175</t>
        </is>
      </c>
      <c r="B184" s="68" t="n">
        <v>45677</v>
      </c>
      <c r="C184" s="69" t="n">
        <v>2025</v>
      </c>
      <c r="D184" t="inlineStr">
        <is>
          <t>Jan</t>
        </is>
      </c>
      <c r="E184" t="inlineStr">
        <is>
          <t>Emerging markets</t>
        </is>
      </c>
      <c r="F184" t="inlineStr">
        <is>
          <t>India</t>
        </is>
      </c>
      <c r="G184" t="inlineStr">
        <is>
          <t>Abrysvo</t>
        </is>
      </c>
      <c r="H184" t="inlineStr">
        <is>
          <t>Hospital</t>
        </is>
      </c>
      <c r="I184" t="inlineStr">
        <is>
          <t>Private insurer</t>
        </is>
      </c>
      <c r="J184" t="inlineStr">
        <is>
          <t>Kofi Mensah</t>
        </is>
      </c>
      <c r="K184" s="70" t="n">
        <v>1221</v>
      </c>
      <c r="L184" s="71" t="n">
        <v>276.75</v>
      </c>
      <c r="M184" s="71" t="n">
        <v>337911.75</v>
      </c>
      <c r="N184" s="71" t="n">
        <v>50686.76</v>
      </c>
      <c r="O184" s="71" t="n">
        <v>287224.99</v>
      </c>
      <c r="P184" s="71" t="n">
        <v>99199.11</v>
      </c>
      <c r="Q184" s="71" t="n">
        <v>188025.88</v>
      </c>
      <c r="R184" t="inlineStr">
        <is>
          <t>Vaccines</t>
        </is>
      </c>
      <c r="S184" s="70" t="n">
        <v>770</v>
      </c>
      <c r="T184" s="71" t="n">
        <v>56139.25</v>
      </c>
      <c r="U184" t="inlineStr">
        <is>
          <t>Low</t>
        </is>
      </c>
      <c r="V184">
        <f>IF(AND(OR(Dashboard!$C$6="All",E184=Dashboard!$C$6),OR(Dashboard!$F$6="All",G184=Dashboard!$F$6),OR(Dashboard!$I$6="All",H184=Dashboard!$I$6)),1,0)</f>
        <v/>
      </c>
    </row>
    <row r="185">
      <c r="A185" t="inlineStr">
        <is>
          <t>PF100176</t>
        </is>
      </c>
      <c r="B185" s="68" t="n">
        <v>45677</v>
      </c>
      <c r="C185" s="69" t="n">
        <v>2025</v>
      </c>
      <c r="D185" t="inlineStr">
        <is>
          <t>Jan</t>
        </is>
      </c>
      <c r="E185" t="inlineStr">
        <is>
          <t>United States</t>
        </is>
      </c>
      <c r="F185" t="inlineStr">
        <is>
          <t>USA</t>
        </is>
      </c>
      <c r="G185" t="inlineStr">
        <is>
          <t>Abrysvo</t>
        </is>
      </c>
      <c r="H185" t="inlineStr">
        <is>
          <t>Hospital</t>
        </is>
      </c>
      <c r="I185" t="inlineStr">
        <is>
          <t>Private insurer</t>
        </is>
      </c>
      <c r="J185" t="inlineStr">
        <is>
          <t>Amir Khan</t>
        </is>
      </c>
      <c r="K185" s="70" t="n">
        <v>1856</v>
      </c>
      <c r="L185" s="71" t="n">
        <v>426.27</v>
      </c>
      <c r="M185" s="71" t="n">
        <v>791157.12</v>
      </c>
      <c r="N185" s="71" t="n">
        <v>118673.57</v>
      </c>
      <c r="O185" s="71" t="n">
        <v>672483.55</v>
      </c>
      <c r="P185" s="71" t="n">
        <v>154024.15</v>
      </c>
      <c r="Q185" s="71" t="n">
        <v>518459.4</v>
      </c>
      <c r="R185" t="inlineStr">
        <is>
          <t>Vaccines</t>
        </is>
      </c>
      <c r="S185" s="70" t="n">
        <v>1321</v>
      </c>
      <c r="T185" s="71" t="n">
        <v>144855.87</v>
      </c>
      <c r="U185" t="inlineStr">
        <is>
          <t>Low</t>
        </is>
      </c>
      <c r="V185">
        <f>IF(AND(OR(Dashboard!$C$6="All",E185=Dashboard!$C$6),OR(Dashboard!$F$6="All",G185=Dashboard!$F$6),OR(Dashboard!$I$6="All",H185=Dashboard!$I$6)),1,0)</f>
        <v/>
      </c>
    </row>
    <row r="186">
      <c r="A186" t="inlineStr">
        <is>
          <t>PF100177</t>
        </is>
      </c>
      <c r="B186" s="68" t="n">
        <v>45677</v>
      </c>
      <c r="C186" s="69" t="n">
        <v>2025</v>
      </c>
      <c r="D186" t="inlineStr">
        <is>
          <t>Jan</t>
        </is>
      </c>
      <c r="E186" t="inlineStr">
        <is>
          <t>United States</t>
        </is>
      </c>
      <c r="F186" t="inlineStr">
        <is>
          <t>USA</t>
        </is>
      </c>
      <c r="G186" t="inlineStr">
        <is>
          <t>Paxlovid</t>
        </is>
      </c>
      <c r="H186" t="inlineStr">
        <is>
          <t>Retail pharmacy</t>
        </is>
      </c>
      <c r="I186" t="inlineStr">
        <is>
          <t>Public payer</t>
        </is>
      </c>
      <c r="J186" t="inlineStr">
        <is>
          <t>Fatima Al-Saud</t>
        </is>
      </c>
      <c r="K186" s="70" t="n">
        <v>2237</v>
      </c>
      <c r="L186" s="71" t="n">
        <v>1653.94</v>
      </c>
      <c r="M186" s="71" t="n">
        <v>3699863.78</v>
      </c>
      <c r="N186" s="71" t="n">
        <v>739972.76</v>
      </c>
      <c r="O186" s="71" t="n">
        <v>2959891.02</v>
      </c>
      <c r="P186" s="71" t="n">
        <v>637666.76</v>
      </c>
      <c r="Q186" s="71" t="n">
        <v>2322224.26</v>
      </c>
      <c r="R186" t="inlineStr">
        <is>
          <t>Antiviral</t>
        </is>
      </c>
      <c r="S186" s="70" t="n">
        <v>1486</v>
      </c>
      <c r="T186" s="71" t="n">
        <v>716466.0699999999</v>
      </c>
      <c r="U186" t="inlineStr">
        <is>
          <t>Low</t>
        </is>
      </c>
      <c r="V186">
        <f>IF(AND(OR(Dashboard!$C$6="All",E186=Dashboard!$C$6),OR(Dashboard!$F$6="All",G186=Dashboard!$F$6),OR(Dashboard!$I$6="All",H186=Dashboard!$I$6)),1,0)</f>
        <v/>
      </c>
    </row>
    <row r="187">
      <c r="A187" t="inlineStr">
        <is>
          <t>PF100178</t>
        </is>
      </c>
      <c r="B187" s="68" t="n">
        <v>45677</v>
      </c>
      <c r="C187" s="69" t="n">
        <v>2025</v>
      </c>
      <c r="D187" t="inlineStr">
        <is>
          <t>Jan</t>
        </is>
      </c>
      <c r="E187" t="inlineStr">
        <is>
          <t>Europe</t>
        </is>
      </c>
      <c r="F187" t="inlineStr">
        <is>
          <t>UK</t>
        </is>
      </c>
      <c r="G187" t="inlineStr">
        <is>
          <t>Ibrance</t>
        </is>
      </c>
      <c r="H187" t="inlineStr">
        <is>
          <t>Retail pharmacy</t>
        </is>
      </c>
      <c r="I187" t="inlineStr">
        <is>
          <t>Public payer</t>
        </is>
      </c>
      <c r="J187" t="inlineStr">
        <is>
          <t>Olivia Brown</t>
        </is>
      </c>
      <c r="K187" s="70" t="n">
        <v>554</v>
      </c>
      <c r="L187" s="71" t="n">
        <v>2970.9</v>
      </c>
      <c r="M187" s="71" t="n">
        <v>1645878.6</v>
      </c>
      <c r="N187" s="71" t="n">
        <v>411469.65</v>
      </c>
      <c r="O187" s="71" t="n">
        <v>1234408.95</v>
      </c>
      <c r="P187" s="71" t="n">
        <v>237705.31</v>
      </c>
      <c r="Q187" s="71" t="n">
        <v>996703.64</v>
      </c>
      <c r="R187" t="inlineStr">
        <is>
          <t>Oncology</t>
        </is>
      </c>
      <c r="S187" s="70" t="n">
        <v>377</v>
      </c>
      <c r="T187" s="71" t="n">
        <v>246074.96</v>
      </c>
      <c r="U187" t="inlineStr">
        <is>
          <t>High</t>
        </is>
      </c>
      <c r="V187">
        <f>IF(AND(OR(Dashboard!$C$6="All",E187=Dashboard!$C$6),OR(Dashboard!$F$6="All",G187=Dashboard!$F$6),OR(Dashboard!$I$6="All",H187=Dashboard!$I$6)),1,0)</f>
        <v/>
      </c>
    </row>
    <row r="188">
      <c r="A188" t="inlineStr">
        <is>
          <t>PF100179</t>
        </is>
      </c>
      <c r="B188" s="68" t="n">
        <v>45678</v>
      </c>
      <c r="C188" s="69" t="n">
        <v>2025</v>
      </c>
      <c r="D188" t="inlineStr">
        <is>
          <t>Jan</t>
        </is>
      </c>
      <c r="E188" t="inlineStr">
        <is>
          <t>United States</t>
        </is>
      </c>
      <c r="F188" t="inlineStr">
        <is>
          <t>USA</t>
        </is>
      </c>
      <c r="G188" t="inlineStr">
        <is>
          <t>Xeljanz</t>
        </is>
      </c>
      <c r="H188" t="inlineStr">
        <is>
          <t>Hospital</t>
        </is>
      </c>
      <c r="I188" t="inlineStr">
        <is>
          <t>Self-pay</t>
        </is>
      </c>
      <c r="J188" t="inlineStr">
        <is>
          <t>Arjun Mehta</t>
        </is>
      </c>
      <c r="K188" s="70" t="n">
        <v>1114</v>
      </c>
      <c r="L188" s="71" t="n">
        <v>2107.92</v>
      </c>
      <c r="M188" s="71" t="n">
        <v>2348222.88</v>
      </c>
      <c r="N188" s="71" t="n">
        <v>469644.58</v>
      </c>
      <c r="O188" s="71" t="n">
        <v>1878578.3</v>
      </c>
      <c r="P188" s="71" t="n">
        <v>282938.3</v>
      </c>
      <c r="Q188" s="71" t="n">
        <v>1595640</v>
      </c>
      <c r="R188" t="inlineStr">
        <is>
          <t>Inflammation</t>
        </is>
      </c>
      <c r="S188" s="70" t="n">
        <v>867</v>
      </c>
      <c r="T188" s="71" t="n">
        <v>362267.99</v>
      </c>
      <c r="U188" t="inlineStr">
        <is>
          <t>High</t>
        </is>
      </c>
      <c r="V188">
        <f>IF(AND(OR(Dashboard!$C$6="All",E188=Dashboard!$C$6),OR(Dashboard!$F$6="All",G188=Dashboard!$F$6),OR(Dashboard!$I$6="All",H188=Dashboard!$I$6)),1,0)</f>
        <v/>
      </c>
    </row>
    <row r="189">
      <c r="A189" t="inlineStr">
        <is>
          <t>PF100180</t>
        </is>
      </c>
      <c r="B189" s="68" t="n">
        <v>45678</v>
      </c>
      <c r="C189" s="69" t="n">
        <v>2025</v>
      </c>
      <c r="D189" t="inlineStr">
        <is>
          <t>Jan</t>
        </is>
      </c>
      <c r="E189" t="inlineStr">
        <is>
          <t>Emerging markets</t>
        </is>
      </c>
      <c r="F189" t="inlineStr">
        <is>
          <t>Brazil</t>
        </is>
      </c>
      <c r="G189" t="inlineStr">
        <is>
          <t>Eliquis</t>
        </is>
      </c>
      <c r="H189" t="inlineStr">
        <is>
          <t>Hospital</t>
        </is>
      </c>
      <c r="I189" t="inlineStr">
        <is>
          <t>Private insurer</t>
        </is>
      </c>
      <c r="J189" t="inlineStr">
        <is>
          <t>Zoya Ahmed</t>
        </is>
      </c>
      <c r="K189" s="70" t="n">
        <v>1256</v>
      </c>
      <c r="L189" s="71" t="n">
        <v>445.7</v>
      </c>
      <c r="M189" s="71" t="n">
        <v>559799.2</v>
      </c>
      <c r="N189" s="71" t="n">
        <v>83969.88</v>
      </c>
      <c r="O189" s="71" t="n">
        <v>475829.32</v>
      </c>
      <c r="P189" s="71" t="n">
        <v>95021.27</v>
      </c>
      <c r="Q189" s="71" t="n">
        <v>380808.05</v>
      </c>
      <c r="R189" t="inlineStr">
        <is>
          <t>Cardiology</t>
        </is>
      </c>
      <c r="S189" s="70" t="n">
        <v>925</v>
      </c>
      <c r="T189" s="71" t="n">
        <v>77648.75999999999</v>
      </c>
      <c r="U189" t="inlineStr">
        <is>
          <t>High</t>
        </is>
      </c>
      <c r="V189">
        <f>IF(AND(OR(Dashboard!$C$6="All",E189=Dashboard!$C$6),OR(Dashboard!$F$6="All",G189=Dashboard!$F$6),OR(Dashboard!$I$6="All",H189=Dashboard!$I$6)),1,0)</f>
        <v/>
      </c>
    </row>
    <row r="190">
      <c r="A190" t="inlineStr">
        <is>
          <t>PF100181</t>
        </is>
      </c>
      <c r="B190" s="68" t="n">
        <v>45678</v>
      </c>
      <c r="C190" s="69" t="n">
        <v>2025</v>
      </c>
      <c r="D190" t="inlineStr">
        <is>
          <t>Jan</t>
        </is>
      </c>
      <c r="E190" t="inlineStr">
        <is>
          <t>United States</t>
        </is>
      </c>
      <c r="F190" t="inlineStr">
        <is>
          <t>USA</t>
        </is>
      </c>
      <c r="G190" t="inlineStr">
        <is>
          <t>Abrysvo</t>
        </is>
      </c>
      <c r="H190" t="inlineStr">
        <is>
          <t>Retail pharmacy</t>
        </is>
      </c>
      <c r="I190" t="inlineStr">
        <is>
          <t>Private insurer</t>
        </is>
      </c>
      <c r="J190" t="inlineStr">
        <is>
          <t>Arjun Mehta</t>
        </is>
      </c>
      <c r="K190" s="70" t="n">
        <v>2596</v>
      </c>
      <c r="L190" s="71" t="n">
        <v>422.06</v>
      </c>
      <c r="M190" s="71" t="n">
        <v>1095667.76</v>
      </c>
      <c r="N190" s="71" t="n">
        <v>219133.55</v>
      </c>
      <c r="O190" s="71" t="n">
        <v>876534.21</v>
      </c>
      <c r="P190" s="71" t="n">
        <v>221496.76</v>
      </c>
      <c r="Q190" s="71" t="n">
        <v>655037.45</v>
      </c>
      <c r="R190" t="inlineStr">
        <is>
          <t>Vaccines</t>
        </is>
      </c>
      <c r="S190" s="70" t="n">
        <v>1646</v>
      </c>
      <c r="T190" s="71" t="n">
        <v>155137.34</v>
      </c>
      <c r="U190" t="inlineStr">
        <is>
          <t>Low</t>
        </is>
      </c>
      <c r="V190">
        <f>IF(AND(OR(Dashboard!$C$6="All",E190=Dashboard!$C$6),OR(Dashboard!$F$6="All",G190=Dashboard!$F$6),OR(Dashboard!$I$6="All",H190=Dashboard!$I$6)),1,0)</f>
        <v/>
      </c>
    </row>
    <row r="191">
      <c r="A191" t="inlineStr">
        <is>
          <t>PF100182</t>
        </is>
      </c>
      <c r="B191" s="68" t="n">
        <v>45678</v>
      </c>
      <c r="C191" s="69" t="n">
        <v>2025</v>
      </c>
      <c r="D191" t="inlineStr">
        <is>
          <t>Jan</t>
        </is>
      </c>
      <c r="E191" t="inlineStr">
        <is>
          <t>United States</t>
        </is>
      </c>
      <c r="F191" t="inlineStr">
        <is>
          <t>USA</t>
        </is>
      </c>
      <c r="G191" t="inlineStr">
        <is>
          <t>Paxlovid</t>
        </is>
      </c>
      <c r="H191" t="inlineStr">
        <is>
          <t>Hospital</t>
        </is>
      </c>
      <c r="I191" t="inlineStr">
        <is>
          <t>Private insurer</t>
        </is>
      </c>
      <c r="J191" t="inlineStr">
        <is>
          <t>Hiroshi Tanaka</t>
        </is>
      </c>
      <c r="K191" s="70" t="n">
        <v>960</v>
      </c>
      <c r="L191" s="71" t="n">
        <v>1809.42</v>
      </c>
      <c r="M191" s="71" t="n">
        <v>1737043.2</v>
      </c>
      <c r="N191" s="71" t="n">
        <v>260556.48</v>
      </c>
      <c r="O191" s="71" t="n">
        <v>1476486.72</v>
      </c>
      <c r="P191" s="71" t="n">
        <v>269679.08</v>
      </c>
      <c r="Q191" s="71" t="n">
        <v>1206807.64</v>
      </c>
      <c r="R191" t="inlineStr">
        <is>
          <t>Antiviral</t>
        </is>
      </c>
      <c r="S191" s="70" t="n">
        <v>640</v>
      </c>
      <c r="T191" s="71" t="n">
        <v>357430.27</v>
      </c>
      <c r="U191" t="inlineStr">
        <is>
          <t>Low</t>
        </is>
      </c>
      <c r="V191">
        <f>IF(AND(OR(Dashboard!$C$6="All",E191=Dashboard!$C$6),OR(Dashboard!$F$6="All",G191=Dashboard!$F$6),OR(Dashboard!$I$6="All",H191=Dashboard!$I$6)),1,0)</f>
        <v/>
      </c>
    </row>
    <row r="192">
      <c r="A192" t="inlineStr">
        <is>
          <t>PF100183</t>
        </is>
      </c>
      <c r="B192" s="68" t="n">
        <v>45678</v>
      </c>
      <c r="C192" s="69" t="n">
        <v>2025</v>
      </c>
      <c r="D192" t="inlineStr">
        <is>
          <t>Jan</t>
        </is>
      </c>
      <c r="E192" t="inlineStr">
        <is>
          <t>United States</t>
        </is>
      </c>
      <c r="F192" t="inlineStr">
        <is>
          <t>USA</t>
        </is>
      </c>
      <c r="G192" t="inlineStr">
        <is>
          <t>Paxlovid</t>
        </is>
      </c>
      <c r="H192" t="inlineStr">
        <is>
          <t>Retail pharmacy</t>
        </is>
      </c>
      <c r="I192" t="inlineStr">
        <is>
          <t>Private insurer</t>
        </is>
      </c>
      <c r="J192" t="inlineStr">
        <is>
          <t>Mei Lin</t>
        </is>
      </c>
      <c r="K192" s="70" t="n">
        <v>2430</v>
      </c>
      <c r="L192" s="71" t="n">
        <v>1924.86</v>
      </c>
      <c r="M192" s="71" t="n">
        <v>4677409.8</v>
      </c>
      <c r="N192" s="71" t="n">
        <v>701611.47</v>
      </c>
      <c r="O192" s="71" t="n">
        <v>3975798.33</v>
      </c>
      <c r="P192" s="71" t="n">
        <v>680836.5600000001</v>
      </c>
      <c r="Q192" s="71" t="n">
        <v>3294961.77</v>
      </c>
      <c r="R192" t="inlineStr">
        <is>
          <t>Antiviral</t>
        </is>
      </c>
      <c r="S192" s="70" t="n">
        <v>2371</v>
      </c>
      <c r="T192" s="71" t="n">
        <v>911448.58</v>
      </c>
      <c r="U192" t="inlineStr">
        <is>
          <t>Low</t>
        </is>
      </c>
      <c r="V192">
        <f>IF(AND(OR(Dashboard!$C$6="All",E192=Dashboard!$C$6),OR(Dashboard!$F$6="All",G192=Dashboard!$F$6),OR(Dashboard!$I$6="All",H192=Dashboard!$I$6)),1,0)</f>
        <v/>
      </c>
    </row>
    <row r="193">
      <c r="A193" t="inlineStr">
        <is>
          <t>PF100184</t>
        </is>
      </c>
      <c r="B193" s="68" t="n">
        <v>45678</v>
      </c>
      <c r="C193" s="69" t="n">
        <v>2025</v>
      </c>
      <c r="D193" t="inlineStr">
        <is>
          <t>Jan</t>
        </is>
      </c>
      <c r="E193" t="inlineStr">
        <is>
          <t>United States</t>
        </is>
      </c>
      <c r="F193" t="inlineStr">
        <is>
          <t>USA</t>
        </is>
      </c>
      <c r="G193" t="inlineStr">
        <is>
          <t>Abrysvo</t>
        </is>
      </c>
      <c r="H193" t="inlineStr">
        <is>
          <t>Hospital</t>
        </is>
      </c>
      <c r="I193" t="inlineStr">
        <is>
          <t>Private insurer</t>
        </is>
      </c>
      <c r="J193" t="inlineStr">
        <is>
          <t>Liam O'Brien</t>
        </is>
      </c>
      <c r="K193" s="70" t="n">
        <v>551</v>
      </c>
      <c r="L193" s="71" t="n">
        <v>489.5</v>
      </c>
      <c r="M193" s="71" t="n">
        <v>269714.5</v>
      </c>
      <c r="N193" s="71" t="n">
        <v>67428.62</v>
      </c>
      <c r="O193" s="71" t="n">
        <v>202285.88</v>
      </c>
      <c r="P193" s="71" t="n">
        <v>47578.07</v>
      </c>
      <c r="Q193" s="71" t="n">
        <v>154707.81</v>
      </c>
      <c r="R193" t="inlineStr">
        <is>
          <t>Vaccines</t>
        </is>
      </c>
      <c r="S193" s="70" t="n">
        <v>437</v>
      </c>
      <c r="T193" s="71" t="n">
        <v>59140.03</v>
      </c>
      <c r="U193" t="inlineStr">
        <is>
          <t>Low</t>
        </is>
      </c>
      <c r="V193">
        <f>IF(AND(OR(Dashboard!$C$6="All",E193=Dashboard!$C$6),OR(Dashboard!$F$6="All",G193=Dashboard!$F$6),OR(Dashboard!$I$6="All",H193=Dashboard!$I$6)),1,0)</f>
        <v/>
      </c>
    </row>
    <row r="194">
      <c r="A194" t="inlineStr">
        <is>
          <t>PF100185</t>
        </is>
      </c>
      <c r="B194" s="68" t="n">
        <v>45678</v>
      </c>
      <c r="C194" s="69" t="n">
        <v>2025</v>
      </c>
      <c r="D194" t="inlineStr">
        <is>
          <t>Jan</t>
        </is>
      </c>
      <c r="E194" t="inlineStr">
        <is>
          <t>Europe</t>
        </is>
      </c>
      <c r="F194" t="inlineStr">
        <is>
          <t>France</t>
        </is>
      </c>
      <c r="G194" t="inlineStr">
        <is>
          <t>Vyndaqel</t>
        </is>
      </c>
      <c r="H194" t="inlineStr">
        <is>
          <t>Retail pharmacy</t>
        </is>
      </c>
      <c r="I194" t="inlineStr">
        <is>
          <t>Private insurer</t>
        </is>
      </c>
      <c r="J194" t="inlineStr">
        <is>
          <t>Noah Smith</t>
        </is>
      </c>
      <c r="K194" s="70" t="n">
        <v>856</v>
      </c>
      <c r="L194" s="71" t="n">
        <v>5708.13</v>
      </c>
      <c r="M194" s="71" t="n">
        <v>4886159.28</v>
      </c>
      <c r="N194" s="71" t="n">
        <v>977231.86</v>
      </c>
      <c r="O194" s="71" t="n">
        <v>3908927.42</v>
      </c>
      <c r="P194" s="71" t="n">
        <v>541657.26</v>
      </c>
      <c r="Q194" s="71" t="n">
        <v>3367270.16</v>
      </c>
      <c r="R194" t="inlineStr">
        <is>
          <t>Rare disease</t>
        </is>
      </c>
      <c r="S194" s="70" t="n">
        <v>558</v>
      </c>
      <c r="T194" s="71" t="n">
        <v>791890.23</v>
      </c>
      <c r="U194" t="inlineStr">
        <is>
          <t>Medium</t>
        </is>
      </c>
      <c r="V194">
        <f>IF(AND(OR(Dashboard!$C$6="All",E194=Dashboard!$C$6),OR(Dashboard!$F$6="All",G194=Dashboard!$F$6),OR(Dashboard!$I$6="All",H194=Dashboard!$I$6)),1,0)</f>
        <v/>
      </c>
    </row>
    <row r="195">
      <c r="A195" t="inlineStr">
        <is>
          <t>PF100186</t>
        </is>
      </c>
      <c r="B195" s="68" t="n">
        <v>45678</v>
      </c>
      <c r="C195" s="69" t="n">
        <v>2025</v>
      </c>
      <c r="D195" t="inlineStr">
        <is>
          <t>Jan</t>
        </is>
      </c>
      <c r="E195" t="inlineStr">
        <is>
          <t>United States</t>
        </is>
      </c>
      <c r="F195" t="inlineStr">
        <is>
          <t>USA</t>
        </is>
      </c>
      <c r="G195" t="inlineStr">
        <is>
          <t>Eliquis</t>
        </is>
      </c>
      <c r="H195" t="inlineStr">
        <is>
          <t>Hospital</t>
        </is>
      </c>
      <c r="I195" t="inlineStr">
        <is>
          <t>Self-pay</t>
        </is>
      </c>
      <c r="J195" t="inlineStr">
        <is>
          <t>Kofi Mensah</t>
        </is>
      </c>
      <c r="K195" s="70" t="n">
        <v>2262</v>
      </c>
      <c r="L195" s="71" t="n">
        <v>732.29</v>
      </c>
      <c r="M195" s="71" t="n">
        <v>1656439.98</v>
      </c>
      <c r="N195" s="71" t="n">
        <v>248466</v>
      </c>
      <c r="O195" s="71" t="n">
        <v>1407973.98</v>
      </c>
      <c r="P195" s="71" t="n">
        <v>176212.41</v>
      </c>
      <c r="Q195" s="71" t="n">
        <v>1231761.57</v>
      </c>
      <c r="R195" t="inlineStr">
        <is>
          <t>Cardiology</t>
        </is>
      </c>
      <c r="S195" s="70" t="n">
        <v>2089</v>
      </c>
      <c r="T195" s="71" t="n">
        <v>312384.39</v>
      </c>
      <c r="U195" t="inlineStr">
        <is>
          <t>High</t>
        </is>
      </c>
      <c r="V195">
        <f>IF(AND(OR(Dashboard!$C$6="All",E195=Dashboard!$C$6),OR(Dashboard!$F$6="All",G195=Dashboard!$F$6),OR(Dashboard!$I$6="All",H195=Dashboard!$I$6)),1,0)</f>
        <v/>
      </c>
    </row>
    <row r="196">
      <c r="A196" t="inlineStr">
        <is>
          <t>PF100187</t>
        </is>
      </c>
      <c r="B196" s="68" t="n">
        <v>45678</v>
      </c>
      <c r="C196" s="69" t="n">
        <v>2025</v>
      </c>
      <c r="D196" t="inlineStr">
        <is>
          <t>Jan</t>
        </is>
      </c>
      <c r="E196" t="inlineStr">
        <is>
          <t>United States</t>
        </is>
      </c>
      <c r="F196" t="inlineStr">
        <is>
          <t>USA</t>
        </is>
      </c>
      <c r="G196" t="inlineStr">
        <is>
          <t>Abrysvo</t>
        </is>
      </c>
      <c r="H196" t="inlineStr">
        <is>
          <t>Hospital</t>
        </is>
      </c>
      <c r="I196" t="inlineStr">
        <is>
          <t>Private insurer</t>
        </is>
      </c>
      <c r="J196" t="inlineStr">
        <is>
          <t>Noah Smith</t>
        </is>
      </c>
      <c r="K196" s="70" t="n">
        <v>2451</v>
      </c>
      <c r="L196" s="71" t="n">
        <v>441.87</v>
      </c>
      <c r="M196" s="71" t="n">
        <v>1083023.37</v>
      </c>
      <c r="N196" s="71" t="n">
        <v>379058.18</v>
      </c>
      <c r="O196" s="71" t="n">
        <v>703965.1899999999</v>
      </c>
      <c r="P196" s="71" t="n">
        <v>210096.58</v>
      </c>
      <c r="Q196" s="71" t="n">
        <v>493868.61</v>
      </c>
      <c r="R196" t="inlineStr">
        <is>
          <t>Vaccines</t>
        </is>
      </c>
      <c r="S196" s="70" t="n">
        <v>1743</v>
      </c>
      <c r="T196" s="71" t="n">
        <v>146957.04</v>
      </c>
      <c r="U196" t="inlineStr">
        <is>
          <t>Low</t>
        </is>
      </c>
      <c r="V196">
        <f>IF(AND(OR(Dashboard!$C$6="All",E196=Dashboard!$C$6),OR(Dashboard!$F$6="All",G196=Dashboard!$F$6),OR(Dashboard!$I$6="All",H196=Dashboard!$I$6)),1,0)</f>
        <v/>
      </c>
    </row>
    <row r="197">
      <c r="A197" t="inlineStr">
        <is>
          <t>PF100188</t>
        </is>
      </c>
      <c r="B197" s="68" t="n">
        <v>45678</v>
      </c>
      <c r="C197" s="69" t="n">
        <v>2025</v>
      </c>
      <c r="D197" t="inlineStr">
        <is>
          <t>Jan</t>
        </is>
      </c>
      <c r="E197" t="inlineStr">
        <is>
          <t>United States</t>
        </is>
      </c>
      <c r="F197" t="inlineStr">
        <is>
          <t>USA</t>
        </is>
      </c>
      <c r="G197" t="inlineStr">
        <is>
          <t>Paxlovid</t>
        </is>
      </c>
      <c r="H197" t="inlineStr">
        <is>
          <t>Hospital</t>
        </is>
      </c>
      <c r="I197" t="inlineStr">
        <is>
          <t>Public payer</t>
        </is>
      </c>
      <c r="J197" t="inlineStr">
        <is>
          <t>Ravindra Patil</t>
        </is>
      </c>
      <c r="K197" s="70" t="n">
        <v>2435</v>
      </c>
      <c r="L197" s="71" t="n">
        <v>1713.95</v>
      </c>
      <c r="M197" s="71" t="n">
        <v>4173468.25</v>
      </c>
      <c r="N197" s="71" t="n">
        <v>626020.24</v>
      </c>
      <c r="O197" s="71" t="n">
        <v>3547448.01</v>
      </c>
      <c r="P197" s="71" t="n">
        <v>670008.4399999999</v>
      </c>
      <c r="Q197" s="71" t="n">
        <v>2877439.57</v>
      </c>
      <c r="R197" t="inlineStr">
        <is>
          <t>Antiviral</t>
        </is>
      </c>
      <c r="S197" s="70" t="n">
        <v>2089</v>
      </c>
      <c r="T197" s="71" t="n">
        <v>587359.89</v>
      </c>
      <c r="U197" t="inlineStr">
        <is>
          <t>Low</t>
        </is>
      </c>
      <c r="V197">
        <f>IF(AND(OR(Dashboard!$C$6="All",E197=Dashboard!$C$6),OR(Dashboard!$F$6="All",G197=Dashboard!$F$6),OR(Dashboard!$I$6="All",H197=Dashboard!$I$6)),1,0)</f>
        <v/>
      </c>
    </row>
    <row r="198">
      <c r="A198" t="inlineStr">
        <is>
          <t>PF100189</t>
        </is>
      </c>
      <c r="B198" s="68" t="n">
        <v>45678</v>
      </c>
      <c r="C198" s="69" t="n">
        <v>2025</v>
      </c>
      <c r="D198" t="inlineStr">
        <is>
          <t>Jan</t>
        </is>
      </c>
      <c r="E198" t="inlineStr">
        <is>
          <t>International developed</t>
        </is>
      </c>
      <c r="F198" t="inlineStr">
        <is>
          <t>Japan</t>
        </is>
      </c>
      <c r="G198" t="inlineStr">
        <is>
          <t>Paxlovid</t>
        </is>
      </c>
      <c r="H198" t="inlineStr">
        <is>
          <t>Government / tender</t>
        </is>
      </c>
      <c r="I198" t="inlineStr">
        <is>
          <t>Self-pay</t>
        </is>
      </c>
      <c r="J198" t="inlineStr">
        <is>
          <t>Zoya Ahmed</t>
        </is>
      </c>
      <c r="K198" s="70" t="n">
        <v>752</v>
      </c>
      <c r="L198" s="71" t="n">
        <v>1087.22</v>
      </c>
      <c r="M198" s="71" t="n">
        <v>817589.4399999999</v>
      </c>
      <c r="N198" s="71" t="n">
        <v>40879.47</v>
      </c>
      <c r="O198" s="71" t="n">
        <v>776709.97</v>
      </c>
      <c r="P198" s="71" t="n">
        <v>209421.01</v>
      </c>
      <c r="Q198" s="71" t="n">
        <v>567288.96</v>
      </c>
      <c r="R198" t="inlineStr">
        <is>
          <t>Antiviral</t>
        </is>
      </c>
      <c r="S198" s="70" t="n">
        <v>707</v>
      </c>
      <c r="T198" s="71" t="n">
        <v>132087.37</v>
      </c>
      <c r="U198" t="inlineStr">
        <is>
          <t>Low</t>
        </is>
      </c>
      <c r="V198">
        <f>IF(AND(OR(Dashboard!$C$6="All",E198=Dashboard!$C$6),OR(Dashboard!$F$6="All",G198=Dashboard!$F$6),OR(Dashboard!$I$6="All",H198=Dashboard!$I$6)),1,0)</f>
        <v/>
      </c>
    </row>
    <row r="199">
      <c r="A199" t="inlineStr">
        <is>
          <t>PF100190</t>
        </is>
      </c>
      <c r="B199" s="68" t="n">
        <v>45678</v>
      </c>
      <c r="C199" s="69" t="n">
        <v>2025</v>
      </c>
      <c r="D199" t="inlineStr">
        <is>
          <t>Jan</t>
        </is>
      </c>
      <c r="E199" t="inlineStr">
        <is>
          <t>Europe</t>
        </is>
      </c>
      <c r="F199" t="inlineStr">
        <is>
          <t>Germany</t>
        </is>
      </c>
      <c r="G199" t="inlineStr">
        <is>
          <t>Prevnar 20</t>
        </is>
      </c>
      <c r="H199" t="inlineStr">
        <is>
          <t>Retail pharmacy</t>
        </is>
      </c>
      <c r="I199" t="inlineStr">
        <is>
          <t>Private insurer</t>
        </is>
      </c>
      <c r="J199" t="inlineStr">
        <is>
          <t>Noah Smith</t>
        </is>
      </c>
      <c r="K199" s="70" t="n">
        <v>154</v>
      </c>
      <c r="L199" s="71" t="n">
        <v>208.17</v>
      </c>
      <c r="M199" s="71" t="n">
        <v>32058.18</v>
      </c>
      <c r="N199" s="71" t="n">
        <v>4808.73</v>
      </c>
      <c r="O199" s="71" t="n">
        <v>27249.45</v>
      </c>
      <c r="P199" s="71" t="n">
        <v>10624.58</v>
      </c>
      <c r="Q199" s="71" t="n">
        <v>16624.87</v>
      </c>
      <c r="R199" t="inlineStr">
        <is>
          <t>Vaccines</t>
        </is>
      </c>
      <c r="S199" s="70" t="n">
        <v>142</v>
      </c>
      <c r="T199" s="71" t="n">
        <v>4107.01</v>
      </c>
      <c r="U199" t="inlineStr">
        <is>
          <t>Low</t>
        </is>
      </c>
      <c r="V199">
        <f>IF(AND(OR(Dashboard!$C$6="All",E199=Dashboard!$C$6),OR(Dashboard!$F$6="All",G199=Dashboard!$F$6),OR(Dashboard!$I$6="All",H199=Dashboard!$I$6)),1,0)</f>
        <v/>
      </c>
    </row>
    <row r="200">
      <c r="A200" t="inlineStr">
        <is>
          <t>PF100191</t>
        </is>
      </c>
      <c r="B200" s="68" t="n">
        <v>45679</v>
      </c>
      <c r="C200" s="69" t="n">
        <v>2025</v>
      </c>
      <c r="D200" t="inlineStr">
        <is>
          <t>Jan</t>
        </is>
      </c>
      <c r="E200" t="inlineStr">
        <is>
          <t>United States</t>
        </is>
      </c>
      <c r="F200" t="inlineStr">
        <is>
          <t>USA</t>
        </is>
      </c>
      <c r="G200" t="inlineStr">
        <is>
          <t>Xeljanz</t>
        </is>
      </c>
      <c r="H200" t="inlineStr">
        <is>
          <t>Hospital</t>
        </is>
      </c>
      <c r="I200" t="inlineStr">
        <is>
          <t>Public payer</t>
        </is>
      </c>
      <c r="J200" t="inlineStr">
        <is>
          <t>Liam O'Brien</t>
        </is>
      </c>
      <c r="K200" s="70" t="n">
        <v>375</v>
      </c>
      <c r="L200" s="71" t="n">
        <v>2391.9</v>
      </c>
      <c r="M200" s="71" t="n">
        <v>896962.5</v>
      </c>
      <c r="N200" s="71" t="n">
        <v>269088.75</v>
      </c>
      <c r="O200" s="71" t="n">
        <v>627873.75</v>
      </c>
      <c r="P200" s="71" t="n">
        <v>94017.74000000001</v>
      </c>
      <c r="Q200" s="71" t="n">
        <v>533856.01</v>
      </c>
      <c r="R200" t="inlineStr">
        <is>
          <t>Inflammation</t>
        </is>
      </c>
      <c r="S200" s="70" t="n">
        <v>312</v>
      </c>
      <c r="T200" s="71" t="n">
        <v>179493.69</v>
      </c>
      <c r="U200" t="inlineStr">
        <is>
          <t>High</t>
        </is>
      </c>
      <c r="V200">
        <f>IF(AND(OR(Dashboard!$C$6="All",E200=Dashboard!$C$6),OR(Dashboard!$F$6="All",G200=Dashboard!$F$6),OR(Dashboard!$I$6="All",H200=Dashboard!$I$6)),1,0)</f>
        <v/>
      </c>
    </row>
    <row r="201">
      <c r="A201" t="inlineStr">
        <is>
          <t>PF100192</t>
        </is>
      </c>
      <c r="B201" s="68" t="n">
        <v>45679</v>
      </c>
      <c r="C201" s="69" t="n">
        <v>2025</v>
      </c>
      <c r="D201" t="inlineStr">
        <is>
          <t>Jan</t>
        </is>
      </c>
      <c r="E201" t="inlineStr">
        <is>
          <t>Emerging markets</t>
        </is>
      </c>
      <c r="F201" t="inlineStr">
        <is>
          <t>Brazil</t>
        </is>
      </c>
      <c r="G201" t="inlineStr">
        <is>
          <t>Comirnaty</t>
        </is>
      </c>
      <c r="H201" t="inlineStr">
        <is>
          <t>Hospital</t>
        </is>
      </c>
      <c r="I201" t="inlineStr">
        <is>
          <t>Self-pay</t>
        </is>
      </c>
      <c r="J201" t="inlineStr">
        <is>
          <t>Aisha Bello</t>
        </is>
      </c>
      <c r="K201" s="70" t="n">
        <v>1289</v>
      </c>
      <c r="L201" s="71" t="n">
        <v>106.78</v>
      </c>
      <c r="M201" s="71" t="n">
        <v>137639.42</v>
      </c>
      <c r="N201" s="71" t="n">
        <v>13763.94</v>
      </c>
      <c r="O201" s="71" t="n">
        <v>123875.48</v>
      </c>
      <c r="P201" s="71" t="n">
        <v>50992.46</v>
      </c>
      <c r="Q201" s="71" t="n">
        <v>72883.02</v>
      </c>
      <c r="R201" t="inlineStr">
        <is>
          <t>Vaccines</t>
        </is>
      </c>
      <c r="S201" s="70" t="n">
        <v>990</v>
      </c>
      <c r="T201" s="71" t="n">
        <v>19396.55</v>
      </c>
      <c r="U201" t="inlineStr">
        <is>
          <t>Low</t>
        </is>
      </c>
      <c r="V201">
        <f>IF(AND(OR(Dashboard!$C$6="All",E201=Dashboard!$C$6),OR(Dashboard!$F$6="All",G201=Dashboard!$F$6),OR(Dashboard!$I$6="All",H201=Dashboard!$I$6)),1,0)</f>
        <v/>
      </c>
    </row>
    <row r="202">
      <c r="A202" t="inlineStr">
        <is>
          <t>PF100193</t>
        </is>
      </c>
      <c r="B202" s="68" t="n">
        <v>45679</v>
      </c>
      <c r="C202" s="69" t="n">
        <v>2025</v>
      </c>
      <c r="D202" t="inlineStr">
        <is>
          <t>Jan</t>
        </is>
      </c>
      <c r="E202" t="inlineStr">
        <is>
          <t>United States</t>
        </is>
      </c>
      <c r="F202" t="inlineStr">
        <is>
          <t>USA</t>
        </is>
      </c>
      <c r="G202" t="inlineStr">
        <is>
          <t>Xeljanz</t>
        </is>
      </c>
      <c r="H202" t="inlineStr">
        <is>
          <t>Retail pharmacy</t>
        </is>
      </c>
      <c r="I202" t="inlineStr">
        <is>
          <t>Private insurer</t>
        </is>
      </c>
      <c r="J202" t="inlineStr">
        <is>
          <t>Emma Clarke</t>
        </is>
      </c>
      <c r="K202" s="70" t="n">
        <v>1807</v>
      </c>
      <c r="L202" s="71" t="n">
        <v>2405.98</v>
      </c>
      <c r="M202" s="71" t="n">
        <v>4347605.86</v>
      </c>
      <c r="N202" s="71" t="n">
        <v>1086901.47</v>
      </c>
      <c r="O202" s="71" t="n">
        <v>3260704.39</v>
      </c>
      <c r="P202" s="71" t="n">
        <v>453057.5</v>
      </c>
      <c r="Q202" s="71" t="n">
        <v>2807646.89</v>
      </c>
      <c r="R202" t="inlineStr">
        <is>
          <t>Inflammation</t>
        </is>
      </c>
      <c r="S202" s="70" t="n">
        <v>1150</v>
      </c>
      <c r="T202" s="71" t="n">
        <v>589885.12</v>
      </c>
      <c r="U202" t="inlineStr">
        <is>
          <t>High</t>
        </is>
      </c>
      <c r="V202">
        <f>IF(AND(OR(Dashboard!$C$6="All",E202=Dashboard!$C$6),OR(Dashboard!$F$6="All",G202=Dashboard!$F$6),OR(Dashboard!$I$6="All",H202=Dashboard!$I$6)),1,0)</f>
        <v/>
      </c>
    </row>
    <row r="203">
      <c r="A203" t="inlineStr">
        <is>
          <t>PF100194</t>
        </is>
      </c>
      <c r="B203" s="68" t="n">
        <v>45679</v>
      </c>
      <c r="C203" s="69" t="n">
        <v>2025</v>
      </c>
      <c r="D203" t="inlineStr">
        <is>
          <t>Jan</t>
        </is>
      </c>
      <c r="E203" t="inlineStr">
        <is>
          <t>International developed</t>
        </is>
      </c>
      <c r="F203" t="inlineStr">
        <is>
          <t>Japan</t>
        </is>
      </c>
      <c r="G203" t="inlineStr">
        <is>
          <t>Prevnar 20</t>
        </is>
      </c>
      <c r="H203" t="inlineStr">
        <is>
          <t>Government / tender</t>
        </is>
      </c>
      <c r="I203" t="inlineStr">
        <is>
          <t>Private insurer</t>
        </is>
      </c>
      <c r="J203" t="inlineStr">
        <is>
          <t>Aisha Bello</t>
        </is>
      </c>
      <c r="K203" s="70" t="n">
        <v>768</v>
      </c>
      <c r="L203" s="71" t="n">
        <v>234.36</v>
      </c>
      <c r="M203" s="71" t="n">
        <v>179988.48</v>
      </c>
      <c r="N203" s="71" t="n">
        <v>8999.42</v>
      </c>
      <c r="O203" s="71" t="n">
        <v>170989.06</v>
      </c>
      <c r="P203" s="71" t="n">
        <v>51262.67</v>
      </c>
      <c r="Q203" s="71" t="n">
        <v>119726.39</v>
      </c>
      <c r="R203" t="inlineStr">
        <is>
          <t>Vaccines</t>
        </is>
      </c>
      <c r="S203" s="70" t="n">
        <v>572</v>
      </c>
      <c r="T203" s="71" t="n">
        <v>25334.26</v>
      </c>
      <c r="U203" t="inlineStr">
        <is>
          <t>Low</t>
        </is>
      </c>
      <c r="V203">
        <f>IF(AND(OR(Dashboard!$C$6="All",E203=Dashboard!$C$6),OR(Dashboard!$F$6="All",G203=Dashboard!$F$6),OR(Dashboard!$I$6="All",H203=Dashboard!$I$6)),1,0)</f>
        <v/>
      </c>
    </row>
    <row r="204">
      <c r="A204" t="inlineStr">
        <is>
          <t>PF100195</t>
        </is>
      </c>
      <c r="B204" s="68" t="n">
        <v>45679</v>
      </c>
      <c r="C204" s="69" t="n">
        <v>2025</v>
      </c>
      <c r="D204" t="inlineStr">
        <is>
          <t>Jan</t>
        </is>
      </c>
      <c r="E204" t="inlineStr">
        <is>
          <t>Emerging markets</t>
        </is>
      </c>
      <c r="F204" t="inlineStr">
        <is>
          <t>China</t>
        </is>
      </c>
      <c r="G204" t="inlineStr">
        <is>
          <t>Eliquis</t>
        </is>
      </c>
      <c r="H204" t="inlineStr">
        <is>
          <t>Government / tender</t>
        </is>
      </c>
      <c r="I204" t="inlineStr">
        <is>
          <t>Private insurer</t>
        </is>
      </c>
      <c r="J204" t="inlineStr">
        <is>
          <t>Fatima Al-Saud</t>
        </is>
      </c>
      <c r="K204" s="70" t="n">
        <v>1954</v>
      </c>
      <c r="L204" s="71" t="n">
        <v>380.62</v>
      </c>
      <c r="M204" s="71" t="n">
        <v>743731.48</v>
      </c>
      <c r="N204" s="71" t="n">
        <v>111559.72</v>
      </c>
      <c r="O204" s="71" t="n">
        <v>632171.76</v>
      </c>
      <c r="P204" s="71" t="n">
        <v>152238.29</v>
      </c>
      <c r="Q204" s="71" t="n">
        <v>479933.47</v>
      </c>
      <c r="R204" t="inlineStr">
        <is>
          <t>Cardiology</t>
        </is>
      </c>
      <c r="S204" s="70" t="n">
        <v>1461</v>
      </c>
      <c r="T204" s="71" t="n">
        <v>140850.15</v>
      </c>
      <c r="U204" t="inlineStr">
        <is>
          <t>High</t>
        </is>
      </c>
      <c r="V204">
        <f>IF(AND(OR(Dashboard!$C$6="All",E204=Dashboard!$C$6),OR(Dashboard!$F$6="All",G204=Dashboard!$F$6),OR(Dashboard!$I$6="All",H204=Dashboard!$I$6)),1,0)</f>
        <v/>
      </c>
    </row>
    <row r="205">
      <c r="A205" t="inlineStr">
        <is>
          <t>PF100196</t>
        </is>
      </c>
      <c r="B205" s="68" t="n">
        <v>45679</v>
      </c>
      <c r="C205" s="69" t="n">
        <v>2025</v>
      </c>
      <c r="D205" t="inlineStr">
        <is>
          <t>Jan</t>
        </is>
      </c>
      <c r="E205" t="inlineStr">
        <is>
          <t>United States</t>
        </is>
      </c>
      <c r="F205" t="inlineStr">
        <is>
          <t>USA</t>
        </is>
      </c>
      <c r="G205" t="inlineStr">
        <is>
          <t>Eliquis</t>
        </is>
      </c>
      <c r="H205" t="inlineStr">
        <is>
          <t>Retail pharmacy</t>
        </is>
      </c>
      <c r="I205" t="inlineStr">
        <is>
          <t>Self-pay</t>
        </is>
      </c>
      <c r="J205" t="inlineStr">
        <is>
          <t>Kofi Mensah</t>
        </is>
      </c>
      <c r="K205" s="70" t="n">
        <v>1995</v>
      </c>
      <c r="L205" s="71" t="n">
        <v>627.38</v>
      </c>
      <c r="M205" s="71" t="n">
        <v>1251623.1</v>
      </c>
      <c r="N205" s="71" t="n">
        <v>250324.62</v>
      </c>
      <c r="O205" s="71" t="n">
        <v>1001298.48</v>
      </c>
      <c r="P205" s="71" t="n">
        <v>146269.3</v>
      </c>
      <c r="Q205" s="71" t="n">
        <v>855029.1800000001</v>
      </c>
      <c r="R205" t="inlineStr">
        <is>
          <t>Cardiology</t>
        </is>
      </c>
      <c r="S205" s="70" t="n">
        <v>1965</v>
      </c>
      <c r="T205" s="71" t="n">
        <v>207922.63</v>
      </c>
      <c r="U205" t="inlineStr">
        <is>
          <t>High</t>
        </is>
      </c>
      <c r="V205">
        <f>IF(AND(OR(Dashboard!$C$6="All",E205=Dashboard!$C$6),OR(Dashboard!$F$6="All",G205=Dashboard!$F$6),OR(Dashboard!$I$6="All",H205=Dashboard!$I$6)),1,0)</f>
        <v/>
      </c>
    </row>
    <row r="206">
      <c r="A206" t="inlineStr">
        <is>
          <t>PF100197</t>
        </is>
      </c>
      <c r="B206" s="68" t="n">
        <v>45679</v>
      </c>
      <c r="C206" s="69" t="n">
        <v>2025</v>
      </c>
      <c r="D206" t="inlineStr">
        <is>
          <t>Jan</t>
        </is>
      </c>
      <c r="E206" t="inlineStr">
        <is>
          <t>Europe</t>
        </is>
      </c>
      <c r="F206" t="inlineStr">
        <is>
          <t>UK</t>
        </is>
      </c>
      <c r="G206" t="inlineStr">
        <is>
          <t>Prevnar 20</t>
        </is>
      </c>
      <c r="H206" t="inlineStr">
        <is>
          <t>Retail pharmacy</t>
        </is>
      </c>
      <c r="I206" t="inlineStr">
        <is>
          <t>Private insurer</t>
        </is>
      </c>
      <c r="J206" t="inlineStr">
        <is>
          <t>Amir Khan</t>
        </is>
      </c>
      <c r="K206" s="70" t="n">
        <v>1605</v>
      </c>
      <c r="L206" s="71" t="n">
        <v>241.14</v>
      </c>
      <c r="M206" s="71" t="n">
        <v>387029.7</v>
      </c>
      <c r="N206" s="71" t="n">
        <v>38702.97</v>
      </c>
      <c r="O206" s="71" t="n">
        <v>348326.73</v>
      </c>
      <c r="P206" s="71" t="n">
        <v>114689.05</v>
      </c>
      <c r="Q206" s="71" t="n">
        <v>233637.68</v>
      </c>
      <c r="R206" t="inlineStr">
        <is>
          <t>Vaccines</t>
        </is>
      </c>
      <c r="S206" s="70" t="n">
        <v>1086</v>
      </c>
      <c r="T206" s="71" t="n">
        <v>74427.37</v>
      </c>
      <c r="U206" t="inlineStr">
        <is>
          <t>Low</t>
        </is>
      </c>
      <c r="V206">
        <f>IF(AND(OR(Dashboard!$C$6="All",E206=Dashboard!$C$6),OR(Dashboard!$F$6="All",G206=Dashboard!$F$6),OR(Dashboard!$I$6="All",H206=Dashboard!$I$6)),1,0)</f>
        <v/>
      </c>
    </row>
    <row r="207">
      <c r="A207" t="inlineStr">
        <is>
          <t>PF100198</t>
        </is>
      </c>
      <c r="B207" s="68" t="n">
        <v>45680</v>
      </c>
      <c r="C207" s="69" t="n">
        <v>2025</v>
      </c>
      <c r="D207" t="inlineStr">
        <is>
          <t>Jan</t>
        </is>
      </c>
      <c r="E207" t="inlineStr">
        <is>
          <t>Emerging markets</t>
        </is>
      </c>
      <c r="F207" t="inlineStr">
        <is>
          <t>India</t>
        </is>
      </c>
      <c r="G207" t="inlineStr">
        <is>
          <t>Prevnar 20</t>
        </is>
      </c>
      <c r="H207" t="inlineStr">
        <is>
          <t>Hospital</t>
        </is>
      </c>
      <c r="I207" t="inlineStr">
        <is>
          <t>Self-pay</t>
        </is>
      </c>
      <c r="J207" t="inlineStr">
        <is>
          <t>Priya Nair</t>
        </is>
      </c>
      <c r="K207" s="70" t="n">
        <v>2355</v>
      </c>
      <c r="L207" s="71" t="n">
        <v>220.07</v>
      </c>
      <c r="M207" s="71" t="n">
        <v>518264.85</v>
      </c>
      <c r="N207" s="71" t="n">
        <v>51826.49</v>
      </c>
      <c r="O207" s="71" t="n">
        <v>466438.36</v>
      </c>
      <c r="P207" s="71" t="n">
        <v>156222.88</v>
      </c>
      <c r="Q207" s="71" t="n">
        <v>310215.48</v>
      </c>
      <c r="R207" t="inlineStr">
        <is>
          <t>Vaccines</t>
        </is>
      </c>
      <c r="S207" s="70" t="n">
        <v>1754</v>
      </c>
      <c r="T207" s="71" t="n">
        <v>110559.67</v>
      </c>
      <c r="U207" t="inlineStr">
        <is>
          <t>Low</t>
        </is>
      </c>
      <c r="V207">
        <f>IF(AND(OR(Dashboard!$C$6="All",E207=Dashboard!$C$6),OR(Dashboard!$F$6="All",G207=Dashboard!$F$6),OR(Dashboard!$I$6="All",H207=Dashboard!$I$6)),1,0)</f>
        <v/>
      </c>
    </row>
    <row r="208">
      <c r="A208" t="inlineStr">
        <is>
          <t>PF100199</t>
        </is>
      </c>
      <c r="B208" s="68" t="n">
        <v>45680</v>
      </c>
      <c r="C208" s="69" t="n">
        <v>2025</v>
      </c>
      <c r="D208" t="inlineStr">
        <is>
          <t>Jan</t>
        </is>
      </c>
      <c r="E208" t="inlineStr">
        <is>
          <t>Europe</t>
        </is>
      </c>
      <c r="F208" t="inlineStr">
        <is>
          <t>Italy</t>
        </is>
      </c>
      <c r="G208" t="inlineStr">
        <is>
          <t>Xeljanz</t>
        </is>
      </c>
      <c r="H208" t="inlineStr">
        <is>
          <t>Retail pharmacy</t>
        </is>
      </c>
      <c r="I208" t="inlineStr">
        <is>
          <t>Public payer</t>
        </is>
      </c>
      <c r="J208" t="inlineStr">
        <is>
          <t>Amir Khan</t>
        </is>
      </c>
      <c r="K208" s="70" t="n">
        <v>1802</v>
      </c>
      <c r="L208" s="71" t="n">
        <v>1418.75</v>
      </c>
      <c r="M208" s="71" t="n">
        <v>2556587.5</v>
      </c>
      <c r="N208" s="71" t="n">
        <v>639146.88</v>
      </c>
      <c r="O208" s="71" t="n">
        <v>1917440.62</v>
      </c>
      <c r="P208" s="71" t="n">
        <v>469237.66</v>
      </c>
      <c r="Q208" s="71" t="n">
        <v>1448202.96</v>
      </c>
      <c r="R208" t="inlineStr">
        <is>
          <t>Inflammation</t>
        </is>
      </c>
      <c r="S208" s="70" t="n">
        <v>1642</v>
      </c>
      <c r="T208" s="71" t="n">
        <v>334748.76</v>
      </c>
      <c r="U208" t="inlineStr">
        <is>
          <t>High</t>
        </is>
      </c>
      <c r="V208">
        <f>IF(AND(OR(Dashboard!$C$6="All",E208=Dashboard!$C$6),OR(Dashboard!$F$6="All",G208=Dashboard!$F$6),OR(Dashboard!$I$6="All",H208=Dashboard!$I$6)),1,0)</f>
        <v/>
      </c>
    </row>
    <row r="209">
      <c r="A209" t="inlineStr">
        <is>
          <t>PF100200</t>
        </is>
      </c>
      <c r="B209" s="68" t="n">
        <v>45680</v>
      </c>
      <c r="C209" s="69" t="n">
        <v>2025</v>
      </c>
      <c r="D209" t="inlineStr">
        <is>
          <t>Jan</t>
        </is>
      </c>
      <c r="E209" t="inlineStr">
        <is>
          <t>International developed</t>
        </is>
      </c>
      <c r="F209" t="inlineStr">
        <is>
          <t>Japan</t>
        </is>
      </c>
      <c r="G209" t="inlineStr">
        <is>
          <t>Prevnar 20</t>
        </is>
      </c>
      <c r="H209" t="inlineStr">
        <is>
          <t>Retail pharmacy</t>
        </is>
      </c>
      <c r="I209" t="inlineStr">
        <is>
          <t>Self-pay</t>
        </is>
      </c>
      <c r="J209" t="inlineStr">
        <is>
          <t>Omar Haddad</t>
        </is>
      </c>
      <c r="K209" s="70" t="n">
        <v>2480</v>
      </c>
      <c r="L209" s="71" t="n">
        <v>246.86</v>
      </c>
      <c r="M209" s="71" t="n">
        <v>612212.8</v>
      </c>
      <c r="N209" s="71" t="n">
        <v>61221.28</v>
      </c>
      <c r="O209" s="71" t="n">
        <v>550991.52</v>
      </c>
      <c r="P209" s="71" t="n">
        <v>176976.27</v>
      </c>
      <c r="Q209" s="71" t="n">
        <v>374015.25</v>
      </c>
      <c r="R209" t="inlineStr">
        <is>
          <t>Vaccines</t>
        </is>
      </c>
      <c r="S209" s="70" t="n">
        <v>2164</v>
      </c>
      <c r="T209" s="71" t="n">
        <v>133359.45</v>
      </c>
      <c r="U209" t="inlineStr">
        <is>
          <t>Low</t>
        </is>
      </c>
      <c r="V209">
        <f>IF(AND(OR(Dashboard!$C$6="All",E209=Dashboard!$C$6),OR(Dashboard!$F$6="All",G209=Dashboard!$F$6),OR(Dashboard!$I$6="All",H209=Dashboard!$I$6)),1,0)</f>
        <v/>
      </c>
    </row>
    <row r="210">
      <c r="A210" t="inlineStr">
        <is>
          <t>PF100201</t>
        </is>
      </c>
      <c r="B210" s="68" t="n">
        <v>45680</v>
      </c>
      <c r="C210" s="69" t="n">
        <v>2025</v>
      </c>
      <c r="D210" t="inlineStr">
        <is>
          <t>Jan</t>
        </is>
      </c>
      <c r="E210" t="inlineStr">
        <is>
          <t>United States</t>
        </is>
      </c>
      <c r="F210" t="inlineStr">
        <is>
          <t>USA</t>
        </is>
      </c>
      <c r="G210" t="inlineStr">
        <is>
          <t>Abrysvo</t>
        </is>
      </c>
      <c r="H210" t="inlineStr">
        <is>
          <t>Hospital</t>
        </is>
      </c>
      <c r="I210" t="inlineStr">
        <is>
          <t>Private insurer</t>
        </is>
      </c>
      <c r="J210" t="inlineStr">
        <is>
          <t>Amir Khan</t>
        </is>
      </c>
      <c r="K210" s="70" t="n">
        <v>2450</v>
      </c>
      <c r="L210" s="71" t="n">
        <v>439.01</v>
      </c>
      <c r="M210" s="71" t="n">
        <v>1075574.5</v>
      </c>
      <c r="N210" s="71" t="n">
        <v>268893.62</v>
      </c>
      <c r="O210" s="71" t="n">
        <v>806680.88</v>
      </c>
      <c r="P210" s="71" t="n">
        <v>208300.06</v>
      </c>
      <c r="Q210" s="71" t="n">
        <v>598380.8199999999</v>
      </c>
      <c r="R210" t="inlineStr">
        <is>
          <t>Vaccines</t>
        </is>
      </c>
      <c r="S210" s="70" t="n">
        <v>2260</v>
      </c>
      <c r="T210" s="71" t="n">
        <v>184750.29</v>
      </c>
      <c r="U210" t="inlineStr">
        <is>
          <t>Low</t>
        </is>
      </c>
      <c r="V210">
        <f>IF(AND(OR(Dashboard!$C$6="All",E210=Dashboard!$C$6),OR(Dashboard!$F$6="All",G210=Dashboard!$F$6),OR(Dashboard!$I$6="All",H210=Dashboard!$I$6)),1,0)</f>
        <v/>
      </c>
    </row>
    <row r="211">
      <c r="A211" t="inlineStr">
        <is>
          <t>PF100202</t>
        </is>
      </c>
      <c r="B211" s="68" t="n">
        <v>45680</v>
      </c>
      <c r="C211" s="69" t="n">
        <v>2025</v>
      </c>
      <c r="D211" t="inlineStr">
        <is>
          <t>Jan</t>
        </is>
      </c>
      <c r="E211" t="inlineStr">
        <is>
          <t>International developed</t>
        </is>
      </c>
      <c r="F211" t="inlineStr">
        <is>
          <t>Japan</t>
        </is>
      </c>
      <c r="G211" t="inlineStr">
        <is>
          <t>Xeljanz</t>
        </is>
      </c>
      <c r="H211" t="inlineStr">
        <is>
          <t>Government / tender</t>
        </is>
      </c>
      <c r="I211" t="inlineStr">
        <is>
          <t>Public payer</t>
        </is>
      </c>
      <c r="J211" t="inlineStr">
        <is>
          <t>Emma Clarke</t>
        </is>
      </c>
      <c r="K211" s="70" t="n">
        <v>683</v>
      </c>
      <c r="L211" s="71" t="n">
        <v>1526.62</v>
      </c>
      <c r="M211" s="71" t="n">
        <v>1042681.46</v>
      </c>
      <c r="N211" s="71" t="n">
        <v>104268.15</v>
      </c>
      <c r="O211" s="71" t="n">
        <v>938413.3100000001</v>
      </c>
      <c r="P211" s="71" t="n">
        <v>177067.49</v>
      </c>
      <c r="Q211" s="71" t="n">
        <v>761345.8199999999</v>
      </c>
      <c r="R211" t="inlineStr">
        <is>
          <t>Inflammation</t>
        </is>
      </c>
      <c r="S211" s="70" t="n">
        <v>587</v>
      </c>
      <c r="T211" s="71" t="n">
        <v>131093.81</v>
      </c>
      <c r="U211" t="inlineStr">
        <is>
          <t>High</t>
        </is>
      </c>
      <c r="V211">
        <f>IF(AND(OR(Dashboard!$C$6="All",E211=Dashboard!$C$6),OR(Dashboard!$F$6="All",G211=Dashboard!$F$6),OR(Dashboard!$I$6="All",H211=Dashboard!$I$6)),1,0)</f>
        <v/>
      </c>
    </row>
    <row r="212">
      <c r="A212" t="inlineStr">
        <is>
          <t>PF100203</t>
        </is>
      </c>
      <c r="B212" s="68" t="n">
        <v>45680</v>
      </c>
      <c r="C212" s="69" t="n">
        <v>2025</v>
      </c>
      <c r="D212" t="inlineStr">
        <is>
          <t>Jan</t>
        </is>
      </c>
      <c r="E212" t="inlineStr">
        <is>
          <t>Europe</t>
        </is>
      </c>
      <c r="F212" t="inlineStr">
        <is>
          <t>Germany</t>
        </is>
      </c>
      <c r="G212" t="inlineStr">
        <is>
          <t>Xeljanz</t>
        </is>
      </c>
      <c r="H212" t="inlineStr">
        <is>
          <t>Hospital</t>
        </is>
      </c>
      <c r="I212" t="inlineStr">
        <is>
          <t>Private insurer</t>
        </is>
      </c>
      <c r="J212" t="inlineStr">
        <is>
          <t>Noah Smith</t>
        </is>
      </c>
      <c r="K212" s="70" t="n">
        <v>2760</v>
      </c>
      <c r="L212" s="71" t="n">
        <v>1504.26</v>
      </c>
      <c r="M212" s="71" t="n">
        <v>4151757.6</v>
      </c>
      <c r="N212" s="71" t="n">
        <v>207587.88</v>
      </c>
      <c r="O212" s="71" t="n">
        <v>3944169.72</v>
      </c>
      <c r="P212" s="71" t="n">
        <v>722730.89</v>
      </c>
      <c r="Q212" s="71" t="n">
        <v>3221438.83</v>
      </c>
      <c r="R212" t="inlineStr">
        <is>
          <t>Inflammation</t>
        </is>
      </c>
      <c r="S212" s="70" t="n">
        <v>2384</v>
      </c>
      <c r="T212" s="71" t="n">
        <v>553753.46</v>
      </c>
      <c r="U212" t="inlineStr">
        <is>
          <t>High</t>
        </is>
      </c>
      <c r="V212">
        <f>IF(AND(OR(Dashboard!$C$6="All",E212=Dashboard!$C$6),OR(Dashboard!$F$6="All",G212=Dashboard!$F$6),OR(Dashboard!$I$6="All",H212=Dashboard!$I$6)),1,0)</f>
        <v/>
      </c>
    </row>
    <row r="213">
      <c r="A213" t="inlineStr">
        <is>
          <t>PF100204</t>
        </is>
      </c>
      <c r="B213" s="68" t="n">
        <v>45680</v>
      </c>
      <c r="C213" s="69" t="n">
        <v>2025</v>
      </c>
      <c r="D213" t="inlineStr">
        <is>
          <t>Jan</t>
        </is>
      </c>
      <c r="E213" t="inlineStr">
        <is>
          <t>United States</t>
        </is>
      </c>
      <c r="F213" t="inlineStr">
        <is>
          <t>USA</t>
        </is>
      </c>
      <c r="G213" t="inlineStr">
        <is>
          <t>Eliquis</t>
        </is>
      </c>
      <c r="H213" t="inlineStr">
        <is>
          <t>Retail pharmacy</t>
        </is>
      </c>
      <c r="I213" t="inlineStr">
        <is>
          <t>Private insurer</t>
        </is>
      </c>
      <c r="J213" t="inlineStr">
        <is>
          <t>Amir Khan</t>
        </is>
      </c>
      <c r="K213" s="70" t="n">
        <v>1704</v>
      </c>
      <c r="L213" s="71" t="n">
        <v>635.86</v>
      </c>
      <c r="M213" s="71" t="n">
        <v>1083505.44</v>
      </c>
      <c r="N213" s="71" t="n">
        <v>270876.36</v>
      </c>
      <c r="O213" s="71" t="n">
        <v>812629.08</v>
      </c>
      <c r="P213" s="71" t="n">
        <v>133308.81</v>
      </c>
      <c r="Q213" s="71" t="n">
        <v>679320.27</v>
      </c>
      <c r="R213" t="inlineStr">
        <is>
          <t>Cardiology</t>
        </is>
      </c>
      <c r="S213" s="70" t="n">
        <v>1393</v>
      </c>
      <c r="T213" s="71" t="n">
        <v>228533.39</v>
      </c>
      <c r="U213" t="inlineStr">
        <is>
          <t>High</t>
        </is>
      </c>
      <c r="V213">
        <f>IF(AND(OR(Dashboard!$C$6="All",E213=Dashboard!$C$6),OR(Dashboard!$F$6="All",G213=Dashboard!$F$6),OR(Dashboard!$I$6="All",H213=Dashboard!$I$6)),1,0)</f>
        <v/>
      </c>
    </row>
    <row r="214">
      <c r="A214" t="inlineStr">
        <is>
          <t>PF100205</t>
        </is>
      </c>
      <c r="B214" s="68" t="n">
        <v>45680</v>
      </c>
      <c r="C214" s="69" t="n">
        <v>2025</v>
      </c>
      <c r="D214" t="inlineStr">
        <is>
          <t>Jan</t>
        </is>
      </c>
      <c r="E214" t="inlineStr">
        <is>
          <t>United States</t>
        </is>
      </c>
      <c r="F214" t="inlineStr">
        <is>
          <t>USA</t>
        </is>
      </c>
      <c r="G214" t="inlineStr">
        <is>
          <t>Prevnar 20</t>
        </is>
      </c>
      <c r="H214" t="inlineStr">
        <is>
          <t>Hospital</t>
        </is>
      </c>
      <c r="I214" t="inlineStr">
        <is>
          <t>Private insurer</t>
        </is>
      </c>
      <c r="J214" t="inlineStr">
        <is>
          <t>Liam O'Brien</t>
        </is>
      </c>
      <c r="K214" s="70" t="n">
        <v>2213</v>
      </c>
      <c r="L214" s="71" t="n">
        <v>355.52</v>
      </c>
      <c r="M214" s="71" t="n">
        <v>786765.76</v>
      </c>
      <c r="N214" s="71" t="n">
        <v>236029.73</v>
      </c>
      <c r="O214" s="71" t="n">
        <v>550736.03</v>
      </c>
      <c r="P214" s="71" t="n">
        <v>155985.18</v>
      </c>
      <c r="Q214" s="71" t="n">
        <v>394750.85</v>
      </c>
      <c r="R214" t="inlineStr">
        <is>
          <t>Vaccines</t>
        </is>
      </c>
      <c r="S214" s="70" t="n">
        <v>1474</v>
      </c>
      <c r="T214" s="71" t="n">
        <v>132483.93</v>
      </c>
      <c r="U214" t="inlineStr">
        <is>
          <t>Low</t>
        </is>
      </c>
      <c r="V214">
        <f>IF(AND(OR(Dashboard!$C$6="All",E214=Dashboard!$C$6),OR(Dashboard!$F$6="All",G214=Dashboard!$F$6),OR(Dashboard!$I$6="All",H214=Dashboard!$I$6)),1,0)</f>
        <v/>
      </c>
    </row>
    <row r="215">
      <c r="A215" t="inlineStr">
        <is>
          <t>PF100206</t>
        </is>
      </c>
      <c r="B215" s="68" t="n">
        <v>45680</v>
      </c>
      <c r="C215" s="69" t="n">
        <v>2025</v>
      </c>
      <c r="D215" t="inlineStr">
        <is>
          <t>Jan</t>
        </is>
      </c>
      <c r="E215" t="inlineStr">
        <is>
          <t>Emerging markets</t>
        </is>
      </c>
      <c r="F215" t="inlineStr">
        <is>
          <t>Mexico</t>
        </is>
      </c>
      <c r="G215" t="inlineStr">
        <is>
          <t>Abrysvo</t>
        </is>
      </c>
      <c r="H215" t="inlineStr">
        <is>
          <t>Retail pharmacy</t>
        </is>
      </c>
      <c r="I215" t="inlineStr">
        <is>
          <t>Public payer</t>
        </is>
      </c>
      <c r="J215" t="inlineStr">
        <is>
          <t>Wei Chen</t>
        </is>
      </c>
      <c r="K215" s="70" t="n">
        <v>416</v>
      </c>
      <c r="L215" s="71" t="n">
        <v>282.58</v>
      </c>
      <c r="M215" s="71" t="n">
        <v>117553.28</v>
      </c>
      <c r="N215" s="71" t="n">
        <v>29388.32</v>
      </c>
      <c r="O215" s="71" t="n">
        <v>88164.96000000001</v>
      </c>
      <c r="P215" s="71" t="n">
        <v>34410.62</v>
      </c>
      <c r="Q215" s="71" t="n">
        <v>53754.34</v>
      </c>
      <c r="R215" t="inlineStr">
        <is>
          <t>Vaccines</t>
        </is>
      </c>
      <c r="S215" s="70" t="n">
        <v>308</v>
      </c>
      <c r="T215" s="71" t="n">
        <v>18254.58</v>
      </c>
      <c r="U215" t="inlineStr">
        <is>
          <t>Low</t>
        </is>
      </c>
      <c r="V215">
        <f>IF(AND(OR(Dashboard!$C$6="All",E215=Dashboard!$C$6),OR(Dashboard!$F$6="All",G215=Dashboard!$F$6),OR(Dashboard!$I$6="All",H215=Dashboard!$I$6)),1,0)</f>
        <v/>
      </c>
    </row>
    <row r="216">
      <c r="A216" t="inlineStr">
        <is>
          <t>PF100207</t>
        </is>
      </c>
      <c r="B216" s="68" t="n">
        <v>45680</v>
      </c>
      <c r="C216" s="69" t="n">
        <v>2025</v>
      </c>
      <c r="D216" t="inlineStr">
        <is>
          <t>Jan</t>
        </is>
      </c>
      <c r="E216" t="inlineStr">
        <is>
          <t>United States</t>
        </is>
      </c>
      <c r="F216" t="inlineStr">
        <is>
          <t>USA</t>
        </is>
      </c>
      <c r="G216" t="inlineStr">
        <is>
          <t>Xeljanz</t>
        </is>
      </c>
      <c r="H216" t="inlineStr">
        <is>
          <t>Government / tender</t>
        </is>
      </c>
      <c r="I216" t="inlineStr">
        <is>
          <t>Public payer</t>
        </is>
      </c>
      <c r="J216" t="inlineStr">
        <is>
          <t>Zoya Ahmed</t>
        </is>
      </c>
      <c r="K216" s="70" t="n">
        <v>1809</v>
      </c>
      <c r="L216" s="71" t="n">
        <v>2027.9</v>
      </c>
      <c r="M216" s="71" t="n">
        <v>3668471.1</v>
      </c>
      <c r="N216" s="71" t="n">
        <v>917117.78</v>
      </c>
      <c r="O216" s="71" t="n">
        <v>2751353.32</v>
      </c>
      <c r="P216" s="71" t="n">
        <v>439258.19</v>
      </c>
      <c r="Q216" s="71" t="n">
        <v>2312095.13</v>
      </c>
      <c r="R216" t="inlineStr">
        <is>
          <t>Inflammation</t>
        </is>
      </c>
      <c r="S216" s="70" t="n">
        <v>1572</v>
      </c>
      <c r="T216" s="71" t="n">
        <v>497759.45</v>
      </c>
      <c r="U216" t="inlineStr">
        <is>
          <t>High</t>
        </is>
      </c>
      <c r="V216">
        <f>IF(AND(OR(Dashboard!$C$6="All",E216=Dashboard!$C$6),OR(Dashboard!$F$6="All",G216=Dashboard!$F$6),OR(Dashboard!$I$6="All",H216=Dashboard!$I$6)),1,0)</f>
        <v/>
      </c>
    </row>
    <row r="217">
      <c r="A217" t="inlineStr">
        <is>
          <t>PF100208</t>
        </is>
      </c>
      <c r="B217" s="68" t="n">
        <v>45681</v>
      </c>
      <c r="C217" s="69" t="n">
        <v>2025</v>
      </c>
      <c r="D217" t="inlineStr">
        <is>
          <t>Jan</t>
        </is>
      </c>
      <c r="E217" t="inlineStr">
        <is>
          <t>Emerging markets</t>
        </is>
      </c>
      <c r="F217" t="inlineStr">
        <is>
          <t>Mexico</t>
        </is>
      </c>
      <c r="G217" t="inlineStr">
        <is>
          <t>Comirnaty</t>
        </is>
      </c>
      <c r="H217" t="inlineStr">
        <is>
          <t>Retail pharmacy</t>
        </is>
      </c>
      <c r="I217" t="inlineStr">
        <is>
          <t>Self-pay</t>
        </is>
      </c>
      <c r="J217" t="inlineStr">
        <is>
          <t>Emma Clarke</t>
        </is>
      </c>
      <c r="K217" s="70" t="n">
        <v>548</v>
      </c>
      <c r="L217" s="71" t="n">
        <v>110.81</v>
      </c>
      <c r="M217" s="71" t="n">
        <v>60723.88</v>
      </c>
      <c r="N217" s="71" t="n">
        <v>6072.39</v>
      </c>
      <c r="O217" s="71" t="n">
        <v>54651.49</v>
      </c>
      <c r="P217" s="71" t="n">
        <v>21772.27</v>
      </c>
      <c r="Q217" s="71" t="n">
        <v>32879.22</v>
      </c>
      <c r="R217" t="inlineStr">
        <is>
          <t>Vaccines</t>
        </is>
      </c>
      <c r="S217" s="70" t="n">
        <v>416</v>
      </c>
      <c r="T217" s="71" t="n">
        <v>12017.64</v>
      </c>
      <c r="U217" t="inlineStr">
        <is>
          <t>Low</t>
        </is>
      </c>
      <c r="V217">
        <f>IF(AND(OR(Dashboard!$C$6="All",E217=Dashboard!$C$6),OR(Dashboard!$F$6="All",G217=Dashboard!$F$6),OR(Dashboard!$I$6="All",H217=Dashboard!$I$6)),1,0)</f>
        <v/>
      </c>
    </row>
    <row r="218">
      <c r="A218" t="inlineStr">
        <is>
          <t>PF100209</t>
        </is>
      </c>
      <c r="B218" s="68" t="n">
        <v>45681</v>
      </c>
      <c r="C218" s="69" t="n">
        <v>2025</v>
      </c>
      <c r="D218" t="inlineStr">
        <is>
          <t>Jan</t>
        </is>
      </c>
      <c r="E218" t="inlineStr">
        <is>
          <t>Europe</t>
        </is>
      </c>
      <c r="F218" t="inlineStr">
        <is>
          <t>UK</t>
        </is>
      </c>
      <c r="G218" t="inlineStr">
        <is>
          <t>Eliquis</t>
        </is>
      </c>
      <c r="H218" t="inlineStr">
        <is>
          <t>Hospital</t>
        </is>
      </c>
      <c r="I218" t="inlineStr">
        <is>
          <t>Private insurer</t>
        </is>
      </c>
      <c r="J218" t="inlineStr">
        <is>
          <t>Wei Chen</t>
        </is>
      </c>
      <c r="K218" s="70" t="n">
        <v>1135</v>
      </c>
      <c r="L218" s="71" t="n">
        <v>423.22</v>
      </c>
      <c r="M218" s="71" t="n">
        <v>480354.7</v>
      </c>
      <c r="N218" s="71" t="n">
        <v>48035.47</v>
      </c>
      <c r="O218" s="71" t="n">
        <v>432319.23</v>
      </c>
      <c r="P218" s="71" t="n">
        <v>88606.67</v>
      </c>
      <c r="Q218" s="71" t="n">
        <v>343712.56</v>
      </c>
      <c r="R218" t="inlineStr">
        <is>
          <t>Cardiology</t>
        </is>
      </c>
      <c r="S218" s="70" t="n">
        <v>828</v>
      </c>
      <c r="T218" s="71" t="n">
        <v>88651.83</v>
      </c>
      <c r="U218" t="inlineStr">
        <is>
          <t>High</t>
        </is>
      </c>
      <c r="V218">
        <f>IF(AND(OR(Dashboard!$C$6="All",E218=Dashboard!$C$6),OR(Dashboard!$F$6="All",G218=Dashboard!$F$6),OR(Dashboard!$I$6="All",H218=Dashboard!$I$6)),1,0)</f>
        <v/>
      </c>
    </row>
    <row r="219">
      <c r="A219" t="inlineStr">
        <is>
          <t>PF100210</t>
        </is>
      </c>
      <c r="B219" s="68" t="n">
        <v>45681</v>
      </c>
      <c r="C219" s="69" t="n">
        <v>2025</v>
      </c>
      <c r="D219" t="inlineStr">
        <is>
          <t>Jan</t>
        </is>
      </c>
      <c r="E219" t="inlineStr">
        <is>
          <t>United States</t>
        </is>
      </c>
      <c r="F219" t="inlineStr">
        <is>
          <t>USA</t>
        </is>
      </c>
      <c r="G219" t="inlineStr">
        <is>
          <t>Ibrance</t>
        </is>
      </c>
      <c r="H219" t="inlineStr">
        <is>
          <t>Hospital</t>
        </is>
      </c>
      <c r="I219" t="inlineStr">
        <is>
          <t>Public payer</t>
        </is>
      </c>
      <c r="J219" t="inlineStr">
        <is>
          <t>Olivia Brown</t>
        </is>
      </c>
      <c r="K219" s="70" t="n">
        <v>1320</v>
      </c>
      <c r="L219" s="71" t="n">
        <v>4559.26</v>
      </c>
      <c r="M219" s="71" t="n">
        <v>6018223.2</v>
      </c>
      <c r="N219" s="71" t="n">
        <v>902733.48</v>
      </c>
      <c r="O219" s="71" t="n">
        <v>5115489.72</v>
      </c>
      <c r="P219" s="71" t="n">
        <v>589371.72</v>
      </c>
      <c r="Q219" s="71" t="n">
        <v>4526118</v>
      </c>
      <c r="R219" t="inlineStr">
        <is>
          <t>Oncology</t>
        </is>
      </c>
      <c r="S219" s="70" t="n">
        <v>947</v>
      </c>
      <c r="T219" s="71" t="n">
        <v>930847.0699999999</v>
      </c>
      <c r="U219" t="inlineStr">
        <is>
          <t>High</t>
        </is>
      </c>
      <c r="V219">
        <f>IF(AND(OR(Dashboard!$C$6="All",E219=Dashboard!$C$6),OR(Dashboard!$F$6="All",G219=Dashboard!$F$6),OR(Dashboard!$I$6="All",H219=Dashboard!$I$6)),1,0)</f>
        <v/>
      </c>
    </row>
    <row r="220">
      <c r="A220" t="inlineStr">
        <is>
          <t>PF100211</t>
        </is>
      </c>
      <c r="B220" s="68" t="n">
        <v>45681</v>
      </c>
      <c r="C220" s="69" t="n">
        <v>2025</v>
      </c>
      <c r="D220" t="inlineStr">
        <is>
          <t>Jan</t>
        </is>
      </c>
      <c r="E220" t="inlineStr">
        <is>
          <t>Europe</t>
        </is>
      </c>
      <c r="F220" t="inlineStr">
        <is>
          <t>Spain</t>
        </is>
      </c>
      <c r="G220" t="inlineStr">
        <is>
          <t>Paxlovid</t>
        </is>
      </c>
      <c r="H220" t="inlineStr">
        <is>
          <t>Retail pharmacy</t>
        </is>
      </c>
      <c r="I220" t="inlineStr">
        <is>
          <t>Public payer</t>
        </is>
      </c>
      <c r="J220" t="inlineStr">
        <is>
          <t>Sara Rossi</t>
        </is>
      </c>
      <c r="K220" s="70" t="n">
        <v>799</v>
      </c>
      <c r="L220" s="71" t="n">
        <v>995.64</v>
      </c>
      <c r="M220" s="71" t="n">
        <v>795516.36</v>
      </c>
      <c r="N220" s="71" t="n">
        <v>79551.64</v>
      </c>
      <c r="O220" s="71" t="n">
        <v>715964.72</v>
      </c>
      <c r="P220" s="71" t="n">
        <v>211321.69</v>
      </c>
      <c r="Q220" s="71" t="n">
        <v>504643.03</v>
      </c>
      <c r="R220" t="inlineStr">
        <is>
          <t>Antiviral</t>
        </is>
      </c>
      <c r="S220" s="70" t="n">
        <v>659</v>
      </c>
      <c r="T220" s="71" t="n">
        <v>147378.46</v>
      </c>
      <c r="U220" t="inlineStr">
        <is>
          <t>Low</t>
        </is>
      </c>
      <c r="V220">
        <f>IF(AND(OR(Dashboard!$C$6="All",E220=Dashboard!$C$6),OR(Dashboard!$F$6="All",G220=Dashboard!$F$6),OR(Dashboard!$I$6="All",H220=Dashboard!$I$6)),1,0)</f>
        <v/>
      </c>
    </row>
    <row r="221">
      <c r="A221" t="inlineStr">
        <is>
          <t>PF100212</t>
        </is>
      </c>
      <c r="B221" s="68" t="n">
        <v>45681</v>
      </c>
      <c r="C221" s="69" t="n">
        <v>2025</v>
      </c>
      <c r="D221" t="inlineStr">
        <is>
          <t>Jan</t>
        </is>
      </c>
      <c r="E221" t="inlineStr">
        <is>
          <t>United States</t>
        </is>
      </c>
      <c r="F221" t="inlineStr">
        <is>
          <t>USA</t>
        </is>
      </c>
      <c r="G221" t="inlineStr">
        <is>
          <t>Prevnar 20</t>
        </is>
      </c>
      <c r="H221" t="inlineStr">
        <is>
          <t>Government / tender</t>
        </is>
      </c>
      <c r="I221" t="inlineStr">
        <is>
          <t>Public payer</t>
        </is>
      </c>
      <c r="J221" t="inlineStr">
        <is>
          <t>Noah Smith</t>
        </is>
      </c>
      <c r="K221" s="70" t="n">
        <v>2177</v>
      </c>
      <c r="L221" s="71" t="n">
        <v>377.73</v>
      </c>
      <c r="M221" s="71" t="n">
        <v>822318.21</v>
      </c>
      <c r="N221" s="71" t="n">
        <v>246695.46</v>
      </c>
      <c r="O221" s="71" t="n">
        <v>575622.75</v>
      </c>
      <c r="P221" s="71" t="n">
        <v>147039.34</v>
      </c>
      <c r="Q221" s="71" t="n">
        <v>428583.41</v>
      </c>
      <c r="R221" t="inlineStr">
        <is>
          <t>Vaccines</t>
        </is>
      </c>
      <c r="S221" s="70" t="n">
        <v>1870</v>
      </c>
      <c r="T221" s="71" t="n">
        <v>124287.34</v>
      </c>
      <c r="U221" t="inlineStr">
        <is>
          <t>Low</t>
        </is>
      </c>
      <c r="V221">
        <f>IF(AND(OR(Dashboard!$C$6="All",E221=Dashboard!$C$6),OR(Dashboard!$F$6="All",G221=Dashboard!$F$6),OR(Dashboard!$I$6="All",H221=Dashboard!$I$6)),1,0)</f>
        <v/>
      </c>
    </row>
    <row r="222">
      <c r="A222" t="inlineStr">
        <is>
          <t>PF100213</t>
        </is>
      </c>
      <c r="B222" s="68" t="n">
        <v>45681</v>
      </c>
      <c r="C222" s="69" t="n">
        <v>2025</v>
      </c>
      <c r="D222" t="inlineStr">
        <is>
          <t>Jan</t>
        </is>
      </c>
      <c r="E222" t="inlineStr">
        <is>
          <t>International developed</t>
        </is>
      </c>
      <c r="F222" t="inlineStr">
        <is>
          <t>Japan</t>
        </is>
      </c>
      <c r="G222" t="inlineStr">
        <is>
          <t>Abrysvo</t>
        </is>
      </c>
      <c r="H222" t="inlineStr">
        <is>
          <t>Hospital</t>
        </is>
      </c>
      <c r="I222" t="inlineStr">
        <is>
          <t>Public payer</t>
        </is>
      </c>
      <c r="J222" t="inlineStr">
        <is>
          <t>Yuki Sato</t>
        </is>
      </c>
      <c r="K222" s="70" t="n">
        <v>577</v>
      </c>
      <c r="L222" s="71" t="n">
        <v>285.76</v>
      </c>
      <c r="M222" s="71" t="n">
        <v>164883.52</v>
      </c>
      <c r="N222" s="71" t="n">
        <v>32976.7</v>
      </c>
      <c r="O222" s="71" t="n">
        <v>131906.82</v>
      </c>
      <c r="P222" s="71" t="n">
        <v>48112.6</v>
      </c>
      <c r="Q222" s="71" t="n">
        <v>83794.22</v>
      </c>
      <c r="R222" t="inlineStr">
        <is>
          <t>Vaccines</t>
        </is>
      </c>
      <c r="S222" s="70" t="n">
        <v>421</v>
      </c>
      <c r="T222" s="71" t="n">
        <v>32424.46</v>
      </c>
      <c r="U222" t="inlineStr">
        <is>
          <t>Low</t>
        </is>
      </c>
      <c r="V222">
        <f>IF(AND(OR(Dashboard!$C$6="All",E222=Dashboard!$C$6),OR(Dashboard!$F$6="All",G222=Dashboard!$F$6),OR(Dashboard!$I$6="All",H222=Dashboard!$I$6)),1,0)</f>
        <v/>
      </c>
    </row>
    <row r="223">
      <c r="A223" t="inlineStr">
        <is>
          <t>PF100214</t>
        </is>
      </c>
      <c r="B223" s="68" t="n">
        <v>45681</v>
      </c>
      <c r="C223" s="69" t="n">
        <v>2025</v>
      </c>
      <c r="D223" t="inlineStr">
        <is>
          <t>Jan</t>
        </is>
      </c>
      <c r="E223" t="inlineStr">
        <is>
          <t>Europe</t>
        </is>
      </c>
      <c r="F223" t="inlineStr">
        <is>
          <t>Spain</t>
        </is>
      </c>
      <c r="G223" t="inlineStr">
        <is>
          <t>Eliquis</t>
        </is>
      </c>
      <c r="H223" t="inlineStr">
        <is>
          <t>Hospital</t>
        </is>
      </c>
      <c r="I223" t="inlineStr">
        <is>
          <t>Public payer</t>
        </is>
      </c>
      <c r="J223" t="inlineStr">
        <is>
          <t>Wei Chen</t>
        </is>
      </c>
      <c r="K223" s="70" t="n">
        <v>307</v>
      </c>
      <c r="L223" s="71" t="n">
        <v>386.66</v>
      </c>
      <c r="M223" s="71" t="n">
        <v>118704.62</v>
      </c>
      <c r="N223" s="71" t="n">
        <v>11870.46</v>
      </c>
      <c r="O223" s="71" t="n">
        <v>106834.16</v>
      </c>
      <c r="P223" s="71" t="n">
        <v>22465.48</v>
      </c>
      <c r="Q223" s="71" t="n">
        <v>84368.67999999999</v>
      </c>
      <c r="R223" t="inlineStr">
        <is>
          <t>Cardiology</t>
        </is>
      </c>
      <c r="S223" s="70" t="n">
        <v>199</v>
      </c>
      <c r="T223" s="71" t="n">
        <v>25487.84</v>
      </c>
      <c r="U223" t="inlineStr">
        <is>
          <t>High</t>
        </is>
      </c>
      <c r="V223">
        <f>IF(AND(OR(Dashboard!$C$6="All",E223=Dashboard!$C$6),OR(Dashboard!$F$6="All",G223=Dashboard!$F$6),OR(Dashboard!$I$6="All",H223=Dashboard!$I$6)),1,0)</f>
        <v/>
      </c>
    </row>
    <row r="224">
      <c r="A224" t="inlineStr">
        <is>
          <t>PF100215</t>
        </is>
      </c>
      <c r="B224" s="68" t="n">
        <v>45681</v>
      </c>
      <c r="C224" s="69" t="n">
        <v>2025</v>
      </c>
      <c r="D224" t="inlineStr">
        <is>
          <t>Jan</t>
        </is>
      </c>
      <c r="E224" t="inlineStr">
        <is>
          <t>Emerging markets</t>
        </is>
      </c>
      <c r="F224" t="inlineStr">
        <is>
          <t>Mexico</t>
        </is>
      </c>
      <c r="G224" t="inlineStr">
        <is>
          <t>Xeljanz</t>
        </is>
      </c>
      <c r="H224" t="inlineStr">
        <is>
          <t>Retail pharmacy</t>
        </is>
      </c>
      <c r="I224" t="inlineStr">
        <is>
          <t>Public payer</t>
        </is>
      </c>
      <c r="J224" t="inlineStr">
        <is>
          <t>Yuki Sato</t>
        </is>
      </c>
      <c r="K224" s="70" t="n">
        <v>1623</v>
      </c>
      <c r="L224" s="71" t="n">
        <v>1476.93</v>
      </c>
      <c r="M224" s="71" t="n">
        <v>2397057.39</v>
      </c>
      <c r="N224" s="71" t="n">
        <v>479411.48</v>
      </c>
      <c r="O224" s="71" t="n">
        <v>1917645.91</v>
      </c>
      <c r="P224" s="71" t="n">
        <v>406724.04</v>
      </c>
      <c r="Q224" s="71" t="n">
        <v>1510921.87</v>
      </c>
      <c r="R224" t="inlineStr">
        <is>
          <t>Inflammation</t>
        </is>
      </c>
      <c r="S224" s="70" t="n">
        <v>1506</v>
      </c>
      <c r="T224" s="71" t="n">
        <v>487701.34</v>
      </c>
      <c r="U224" t="inlineStr">
        <is>
          <t>High</t>
        </is>
      </c>
      <c r="V224">
        <f>IF(AND(OR(Dashboard!$C$6="All",E224=Dashboard!$C$6),OR(Dashboard!$F$6="All",G224=Dashboard!$F$6),OR(Dashboard!$I$6="All",H224=Dashboard!$I$6)),1,0)</f>
        <v/>
      </c>
    </row>
    <row r="225">
      <c r="A225" t="inlineStr">
        <is>
          <t>PF100216</t>
        </is>
      </c>
      <c r="B225" s="68" t="n">
        <v>45681</v>
      </c>
      <c r="C225" s="69" t="n">
        <v>2025</v>
      </c>
      <c r="D225" t="inlineStr">
        <is>
          <t>Jan</t>
        </is>
      </c>
      <c r="E225" t="inlineStr">
        <is>
          <t>United States</t>
        </is>
      </c>
      <c r="F225" t="inlineStr">
        <is>
          <t>USA</t>
        </is>
      </c>
      <c r="G225" t="inlineStr">
        <is>
          <t>Abrysvo</t>
        </is>
      </c>
      <c r="H225" t="inlineStr">
        <is>
          <t>Retail pharmacy</t>
        </is>
      </c>
      <c r="I225" t="inlineStr">
        <is>
          <t>Private insurer</t>
        </is>
      </c>
      <c r="J225" t="inlineStr">
        <is>
          <t>Shraddha Kulkarni</t>
        </is>
      </c>
      <c r="K225" s="70" t="n">
        <v>385</v>
      </c>
      <c r="L225" s="71" t="n">
        <v>454.88</v>
      </c>
      <c r="M225" s="71" t="n">
        <v>175128.8</v>
      </c>
      <c r="N225" s="71" t="n">
        <v>26269.32</v>
      </c>
      <c r="O225" s="71" t="n">
        <v>148859.48</v>
      </c>
      <c r="P225" s="71" t="n">
        <v>32153.6</v>
      </c>
      <c r="Q225" s="71" t="n">
        <v>116705.88</v>
      </c>
      <c r="R225" t="inlineStr">
        <is>
          <t>Vaccines</t>
        </is>
      </c>
      <c r="S225" s="70" t="n">
        <v>254</v>
      </c>
      <c r="T225" s="71" t="n">
        <v>23495.1</v>
      </c>
      <c r="U225" t="inlineStr">
        <is>
          <t>Low</t>
        </is>
      </c>
      <c r="V225">
        <f>IF(AND(OR(Dashboard!$C$6="All",E225=Dashboard!$C$6),OR(Dashboard!$F$6="All",G225=Dashboard!$F$6),OR(Dashboard!$I$6="All",H225=Dashboard!$I$6)),1,0)</f>
        <v/>
      </c>
    </row>
    <row r="226">
      <c r="A226" t="inlineStr">
        <is>
          <t>PF100217</t>
        </is>
      </c>
      <c r="B226" s="68" t="n">
        <v>45681</v>
      </c>
      <c r="C226" s="69" t="n">
        <v>2025</v>
      </c>
      <c r="D226" t="inlineStr">
        <is>
          <t>Jan</t>
        </is>
      </c>
      <c r="E226" t="inlineStr">
        <is>
          <t>Emerging markets</t>
        </is>
      </c>
      <c r="F226" t="inlineStr">
        <is>
          <t>China</t>
        </is>
      </c>
      <c r="G226" t="inlineStr">
        <is>
          <t>Abrysvo</t>
        </is>
      </c>
      <c r="H226" t="inlineStr">
        <is>
          <t>Hospital</t>
        </is>
      </c>
      <c r="I226" t="inlineStr">
        <is>
          <t>Self-pay</t>
        </is>
      </c>
      <c r="J226" t="inlineStr">
        <is>
          <t>Arjun Mehta</t>
        </is>
      </c>
      <c r="K226" s="70" t="n">
        <v>355</v>
      </c>
      <c r="L226" s="71" t="n">
        <v>280.4</v>
      </c>
      <c r="M226" s="71" t="n">
        <v>99542</v>
      </c>
      <c r="N226" s="71" t="n">
        <v>9954.200000000001</v>
      </c>
      <c r="O226" s="71" t="n">
        <v>89587.8</v>
      </c>
      <c r="P226" s="71" t="n">
        <v>29618.77</v>
      </c>
      <c r="Q226" s="71" t="n">
        <v>59969.03</v>
      </c>
      <c r="R226" t="inlineStr">
        <is>
          <t>Vaccines</t>
        </is>
      </c>
      <c r="S226" s="70" t="n">
        <v>328</v>
      </c>
      <c r="T226" s="71" t="n">
        <v>19159.67</v>
      </c>
      <c r="U226" t="inlineStr">
        <is>
          <t>Low</t>
        </is>
      </c>
      <c r="V226">
        <f>IF(AND(OR(Dashboard!$C$6="All",E226=Dashboard!$C$6),OR(Dashboard!$F$6="All",G226=Dashboard!$F$6),OR(Dashboard!$I$6="All",H226=Dashboard!$I$6)),1,0)</f>
        <v/>
      </c>
    </row>
    <row r="227">
      <c r="A227" t="inlineStr">
        <is>
          <t>PF100218</t>
        </is>
      </c>
      <c r="B227" s="68" t="n">
        <v>45681</v>
      </c>
      <c r="C227" s="69" t="n">
        <v>2025</v>
      </c>
      <c r="D227" t="inlineStr">
        <is>
          <t>Jan</t>
        </is>
      </c>
      <c r="E227" t="inlineStr">
        <is>
          <t>Europe</t>
        </is>
      </c>
      <c r="F227" t="inlineStr">
        <is>
          <t>UK</t>
        </is>
      </c>
      <c r="G227" t="inlineStr">
        <is>
          <t>Paxlovid</t>
        </is>
      </c>
      <c r="H227" t="inlineStr">
        <is>
          <t>Retail pharmacy</t>
        </is>
      </c>
      <c r="I227" t="inlineStr">
        <is>
          <t>Public payer</t>
        </is>
      </c>
      <c r="J227" t="inlineStr">
        <is>
          <t>Carlos Silva</t>
        </is>
      </c>
      <c r="K227" s="70" t="n">
        <v>2206</v>
      </c>
      <c r="L227" s="71" t="n">
        <v>1103</v>
      </c>
      <c r="M227" s="71" t="n">
        <v>2433218</v>
      </c>
      <c r="N227" s="71" t="n">
        <v>121660.9</v>
      </c>
      <c r="O227" s="71" t="n">
        <v>2311557.1</v>
      </c>
      <c r="P227" s="71" t="n">
        <v>617329.02</v>
      </c>
      <c r="Q227" s="71" t="n">
        <v>1694228.08</v>
      </c>
      <c r="R227" t="inlineStr">
        <is>
          <t>Antiviral</t>
        </is>
      </c>
      <c r="S227" s="70" t="n">
        <v>1919</v>
      </c>
      <c r="T227" s="71" t="n">
        <v>331949.32</v>
      </c>
      <c r="U227" t="inlineStr">
        <is>
          <t>Low</t>
        </is>
      </c>
      <c r="V227">
        <f>IF(AND(OR(Dashboard!$C$6="All",E227=Dashboard!$C$6),OR(Dashboard!$F$6="All",G227=Dashboard!$F$6),OR(Dashboard!$I$6="All",H227=Dashboard!$I$6)),1,0)</f>
        <v/>
      </c>
    </row>
    <row r="228">
      <c r="A228" t="inlineStr">
        <is>
          <t>PF100219</t>
        </is>
      </c>
      <c r="B228" s="68" t="n">
        <v>45681</v>
      </c>
      <c r="C228" s="69" t="n">
        <v>2025</v>
      </c>
      <c r="D228" t="inlineStr">
        <is>
          <t>Jan</t>
        </is>
      </c>
      <c r="E228" t="inlineStr">
        <is>
          <t>United States</t>
        </is>
      </c>
      <c r="F228" t="inlineStr">
        <is>
          <t>USA</t>
        </is>
      </c>
      <c r="G228" t="inlineStr">
        <is>
          <t>Eliquis</t>
        </is>
      </c>
      <c r="H228" t="inlineStr">
        <is>
          <t>Retail pharmacy</t>
        </is>
      </c>
      <c r="I228" t="inlineStr">
        <is>
          <t>Private insurer</t>
        </is>
      </c>
      <c r="J228" t="inlineStr">
        <is>
          <t>Sara Rossi</t>
        </is>
      </c>
      <c r="K228" s="70" t="n">
        <v>437</v>
      </c>
      <c r="L228" s="71" t="n">
        <v>638.4299999999999</v>
      </c>
      <c r="M228" s="71" t="n">
        <v>278993.91</v>
      </c>
      <c r="N228" s="71" t="n">
        <v>97647.87</v>
      </c>
      <c r="O228" s="71" t="n">
        <v>181346.04</v>
      </c>
      <c r="P228" s="71" t="n">
        <v>31780.44</v>
      </c>
      <c r="Q228" s="71" t="n">
        <v>149565.6</v>
      </c>
      <c r="R228" t="inlineStr">
        <is>
          <t>Cardiology</t>
        </is>
      </c>
      <c r="S228" s="70" t="n">
        <v>374</v>
      </c>
      <c r="T228" s="71" t="n">
        <v>55831.13</v>
      </c>
      <c r="U228" t="inlineStr">
        <is>
          <t>High</t>
        </is>
      </c>
      <c r="V228">
        <f>IF(AND(OR(Dashboard!$C$6="All",E228=Dashboard!$C$6),OR(Dashboard!$F$6="All",G228=Dashboard!$F$6),OR(Dashboard!$I$6="All",H228=Dashboard!$I$6)),1,0)</f>
        <v/>
      </c>
    </row>
    <row r="229">
      <c r="A229" t="inlineStr">
        <is>
          <t>PF100220</t>
        </is>
      </c>
      <c r="B229" s="68" t="n">
        <v>45682</v>
      </c>
      <c r="C229" s="69" t="n">
        <v>2025</v>
      </c>
      <c r="D229" t="inlineStr">
        <is>
          <t>Jan</t>
        </is>
      </c>
      <c r="E229" t="inlineStr">
        <is>
          <t>Emerging markets</t>
        </is>
      </c>
      <c r="F229" t="inlineStr">
        <is>
          <t>India</t>
        </is>
      </c>
      <c r="G229" t="inlineStr">
        <is>
          <t>Vyndaqel</t>
        </is>
      </c>
      <c r="H229" t="inlineStr">
        <is>
          <t>Retail pharmacy</t>
        </is>
      </c>
      <c r="I229" t="inlineStr">
        <is>
          <t>Public payer</t>
        </is>
      </c>
      <c r="J229" t="inlineStr">
        <is>
          <t>Ruhi Shaikh</t>
        </is>
      </c>
      <c r="K229" s="70" t="n">
        <v>2538</v>
      </c>
      <c r="L229" s="71" t="n">
        <v>5273.96</v>
      </c>
      <c r="M229" s="71" t="n">
        <v>13385310.48</v>
      </c>
      <c r="N229" s="71" t="n">
        <v>1338531.05</v>
      </c>
      <c r="O229" s="71" t="n">
        <v>12046779.43</v>
      </c>
      <c r="P229" s="71" t="n">
        <v>1561470.99</v>
      </c>
      <c r="Q229" s="71" t="n">
        <v>10485308.44</v>
      </c>
      <c r="R229" t="inlineStr">
        <is>
          <t>Rare disease</t>
        </is>
      </c>
      <c r="S229" s="70" t="n">
        <v>1604</v>
      </c>
      <c r="T229" s="71" t="n">
        <v>2691663.22</v>
      </c>
      <c r="U229" t="inlineStr">
        <is>
          <t>Medium</t>
        </is>
      </c>
      <c r="V229">
        <f>IF(AND(OR(Dashboard!$C$6="All",E229=Dashboard!$C$6),OR(Dashboard!$F$6="All",G229=Dashboard!$F$6),OR(Dashboard!$I$6="All",H229=Dashboard!$I$6)),1,0)</f>
        <v/>
      </c>
    </row>
    <row r="230">
      <c r="A230" t="inlineStr">
        <is>
          <t>PF100221</t>
        </is>
      </c>
      <c r="B230" s="68" t="n">
        <v>45682</v>
      </c>
      <c r="C230" s="69" t="n">
        <v>2025</v>
      </c>
      <c r="D230" t="inlineStr">
        <is>
          <t>Jan</t>
        </is>
      </c>
      <c r="E230" t="inlineStr">
        <is>
          <t>Emerging markets</t>
        </is>
      </c>
      <c r="F230" t="inlineStr">
        <is>
          <t>India</t>
        </is>
      </c>
      <c r="G230" t="inlineStr">
        <is>
          <t>Prevnar 20</t>
        </is>
      </c>
      <c r="H230" t="inlineStr">
        <is>
          <t>Retail pharmacy</t>
        </is>
      </c>
      <c r="I230" t="inlineStr">
        <is>
          <t>Private insurer</t>
        </is>
      </c>
      <c r="J230" t="inlineStr">
        <is>
          <t>Mei Lin</t>
        </is>
      </c>
      <c r="K230" s="70" t="n">
        <v>2403</v>
      </c>
      <c r="L230" s="71" t="n">
        <v>219.46</v>
      </c>
      <c r="M230" s="71" t="n">
        <v>527362.38</v>
      </c>
      <c r="N230" s="71" t="n">
        <v>52736.24</v>
      </c>
      <c r="O230" s="71" t="n">
        <v>474626.14</v>
      </c>
      <c r="P230" s="71" t="n">
        <v>160103.05</v>
      </c>
      <c r="Q230" s="71" t="n">
        <v>314523.09</v>
      </c>
      <c r="R230" t="inlineStr">
        <is>
          <t>Vaccines</t>
        </is>
      </c>
      <c r="S230" s="70" t="n">
        <v>1730</v>
      </c>
      <c r="T230" s="71" t="n">
        <v>77899.14999999999</v>
      </c>
      <c r="U230" t="inlineStr">
        <is>
          <t>Low</t>
        </is>
      </c>
      <c r="V230">
        <f>IF(AND(OR(Dashboard!$C$6="All",E230=Dashboard!$C$6),OR(Dashboard!$F$6="All",G230=Dashboard!$F$6),OR(Dashboard!$I$6="All",H230=Dashboard!$I$6)),1,0)</f>
        <v/>
      </c>
    </row>
    <row r="231">
      <c r="A231" t="inlineStr">
        <is>
          <t>PF100222</t>
        </is>
      </c>
      <c r="B231" s="68" t="n">
        <v>45682</v>
      </c>
      <c r="C231" s="69" t="n">
        <v>2025</v>
      </c>
      <c r="D231" t="inlineStr">
        <is>
          <t>Jan</t>
        </is>
      </c>
      <c r="E231" t="inlineStr">
        <is>
          <t>Europe</t>
        </is>
      </c>
      <c r="F231" t="inlineStr">
        <is>
          <t>France</t>
        </is>
      </c>
      <c r="G231" t="inlineStr">
        <is>
          <t>Abrysvo</t>
        </is>
      </c>
      <c r="H231" t="inlineStr">
        <is>
          <t>Retail pharmacy</t>
        </is>
      </c>
      <c r="I231" t="inlineStr">
        <is>
          <t>Private insurer</t>
        </is>
      </c>
      <c r="J231" t="inlineStr">
        <is>
          <t>Ana Costa</t>
        </is>
      </c>
      <c r="K231" s="70" t="n">
        <v>2034</v>
      </c>
      <c r="L231" s="71" t="n">
        <v>287.13</v>
      </c>
      <c r="M231" s="71" t="n">
        <v>584022.42</v>
      </c>
      <c r="N231" s="71" t="n">
        <v>29201.12</v>
      </c>
      <c r="O231" s="71" t="n">
        <v>554821.3</v>
      </c>
      <c r="P231" s="71" t="n">
        <v>171594.77</v>
      </c>
      <c r="Q231" s="71" t="n">
        <v>383226.53</v>
      </c>
      <c r="R231" t="inlineStr">
        <is>
          <t>Vaccines</t>
        </is>
      </c>
      <c r="S231" s="70" t="n">
        <v>1371</v>
      </c>
      <c r="T231" s="71" t="n">
        <v>111552.07</v>
      </c>
      <c r="U231" t="inlineStr">
        <is>
          <t>Low</t>
        </is>
      </c>
      <c r="V231">
        <f>IF(AND(OR(Dashboard!$C$6="All",E231=Dashboard!$C$6),OR(Dashboard!$F$6="All",G231=Dashboard!$F$6),OR(Dashboard!$I$6="All",H231=Dashboard!$I$6)),1,0)</f>
        <v/>
      </c>
    </row>
    <row r="232">
      <c r="A232" t="inlineStr">
        <is>
          <t>PF100223</t>
        </is>
      </c>
      <c r="B232" s="68" t="n">
        <v>45682</v>
      </c>
      <c r="C232" s="69" t="n">
        <v>2025</v>
      </c>
      <c r="D232" t="inlineStr">
        <is>
          <t>Jan</t>
        </is>
      </c>
      <c r="E232" t="inlineStr">
        <is>
          <t>United States</t>
        </is>
      </c>
      <c r="F232" t="inlineStr">
        <is>
          <t>USA</t>
        </is>
      </c>
      <c r="G232" t="inlineStr">
        <is>
          <t>Ibrance</t>
        </is>
      </c>
      <c r="H232" t="inlineStr">
        <is>
          <t>Retail pharmacy</t>
        </is>
      </c>
      <c r="I232" t="inlineStr">
        <is>
          <t>Public payer</t>
        </is>
      </c>
      <c r="J232" t="inlineStr">
        <is>
          <t>Noah Smith</t>
        </is>
      </c>
      <c r="K232" s="70" t="n">
        <v>2254</v>
      </c>
      <c r="L232" s="71" t="n">
        <v>4201.23</v>
      </c>
      <c r="M232" s="71" t="n">
        <v>9469572.42</v>
      </c>
      <c r="N232" s="71" t="n">
        <v>1420435.86</v>
      </c>
      <c r="O232" s="71" t="n">
        <v>8049136.56</v>
      </c>
      <c r="P232" s="71" t="n">
        <v>996487.38</v>
      </c>
      <c r="Q232" s="71" t="n">
        <v>7052649.18</v>
      </c>
      <c r="R232" t="inlineStr">
        <is>
          <t>Oncology</t>
        </is>
      </c>
      <c r="S232" s="70" t="n">
        <v>1971</v>
      </c>
      <c r="T232" s="71" t="n">
        <v>1853558.07</v>
      </c>
      <c r="U232" t="inlineStr">
        <is>
          <t>High</t>
        </is>
      </c>
      <c r="V232">
        <f>IF(AND(OR(Dashboard!$C$6="All",E232=Dashboard!$C$6),OR(Dashboard!$F$6="All",G232=Dashboard!$F$6),OR(Dashboard!$I$6="All",H232=Dashboard!$I$6)),1,0)</f>
        <v/>
      </c>
    </row>
    <row r="233">
      <c r="A233" t="inlineStr">
        <is>
          <t>PF100224</t>
        </is>
      </c>
      <c r="B233" s="68" t="n">
        <v>45682</v>
      </c>
      <c r="C233" s="69" t="n">
        <v>2025</v>
      </c>
      <c r="D233" t="inlineStr">
        <is>
          <t>Jan</t>
        </is>
      </c>
      <c r="E233" t="inlineStr">
        <is>
          <t>International developed</t>
        </is>
      </c>
      <c r="F233" t="inlineStr">
        <is>
          <t>Australia</t>
        </is>
      </c>
      <c r="G233" t="inlineStr">
        <is>
          <t>Prevnar 20</t>
        </is>
      </c>
      <c r="H233" t="inlineStr">
        <is>
          <t>Retail pharmacy</t>
        </is>
      </c>
      <c r="I233" t="inlineStr">
        <is>
          <t>Private insurer</t>
        </is>
      </c>
      <c r="J233" t="inlineStr">
        <is>
          <t>Olivia Brown</t>
        </is>
      </c>
      <c r="K233" s="70" t="n">
        <v>1913</v>
      </c>
      <c r="L233" s="71" t="n">
        <v>236.34</v>
      </c>
      <c r="M233" s="71" t="n">
        <v>452118.42</v>
      </c>
      <c r="N233" s="71" t="n">
        <v>67817.75999999999</v>
      </c>
      <c r="O233" s="71" t="n">
        <v>384300.66</v>
      </c>
      <c r="P233" s="71" t="n">
        <v>131278.38</v>
      </c>
      <c r="Q233" s="71" t="n">
        <v>253022.28</v>
      </c>
      <c r="R233" t="inlineStr">
        <is>
          <t>Vaccines</t>
        </is>
      </c>
      <c r="S233" s="70" t="n">
        <v>1466</v>
      </c>
      <c r="T233" s="71" t="n">
        <v>60660.2</v>
      </c>
      <c r="U233" t="inlineStr">
        <is>
          <t>Low</t>
        </is>
      </c>
      <c r="V233">
        <f>IF(AND(OR(Dashboard!$C$6="All",E233=Dashboard!$C$6),OR(Dashboard!$F$6="All",G233=Dashboard!$F$6),OR(Dashboard!$I$6="All",H233=Dashboard!$I$6)),1,0)</f>
        <v/>
      </c>
    </row>
    <row r="234">
      <c r="A234" t="inlineStr">
        <is>
          <t>PF100225</t>
        </is>
      </c>
      <c r="B234" s="68" t="n">
        <v>45682</v>
      </c>
      <c r="C234" s="69" t="n">
        <v>2025</v>
      </c>
      <c r="D234" t="inlineStr">
        <is>
          <t>Jan</t>
        </is>
      </c>
      <c r="E234" t="inlineStr">
        <is>
          <t>Europe</t>
        </is>
      </c>
      <c r="F234" t="inlineStr">
        <is>
          <t>Spain</t>
        </is>
      </c>
      <c r="G234" t="inlineStr">
        <is>
          <t>Comirnaty</t>
        </is>
      </c>
      <c r="H234" t="inlineStr">
        <is>
          <t>Retail pharmacy</t>
        </is>
      </c>
      <c r="I234" t="inlineStr">
        <is>
          <t>Self-pay</t>
        </is>
      </c>
      <c r="J234" t="inlineStr">
        <is>
          <t>Mei Lin</t>
        </is>
      </c>
      <c r="K234" s="70" t="n">
        <v>400</v>
      </c>
      <c r="L234" s="71" t="n">
        <v>116.44</v>
      </c>
      <c r="M234" s="71" t="n">
        <v>46576</v>
      </c>
      <c r="N234" s="71" t="n">
        <v>9315.200000000001</v>
      </c>
      <c r="O234" s="71" t="n">
        <v>37260.8</v>
      </c>
      <c r="P234" s="71" t="n">
        <v>15351.6</v>
      </c>
      <c r="Q234" s="71" t="n">
        <v>21909.2</v>
      </c>
      <c r="R234" t="inlineStr">
        <is>
          <t>Vaccines</t>
        </is>
      </c>
      <c r="S234" s="70" t="n">
        <v>347</v>
      </c>
      <c r="T234" s="71" t="n">
        <v>9682.610000000001</v>
      </c>
      <c r="U234" t="inlineStr">
        <is>
          <t>Low</t>
        </is>
      </c>
      <c r="V234">
        <f>IF(AND(OR(Dashboard!$C$6="All",E234=Dashboard!$C$6),OR(Dashboard!$F$6="All",G234=Dashboard!$F$6),OR(Dashboard!$I$6="All",H234=Dashboard!$I$6)),1,0)</f>
        <v/>
      </c>
    </row>
    <row r="235">
      <c r="A235" t="inlineStr">
        <is>
          <t>PF100226</t>
        </is>
      </c>
      <c r="B235" s="68" t="n">
        <v>45682</v>
      </c>
      <c r="C235" s="69" t="n">
        <v>2025</v>
      </c>
      <c r="D235" t="inlineStr">
        <is>
          <t>Jan</t>
        </is>
      </c>
      <c r="E235" t="inlineStr">
        <is>
          <t>United States</t>
        </is>
      </c>
      <c r="F235" t="inlineStr">
        <is>
          <t>USA</t>
        </is>
      </c>
      <c r="G235" t="inlineStr">
        <is>
          <t>Xeljanz</t>
        </is>
      </c>
      <c r="H235" t="inlineStr">
        <is>
          <t>Hospital</t>
        </is>
      </c>
      <c r="I235" t="inlineStr">
        <is>
          <t>Private insurer</t>
        </is>
      </c>
      <c r="J235" t="inlineStr">
        <is>
          <t>Ana Costa</t>
        </is>
      </c>
      <c r="K235" s="70" t="n">
        <v>1988</v>
      </c>
      <c r="L235" s="71" t="n">
        <v>2451.46</v>
      </c>
      <c r="M235" s="71" t="n">
        <v>4873502.48</v>
      </c>
      <c r="N235" s="71" t="n">
        <v>1462050.74</v>
      </c>
      <c r="O235" s="71" t="n">
        <v>3411451.74</v>
      </c>
      <c r="P235" s="71" t="n">
        <v>500676.04</v>
      </c>
      <c r="Q235" s="71" t="n">
        <v>2910775.7</v>
      </c>
      <c r="R235" t="inlineStr">
        <is>
          <t>Inflammation</t>
        </is>
      </c>
      <c r="S235" s="70" t="n">
        <v>1298</v>
      </c>
      <c r="T235" s="71" t="n">
        <v>1056280.58</v>
      </c>
      <c r="U235" t="inlineStr">
        <is>
          <t>High</t>
        </is>
      </c>
      <c r="V235">
        <f>IF(AND(OR(Dashboard!$C$6="All",E235=Dashboard!$C$6),OR(Dashboard!$F$6="All",G235=Dashboard!$F$6),OR(Dashboard!$I$6="All",H235=Dashboard!$I$6)),1,0)</f>
        <v/>
      </c>
    </row>
    <row r="236">
      <c r="A236" t="inlineStr">
        <is>
          <t>PF100227</t>
        </is>
      </c>
      <c r="B236" s="68" t="n">
        <v>45682</v>
      </c>
      <c r="C236" s="69" t="n">
        <v>2025</v>
      </c>
      <c r="D236" t="inlineStr">
        <is>
          <t>Jan</t>
        </is>
      </c>
      <c r="E236" t="inlineStr">
        <is>
          <t>United States</t>
        </is>
      </c>
      <c r="F236" t="inlineStr">
        <is>
          <t>USA</t>
        </is>
      </c>
      <c r="G236" t="inlineStr">
        <is>
          <t>Xeljanz</t>
        </is>
      </c>
      <c r="H236" t="inlineStr">
        <is>
          <t>Government / tender</t>
        </is>
      </c>
      <c r="I236" t="inlineStr">
        <is>
          <t>Private insurer</t>
        </is>
      </c>
      <c r="J236" t="inlineStr">
        <is>
          <t>Carlos Silva</t>
        </is>
      </c>
      <c r="K236" s="70" t="n">
        <v>1913</v>
      </c>
      <c r="L236" s="71" t="n">
        <v>2340.29</v>
      </c>
      <c r="M236" s="71" t="n">
        <v>4476974.77</v>
      </c>
      <c r="N236" s="71" t="n">
        <v>1343092.43</v>
      </c>
      <c r="O236" s="71" t="n">
        <v>3133882.34</v>
      </c>
      <c r="P236" s="71" t="n">
        <v>480378.85</v>
      </c>
      <c r="Q236" s="71" t="n">
        <v>2653503.49</v>
      </c>
      <c r="R236" t="inlineStr">
        <is>
          <t>Inflammation</t>
        </is>
      </c>
      <c r="S236" s="70" t="n">
        <v>1216</v>
      </c>
      <c r="T236" s="71" t="n">
        <v>571384.83</v>
      </c>
      <c r="U236" t="inlineStr">
        <is>
          <t>High</t>
        </is>
      </c>
      <c r="V236">
        <f>IF(AND(OR(Dashboard!$C$6="All",E236=Dashboard!$C$6),OR(Dashboard!$F$6="All",G236=Dashboard!$F$6),OR(Dashboard!$I$6="All",H236=Dashboard!$I$6)),1,0)</f>
        <v/>
      </c>
    </row>
    <row r="237">
      <c r="A237" t="inlineStr">
        <is>
          <t>PF100228</t>
        </is>
      </c>
      <c r="B237" s="68" t="n">
        <v>45683</v>
      </c>
      <c r="C237" s="69" t="n">
        <v>2025</v>
      </c>
      <c r="D237" t="inlineStr">
        <is>
          <t>Jan</t>
        </is>
      </c>
      <c r="E237" t="inlineStr">
        <is>
          <t>Europe</t>
        </is>
      </c>
      <c r="F237" t="inlineStr">
        <is>
          <t>Italy</t>
        </is>
      </c>
      <c r="G237" t="inlineStr">
        <is>
          <t>Paxlovid</t>
        </is>
      </c>
      <c r="H237" t="inlineStr">
        <is>
          <t>Retail pharmacy</t>
        </is>
      </c>
      <c r="I237" t="inlineStr">
        <is>
          <t>Self-pay</t>
        </is>
      </c>
      <c r="J237" t="inlineStr">
        <is>
          <t>Mei Lin</t>
        </is>
      </c>
      <c r="K237" s="70" t="n">
        <v>1239</v>
      </c>
      <c r="L237" s="71" t="n">
        <v>1164.01</v>
      </c>
      <c r="M237" s="71" t="n">
        <v>1442208.39</v>
      </c>
      <c r="N237" s="71" t="n">
        <v>288441.68</v>
      </c>
      <c r="O237" s="71" t="n">
        <v>1153766.71</v>
      </c>
      <c r="P237" s="71" t="n">
        <v>332479.27</v>
      </c>
      <c r="Q237" s="71" t="n">
        <v>821287.4399999999</v>
      </c>
      <c r="R237" t="inlineStr">
        <is>
          <t>Antiviral</t>
        </is>
      </c>
      <c r="S237" s="70" t="n">
        <v>1000</v>
      </c>
      <c r="T237" s="71" t="n">
        <v>177650.47</v>
      </c>
      <c r="U237" t="inlineStr">
        <is>
          <t>Low</t>
        </is>
      </c>
      <c r="V237">
        <f>IF(AND(OR(Dashboard!$C$6="All",E237=Dashboard!$C$6),OR(Dashboard!$F$6="All",G237=Dashboard!$F$6),OR(Dashboard!$I$6="All",H237=Dashboard!$I$6)),1,0)</f>
        <v/>
      </c>
    </row>
    <row r="238">
      <c r="A238" t="inlineStr">
        <is>
          <t>PF100229</t>
        </is>
      </c>
      <c r="B238" s="68" t="n">
        <v>45683</v>
      </c>
      <c r="C238" s="69" t="n">
        <v>2025</v>
      </c>
      <c r="D238" t="inlineStr">
        <is>
          <t>Jan</t>
        </is>
      </c>
      <c r="E238" t="inlineStr">
        <is>
          <t>Emerging markets</t>
        </is>
      </c>
      <c r="F238" t="inlineStr">
        <is>
          <t>Brazil</t>
        </is>
      </c>
      <c r="G238" t="inlineStr">
        <is>
          <t>Eliquis</t>
        </is>
      </c>
      <c r="H238" t="inlineStr">
        <is>
          <t>Hospital</t>
        </is>
      </c>
      <c r="I238" t="inlineStr">
        <is>
          <t>Private insurer</t>
        </is>
      </c>
      <c r="J238" t="inlineStr">
        <is>
          <t>Ravindra Patil</t>
        </is>
      </c>
      <c r="K238" s="70" t="n">
        <v>208</v>
      </c>
      <c r="L238" s="71" t="n">
        <v>447.14</v>
      </c>
      <c r="M238" s="71" t="n">
        <v>93005.12</v>
      </c>
      <c r="N238" s="71" t="n">
        <v>13950.77</v>
      </c>
      <c r="O238" s="71" t="n">
        <v>79054.35000000001</v>
      </c>
      <c r="P238" s="71" t="n">
        <v>16224.31</v>
      </c>
      <c r="Q238" s="71" t="n">
        <v>62830.04</v>
      </c>
      <c r="R238" t="inlineStr">
        <is>
          <t>Cardiology</t>
        </is>
      </c>
      <c r="S238" s="70" t="n">
        <v>139</v>
      </c>
      <c r="T238" s="71" t="n">
        <v>14432.13</v>
      </c>
      <c r="U238" t="inlineStr">
        <is>
          <t>High</t>
        </is>
      </c>
      <c r="V238">
        <f>IF(AND(OR(Dashboard!$C$6="All",E238=Dashboard!$C$6),OR(Dashboard!$F$6="All",G238=Dashboard!$F$6),OR(Dashboard!$I$6="All",H238=Dashboard!$I$6)),1,0)</f>
        <v/>
      </c>
    </row>
    <row r="239">
      <c r="A239" t="inlineStr">
        <is>
          <t>PF100230</t>
        </is>
      </c>
      <c r="B239" s="68" t="n">
        <v>45683</v>
      </c>
      <c r="C239" s="69" t="n">
        <v>2025</v>
      </c>
      <c r="D239" t="inlineStr">
        <is>
          <t>Jan</t>
        </is>
      </c>
      <c r="E239" t="inlineStr">
        <is>
          <t>United States</t>
        </is>
      </c>
      <c r="F239" t="inlineStr">
        <is>
          <t>USA</t>
        </is>
      </c>
      <c r="G239" t="inlineStr">
        <is>
          <t>Ibrance</t>
        </is>
      </c>
      <c r="H239" t="inlineStr">
        <is>
          <t>Retail pharmacy</t>
        </is>
      </c>
      <c r="I239" t="inlineStr">
        <is>
          <t>Private insurer</t>
        </is>
      </c>
      <c r="J239" t="inlineStr">
        <is>
          <t>Ana Costa</t>
        </is>
      </c>
      <c r="K239" s="70" t="n">
        <v>835</v>
      </c>
      <c r="L239" s="71" t="n">
        <v>5053.44</v>
      </c>
      <c r="M239" s="71" t="n">
        <v>4219622.4</v>
      </c>
      <c r="N239" s="71" t="n">
        <v>843924.48</v>
      </c>
      <c r="O239" s="71" t="n">
        <v>3375697.92</v>
      </c>
      <c r="P239" s="71" t="n">
        <v>368959.25</v>
      </c>
      <c r="Q239" s="71" t="n">
        <v>3006738.67</v>
      </c>
      <c r="R239" t="inlineStr">
        <is>
          <t>Oncology</t>
        </is>
      </c>
      <c r="S239" s="70" t="n">
        <v>623</v>
      </c>
      <c r="T239" s="71" t="n">
        <v>771853.8100000001</v>
      </c>
      <c r="U239" t="inlineStr">
        <is>
          <t>High</t>
        </is>
      </c>
      <c r="V239">
        <f>IF(AND(OR(Dashboard!$C$6="All",E239=Dashboard!$C$6),OR(Dashboard!$F$6="All",G239=Dashboard!$F$6),OR(Dashboard!$I$6="All",H239=Dashboard!$I$6)),1,0)</f>
        <v/>
      </c>
    </row>
    <row r="240">
      <c r="A240" t="inlineStr">
        <is>
          <t>PF100231</t>
        </is>
      </c>
      <c r="B240" s="68" t="n">
        <v>45683</v>
      </c>
      <c r="C240" s="69" t="n">
        <v>2025</v>
      </c>
      <c r="D240" t="inlineStr">
        <is>
          <t>Jan</t>
        </is>
      </c>
      <c r="E240" t="inlineStr">
        <is>
          <t>United States</t>
        </is>
      </c>
      <c r="F240" t="inlineStr">
        <is>
          <t>USA</t>
        </is>
      </c>
      <c r="G240" t="inlineStr">
        <is>
          <t>Prevnar 20</t>
        </is>
      </c>
      <c r="H240" t="inlineStr">
        <is>
          <t>Government / tender</t>
        </is>
      </c>
      <c r="I240" t="inlineStr">
        <is>
          <t>Private insurer</t>
        </is>
      </c>
      <c r="J240" t="inlineStr">
        <is>
          <t>Emma Clarke</t>
        </is>
      </c>
      <c r="K240" s="70" t="n">
        <v>2422</v>
      </c>
      <c r="L240" s="71" t="n">
        <v>343.44</v>
      </c>
      <c r="M240" s="71" t="n">
        <v>831811.6800000001</v>
      </c>
      <c r="N240" s="71" t="n">
        <v>207952.92</v>
      </c>
      <c r="O240" s="71" t="n">
        <v>623858.76</v>
      </c>
      <c r="P240" s="71" t="n">
        <v>165291.45</v>
      </c>
      <c r="Q240" s="71" t="n">
        <v>458567.31</v>
      </c>
      <c r="R240" t="inlineStr">
        <is>
          <t>Vaccines</t>
        </is>
      </c>
      <c r="S240" s="70" t="n">
        <v>1789</v>
      </c>
      <c r="T240" s="71" t="n">
        <v>99989.72</v>
      </c>
      <c r="U240" t="inlineStr">
        <is>
          <t>Low</t>
        </is>
      </c>
      <c r="V240">
        <f>IF(AND(OR(Dashboard!$C$6="All",E240=Dashboard!$C$6),OR(Dashboard!$F$6="All",G240=Dashboard!$F$6),OR(Dashboard!$I$6="All",H240=Dashboard!$I$6)),1,0)</f>
        <v/>
      </c>
    </row>
    <row r="241">
      <c r="A241" t="inlineStr">
        <is>
          <t>PF100232</t>
        </is>
      </c>
      <c r="B241" s="68" t="n">
        <v>45683</v>
      </c>
      <c r="C241" s="69" t="n">
        <v>2025</v>
      </c>
      <c r="D241" t="inlineStr">
        <is>
          <t>Jan</t>
        </is>
      </c>
      <c r="E241" t="inlineStr">
        <is>
          <t>Europe</t>
        </is>
      </c>
      <c r="F241" t="inlineStr">
        <is>
          <t>France</t>
        </is>
      </c>
      <c r="G241" t="inlineStr">
        <is>
          <t>Xeljanz</t>
        </is>
      </c>
      <c r="H241" t="inlineStr">
        <is>
          <t>Hospital</t>
        </is>
      </c>
      <c r="I241" t="inlineStr">
        <is>
          <t>Public payer</t>
        </is>
      </c>
      <c r="J241" t="inlineStr">
        <is>
          <t>Carlos Silva</t>
        </is>
      </c>
      <c r="K241" s="70" t="n">
        <v>1856</v>
      </c>
      <c r="L241" s="71" t="n">
        <v>1373.66</v>
      </c>
      <c r="M241" s="71" t="n">
        <v>2549512.96</v>
      </c>
      <c r="N241" s="71" t="n">
        <v>127475.65</v>
      </c>
      <c r="O241" s="71" t="n">
        <v>2422037.31</v>
      </c>
      <c r="P241" s="71" t="n">
        <v>462065.68</v>
      </c>
      <c r="Q241" s="71" t="n">
        <v>1959971.63</v>
      </c>
      <c r="R241" t="inlineStr">
        <is>
          <t>Inflammation</t>
        </is>
      </c>
      <c r="S241" s="70" t="n">
        <v>1783</v>
      </c>
      <c r="T241" s="71" t="n">
        <v>517671.46</v>
      </c>
      <c r="U241" t="inlineStr">
        <is>
          <t>High</t>
        </is>
      </c>
      <c r="V241">
        <f>IF(AND(OR(Dashboard!$C$6="All",E241=Dashboard!$C$6),OR(Dashboard!$F$6="All",G241=Dashboard!$F$6),OR(Dashboard!$I$6="All",H241=Dashboard!$I$6)),1,0)</f>
        <v/>
      </c>
    </row>
    <row r="242">
      <c r="A242" t="inlineStr">
        <is>
          <t>PF100233</t>
        </is>
      </c>
      <c r="B242" s="68" t="n">
        <v>45684</v>
      </c>
      <c r="C242" s="69" t="n">
        <v>2025</v>
      </c>
      <c r="D242" t="inlineStr">
        <is>
          <t>Jan</t>
        </is>
      </c>
      <c r="E242" t="inlineStr">
        <is>
          <t>United States</t>
        </is>
      </c>
      <c r="F242" t="inlineStr">
        <is>
          <t>USA</t>
        </is>
      </c>
      <c r="G242" t="inlineStr">
        <is>
          <t>Eliquis</t>
        </is>
      </c>
      <c r="H242" t="inlineStr">
        <is>
          <t>Retail pharmacy</t>
        </is>
      </c>
      <c r="I242" t="inlineStr">
        <is>
          <t>Public payer</t>
        </is>
      </c>
      <c r="J242" t="inlineStr">
        <is>
          <t>Shraddha Kulkarni</t>
        </is>
      </c>
      <c r="K242" s="70" t="n">
        <v>2684</v>
      </c>
      <c r="L242" s="71" t="n">
        <v>672.77</v>
      </c>
      <c r="M242" s="71" t="n">
        <v>1805714.68</v>
      </c>
      <c r="N242" s="71" t="n">
        <v>451428.67</v>
      </c>
      <c r="O242" s="71" t="n">
        <v>1354286.01</v>
      </c>
      <c r="P242" s="71" t="n">
        <v>195319</v>
      </c>
      <c r="Q242" s="71" t="n">
        <v>1158967.01</v>
      </c>
      <c r="R242" t="inlineStr">
        <is>
          <t>Cardiology</t>
        </is>
      </c>
      <c r="S242" s="70" t="n">
        <v>1950</v>
      </c>
      <c r="T242" s="71" t="n">
        <v>240767.61</v>
      </c>
      <c r="U242" t="inlineStr">
        <is>
          <t>High</t>
        </is>
      </c>
      <c r="V242">
        <f>IF(AND(OR(Dashboard!$C$6="All",E242=Dashboard!$C$6),OR(Dashboard!$F$6="All",G242=Dashboard!$F$6),OR(Dashboard!$I$6="All",H242=Dashboard!$I$6)),1,0)</f>
        <v/>
      </c>
    </row>
    <row r="243">
      <c r="A243" t="inlineStr">
        <is>
          <t>PF100234</t>
        </is>
      </c>
      <c r="B243" s="68" t="n">
        <v>45684</v>
      </c>
      <c r="C243" s="69" t="n">
        <v>2025</v>
      </c>
      <c r="D243" t="inlineStr">
        <is>
          <t>Jan</t>
        </is>
      </c>
      <c r="E243" t="inlineStr">
        <is>
          <t>United States</t>
        </is>
      </c>
      <c r="F243" t="inlineStr">
        <is>
          <t>USA</t>
        </is>
      </c>
      <c r="G243" t="inlineStr">
        <is>
          <t>Ibrance</t>
        </is>
      </c>
      <c r="H243" t="inlineStr">
        <is>
          <t>Retail pharmacy</t>
        </is>
      </c>
      <c r="I243" t="inlineStr">
        <is>
          <t>Private insurer</t>
        </is>
      </c>
      <c r="J243" t="inlineStr">
        <is>
          <t>Olivia Brown</t>
        </is>
      </c>
      <c r="K243" s="70" t="n">
        <v>1794</v>
      </c>
      <c r="L243" s="71" t="n">
        <v>4790.22</v>
      </c>
      <c r="M243" s="71" t="n">
        <v>8593654.68</v>
      </c>
      <c r="N243" s="71" t="n">
        <v>2578096.4</v>
      </c>
      <c r="O243" s="71" t="n">
        <v>6015558.28</v>
      </c>
      <c r="P243" s="71" t="n">
        <v>792809.64</v>
      </c>
      <c r="Q243" s="71" t="n">
        <v>5222748.64</v>
      </c>
      <c r="R243" t="inlineStr">
        <is>
          <t>Oncology</t>
        </is>
      </c>
      <c r="S243" s="70" t="n">
        <v>1671</v>
      </c>
      <c r="T243" s="71" t="n">
        <v>1611544.06</v>
      </c>
      <c r="U243" t="inlineStr">
        <is>
          <t>High</t>
        </is>
      </c>
      <c r="V243">
        <f>IF(AND(OR(Dashboard!$C$6="All",E243=Dashboard!$C$6),OR(Dashboard!$F$6="All",G243=Dashboard!$F$6),OR(Dashboard!$I$6="All",H243=Dashboard!$I$6)),1,0)</f>
        <v/>
      </c>
    </row>
    <row r="244">
      <c r="A244" t="inlineStr">
        <is>
          <t>PF100235</t>
        </is>
      </c>
      <c r="B244" s="68" t="n">
        <v>45684</v>
      </c>
      <c r="C244" s="69" t="n">
        <v>2025</v>
      </c>
      <c r="D244" t="inlineStr">
        <is>
          <t>Jan</t>
        </is>
      </c>
      <c r="E244" t="inlineStr">
        <is>
          <t>United States</t>
        </is>
      </c>
      <c r="F244" t="inlineStr">
        <is>
          <t>USA</t>
        </is>
      </c>
      <c r="G244" t="inlineStr">
        <is>
          <t>Vyndaqel</t>
        </is>
      </c>
      <c r="H244" t="inlineStr">
        <is>
          <t>Hospital</t>
        </is>
      </c>
      <c r="I244" t="inlineStr">
        <is>
          <t>Private insurer</t>
        </is>
      </c>
      <c r="J244" t="inlineStr">
        <is>
          <t>Sophie Müller</t>
        </is>
      </c>
      <c r="K244" s="70" t="n">
        <v>2302</v>
      </c>
      <c r="L244" s="71" t="n">
        <v>8545.1</v>
      </c>
      <c r="M244" s="71" t="n">
        <v>19670820.2</v>
      </c>
      <c r="N244" s="71" t="n">
        <v>2950623.03</v>
      </c>
      <c r="O244" s="71" t="n">
        <v>16720197.17</v>
      </c>
      <c r="P244" s="71" t="n">
        <v>1450400.94</v>
      </c>
      <c r="Q244" s="71" t="n">
        <v>15269796.23</v>
      </c>
      <c r="R244" t="inlineStr">
        <is>
          <t>Rare disease</t>
        </is>
      </c>
      <c r="S244" s="70" t="n">
        <v>1504</v>
      </c>
      <c r="T244" s="71" t="n">
        <v>2398019.55</v>
      </c>
      <c r="U244" t="inlineStr">
        <is>
          <t>Medium</t>
        </is>
      </c>
      <c r="V244">
        <f>IF(AND(OR(Dashboard!$C$6="All",E244=Dashboard!$C$6),OR(Dashboard!$F$6="All",G244=Dashboard!$F$6),OR(Dashboard!$I$6="All",H244=Dashboard!$I$6)),1,0)</f>
        <v/>
      </c>
    </row>
    <row r="245">
      <c r="A245" t="inlineStr">
        <is>
          <t>PF100236</t>
        </is>
      </c>
      <c r="B245" s="68" t="n">
        <v>45684</v>
      </c>
      <c r="C245" s="69" t="n">
        <v>2025</v>
      </c>
      <c r="D245" t="inlineStr">
        <is>
          <t>Jan</t>
        </is>
      </c>
      <c r="E245" t="inlineStr">
        <is>
          <t>United States</t>
        </is>
      </c>
      <c r="F245" t="inlineStr">
        <is>
          <t>USA</t>
        </is>
      </c>
      <c r="G245" t="inlineStr">
        <is>
          <t>Paxlovid</t>
        </is>
      </c>
      <c r="H245" t="inlineStr">
        <is>
          <t>Retail pharmacy</t>
        </is>
      </c>
      <c r="I245" t="inlineStr">
        <is>
          <t>Self-pay</t>
        </is>
      </c>
      <c r="J245" t="inlineStr">
        <is>
          <t>Yuki Sato</t>
        </is>
      </c>
      <c r="K245" s="70" t="n">
        <v>1961</v>
      </c>
      <c r="L245" s="71" t="n">
        <v>1801.33</v>
      </c>
      <c r="M245" s="71" t="n">
        <v>3532408.13</v>
      </c>
      <c r="N245" s="71" t="n">
        <v>883102.03</v>
      </c>
      <c r="O245" s="71" t="n">
        <v>2649306.1</v>
      </c>
      <c r="P245" s="71" t="n">
        <v>541466.21</v>
      </c>
      <c r="Q245" s="71" t="n">
        <v>2107839.89</v>
      </c>
      <c r="R245" t="inlineStr">
        <is>
          <t>Antiviral</t>
        </is>
      </c>
      <c r="S245" s="70" t="n">
        <v>1539</v>
      </c>
      <c r="T245" s="71" t="n">
        <v>635189.86</v>
      </c>
      <c r="U245" t="inlineStr">
        <is>
          <t>Low</t>
        </is>
      </c>
      <c r="V245">
        <f>IF(AND(OR(Dashboard!$C$6="All",E245=Dashboard!$C$6),OR(Dashboard!$F$6="All",G245=Dashboard!$F$6),OR(Dashboard!$I$6="All",H245=Dashboard!$I$6)),1,0)</f>
        <v/>
      </c>
    </row>
    <row r="246">
      <c r="A246" t="inlineStr">
        <is>
          <t>PF100237</t>
        </is>
      </c>
      <c r="B246" s="68" t="n">
        <v>45684</v>
      </c>
      <c r="C246" s="69" t="n">
        <v>2025</v>
      </c>
      <c r="D246" t="inlineStr">
        <is>
          <t>Jan</t>
        </is>
      </c>
      <c r="E246" t="inlineStr">
        <is>
          <t>Europe</t>
        </is>
      </c>
      <c r="F246" t="inlineStr">
        <is>
          <t>Germany</t>
        </is>
      </c>
      <c r="G246" t="inlineStr">
        <is>
          <t>Ibrance</t>
        </is>
      </c>
      <c r="H246" t="inlineStr">
        <is>
          <t>Hospital</t>
        </is>
      </c>
      <c r="I246" t="inlineStr">
        <is>
          <t>Self-pay</t>
        </is>
      </c>
      <c r="J246" t="inlineStr">
        <is>
          <t>Carlos Silva</t>
        </is>
      </c>
      <c r="K246" s="70" t="n">
        <v>1638</v>
      </c>
      <c r="L246" s="71" t="n">
        <v>2943.81</v>
      </c>
      <c r="M246" s="71" t="n">
        <v>4821960.78</v>
      </c>
      <c r="N246" s="71" t="n">
        <v>1205490.2</v>
      </c>
      <c r="O246" s="71" t="n">
        <v>3616470.58</v>
      </c>
      <c r="P246" s="71" t="n">
        <v>731072.87</v>
      </c>
      <c r="Q246" s="71" t="n">
        <v>2885397.71</v>
      </c>
      <c r="R246" t="inlineStr">
        <is>
          <t>Oncology</t>
        </is>
      </c>
      <c r="S246" s="70" t="n">
        <v>1381</v>
      </c>
      <c r="T246" s="71" t="n">
        <v>881496.14</v>
      </c>
      <c r="U246" t="inlineStr">
        <is>
          <t>High</t>
        </is>
      </c>
      <c r="V246">
        <f>IF(AND(OR(Dashboard!$C$6="All",E246=Dashboard!$C$6),OR(Dashboard!$F$6="All",G246=Dashboard!$F$6),OR(Dashboard!$I$6="All",H246=Dashboard!$I$6)),1,0)</f>
        <v/>
      </c>
    </row>
    <row r="247">
      <c r="A247" t="inlineStr">
        <is>
          <t>PF100238</t>
        </is>
      </c>
      <c r="B247" s="68" t="n">
        <v>45684</v>
      </c>
      <c r="C247" s="69" t="n">
        <v>2025</v>
      </c>
      <c r="D247" t="inlineStr">
        <is>
          <t>Jan</t>
        </is>
      </c>
      <c r="E247" t="inlineStr">
        <is>
          <t>United States</t>
        </is>
      </c>
      <c r="F247" t="inlineStr">
        <is>
          <t>USA</t>
        </is>
      </c>
      <c r="G247" t="inlineStr">
        <is>
          <t>Prevnar 20</t>
        </is>
      </c>
      <c r="H247" t="inlineStr">
        <is>
          <t>Government / tender</t>
        </is>
      </c>
      <c r="I247" t="inlineStr">
        <is>
          <t>Self-pay</t>
        </is>
      </c>
      <c r="J247" t="inlineStr">
        <is>
          <t>Ruhi Shaikh</t>
        </is>
      </c>
      <c r="K247" s="70" t="n">
        <v>1948</v>
      </c>
      <c r="L247" s="71" t="n">
        <v>349.55</v>
      </c>
      <c r="M247" s="71" t="n">
        <v>680923.4</v>
      </c>
      <c r="N247" s="71" t="n">
        <v>136184.68</v>
      </c>
      <c r="O247" s="71" t="n">
        <v>544738.72</v>
      </c>
      <c r="P247" s="71" t="n">
        <v>136423.62</v>
      </c>
      <c r="Q247" s="71" t="n">
        <v>408315.1</v>
      </c>
      <c r="R247" t="inlineStr">
        <is>
          <t>Vaccines</t>
        </is>
      </c>
      <c r="S247" s="70" t="n">
        <v>1475</v>
      </c>
      <c r="T247" s="71" t="n">
        <v>116340.65</v>
      </c>
      <c r="U247" t="inlineStr">
        <is>
          <t>Low</t>
        </is>
      </c>
      <c r="V247">
        <f>IF(AND(OR(Dashboard!$C$6="All",E247=Dashboard!$C$6),OR(Dashboard!$F$6="All",G247=Dashboard!$F$6),OR(Dashboard!$I$6="All",H247=Dashboard!$I$6)),1,0)</f>
        <v/>
      </c>
    </row>
    <row r="248">
      <c r="A248" t="inlineStr">
        <is>
          <t>PF100239</t>
        </is>
      </c>
      <c r="B248" s="68" t="n">
        <v>45684</v>
      </c>
      <c r="C248" s="69" t="n">
        <v>2025</v>
      </c>
      <c r="D248" t="inlineStr">
        <is>
          <t>Jan</t>
        </is>
      </c>
      <c r="E248" t="inlineStr">
        <is>
          <t>International developed</t>
        </is>
      </c>
      <c r="F248" t="inlineStr">
        <is>
          <t>Canada</t>
        </is>
      </c>
      <c r="G248" t="inlineStr">
        <is>
          <t>Paxlovid</t>
        </is>
      </c>
      <c r="H248" t="inlineStr">
        <is>
          <t>Retail pharmacy</t>
        </is>
      </c>
      <c r="I248" t="inlineStr">
        <is>
          <t>Private insurer</t>
        </is>
      </c>
      <c r="J248" t="inlineStr">
        <is>
          <t>Ana Costa</t>
        </is>
      </c>
      <c r="K248" s="70" t="n">
        <v>213</v>
      </c>
      <c r="L248" s="71" t="n">
        <v>1002.94</v>
      </c>
      <c r="M248" s="71" t="n">
        <v>213626.22</v>
      </c>
      <c r="N248" s="71" t="n">
        <v>21362.62</v>
      </c>
      <c r="O248" s="71" t="n">
        <v>192263.6</v>
      </c>
      <c r="P248" s="71" t="n">
        <v>59403.72</v>
      </c>
      <c r="Q248" s="71" t="n">
        <v>132859.88</v>
      </c>
      <c r="R248" t="inlineStr">
        <is>
          <t>Antiviral</t>
        </is>
      </c>
      <c r="S248" s="70" t="n">
        <v>165</v>
      </c>
      <c r="T248" s="71" t="n">
        <v>42216.89</v>
      </c>
      <c r="U248" t="inlineStr">
        <is>
          <t>Low</t>
        </is>
      </c>
      <c r="V248">
        <f>IF(AND(OR(Dashboard!$C$6="All",E248=Dashboard!$C$6),OR(Dashboard!$F$6="All",G248=Dashboard!$F$6),OR(Dashboard!$I$6="All",H248=Dashboard!$I$6)),1,0)</f>
        <v/>
      </c>
    </row>
    <row r="249">
      <c r="A249" t="inlineStr">
        <is>
          <t>PF100240</t>
        </is>
      </c>
      <c r="B249" s="68" t="n">
        <v>45684</v>
      </c>
      <c r="C249" s="69" t="n">
        <v>2025</v>
      </c>
      <c r="D249" t="inlineStr">
        <is>
          <t>Jan</t>
        </is>
      </c>
      <c r="E249" t="inlineStr">
        <is>
          <t>United States</t>
        </is>
      </c>
      <c r="F249" t="inlineStr">
        <is>
          <t>USA</t>
        </is>
      </c>
      <c r="G249" t="inlineStr">
        <is>
          <t>Prevnar 20</t>
        </is>
      </c>
      <c r="H249" t="inlineStr">
        <is>
          <t>Retail pharmacy</t>
        </is>
      </c>
      <c r="I249" t="inlineStr">
        <is>
          <t>Public payer</t>
        </is>
      </c>
      <c r="J249" t="inlineStr">
        <is>
          <t>Yuki Sato</t>
        </is>
      </c>
      <c r="K249" s="70" t="n">
        <v>1677</v>
      </c>
      <c r="L249" s="71" t="n">
        <v>366.72</v>
      </c>
      <c r="M249" s="71" t="n">
        <v>614989.4399999999</v>
      </c>
      <c r="N249" s="71" t="n">
        <v>153747.36</v>
      </c>
      <c r="O249" s="71" t="n">
        <v>461242.08</v>
      </c>
      <c r="P249" s="71" t="n">
        <v>113972.72</v>
      </c>
      <c r="Q249" s="71" t="n">
        <v>347269.36</v>
      </c>
      <c r="R249" t="inlineStr">
        <is>
          <t>Vaccines</t>
        </is>
      </c>
      <c r="S249" s="70" t="n">
        <v>1189</v>
      </c>
      <c r="T249" s="71" t="n">
        <v>83932.25999999999</v>
      </c>
      <c r="U249" t="inlineStr">
        <is>
          <t>Low</t>
        </is>
      </c>
      <c r="V249">
        <f>IF(AND(OR(Dashboard!$C$6="All",E249=Dashboard!$C$6),OR(Dashboard!$F$6="All",G249=Dashboard!$F$6),OR(Dashboard!$I$6="All",H249=Dashboard!$I$6)),1,0)</f>
        <v/>
      </c>
    </row>
    <row r="250">
      <c r="A250" t="inlineStr">
        <is>
          <t>PF100241</t>
        </is>
      </c>
      <c r="B250" s="68" t="n">
        <v>45684</v>
      </c>
      <c r="C250" s="69" t="n">
        <v>2025</v>
      </c>
      <c r="D250" t="inlineStr">
        <is>
          <t>Jan</t>
        </is>
      </c>
      <c r="E250" t="inlineStr">
        <is>
          <t>Emerging markets</t>
        </is>
      </c>
      <c r="F250" t="inlineStr">
        <is>
          <t>Brazil</t>
        </is>
      </c>
      <c r="G250" t="inlineStr">
        <is>
          <t>Paxlovid</t>
        </is>
      </c>
      <c r="H250" t="inlineStr">
        <is>
          <t>Government / tender</t>
        </is>
      </c>
      <c r="I250" t="inlineStr">
        <is>
          <t>Private insurer</t>
        </is>
      </c>
      <c r="J250" t="inlineStr">
        <is>
          <t>Zoya Ahmed</t>
        </is>
      </c>
      <c r="K250" s="70" t="n">
        <v>2145</v>
      </c>
      <c r="L250" s="71" t="n">
        <v>1092.15</v>
      </c>
      <c r="M250" s="71" t="n">
        <v>2342661.75</v>
      </c>
      <c r="N250" s="71" t="n">
        <v>117133.09</v>
      </c>
      <c r="O250" s="71" t="n">
        <v>2225528.66</v>
      </c>
      <c r="P250" s="71" t="n">
        <v>599088.12</v>
      </c>
      <c r="Q250" s="71" t="n">
        <v>1626440.54</v>
      </c>
      <c r="R250" t="inlineStr">
        <is>
          <t>Antiviral</t>
        </is>
      </c>
      <c r="S250" s="70" t="n">
        <v>1938</v>
      </c>
      <c r="T250" s="71" t="n">
        <v>515339.69</v>
      </c>
      <c r="U250" t="inlineStr">
        <is>
          <t>Low</t>
        </is>
      </c>
      <c r="V250">
        <f>IF(AND(OR(Dashboard!$C$6="All",E250=Dashboard!$C$6),OR(Dashboard!$F$6="All",G250=Dashboard!$F$6),OR(Dashboard!$I$6="All",H250=Dashboard!$I$6)),1,0)</f>
        <v/>
      </c>
    </row>
    <row r="251">
      <c r="A251" t="inlineStr">
        <is>
          <t>PF100242</t>
        </is>
      </c>
      <c r="B251" s="68" t="n">
        <v>45685</v>
      </c>
      <c r="C251" s="69" t="n">
        <v>2025</v>
      </c>
      <c r="D251" t="inlineStr">
        <is>
          <t>Jan</t>
        </is>
      </c>
      <c r="E251" t="inlineStr">
        <is>
          <t>Europe</t>
        </is>
      </c>
      <c r="F251" t="inlineStr">
        <is>
          <t>UK</t>
        </is>
      </c>
      <c r="G251" t="inlineStr">
        <is>
          <t>Eliquis</t>
        </is>
      </c>
      <c r="H251" t="inlineStr">
        <is>
          <t>Government / tender</t>
        </is>
      </c>
      <c r="I251" t="inlineStr">
        <is>
          <t>Public payer</t>
        </is>
      </c>
      <c r="J251" t="inlineStr">
        <is>
          <t>Yuki Sato</t>
        </is>
      </c>
      <c r="K251" s="70" t="n">
        <v>1301</v>
      </c>
      <c r="L251" s="71" t="n">
        <v>454.13</v>
      </c>
      <c r="M251" s="71" t="n">
        <v>590823.13</v>
      </c>
      <c r="N251" s="71" t="n">
        <v>147705.78</v>
      </c>
      <c r="O251" s="71" t="n">
        <v>443117.35</v>
      </c>
      <c r="P251" s="71" t="n">
        <v>95771.47</v>
      </c>
      <c r="Q251" s="71" t="n">
        <v>347345.88</v>
      </c>
      <c r="R251" t="inlineStr">
        <is>
          <t>Cardiology</t>
        </is>
      </c>
      <c r="S251" s="70" t="n">
        <v>1016</v>
      </c>
      <c r="T251" s="71" t="n">
        <v>111213.19</v>
      </c>
      <c r="U251" t="inlineStr">
        <is>
          <t>High</t>
        </is>
      </c>
      <c r="V251">
        <f>IF(AND(OR(Dashboard!$C$6="All",E251=Dashboard!$C$6),OR(Dashboard!$F$6="All",G251=Dashboard!$F$6),OR(Dashboard!$I$6="All",H251=Dashboard!$I$6)),1,0)</f>
        <v/>
      </c>
    </row>
    <row r="252">
      <c r="A252" t="inlineStr">
        <is>
          <t>PF100243</t>
        </is>
      </c>
      <c r="B252" s="68" t="n">
        <v>45685</v>
      </c>
      <c r="C252" s="69" t="n">
        <v>2025</v>
      </c>
      <c r="D252" t="inlineStr">
        <is>
          <t>Jan</t>
        </is>
      </c>
      <c r="E252" t="inlineStr">
        <is>
          <t>United States</t>
        </is>
      </c>
      <c r="F252" t="inlineStr">
        <is>
          <t>USA</t>
        </is>
      </c>
      <c r="G252" t="inlineStr">
        <is>
          <t>Prevnar 20</t>
        </is>
      </c>
      <c r="H252" t="inlineStr">
        <is>
          <t>Hospital</t>
        </is>
      </c>
      <c r="I252" t="inlineStr">
        <is>
          <t>Public payer</t>
        </is>
      </c>
      <c r="J252" t="inlineStr">
        <is>
          <t>Hiroshi Tanaka</t>
        </is>
      </c>
      <c r="K252" s="70" t="n">
        <v>219</v>
      </c>
      <c r="L252" s="71" t="n">
        <v>383.79</v>
      </c>
      <c r="M252" s="71" t="n">
        <v>84050.00999999999</v>
      </c>
      <c r="N252" s="71" t="n">
        <v>21012.5</v>
      </c>
      <c r="O252" s="71" t="n">
        <v>63037.51</v>
      </c>
      <c r="P252" s="71" t="n">
        <v>15385.34</v>
      </c>
      <c r="Q252" s="71" t="n">
        <v>47652.17</v>
      </c>
      <c r="R252" t="inlineStr">
        <is>
          <t>Vaccines</t>
        </is>
      </c>
      <c r="S252" s="70" t="n">
        <v>212</v>
      </c>
      <c r="T252" s="71" t="n">
        <v>14867.38</v>
      </c>
      <c r="U252" t="inlineStr">
        <is>
          <t>Low</t>
        </is>
      </c>
      <c r="V252">
        <f>IF(AND(OR(Dashboard!$C$6="All",E252=Dashboard!$C$6),OR(Dashboard!$F$6="All",G252=Dashboard!$F$6),OR(Dashboard!$I$6="All",H252=Dashboard!$I$6)),1,0)</f>
        <v/>
      </c>
    </row>
    <row r="253">
      <c r="A253" t="inlineStr">
        <is>
          <t>PF100244</t>
        </is>
      </c>
      <c r="B253" s="68" t="n">
        <v>45685</v>
      </c>
      <c r="C253" s="69" t="n">
        <v>2025</v>
      </c>
      <c r="D253" t="inlineStr">
        <is>
          <t>Jan</t>
        </is>
      </c>
      <c r="E253" t="inlineStr">
        <is>
          <t>Emerging markets</t>
        </is>
      </c>
      <c r="F253" t="inlineStr">
        <is>
          <t>Mexico</t>
        </is>
      </c>
      <c r="G253" t="inlineStr">
        <is>
          <t>Prevnar 20</t>
        </is>
      </c>
      <c r="H253" t="inlineStr">
        <is>
          <t>Retail pharmacy</t>
        </is>
      </c>
      <c r="I253" t="inlineStr">
        <is>
          <t>Private insurer</t>
        </is>
      </c>
      <c r="J253" t="inlineStr">
        <is>
          <t>Priya Nair</t>
        </is>
      </c>
      <c r="K253" s="70" t="n">
        <v>974</v>
      </c>
      <c r="L253" s="71" t="n">
        <v>234.26</v>
      </c>
      <c r="M253" s="71" t="n">
        <v>228169.24</v>
      </c>
      <c r="N253" s="71" t="n">
        <v>34225.39</v>
      </c>
      <c r="O253" s="71" t="n">
        <v>193943.85</v>
      </c>
      <c r="P253" s="71" t="n">
        <v>65291.54</v>
      </c>
      <c r="Q253" s="71" t="n">
        <v>128652.31</v>
      </c>
      <c r="R253" t="inlineStr">
        <is>
          <t>Vaccines</t>
        </is>
      </c>
      <c r="S253" s="70" t="n">
        <v>696</v>
      </c>
      <c r="T253" s="71" t="n">
        <v>38615.78</v>
      </c>
      <c r="U253" t="inlineStr">
        <is>
          <t>Low</t>
        </is>
      </c>
      <c r="V253">
        <f>IF(AND(OR(Dashboard!$C$6="All",E253=Dashboard!$C$6),OR(Dashboard!$F$6="All",G253=Dashboard!$F$6),OR(Dashboard!$I$6="All",H253=Dashboard!$I$6)),1,0)</f>
        <v/>
      </c>
    </row>
    <row r="254">
      <c r="A254" t="inlineStr">
        <is>
          <t>PF100245</t>
        </is>
      </c>
      <c r="B254" s="68" t="n">
        <v>45685</v>
      </c>
      <c r="C254" s="69" t="n">
        <v>2025</v>
      </c>
      <c r="D254" t="inlineStr">
        <is>
          <t>Jan</t>
        </is>
      </c>
      <c r="E254" t="inlineStr">
        <is>
          <t>United States</t>
        </is>
      </c>
      <c r="F254" t="inlineStr">
        <is>
          <t>USA</t>
        </is>
      </c>
      <c r="G254" t="inlineStr">
        <is>
          <t>Vyndaqel</t>
        </is>
      </c>
      <c r="H254" t="inlineStr">
        <is>
          <t>Government / tender</t>
        </is>
      </c>
      <c r="I254" t="inlineStr">
        <is>
          <t>Public payer</t>
        </is>
      </c>
      <c r="J254" t="inlineStr">
        <is>
          <t>Liam O'Brien</t>
        </is>
      </c>
      <c r="K254" s="70" t="n">
        <v>2363</v>
      </c>
      <c r="L254" s="71" t="n">
        <v>8008.98</v>
      </c>
      <c r="M254" s="71" t="n">
        <v>18925219.74</v>
      </c>
      <c r="N254" s="71" t="n">
        <v>4731304.93</v>
      </c>
      <c r="O254" s="71" t="n">
        <v>14193914.81</v>
      </c>
      <c r="P254" s="71" t="n">
        <v>1460536.92</v>
      </c>
      <c r="Q254" s="71" t="n">
        <v>12733377.89</v>
      </c>
      <c r="R254" t="inlineStr">
        <is>
          <t>Rare disease</t>
        </is>
      </c>
      <c r="S254" s="70" t="n">
        <v>2231</v>
      </c>
      <c r="T254" s="71" t="n">
        <v>3793940.01</v>
      </c>
      <c r="U254" t="inlineStr">
        <is>
          <t>Medium</t>
        </is>
      </c>
      <c r="V254">
        <f>IF(AND(OR(Dashboard!$C$6="All",E254=Dashboard!$C$6),OR(Dashboard!$F$6="All",G254=Dashboard!$F$6),OR(Dashboard!$I$6="All",H254=Dashboard!$I$6)),1,0)</f>
        <v/>
      </c>
    </row>
    <row r="255">
      <c r="A255" t="inlineStr">
        <is>
          <t>PF100246</t>
        </is>
      </c>
      <c r="B255" s="68" t="n">
        <v>45685</v>
      </c>
      <c r="C255" s="69" t="n">
        <v>2025</v>
      </c>
      <c r="D255" t="inlineStr">
        <is>
          <t>Jan</t>
        </is>
      </c>
      <c r="E255" t="inlineStr">
        <is>
          <t>United States</t>
        </is>
      </c>
      <c r="F255" t="inlineStr">
        <is>
          <t>USA</t>
        </is>
      </c>
      <c r="G255" t="inlineStr">
        <is>
          <t>Prevnar 20</t>
        </is>
      </c>
      <c r="H255" t="inlineStr">
        <is>
          <t>Hospital</t>
        </is>
      </c>
      <c r="I255" t="inlineStr">
        <is>
          <t>Self-pay</t>
        </is>
      </c>
      <c r="J255" t="inlineStr">
        <is>
          <t>Ruhi Shaikh</t>
        </is>
      </c>
      <c r="K255" s="70" t="n">
        <v>1565</v>
      </c>
      <c r="L255" s="71" t="n">
        <v>350.72</v>
      </c>
      <c r="M255" s="71" t="n">
        <v>548876.8</v>
      </c>
      <c r="N255" s="71" t="n">
        <v>192106.88</v>
      </c>
      <c r="O255" s="71" t="n">
        <v>356769.92</v>
      </c>
      <c r="P255" s="71" t="n">
        <v>108392.89</v>
      </c>
      <c r="Q255" s="71" t="n">
        <v>248377.03</v>
      </c>
      <c r="R255" t="inlineStr">
        <is>
          <t>Vaccines</t>
        </is>
      </c>
      <c r="S255" s="70" t="n">
        <v>1381</v>
      </c>
      <c r="T255" s="71" t="n">
        <v>92582.07000000001</v>
      </c>
      <c r="U255" t="inlineStr">
        <is>
          <t>Low</t>
        </is>
      </c>
      <c r="V255">
        <f>IF(AND(OR(Dashboard!$C$6="All",E255=Dashboard!$C$6),OR(Dashboard!$F$6="All",G255=Dashboard!$F$6),OR(Dashboard!$I$6="All",H255=Dashboard!$I$6)),1,0)</f>
        <v/>
      </c>
    </row>
    <row r="256">
      <c r="A256" t="inlineStr">
        <is>
          <t>PF100247</t>
        </is>
      </c>
      <c r="B256" s="68" t="n">
        <v>45685</v>
      </c>
      <c r="C256" s="69" t="n">
        <v>2025</v>
      </c>
      <c r="D256" t="inlineStr">
        <is>
          <t>Jan</t>
        </is>
      </c>
      <c r="E256" t="inlineStr">
        <is>
          <t>Emerging markets</t>
        </is>
      </c>
      <c r="F256" t="inlineStr">
        <is>
          <t>Mexico</t>
        </is>
      </c>
      <c r="G256" t="inlineStr">
        <is>
          <t>Xeljanz</t>
        </is>
      </c>
      <c r="H256" t="inlineStr">
        <is>
          <t>Retail pharmacy</t>
        </is>
      </c>
      <c r="I256" t="inlineStr">
        <is>
          <t>Self-pay</t>
        </is>
      </c>
      <c r="J256" t="inlineStr">
        <is>
          <t>Ravindra Patil</t>
        </is>
      </c>
      <c r="K256" s="70" t="n">
        <v>812</v>
      </c>
      <c r="L256" s="71" t="n">
        <v>1434.53</v>
      </c>
      <c r="M256" s="71" t="n">
        <v>1164838.36</v>
      </c>
      <c r="N256" s="71" t="n">
        <v>174725.75</v>
      </c>
      <c r="O256" s="71" t="n">
        <v>990112.61</v>
      </c>
      <c r="P256" s="71" t="n">
        <v>198818.14</v>
      </c>
      <c r="Q256" s="71" t="n">
        <v>791294.47</v>
      </c>
      <c r="R256" t="inlineStr">
        <is>
          <t>Inflammation</t>
        </is>
      </c>
      <c r="S256" s="70" t="n">
        <v>738</v>
      </c>
      <c r="T256" s="71" t="n">
        <v>200784.82</v>
      </c>
      <c r="U256" t="inlineStr">
        <is>
          <t>High</t>
        </is>
      </c>
      <c r="V256">
        <f>IF(AND(OR(Dashboard!$C$6="All",E256=Dashboard!$C$6),OR(Dashboard!$F$6="All",G256=Dashboard!$F$6),OR(Dashboard!$I$6="All",H256=Dashboard!$I$6)),1,0)</f>
        <v/>
      </c>
    </row>
    <row r="257">
      <c r="A257" t="inlineStr">
        <is>
          <t>PF100248</t>
        </is>
      </c>
      <c r="B257" s="68" t="n">
        <v>45685</v>
      </c>
      <c r="C257" s="69" t="n">
        <v>2025</v>
      </c>
      <c r="D257" t="inlineStr">
        <is>
          <t>Jan</t>
        </is>
      </c>
      <c r="E257" t="inlineStr">
        <is>
          <t>United States</t>
        </is>
      </c>
      <c r="F257" t="inlineStr">
        <is>
          <t>USA</t>
        </is>
      </c>
      <c r="G257" t="inlineStr">
        <is>
          <t>Abrysvo</t>
        </is>
      </c>
      <c r="H257" t="inlineStr">
        <is>
          <t>Government / tender</t>
        </is>
      </c>
      <c r="I257" t="inlineStr">
        <is>
          <t>Self-pay</t>
        </is>
      </c>
      <c r="J257" t="inlineStr">
        <is>
          <t>Aisha Bello</t>
        </is>
      </c>
      <c r="K257" s="70" t="n">
        <v>2461</v>
      </c>
      <c r="L257" s="71" t="n">
        <v>462.88</v>
      </c>
      <c r="M257" s="71" t="n">
        <v>1139147.68</v>
      </c>
      <c r="N257" s="71" t="n">
        <v>170872.15</v>
      </c>
      <c r="O257" s="71" t="n">
        <v>968275.53</v>
      </c>
      <c r="P257" s="71" t="n">
        <v>198752.81</v>
      </c>
      <c r="Q257" s="71" t="n">
        <v>769522.72</v>
      </c>
      <c r="R257" t="inlineStr">
        <is>
          <t>Vaccines</t>
        </is>
      </c>
      <c r="S257" s="70" t="n">
        <v>2448</v>
      </c>
      <c r="T257" s="71" t="n">
        <v>223706.48</v>
      </c>
      <c r="U257" t="inlineStr">
        <is>
          <t>Low</t>
        </is>
      </c>
      <c r="V257">
        <f>IF(AND(OR(Dashboard!$C$6="All",E257=Dashboard!$C$6),OR(Dashboard!$F$6="All",G257=Dashboard!$F$6),OR(Dashboard!$I$6="All",H257=Dashboard!$I$6)),1,0)</f>
        <v/>
      </c>
    </row>
    <row r="258">
      <c r="A258" t="inlineStr">
        <is>
          <t>PF100249</t>
        </is>
      </c>
      <c r="B258" s="68" t="n">
        <v>45685</v>
      </c>
      <c r="C258" s="69" t="n">
        <v>2025</v>
      </c>
      <c r="D258" t="inlineStr">
        <is>
          <t>Jan</t>
        </is>
      </c>
      <c r="E258" t="inlineStr">
        <is>
          <t>United States</t>
        </is>
      </c>
      <c r="F258" t="inlineStr">
        <is>
          <t>USA</t>
        </is>
      </c>
      <c r="G258" t="inlineStr">
        <is>
          <t>Paxlovid</t>
        </is>
      </c>
      <c r="H258" t="inlineStr">
        <is>
          <t>Retail pharmacy</t>
        </is>
      </c>
      <c r="I258" t="inlineStr">
        <is>
          <t>Private insurer</t>
        </is>
      </c>
      <c r="J258" t="inlineStr">
        <is>
          <t>Arjun Mehta</t>
        </is>
      </c>
      <c r="K258" s="70" t="n">
        <v>2301</v>
      </c>
      <c r="L258" s="71" t="n">
        <v>1594.72</v>
      </c>
      <c r="M258" s="71" t="n">
        <v>3669450.72</v>
      </c>
      <c r="N258" s="71" t="n">
        <v>1284307.75</v>
      </c>
      <c r="O258" s="71" t="n">
        <v>2385142.97</v>
      </c>
      <c r="P258" s="71" t="n">
        <v>626590.41</v>
      </c>
      <c r="Q258" s="71" t="n">
        <v>1758552.56</v>
      </c>
      <c r="R258" t="inlineStr">
        <is>
          <t>Antiviral</t>
        </is>
      </c>
      <c r="S258" s="70" t="n">
        <v>1685</v>
      </c>
      <c r="T258" s="71" t="n">
        <v>519829.87</v>
      </c>
      <c r="U258" t="inlineStr">
        <is>
          <t>Low</t>
        </is>
      </c>
      <c r="V258">
        <f>IF(AND(OR(Dashboard!$C$6="All",E258=Dashboard!$C$6),OR(Dashboard!$F$6="All",G258=Dashboard!$F$6),OR(Dashboard!$I$6="All",H258=Dashboard!$I$6)),1,0)</f>
        <v/>
      </c>
    </row>
    <row r="259">
      <c r="A259" t="inlineStr">
        <is>
          <t>PF100250</t>
        </is>
      </c>
      <c r="B259" s="68" t="n">
        <v>45685</v>
      </c>
      <c r="C259" s="69" t="n">
        <v>2025</v>
      </c>
      <c r="D259" t="inlineStr">
        <is>
          <t>Jan</t>
        </is>
      </c>
      <c r="E259" t="inlineStr">
        <is>
          <t>Emerging markets</t>
        </is>
      </c>
      <c r="F259" t="inlineStr">
        <is>
          <t>Brazil</t>
        </is>
      </c>
      <c r="G259" t="inlineStr">
        <is>
          <t>Eliquis</t>
        </is>
      </c>
      <c r="H259" t="inlineStr">
        <is>
          <t>Government / tender</t>
        </is>
      </c>
      <c r="I259" t="inlineStr">
        <is>
          <t>Private insurer</t>
        </is>
      </c>
      <c r="J259" t="inlineStr">
        <is>
          <t>Liam O'Brien</t>
        </is>
      </c>
      <c r="K259" s="70" t="n">
        <v>304</v>
      </c>
      <c r="L259" s="71" t="n">
        <v>396.46</v>
      </c>
      <c r="M259" s="71" t="n">
        <v>120523.84</v>
      </c>
      <c r="N259" s="71" t="n">
        <v>12052.38</v>
      </c>
      <c r="O259" s="71" t="n">
        <v>108471.46</v>
      </c>
      <c r="P259" s="71" t="n">
        <v>23417.94</v>
      </c>
      <c r="Q259" s="71" t="n">
        <v>85053.52</v>
      </c>
      <c r="R259" t="inlineStr">
        <is>
          <t>Cardiology</t>
        </is>
      </c>
      <c r="S259" s="70" t="n">
        <v>216</v>
      </c>
      <c r="T259" s="71" t="n">
        <v>16371.89</v>
      </c>
      <c r="U259" t="inlineStr">
        <is>
          <t>High</t>
        </is>
      </c>
      <c r="V259">
        <f>IF(AND(OR(Dashboard!$C$6="All",E259=Dashboard!$C$6),OR(Dashboard!$F$6="All",G259=Dashboard!$F$6),OR(Dashboard!$I$6="All",H259=Dashboard!$I$6)),1,0)</f>
        <v/>
      </c>
    </row>
    <row r="260">
      <c r="A260" t="inlineStr">
        <is>
          <t>PF100251</t>
        </is>
      </c>
      <c r="B260" s="68" t="n">
        <v>45685</v>
      </c>
      <c r="C260" s="69" t="n">
        <v>2025</v>
      </c>
      <c r="D260" t="inlineStr">
        <is>
          <t>Jan</t>
        </is>
      </c>
      <c r="E260" t="inlineStr">
        <is>
          <t>United States</t>
        </is>
      </c>
      <c r="F260" t="inlineStr">
        <is>
          <t>USA</t>
        </is>
      </c>
      <c r="G260" t="inlineStr">
        <is>
          <t>Comirnaty</t>
        </is>
      </c>
      <c r="H260" t="inlineStr">
        <is>
          <t>Government / tender</t>
        </is>
      </c>
      <c r="I260" t="inlineStr">
        <is>
          <t>Public payer</t>
        </is>
      </c>
      <c r="J260" t="inlineStr">
        <is>
          <t>Ruhi Shaikh</t>
        </is>
      </c>
      <c r="K260" s="70" t="n">
        <v>1128</v>
      </c>
      <c r="L260" s="71" t="n">
        <v>184.14</v>
      </c>
      <c r="M260" s="71" t="n">
        <v>207709.92</v>
      </c>
      <c r="N260" s="71" t="n">
        <v>62312.98</v>
      </c>
      <c r="O260" s="71" t="n">
        <v>145396.94</v>
      </c>
      <c r="P260" s="71" t="n">
        <v>41936.19</v>
      </c>
      <c r="Q260" s="71" t="n">
        <v>103460.75</v>
      </c>
      <c r="R260" t="inlineStr">
        <is>
          <t>Vaccines</t>
        </is>
      </c>
      <c r="S260" s="70" t="n">
        <v>1004</v>
      </c>
      <c r="T260" s="71" t="n">
        <v>36500.62</v>
      </c>
      <c r="U260" t="inlineStr">
        <is>
          <t>Low</t>
        </is>
      </c>
      <c r="V260">
        <f>IF(AND(OR(Dashboard!$C$6="All",E260=Dashboard!$C$6),OR(Dashboard!$F$6="All",G260=Dashboard!$F$6),OR(Dashboard!$I$6="All",H260=Dashboard!$I$6)),1,0)</f>
        <v/>
      </c>
    </row>
    <row r="261">
      <c r="A261" t="inlineStr">
        <is>
          <t>PF100252</t>
        </is>
      </c>
      <c r="B261" s="68" t="n">
        <v>45685</v>
      </c>
      <c r="C261" s="69" t="n">
        <v>2025</v>
      </c>
      <c r="D261" t="inlineStr">
        <is>
          <t>Jan</t>
        </is>
      </c>
      <c r="E261" t="inlineStr">
        <is>
          <t>Europe</t>
        </is>
      </c>
      <c r="F261" t="inlineStr">
        <is>
          <t>Germany</t>
        </is>
      </c>
      <c r="G261" t="inlineStr">
        <is>
          <t>Comirnaty</t>
        </is>
      </c>
      <c r="H261" t="inlineStr">
        <is>
          <t>Retail pharmacy</t>
        </is>
      </c>
      <c r="I261" t="inlineStr">
        <is>
          <t>Private insurer</t>
        </is>
      </c>
      <c r="J261" t="inlineStr">
        <is>
          <t>Aisha Bello</t>
        </is>
      </c>
      <c r="K261" s="70" t="n">
        <v>1096</v>
      </c>
      <c r="L261" s="71" t="n">
        <v>101.32</v>
      </c>
      <c r="M261" s="71" t="n">
        <v>111046.72</v>
      </c>
      <c r="N261" s="71" t="n">
        <v>11104.67</v>
      </c>
      <c r="O261" s="71" t="n">
        <v>99942.05</v>
      </c>
      <c r="P261" s="71" t="n">
        <v>42815.01</v>
      </c>
      <c r="Q261" s="71" t="n">
        <v>57127.04</v>
      </c>
      <c r="R261" t="inlineStr">
        <is>
          <t>Vaccines</t>
        </is>
      </c>
      <c r="S261" s="70" t="n">
        <v>1078</v>
      </c>
      <c r="T261" s="71" t="n">
        <v>17012.57</v>
      </c>
      <c r="U261" t="inlineStr">
        <is>
          <t>Low</t>
        </is>
      </c>
      <c r="V261">
        <f>IF(AND(OR(Dashboard!$C$6="All",E261=Dashboard!$C$6),OR(Dashboard!$F$6="All",G261=Dashboard!$F$6),OR(Dashboard!$I$6="All",H261=Dashboard!$I$6)),1,0)</f>
        <v/>
      </c>
    </row>
    <row r="262">
      <c r="A262" t="inlineStr">
        <is>
          <t>PF100253</t>
        </is>
      </c>
      <c r="B262" s="68" t="n">
        <v>45689</v>
      </c>
      <c r="C262" s="69" t="n">
        <v>2025</v>
      </c>
      <c r="D262" t="inlineStr">
        <is>
          <t>Feb</t>
        </is>
      </c>
      <c r="E262" t="inlineStr">
        <is>
          <t>United States</t>
        </is>
      </c>
      <c r="F262" t="inlineStr">
        <is>
          <t>USA</t>
        </is>
      </c>
      <c r="G262" t="inlineStr">
        <is>
          <t>Eliquis</t>
        </is>
      </c>
      <c r="H262" t="inlineStr">
        <is>
          <t>Hospital</t>
        </is>
      </c>
      <c r="I262" t="inlineStr">
        <is>
          <t>Private insurer</t>
        </is>
      </c>
      <c r="J262" t="inlineStr">
        <is>
          <t>Aisha Bello</t>
        </is>
      </c>
      <c r="K262" s="70" t="n">
        <v>1700</v>
      </c>
      <c r="L262" s="71" t="n">
        <v>629.71</v>
      </c>
      <c r="M262" s="71" t="n">
        <v>1070507</v>
      </c>
      <c r="N262" s="71" t="n">
        <v>374677.45</v>
      </c>
      <c r="O262" s="71" t="n">
        <v>695829.55</v>
      </c>
      <c r="P262" s="71" t="n">
        <v>127970.46</v>
      </c>
      <c r="Q262" s="71" t="n">
        <v>567859.09</v>
      </c>
      <c r="R262" t="inlineStr">
        <is>
          <t>Cardiology</t>
        </is>
      </c>
      <c r="S262" s="70" t="n">
        <v>1081</v>
      </c>
      <c r="T262" s="71" t="n">
        <v>141128.52</v>
      </c>
      <c r="U262" t="inlineStr">
        <is>
          <t>High</t>
        </is>
      </c>
      <c r="V262">
        <f>IF(AND(OR(Dashboard!$C$6="All",E262=Dashboard!$C$6),OR(Dashboard!$F$6="All",G262=Dashboard!$F$6),OR(Dashboard!$I$6="All",H262=Dashboard!$I$6)),1,0)</f>
        <v/>
      </c>
    </row>
    <row r="263">
      <c r="A263" t="inlineStr">
        <is>
          <t>PF100254</t>
        </is>
      </c>
      <c r="B263" s="68" t="n">
        <v>45689</v>
      </c>
      <c r="C263" s="69" t="n">
        <v>2025</v>
      </c>
      <c r="D263" t="inlineStr">
        <is>
          <t>Feb</t>
        </is>
      </c>
      <c r="E263" t="inlineStr">
        <is>
          <t>United States</t>
        </is>
      </c>
      <c r="F263" t="inlineStr">
        <is>
          <t>USA</t>
        </is>
      </c>
      <c r="G263" t="inlineStr">
        <is>
          <t>Comirnaty</t>
        </is>
      </c>
      <c r="H263" t="inlineStr">
        <is>
          <t>Retail pharmacy</t>
        </is>
      </c>
      <c r="I263" t="inlineStr">
        <is>
          <t>Private insurer</t>
        </is>
      </c>
      <c r="J263" t="inlineStr">
        <is>
          <t>Emma Clarke</t>
        </is>
      </c>
      <c r="K263" s="70" t="n">
        <v>1930</v>
      </c>
      <c r="L263" s="71" t="n">
        <v>167.54</v>
      </c>
      <c r="M263" s="71" t="n">
        <v>323352.2</v>
      </c>
      <c r="N263" s="71" t="n">
        <v>97005.66</v>
      </c>
      <c r="O263" s="71" t="n">
        <v>226346.54</v>
      </c>
      <c r="P263" s="71" t="n">
        <v>72730.14</v>
      </c>
      <c r="Q263" s="71" t="n">
        <v>153616.4</v>
      </c>
      <c r="R263" t="inlineStr">
        <is>
          <t>Vaccines</t>
        </is>
      </c>
      <c r="S263" s="70" t="n">
        <v>1437</v>
      </c>
      <c r="T263" s="71" t="n">
        <v>39885.57</v>
      </c>
      <c r="U263" t="inlineStr">
        <is>
          <t>Low</t>
        </is>
      </c>
      <c r="V263">
        <f>IF(AND(OR(Dashboard!$C$6="All",E263=Dashboard!$C$6),OR(Dashboard!$F$6="All",G263=Dashboard!$F$6),OR(Dashboard!$I$6="All",H263=Dashboard!$I$6)),1,0)</f>
        <v/>
      </c>
    </row>
    <row r="264">
      <c r="A264" t="inlineStr">
        <is>
          <t>PF100255</t>
        </is>
      </c>
      <c r="B264" s="68" t="n">
        <v>45689</v>
      </c>
      <c r="C264" s="69" t="n">
        <v>2025</v>
      </c>
      <c r="D264" t="inlineStr">
        <is>
          <t>Feb</t>
        </is>
      </c>
      <c r="E264" t="inlineStr">
        <is>
          <t>United States</t>
        </is>
      </c>
      <c r="F264" t="inlineStr">
        <is>
          <t>USA</t>
        </is>
      </c>
      <c r="G264" t="inlineStr">
        <is>
          <t>Vyndaqel</t>
        </is>
      </c>
      <c r="H264" t="inlineStr">
        <is>
          <t>Government / tender</t>
        </is>
      </c>
      <c r="I264" t="inlineStr">
        <is>
          <t>Private insurer</t>
        </is>
      </c>
      <c r="J264" t="inlineStr">
        <is>
          <t>Liam O'Brien</t>
        </is>
      </c>
      <c r="K264" s="70" t="n">
        <v>1448</v>
      </c>
      <c r="L264" s="71" t="n">
        <v>8338.139999999999</v>
      </c>
      <c r="M264" s="71" t="n">
        <v>12073626.72</v>
      </c>
      <c r="N264" s="71" t="n">
        <v>3622088.02</v>
      </c>
      <c r="O264" s="71" t="n">
        <v>8451538.699999999</v>
      </c>
      <c r="P264" s="71" t="n">
        <v>923024.28</v>
      </c>
      <c r="Q264" s="71" t="n">
        <v>7528514.42</v>
      </c>
      <c r="R264" t="inlineStr">
        <is>
          <t>Rare disease</t>
        </is>
      </c>
      <c r="S264" s="70" t="n">
        <v>1110</v>
      </c>
      <c r="T264" s="71" t="n">
        <v>1815347.66</v>
      </c>
      <c r="U264" t="inlineStr">
        <is>
          <t>Medium</t>
        </is>
      </c>
      <c r="V264">
        <f>IF(AND(OR(Dashboard!$C$6="All",E264=Dashboard!$C$6),OR(Dashboard!$F$6="All",G264=Dashboard!$F$6),OR(Dashboard!$I$6="All",H264=Dashboard!$I$6)),1,0)</f>
        <v/>
      </c>
    </row>
    <row r="265">
      <c r="A265" t="inlineStr">
        <is>
          <t>PF100256</t>
        </is>
      </c>
      <c r="B265" s="68" t="n">
        <v>45689</v>
      </c>
      <c r="C265" s="69" t="n">
        <v>2025</v>
      </c>
      <c r="D265" t="inlineStr">
        <is>
          <t>Feb</t>
        </is>
      </c>
      <c r="E265" t="inlineStr">
        <is>
          <t>Europe</t>
        </is>
      </c>
      <c r="F265" t="inlineStr">
        <is>
          <t>Spain</t>
        </is>
      </c>
      <c r="G265" t="inlineStr">
        <is>
          <t>Prevnar 20</t>
        </is>
      </c>
      <c r="H265" t="inlineStr">
        <is>
          <t>Hospital</t>
        </is>
      </c>
      <c r="I265" t="inlineStr">
        <is>
          <t>Public payer</t>
        </is>
      </c>
      <c r="J265" t="inlineStr">
        <is>
          <t>Aisha Bello</t>
        </is>
      </c>
      <c r="K265" s="70" t="n">
        <v>1186</v>
      </c>
      <c r="L265" s="71" t="n">
        <v>239.83</v>
      </c>
      <c r="M265" s="71" t="n">
        <v>284438.38</v>
      </c>
      <c r="N265" s="71" t="n">
        <v>56887.68</v>
      </c>
      <c r="O265" s="71" t="n">
        <v>227550.7</v>
      </c>
      <c r="P265" s="71" t="n">
        <v>84483.44</v>
      </c>
      <c r="Q265" s="71" t="n">
        <v>143067.26</v>
      </c>
      <c r="R265" t="inlineStr">
        <is>
          <t>Vaccines</t>
        </is>
      </c>
      <c r="S265" s="70" t="n">
        <v>858</v>
      </c>
      <c r="T265" s="71" t="n">
        <v>34333.73</v>
      </c>
      <c r="U265" t="inlineStr">
        <is>
          <t>Low</t>
        </is>
      </c>
      <c r="V265">
        <f>IF(AND(OR(Dashboard!$C$6="All",E265=Dashboard!$C$6),OR(Dashboard!$F$6="All",G265=Dashboard!$F$6),OR(Dashboard!$I$6="All",H265=Dashboard!$I$6)),1,0)</f>
        <v/>
      </c>
    </row>
    <row r="266">
      <c r="A266" t="inlineStr">
        <is>
          <t>PF100257</t>
        </is>
      </c>
      <c r="B266" s="68" t="n">
        <v>45689</v>
      </c>
      <c r="C266" s="69" t="n">
        <v>2025</v>
      </c>
      <c r="D266" t="inlineStr">
        <is>
          <t>Feb</t>
        </is>
      </c>
      <c r="E266" t="inlineStr">
        <is>
          <t>United States</t>
        </is>
      </c>
      <c r="F266" t="inlineStr">
        <is>
          <t>USA</t>
        </is>
      </c>
      <c r="G266" t="inlineStr">
        <is>
          <t>Eliquis</t>
        </is>
      </c>
      <c r="H266" t="inlineStr">
        <is>
          <t>Retail pharmacy</t>
        </is>
      </c>
      <c r="I266" t="inlineStr">
        <is>
          <t>Public payer</t>
        </is>
      </c>
      <c r="J266" t="inlineStr">
        <is>
          <t>Shraddha Kulkarni</t>
        </is>
      </c>
      <c r="K266" s="70" t="n">
        <v>1347</v>
      </c>
      <c r="L266" s="71" t="n">
        <v>664.58</v>
      </c>
      <c r="M266" s="71" t="n">
        <v>895189.26</v>
      </c>
      <c r="N266" s="71" t="n">
        <v>223797.32</v>
      </c>
      <c r="O266" s="71" t="n">
        <v>671391.9399999999</v>
      </c>
      <c r="P266" s="71" t="n">
        <v>105243.57</v>
      </c>
      <c r="Q266" s="71" t="n">
        <v>566148.37</v>
      </c>
      <c r="R266" t="inlineStr">
        <is>
          <t>Cardiology</t>
        </is>
      </c>
      <c r="S266" s="70" t="n">
        <v>846</v>
      </c>
      <c r="T266" s="71" t="n">
        <v>125484.27</v>
      </c>
      <c r="U266" t="inlineStr">
        <is>
          <t>High</t>
        </is>
      </c>
      <c r="V266">
        <f>IF(AND(OR(Dashboard!$C$6="All",E266=Dashboard!$C$6),OR(Dashboard!$F$6="All",G266=Dashboard!$F$6),OR(Dashboard!$I$6="All",H266=Dashboard!$I$6)),1,0)</f>
        <v/>
      </c>
    </row>
    <row r="267">
      <c r="A267" t="inlineStr">
        <is>
          <t>PF100258</t>
        </is>
      </c>
      <c r="B267" s="68" t="n">
        <v>45689</v>
      </c>
      <c r="C267" s="69" t="n">
        <v>2025</v>
      </c>
      <c r="D267" t="inlineStr">
        <is>
          <t>Feb</t>
        </is>
      </c>
      <c r="E267" t="inlineStr">
        <is>
          <t>United States</t>
        </is>
      </c>
      <c r="F267" t="inlineStr">
        <is>
          <t>USA</t>
        </is>
      </c>
      <c r="G267" t="inlineStr">
        <is>
          <t>Ibrance</t>
        </is>
      </c>
      <c r="H267" t="inlineStr">
        <is>
          <t>Retail pharmacy</t>
        </is>
      </c>
      <c r="I267" t="inlineStr">
        <is>
          <t>Self-pay</t>
        </is>
      </c>
      <c r="J267" t="inlineStr">
        <is>
          <t>Arjun Mehta</t>
        </is>
      </c>
      <c r="K267" s="70" t="n">
        <v>1204</v>
      </c>
      <c r="L267" s="71" t="n">
        <v>5077.25</v>
      </c>
      <c r="M267" s="71" t="n">
        <v>6113009</v>
      </c>
      <c r="N267" s="71" t="n">
        <v>1222601.8</v>
      </c>
      <c r="O267" s="71" t="n">
        <v>4890407.2</v>
      </c>
      <c r="P267" s="71" t="n">
        <v>531749.47</v>
      </c>
      <c r="Q267" s="71" t="n">
        <v>4358657.73</v>
      </c>
      <c r="R267" t="inlineStr">
        <is>
          <t>Oncology</t>
        </is>
      </c>
      <c r="S267" s="70" t="n">
        <v>1155</v>
      </c>
      <c r="T267" s="71" t="n">
        <v>1242237.49</v>
      </c>
      <c r="U267" t="inlineStr">
        <is>
          <t>High</t>
        </is>
      </c>
      <c r="V267">
        <f>IF(AND(OR(Dashboard!$C$6="All",E267=Dashboard!$C$6),OR(Dashboard!$F$6="All",G267=Dashboard!$F$6),OR(Dashboard!$I$6="All",H267=Dashboard!$I$6)),1,0)</f>
        <v/>
      </c>
    </row>
    <row r="268">
      <c r="A268" t="inlineStr">
        <is>
          <t>PF100259</t>
        </is>
      </c>
      <c r="B268" s="68" t="n">
        <v>45689</v>
      </c>
      <c r="C268" s="69" t="n">
        <v>2025</v>
      </c>
      <c r="D268" t="inlineStr">
        <is>
          <t>Feb</t>
        </is>
      </c>
      <c r="E268" t="inlineStr">
        <is>
          <t>United States</t>
        </is>
      </c>
      <c r="F268" t="inlineStr">
        <is>
          <t>USA</t>
        </is>
      </c>
      <c r="G268" t="inlineStr">
        <is>
          <t>Xeljanz</t>
        </is>
      </c>
      <c r="H268" t="inlineStr">
        <is>
          <t>Government / tender</t>
        </is>
      </c>
      <c r="I268" t="inlineStr">
        <is>
          <t>Private insurer</t>
        </is>
      </c>
      <c r="J268" t="inlineStr">
        <is>
          <t>Aisha Bello</t>
        </is>
      </c>
      <c r="K268" s="70" t="n">
        <v>719</v>
      </c>
      <c r="L268" s="71" t="n">
        <v>2134.82</v>
      </c>
      <c r="M268" s="71" t="n">
        <v>1534935.58</v>
      </c>
      <c r="N268" s="71" t="n">
        <v>306987.12</v>
      </c>
      <c r="O268" s="71" t="n">
        <v>1227948.46</v>
      </c>
      <c r="P268" s="71" t="n">
        <v>174846.99</v>
      </c>
      <c r="Q268" s="71" t="n">
        <v>1053101.47</v>
      </c>
      <c r="R268" t="inlineStr">
        <is>
          <t>Inflammation</t>
        </is>
      </c>
      <c r="S268" s="70" t="n">
        <v>628</v>
      </c>
      <c r="T268" s="71" t="n">
        <v>249583.08</v>
      </c>
      <c r="U268" t="inlineStr">
        <is>
          <t>High</t>
        </is>
      </c>
      <c r="V268">
        <f>IF(AND(OR(Dashboard!$C$6="All",E268=Dashboard!$C$6),OR(Dashboard!$F$6="All",G268=Dashboard!$F$6),OR(Dashboard!$I$6="All",H268=Dashboard!$I$6)),1,0)</f>
        <v/>
      </c>
    </row>
    <row r="269">
      <c r="A269" t="inlineStr">
        <is>
          <t>PF100260</t>
        </is>
      </c>
      <c r="B269" s="68" t="n">
        <v>45689</v>
      </c>
      <c r="C269" s="69" t="n">
        <v>2025</v>
      </c>
      <c r="D269" t="inlineStr">
        <is>
          <t>Feb</t>
        </is>
      </c>
      <c r="E269" t="inlineStr">
        <is>
          <t>United States</t>
        </is>
      </c>
      <c r="F269" t="inlineStr">
        <is>
          <t>USA</t>
        </is>
      </c>
      <c r="G269" t="inlineStr">
        <is>
          <t>Prevnar 20</t>
        </is>
      </c>
      <c r="H269" t="inlineStr">
        <is>
          <t>Hospital</t>
        </is>
      </c>
      <c r="I269" t="inlineStr">
        <is>
          <t>Private insurer</t>
        </is>
      </c>
      <c r="J269" t="inlineStr">
        <is>
          <t>Fatima Al-Saud</t>
        </is>
      </c>
      <c r="K269" s="70" t="n">
        <v>1976</v>
      </c>
      <c r="L269" s="71" t="n">
        <v>372.77</v>
      </c>
      <c r="M269" s="71" t="n">
        <v>736593.52</v>
      </c>
      <c r="N269" s="71" t="n">
        <v>257807.73</v>
      </c>
      <c r="O269" s="71" t="n">
        <v>478785.79</v>
      </c>
      <c r="P269" s="71" t="n">
        <v>135039.47</v>
      </c>
      <c r="Q269" s="71" t="n">
        <v>343746.32</v>
      </c>
      <c r="R269" t="inlineStr">
        <is>
          <t>Vaccines</t>
        </is>
      </c>
      <c r="S269" s="70" t="n">
        <v>1466</v>
      </c>
      <c r="T269" s="71" t="n">
        <v>99290.89</v>
      </c>
      <c r="U269" t="inlineStr">
        <is>
          <t>Low</t>
        </is>
      </c>
      <c r="V269">
        <f>IF(AND(OR(Dashboard!$C$6="All",E269=Dashboard!$C$6),OR(Dashboard!$F$6="All",G269=Dashboard!$F$6),OR(Dashboard!$I$6="All",H269=Dashboard!$I$6)),1,0)</f>
        <v/>
      </c>
    </row>
    <row r="270">
      <c r="A270" t="inlineStr">
        <is>
          <t>PF100261</t>
        </is>
      </c>
      <c r="B270" s="68" t="n">
        <v>45689</v>
      </c>
      <c r="C270" s="69" t="n">
        <v>2025</v>
      </c>
      <c r="D270" t="inlineStr">
        <is>
          <t>Feb</t>
        </is>
      </c>
      <c r="E270" t="inlineStr">
        <is>
          <t>International developed</t>
        </is>
      </c>
      <c r="F270" t="inlineStr">
        <is>
          <t>Japan</t>
        </is>
      </c>
      <c r="G270" t="inlineStr">
        <is>
          <t>Prevnar 20</t>
        </is>
      </c>
      <c r="H270" t="inlineStr">
        <is>
          <t>Retail pharmacy</t>
        </is>
      </c>
      <c r="I270" t="inlineStr">
        <is>
          <t>Public payer</t>
        </is>
      </c>
      <c r="J270" t="inlineStr">
        <is>
          <t>Zoya Ahmed</t>
        </is>
      </c>
      <c r="K270" s="70" t="n">
        <v>1866</v>
      </c>
      <c r="L270" s="71" t="n">
        <v>236.58</v>
      </c>
      <c r="M270" s="71" t="n">
        <v>441458.28</v>
      </c>
      <c r="N270" s="71" t="n">
        <v>110364.57</v>
      </c>
      <c r="O270" s="71" t="n">
        <v>331093.71</v>
      </c>
      <c r="P270" s="71" t="n">
        <v>131750.45</v>
      </c>
      <c r="Q270" s="71" t="n">
        <v>199343.26</v>
      </c>
      <c r="R270" t="inlineStr">
        <is>
          <t>Vaccines</t>
        </is>
      </c>
      <c r="S270" s="70" t="n">
        <v>1238</v>
      </c>
      <c r="T270" s="71" t="n">
        <v>83990.85000000001</v>
      </c>
      <c r="U270" t="inlineStr">
        <is>
          <t>Low</t>
        </is>
      </c>
      <c r="V270">
        <f>IF(AND(OR(Dashboard!$C$6="All",E270=Dashboard!$C$6),OR(Dashboard!$F$6="All",G270=Dashboard!$F$6),OR(Dashboard!$I$6="All",H270=Dashboard!$I$6)),1,0)</f>
        <v/>
      </c>
    </row>
    <row r="271">
      <c r="A271" t="inlineStr">
        <is>
          <t>PF100262</t>
        </is>
      </c>
      <c r="B271" s="68" t="n">
        <v>45689</v>
      </c>
      <c r="C271" s="69" t="n">
        <v>2025</v>
      </c>
      <c r="D271" t="inlineStr">
        <is>
          <t>Feb</t>
        </is>
      </c>
      <c r="E271" t="inlineStr">
        <is>
          <t>United States</t>
        </is>
      </c>
      <c r="F271" t="inlineStr">
        <is>
          <t>USA</t>
        </is>
      </c>
      <c r="G271" t="inlineStr">
        <is>
          <t>Prevnar 20</t>
        </is>
      </c>
      <c r="H271" t="inlineStr">
        <is>
          <t>Hospital</t>
        </is>
      </c>
      <c r="I271" t="inlineStr">
        <is>
          <t>Private insurer</t>
        </is>
      </c>
      <c r="J271" t="inlineStr">
        <is>
          <t>Emma Clarke</t>
        </is>
      </c>
      <c r="K271" s="70" t="n">
        <v>834</v>
      </c>
      <c r="L271" s="71" t="n">
        <v>374.75</v>
      </c>
      <c r="M271" s="71" t="n">
        <v>312541.5</v>
      </c>
      <c r="N271" s="71" t="n">
        <v>93762.45</v>
      </c>
      <c r="O271" s="71" t="n">
        <v>218779.05</v>
      </c>
      <c r="P271" s="71" t="n">
        <v>55590.47</v>
      </c>
      <c r="Q271" s="71" t="n">
        <v>163188.58</v>
      </c>
      <c r="R271" t="inlineStr">
        <is>
          <t>Vaccines</t>
        </is>
      </c>
      <c r="S271" s="70" t="n">
        <v>572</v>
      </c>
      <c r="T271" s="71" t="n">
        <v>57335.54</v>
      </c>
      <c r="U271" t="inlineStr">
        <is>
          <t>Low</t>
        </is>
      </c>
      <c r="V271">
        <f>IF(AND(OR(Dashboard!$C$6="All",E271=Dashboard!$C$6),OR(Dashboard!$F$6="All",G271=Dashboard!$F$6),OR(Dashboard!$I$6="All",H271=Dashboard!$I$6)),1,0)</f>
        <v/>
      </c>
    </row>
    <row r="272">
      <c r="A272" t="inlineStr">
        <is>
          <t>PF100263</t>
        </is>
      </c>
      <c r="B272" s="68" t="n">
        <v>45689</v>
      </c>
      <c r="C272" s="69" t="n">
        <v>2025</v>
      </c>
      <c r="D272" t="inlineStr">
        <is>
          <t>Feb</t>
        </is>
      </c>
      <c r="E272" t="inlineStr">
        <is>
          <t>United States</t>
        </is>
      </c>
      <c r="F272" t="inlineStr">
        <is>
          <t>USA</t>
        </is>
      </c>
      <c r="G272" t="inlineStr">
        <is>
          <t>Paxlovid</t>
        </is>
      </c>
      <c r="H272" t="inlineStr">
        <is>
          <t>Retail pharmacy</t>
        </is>
      </c>
      <c r="I272" t="inlineStr">
        <is>
          <t>Public payer</t>
        </is>
      </c>
      <c r="J272" t="inlineStr">
        <is>
          <t>Sara Rossi</t>
        </is>
      </c>
      <c r="K272" s="70" t="n">
        <v>1156</v>
      </c>
      <c r="L272" s="71" t="n">
        <v>1734.96</v>
      </c>
      <c r="M272" s="71" t="n">
        <v>2005613.76</v>
      </c>
      <c r="N272" s="71" t="n">
        <v>501403.44</v>
      </c>
      <c r="O272" s="71" t="n">
        <v>1504210.32</v>
      </c>
      <c r="P272" s="71" t="n">
        <v>324110.15</v>
      </c>
      <c r="Q272" s="71" t="n">
        <v>1180100.17</v>
      </c>
      <c r="R272" t="inlineStr">
        <is>
          <t>Antiviral</t>
        </is>
      </c>
      <c r="S272" s="70" t="n">
        <v>758</v>
      </c>
      <c r="T272" s="71" t="n">
        <v>295900.59</v>
      </c>
      <c r="U272" t="inlineStr">
        <is>
          <t>Low</t>
        </is>
      </c>
      <c r="V272">
        <f>IF(AND(OR(Dashboard!$C$6="All",E272=Dashboard!$C$6),OR(Dashboard!$F$6="All",G272=Dashboard!$F$6),OR(Dashboard!$I$6="All",H272=Dashboard!$I$6)),1,0)</f>
        <v/>
      </c>
    </row>
    <row r="273">
      <c r="A273" t="inlineStr">
        <is>
          <t>PF100264</t>
        </is>
      </c>
      <c r="B273" s="68" t="n">
        <v>45689</v>
      </c>
      <c r="C273" s="69" t="n">
        <v>2025</v>
      </c>
      <c r="D273" t="inlineStr">
        <is>
          <t>Feb</t>
        </is>
      </c>
      <c r="E273" t="inlineStr">
        <is>
          <t>United States</t>
        </is>
      </c>
      <c r="F273" t="inlineStr">
        <is>
          <t>USA</t>
        </is>
      </c>
      <c r="G273" t="inlineStr">
        <is>
          <t>Prevnar 20</t>
        </is>
      </c>
      <c r="H273" t="inlineStr">
        <is>
          <t>Government / tender</t>
        </is>
      </c>
      <c r="I273" t="inlineStr">
        <is>
          <t>Public payer</t>
        </is>
      </c>
      <c r="J273" t="inlineStr">
        <is>
          <t>Zoya Ahmed</t>
        </is>
      </c>
      <c r="K273" s="70" t="n">
        <v>1886</v>
      </c>
      <c r="L273" s="71" t="n">
        <v>344.16</v>
      </c>
      <c r="M273" s="71" t="n">
        <v>649085.76</v>
      </c>
      <c r="N273" s="71" t="n">
        <v>97362.86</v>
      </c>
      <c r="O273" s="71" t="n">
        <v>551722.9</v>
      </c>
      <c r="P273" s="71" t="n">
        <v>130173.62</v>
      </c>
      <c r="Q273" s="71" t="n">
        <v>421549.28</v>
      </c>
      <c r="R273" t="inlineStr">
        <is>
          <t>Vaccines</t>
        </is>
      </c>
      <c r="S273" s="70" t="n">
        <v>1682</v>
      </c>
      <c r="T273" s="71" t="n">
        <v>100046.96</v>
      </c>
      <c r="U273" t="inlineStr">
        <is>
          <t>Low</t>
        </is>
      </c>
      <c r="V273">
        <f>IF(AND(OR(Dashboard!$C$6="All",E273=Dashboard!$C$6),OR(Dashboard!$F$6="All",G273=Dashboard!$F$6),OR(Dashboard!$I$6="All",H273=Dashboard!$I$6)),1,0)</f>
        <v/>
      </c>
    </row>
    <row r="274">
      <c r="A274" t="inlineStr">
        <is>
          <t>PF100265</t>
        </is>
      </c>
      <c r="B274" s="68" t="n">
        <v>45689</v>
      </c>
      <c r="C274" s="69" t="n">
        <v>2025</v>
      </c>
      <c r="D274" t="inlineStr">
        <is>
          <t>Feb</t>
        </is>
      </c>
      <c r="E274" t="inlineStr">
        <is>
          <t>United States</t>
        </is>
      </c>
      <c r="F274" t="inlineStr">
        <is>
          <t>USA</t>
        </is>
      </c>
      <c r="G274" t="inlineStr">
        <is>
          <t>Abrysvo</t>
        </is>
      </c>
      <c r="H274" t="inlineStr">
        <is>
          <t>Hospital</t>
        </is>
      </c>
      <c r="I274" t="inlineStr">
        <is>
          <t>Self-pay</t>
        </is>
      </c>
      <c r="J274" t="inlineStr">
        <is>
          <t>Sara Rossi</t>
        </is>
      </c>
      <c r="K274" s="70" t="n">
        <v>384</v>
      </c>
      <c r="L274" s="71" t="n">
        <v>470.22</v>
      </c>
      <c r="M274" s="71" t="n">
        <v>180564.48</v>
      </c>
      <c r="N274" s="71" t="n">
        <v>36112.9</v>
      </c>
      <c r="O274" s="71" t="n">
        <v>144451.58</v>
      </c>
      <c r="P274" s="71" t="n">
        <v>32586.88</v>
      </c>
      <c r="Q274" s="71" t="n">
        <v>111864.7</v>
      </c>
      <c r="R274" t="inlineStr">
        <is>
          <t>Vaccines</t>
        </is>
      </c>
      <c r="S274" s="70" t="n">
        <v>340</v>
      </c>
      <c r="T274" s="71" t="n">
        <v>26969.63</v>
      </c>
      <c r="U274" t="inlineStr">
        <is>
          <t>Low</t>
        </is>
      </c>
      <c r="V274">
        <f>IF(AND(OR(Dashboard!$C$6="All",E274=Dashboard!$C$6),OR(Dashboard!$F$6="All",G274=Dashboard!$F$6),OR(Dashboard!$I$6="All",H274=Dashboard!$I$6)),1,0)</f>
        <v/>
      </c>
    </row>
    <row r="275">
      <c r="A275" t="inlineStr">
        <is>
          <t>PF100266</t>
        </is>
      </c>
      <c r="B275" s="68" t="n">
        <v>45689</v>
      </c>
      <c r="C275" s="69" t="n">
        <v>2025</v>
      </c>
      <c r="D275" t="inlineStr">
        <is>
          <t>Feb</t>
        </is>
      </c>
      <c r="E275" t="inlineStr">
        <is>
          <t>United States</t>
        </is>
      </c>
      <c r="F275" t="inlineStr">
        <is>
          <t>USA</t>
        </is>
      </c>
      <c r="G275" t="inlineStr">
        <is>
          <t>Vyndaqel</t>
        </is>
      </c>
      <c r="H275" t="inlineStr">
        <is>
          <t>Retail pharmacy</t>
        </is>
      </c>
      <c r="I275" t="inlineStr">
        <is>
          <t>Self-pay</t>
        </is>
      </c>
      <c r="J275" t="inlineStr">
        <is>
          <t>Fatima Al-Saud</t>
        </is>
      </c>
      <c r="K275" s="70" t="n">
        <v>976</v>
      </c>
      <c r="L275" s="71" t="n">
        <v>8918.58</v>
      </c>
      <c r="M275" s="71" t="n">
        <v>8704534.08</v>
      </c>
      <c r="N275" s="71" t="n">
        <v>2611360.22</v>
      </c>
      <c r="O275" s="71" t="n">
        <v>6093173.86</v>
      </c>
      <c r="P275" s="71" t="n">
        <v>607720.96</v>
      </c>
      <c r="Q275" s="71" t="n">
        <v>5485452.9</v>
      </c>
      <c r="R275" t="inlineStr">
        <is>
          <t>Rare disease</t>
        </is>
      </c>
      <c r="S275" s="70" t="n">
        <v>687</v>
      </c>
      <c r="T275" s="71" t="n">
        <v>1767237.01</v>
      </c>
      <c r="U275" t="inlineStr">
        <is>
          <t>Medium</t>
        </is>
      </c>
      <c r="V275">
        <f>IF(AND(OR(Dashboard!$C$6="All",E275=Dashboard!$C$6),OR(Dashboard!$F$6="All",G275=Dashboard!$F$6),OR(Dashboard!$I$6="All",H275=Dashboard!$I$6)),1,0)</f>
        <v/>
      </c>
    </row>
    <row r="276">
      <c r="A276" t="inlineStr">
        <is>
          <t>PF100267</t>
        </is>
      </c>
      <c r="B276" s="68" t="n">
        <v>45690</v>
      </c>
      <c r="C276" s="69" t="n">
        <v>2025</v>
      </c>
      <c r="D276" t="inlineStr">
        <is>
          <t>Feb</t>
        </is>
      </c>
      <c r="E276" t="inlineStr">
        <is>
          <t>United States</t>
        </is>
      </c>
      <c r="F276" t="inlineStr">
        <is>
          <t>USA</t>
        </is>
      </c>
      <c r="G276" t="inlineStr">
        <is>
          <t>Comirnaty</t>
        </is>
      </c>
      <c r="H276" t="inlineStr">
        <is>
          <t>Retail pharmacy</t>
        </is>
      </c>
      <c r="I276" t="inlineStr">
        <is>
          <t>Private insurer</t>
        </is>
      </c>
      <c r="J276" t="inlineStr">
        <is>
          <t>Olivia Brown</t>
        </is>
      </c>
      <c r="K276" s="70" t="n">
        <v>585</v>
      </c>
      <c r="L276" s="71" t="n">
        <v>188.7</v>
      </c>
      <c r="M276" s="71" t="n">
        <v>110389.5</v>
      </c>
      <c r="N276" s="71" t="n">
        <v>16558.43</v>
      </c>
      <c r="O276" s="71" t="n">
        <v>93831.07000000001</v>
      </c>
      <c r="P276" s="71" t="n">
        <v>23336.83</v>
      </c>
      <c r="Q276" s="71" t="n">
        <v>70494.24000000001</v>
      </c>
      <c r="R276" t="inlineStr">
        <is>
          <t>Vaccines</t>
        </is>
      </c>
      <c r="S276" s="70" t="n">
        <v>465</v>
      </c>
      <c r="T276" s="71" t="n">
        <v>15595.27</v>
      </c>
      <c r="U276" t="inlineStr">
        <is>
          <t>Low</t>
        </is>
      </c>
      <c r="V276">
        <f>IF(AND(OR(Dashboard!$C$6="All",E276=Dashboard!$C$6),OR(Dashboard!$F$6="All",G276=Dashboard!$F$6),OR(Dashboard!$I$6="All",H276=Dashboard!$I$6)),1,0)</f>
        <v/>
      </c>
    </row>
    <row r="277">
      <c r="A277" t="inlineStr">
        <is>
          <t>PF100268</t>
        </is>
      </c>
      <c r="B277" s="68" t="n">
        <v>45690</v>
      </c>
      <c r="C277" s="69" t="n">
        <v>2025</v>
      </c>
      <c r="D277" t="inlineStr">
        <is>
          <t>Feb</t>
        </is>
      </c>
      <c r="E277" t="inlineStr">
        <is>
          <t>Europe</t>
        </is>
      </c>
      <c r="F277" t="inlineStr">
        <is>
          <t>Italy</t>
        </is>
      </c>
      <c r="G277" t="inlineStr">
        <is>
          <t>Comirnaty</t>
        </is>
      </c>
      <c r="H277" t="inlineStr">
        <is>
          <t>Retail pharmacy</t>
        </is>
      </c>
      <c r="I277" t="inlineStr">
        <is>
          <t>Public payer</t>
        </is>
      </c>
      <c r="J277" t="inlineStr">
        <is>
          <t>Noah Smith</t>
        </is>
      </c>
      <c r="K277" s="70" t="n">
        <v>1479</v>
      </c>
      <c r="L277" s="71" t="n">
        <v>104.74</v>
      </c>
      <c r="M277" s="71" t="n">
        <v>154910.46</v>
      </c>
      <c r="N277" s="71" t="n">
        <v>15491.05</v>
      </c>
      <c r="O277" s="71" t="n">
        <v>139419.41</v>
      </c>
      <c r="P277" s="71" t="n">
        <v>57612.59</v>
      </c>
      <c r="Q277" s="71" t="n">
        <v>81806.82000000001</v>
      </c>
      <c r="R277" t="inlineStr">
        <is>
          <t>Vaccines</t>
        </is>
      </c>
      <c r="S277" s="70" t="n">
        <v>1306</v>
      </c>
      <c r="T277" s="71" t="n">
        <v>18884.98</v>
      </c>
      <c r="U277" t="inlineStr">
        <is>
          <t>Low</t>
        </is>
      </c>
      <c r="V277">
        <f>IF(AND(OR(Dashboard!$C$6="All",E277=Dashboard!$C$6),OR(Dashboard!$F$6="All",G277=Dashboard!$F$6),OR(Dashboard!$I$6="All",H277=Dashboard!$I$6)),1,0)</f>
        <v/>
      </c>
    </row>
    <row r="278">
      <c r="A278" t="inlineStr">
        <is>
          <t>PF100269</t>
        </is>
      </c>
      <c r="B278" s="68" t="n">
        <v>45690</v>
      </c>
      <c r="C278" s="69" t="n">
        <v>2025</v>
      </c>
      <c r="D278" t="inlineStr">
        <is>
          <t>Feb</t>
        </is>
      </c>
      <c r="E278" t="inlineStr">
        <is>
          <t>United States</t>
        </is>
      </c>
      <c r="F278" t="inlineStr">
        <is>
          <t>USA</t>
        </is>
      </c>
      <c r="G278" t="inlineStr">
        <is>
          <t>Paxlovid</t>
        </is>
      </c>
      <c r="H278" t="inlineStr">
        <is>
          <t>Hospital</t>
        </is>
      </c>
      <c r="I278" t="inlineStr">
        <is>
          <t>Public payer</t>
        </is>
      </c>
      <c r="J278" t="inlineStr">
        <is>
          <t>Priya Nair</t>
        </is>
      </c>
      <c r="K278" s="70" t="n">
        <v>571</v>
      </c>
      <c r="L278" s="71" t="n">
        <v>1601.86</v>
      </c>
      <c r="M278" s="71" t="n">
        <v>914662.0600000001</v>
      </c>
      <c r="N278" s="71" t="n">
        <v>182932.41</v>
      </c>
      <c r="O278" s="71" t="n">
        <v>731729.65</v>
      </c>
      <c r="P278" s="71" t="n">
        <v>154699.3</v>
      </c>
      <c r="Q278" s="71" t="n">
        <v>577030.35</v>
      </c>
      <c r="R278" t="inlineStr">
        <is>
          <t>Antiviral</t>
        </is>
      </c>
      <c r="S278" s="70" t="n">
        <v>364</v>
      </c>
      <c r="T278" s="71" t="n">
        <v>123236.71</v>
      </c>
      <c r="U278" t="inlineStr">
        <is>
          <t>Low</t>
        </is>
      </c>
      <c r="V278">
        <f>IF(AND(OR(Dashboard!$C$6="All",E278=Dashboard!$C$6),OR(Dashboard!$F$6="All",G278=Dashboard!$F$6),OR(Dashboard!$I$6="All",H278=Dashboard!$I$6)),1,0)</f>
        <v/>
      </c>
    </row>
    <row r="279">
      <c r="A279" t="inlineStr">
        <is>
          <t>PF100270</t>
        </is>
      </c>
      <c r="B279" s="68" t="n">
        <v>45690</v>
      </c>
      <c r="C279" s="69" t="n">
        <v>2025</v>
      </c>
      <c r="D279" t="inlineStr">
        <is>
          <t>Feb</t>
        </is>
      </c>
      <c r="E279" t="inlineStr">
        <is>
          <t>United States</t>
        </is>
      </c>
      <c r="F279" t="inlineStr">
        <is>
          <t>USA</t>
        </is>
      </c>
      <c r="G279" t="inlineStr">
        <is>
          <t>Eliquis</t>
        </is>
      </c>
      <c r="H279" t="inlineStr">
        <is>
          <t>Government / tender</t>
        </is>
      </c>
      <c r="I279" t="inlineStr">
        <is>
          <t>Public payer</t>
        </is>
      </c>
      <c r="J279" t="inlineStr">
        <is>
          <t>Zoya Ahmed</t>
        </is>
      </c>
      <c r="K279" s="70" t="n">
        <v>2422</v>
      </c>
      <c r="L279" s="71" t="n">
        <v>705.6</v>
      </c>
      <c r="M279" s="71" t="n">
        <v>1708963.2</v>
      </c>
      <c r="N279" s="71" t="n">
        <v>341792.64</v>
      </c>
      <c r="O279" s="71" t="n">
        <v>1367170.56</v>
      </c>
      <c r="P279" s="71" t="n">
        <v>182601.75</v>
      </c>
      <c r="Q279" s="71" t="n">
        <v>1184568.81</v>
      </c>
      <c r="R279" t="inlineStr">
        <is>
          <t>Cardiology</t>
        </is>
      </c>
      <c r="S279" s="70" t="n">
        <v>2192</v>
      </c>
      <c r="T279" s="71" t="n">
        <v>280197.17</v>
      </c>
      <c r="U279" t="inlineStr">
        <is>
          <t>High</t>
        </is>
      </c>
      <c r="V279">
        <f>IF(AND(OR(Dashboard!$C$6="All",E279=Dashboard!$C$6),OR(Dashboard!$F$6="All",G279=Dashboard!$F$6),OR(Dashboard!$I$6="All",H279=Dashboard!$I$6)),1,0)</f>
        <v/>
      </c>
    </row>
    <row r="280">
      <c r="A280" t="inlineStr">
        <is>
          <t>PF100271</t>
        </is>
      </c>
      <c r="B280" s="68" t="n">
        <v>45690</v>
      </c>
      <c r="C280" s="69" t="n">
        <v>2025</v>
      </c>
      <c r="D280" t="inlineStr">
        <is>
          <t>Feb</t>
        </is>
      </c>
      <c r="E280" t="inlineStr">
        <is>
          <t>United States</t>
        </is>
      </c>
      <c r="F280" t="inlineStr">
        <is>
          <t>USA</t>
        </is>
      </c>
      <c r="G280" t="inlineStr">
        <is>
          <t>Vyndaqel</t>
        </is>
      </c>
      <c r="H280" t="inlineStr">
        <is>
          <t>Retail pharmacy</t>
        </is>
      </c>
      <c r="I280" t="inlineStr">
        <is>
          <t>Public payer</t>
        </is>
      </c>
      <c r="J280" t="inlineStr">
        <is>
          <t>Ruhi Shaikh</t>
        </is>
      </c>
      <c r="K280" s="70" t="n">
        <v>1773</v>
      </c>
      <c r="L280" s="71" t="n">
        <v>8808.940000000001</v>
      </c>
      <c r="M280" s="71" t="n">
        <v>15618250.62</v>
      </c>
      <c r="N280" s="71" t="n">
        <v>4685475.19</v>
      </c>
      <c r="O280" s="71" t="n">
        <v>10932775.43</v>
      </c>
      <c r="P280" s="71" t="n">
        <v>1116166.18</v>
      </c>
      <c r="Q280" s="71" t="n">
        <v>9816609.25</v>
      </c>
      <c r="R280" t="inlineStr">
        <is>
          <t>Rare disease</t>
        </is>
      </c>
      <c r="S280" s="70" t="n">
        <v>1419</v>
      </c>
      <c r="T280" s="71" t="n">
        <v>2794365.53</v>
      </c>
      <c r="U280" t="inlineStr">
        <is>
          <t>Medium</t>
        </is>
      </c>
      <c r="V280">
        <f>IF(AND(OR(Dashboard!$C$6="All",E280=Dashboard!$C$6),OR(Dashboard!$F$6="All",G280=Dashboard!$F$6),OR(Dashboard!$I$6="All",H280=Dashboard!$I$6)),1,0)</f>
        <v/>
      </c>
    </row>
    <row r="281">
      <c r="A281" t="inlineStr">
        <is>
          <t>PF100272</t>
        </is>
      </c>
      <c r="B281" s="68" t="n">
        <v>45690</v>
      </c>
      <c r="C281" s="69" t="n">
        <v>2025</v>
      </c>
      <c r="D281" t="inlineStr">
        <is>
          <t>Feb</t>
        </is>
      </c>
      <c r="E281" t="inlineStr">
        <is>
          <t>Emerging markets</t>
        </is>
      </c>
      <c r="F281" t="inlineStr">
        <is>
          <t>Mexico</t>
        </is>
      </c>
      <c r="G281" t="inlineStr">
        <is>
          <t>Paxlovid</t>
        </is>
      </c>
      <c r="H281" t="inlineStr">
        <is>
          <t>Retail pharmacy</t>
        </is>
      </c>
      <c r="I281" t="inlineStr">
        <is>
          <t>Private insurer</t>
        </is>
      </c>
      <c r="J281" t="inlineStr">
        <is>
          <t>Amir Khan</t>
        </is>
      </c>
      <c r="K281" s="70" t="n">
        <v>84</v>
      </c>
      <c r="L281" s="71" t="n">
        <v>1202.87</v>
      </c>
      <c r="M281" s="71" t="n">
        <v>101041.08</v>
      </c>
      <c r="N281" s="71" t="n">
        <v>15156.16</v>
      </c>
      <c r="O281" s="71" t="n">
        <v>85884.92</v>
      </c>
      <c r="P281" s="71" t="n">
        <v>23005.45</v>
      </c>
      <c r="Q281" s="71" t="n">
        <v>62879.47</v>
      </c>
      <c r="R281" t="inlineStr">
        <is>
          <t>Antiviral</t>
        </is>
      </c>
      <c r="S281" s="70" t="n">
        <v>73</v>
      </c>
      <c r="T281" s="71" t="n">
        <v>14902.39</v>
      </c>
      <c r="U281" t="inlineStr">
        <is>
          <t>Low</t>
        </is>
      </c>
      <c r="V281">
        <f>IF(AND(OR(Dashboard!$C$6="All",E281=Dashboard!$C$6),OR(Dashboard!$F$6="All",G281=Dashboard!$F$6),OR(Dashboard!$I$6="All",H281=Dashboard!$I$6)),1,0)</f>
        <v/>
      </c>
    </row>
    <row r="282">
      <c r="A282" t="inlineStr">
        <is>
          <t>PF100273</t>
        </is>
      </c>
      <c r="B282" s="68" t="n">
        <v>45690</v>
      </c>
      <c r="C282" s="69" t="n">
        <v>2025</v>
      </c>
      <c r="D282" t="inlineStr">
        <is>
          <t>Feb</t>
        </is>
      </c>
      <c r="E282" t="inlineStr">
        <is>
          <t>United States</t>
        </is>
      </c>
      <c r="F282" t="inlineStr">
        <is>
          <t>USA</t>
        </is>
      </c>
      <c r="G282" t="inlineStr">
        <is>
          <t>Xeljanz</t>
        </is>
      </c>
      <c r="H282" t="inlineStr">
        <is>
          <t>Retail pharmacy</t>
        </is>
      </c>
      <c r="I282" t="inlineStr">
        <is>
          <t>Private insurer</t>
        </is>
      </c>
      <c r="J282" t="inlineStr">
        <is>
          <t>Emma Clarke</t>
        </is>
      </c>
      <c r="K282" s="70" t="n">
        <v>998</v>
      </c>
      <c r="L282" s="71" t="n">
        <v>2045.33</v>
      </c>
      <c r="M282" s="71" t="n">
        <v>2041239.34</v>
      </c>
      <c r="N282" s="71" t="n">
        <v>612371.8</v>
      </c>
      <c r="O282" s="71" t="n">
        <v>1428867.54</v>
      </c>
      <c r="P282" s="71" t="n">
        <v>258534.2</v>
      </c>
      <c r="Q282" s="71" t="n">
        <v>1170333.34</v>
      </c>
      <c r="R282" t="inlineStr">
        <is>
          <t>Inflammation</t>
        </is>
      </c>
      <c r="S282" s="70" t="n">
        <v>904</v>
      </c>
      <c r="T282" s="71" t="n">
        <v>447873.98</v>
      </c>
      <c r="U282" t="inlineStr">
        <is>
          <t>High</t>
        </is>
      </c>
      <c r="V282">
        <f>IF(AND(OR(Dashboard!$C$6="All",E282=Dashboard!$C$6),OR(Dashboard!$F$6="All",G282=Dashboard!$F$6),OR(Dashboard!$I$6="All",H282=Dashboard!$I$6)),1,0)</f>
        <v/>
      </c>
    </row>
    <row r="283">
      <c r="A283" t="inlineStr">
        <is>
          <t>PF100274</t>
        </is>
      </c>
      <c r="B283" s="68" t="n">
        <v>45690</v>
      </c>
      <c r="C283" s="69" t="n">
        <v>2025</v>
      </c>
      <c r="D283" t="inlineStr">
        <is>
          <t>Feb</t>
        </is>
      </c>
      <c r="E283" t="inlineStr">
        <is>
          <t>Europe</t>
        </is>
      </c>
      <c r="F283" t="inlineStr">
        <is>
          <t>Germany</t>
        </is>
      </c>
      <c r="G283" t="inlineStr">
        <is>
          <t>Eliquis</t>
        </is>
      </c>
      <c r="H283" t="inlineStr">
        <is>
          <t>Hospital</t>
        </is>
      </c>
      <c r="I283" t="inlineStr">
        <is>
          <t>Private insurer</t>
        </is>
      </c>
      <c r="J283" t="inlineStr">
        <is>
          <t>Mei Lin</t>
        </is>
      </c>
      <c r="K283" s="70" t="n">
        <v>1489</v>
      </c>
      <c r="L283" s="71" t="n">
        <v>459.52</v>
      </c>
      <c r="M283" s="71" t="n">
        <v>684225.28</v>
      </c>
      <c r="N283" s="71" t="n">
        <v>34211.26</v>
      </c>
      <c r="O283" s="71" t="n">
        <v>650014.02</v>
      </c>
      <c r="P283" s="71" t="n">
        <v>116692.33</v>
      </c>
      <c r="Q283" s="71" t="n">
        <v>533321.6899999999</v>
      </c>
      <c r="R283" t="inlineStr">
        <is>
          <t>Cardiology</t>
        </is>
      </c>
      <c r="S283" s="70" t="n">
        <v>1309</v>
      </c>
      <c r="T283" s="71" t="n">
        <v>138550.88</v>
      </c>
      <c r="U283" t="inlineStr">
        <is>
          <t>High</t>
        </is>
      </c>
      <c r="V283">
        <f>IF(AND(OR(Dashboard!$C$6="All",E283=Dashboard!$C$6),OR(Dashboard!$F$6="All",G283=Dashboard!$F$6),OR(Dashboard!$I$6="All",H283=Dashboard!$I$6)),1,0)</f>
        <v/>
      </c>
    </row>
    <row r="284">
      <c r="A284" t="inlineStr">
        <is>
          <t>PF100275</t>
        </is>
      </c>
      <c r="B284" s="68" t="n">
        <v>45690</v>
      </c>
      <c r="C284" s="69" t="n">
        <v>2025</v>
      </c>
      <c r="D284" t="inlineStr">
        <is>
          <t>Feb</t>
        </is>
      </c>
      <c r="E284" t="inlineStr">
        <is>
          <t>Europe</t>
        </is>
      </c>
      <c r="F284" t="inlineStr">
        <is>
          <t>Spain</t>
        </is>
      </c>
      <c r="G284" t="inlineStr">
        <is>
          <t>Paxlovid</t>
        </is>
      </c>
      <c r="H284" t="inlineStr">
        <is>
          <t>Retail pharmacy</t>
        </is>
      </c>
      <c r="I284" t="inlineStr">
        <is>
          <t>Private insurer</t>
        </is>
      </c>
      <c r="J284" t="inlineStr">
        <is>
          <t>Amir Khan</t>
        </is>
      </c>
      <c r="K284" s="70" t="n">
        <v>1030</v>
      </c>
      <c r="L284" s="71" t="n">
        <v>1114.22</v>
      </c>
      <c r="M284" s="71" t="n">
        <v>1147646.6</v>
      </c>
      <c r="N284" s="71" t="n">
        <v>114764.66</v>
      </c>
      <c r="O284" s="71" t="n">
        <v>1032881.94</v>
      </c>
      <c r="P284" s="71" t="n">
        <v>289690.76</v>
      </c>
      <c r="Q284" s="71" t="n">
        <v>743191.1800000001</v>
      </c>
      <c r="R284" t="inlineStr">
        <is>
          <t>Antiviral</t>
        </is>
      </c>
      <c r="S284" s="70" t="n">
        <v>722</v>
      </c>
      <c r="T284" s="71" t="n">
        <v>197579.11</v>
      </c>
      <c r="U284" t="inlineStr">
        <is>
          <t>Low</t>
        </is>
      </c>
      <c r="V284">
        <f>IF(AND(OR(Dashboard!$C$6="All",E284=Dashboard!$C$6),OR(Dashboard!$F$6="All",G284=Dashboard!$F$6),OR(Dashboard!$I$6="All",H284=Dashboard!$I$6)),1,0)</f>
        <v/>
      </c>
    </row>
    <row r="285">
      <c r="A285" t="inlineStr">
        <is>
          <t>PF100276</t>
        </is>
      </c>
      <c r="B285" s="68" t="n">
        <v>45691</v>
      </c>
      <c r="C285" s="69" t="n">
        <v>2025</v>
      </c>
      <c r="D285" t="inlineStr">
        <is>
          <t>Feb</t>
        </is>
      </c>
      <c r="E285" t="inlineStr">
        <is>
          <t>Europe</t>
        </is>
      </c>
      <c r="F285" t="inlineStr">
        <is>
          <t>UK</t>
        </is>
      </c>
      <c r="G285" t="inlineStr">
        <is>
          <t>Paxlovid</t>
        </is>
      </c>
      <c r="H285" t="inlineStr">
        <is>
          <t>Retail pharmacy</t>
        </is>
      </c>
      <c r="I285" t="inlineStr">
        <is>
          <t>Private insurer</t>
        </is>
      </c>
      <c r="J285" t="inlineStr">
        <is>
          <t>Zoya Ahmed</t>
        </is>
      </c>
      <c r="K285" s="70" t="n">
        <v>2094</v>
      </c>
      <c r="L285" s="71" t="n">
        <v>1143.41</v>
      </c>
      <c r="M285" s="71" t="n">
        <v>2394300.54</v>
      </c>
      <c r="N285" s="71" t="n">
        <v>119715.03</v>
      </c>
      <c r="O285" s="71" t="n">
        <v>2274585.51</v>
      </c>
      <c r="P285" s="71" t="n">
        <v>566559.91</v>
      </c>
      <c r="Q285" s="71" t="n">
        <v>1708025.6</v>
      </c>
      <c r="R285" t="inlineStr">
        <is>
          <t>Antiviral</t>
        </is>
      </c>
      <c r="S285" s="70" t="n">
        <v>1736</v>
      </c>
      <c r="T285" s="71" t="n">
        <v>454976.92</v>
      </c>
      <c r="U285" t="inlineStr">
        <is>
          <t>Low</t>
        </is>
      </c>
      <c r="V285">
        <f>IF(AND(OR(Dashboard!$C$6="All",E285=Dashboard!$C$6),OR(Dashboard!$F$6="All",G285=Dashboard!$F$6),OR(Dashboard!$I$6="All",H285=Dashboard!$I$6)),1,0)</f>
        <v/>
      </c>
    </row>
    <row r="286">
      <c r="A286" t="inlineStr">
        <is>
          <t>PF100277</t>
        </is>
      </c>
      <c r="B286" s="68" t="n">
        <v>45691</v>
      </c>
      <c r="C286" s="69" t="n">
        <v>2025</v>
      </c>
      <c r="D286" t="inlineStr">
        <is>
          <t>Feb</t>
        </is>
      </c>
      <c r="E286" t="inlineStr">
        <is>
          <t>United States</t>
        </is>
      </c>
      <c r="F286" t="inlineStr">
        <is>
          <t>USA</t>
        </is>
      </c>
      <c r="G286" t="inlineStr">
        <is>
          <t>Eliquis</t>
        </is>
      </c>
      <c r="H286" t="inlineStr">
        <is>
          <t>Retail pharmacy</t>
        </is>
      </c>
      <c r="I286" t="inlineStr">
        <is>
          <t>Public payer</t>
        </is>
      </c>
      <c r="J286" t="inlineStr">
        <is>
          <t>Sara Rossi</t>
        </is>
      </c>
      <c r="K286" s="70" t="n">
        <v>86</v>
      </c>
      <c r="L286" s="71" t="n">
        <v>644.51</v>
      </c>
      <c r="M286" s="71" t="n">
        <v>55427.86</v>
      </c>
      <c r="N286" s="71" t="n">
        <v>19399.75</v>
      </c>
      <c r="O286" s="71" t="n">
        <v>36028.11</v>
      </c>
      <c r="P286" s="71" t="n">
        <v>6633.75</v>
      </c>
      <c r="Q286" s="71" t="n">
        <v>29394.36</v>
      </c>
      <c r="R286" t="inlineStr">
        <is>
          <t>Cardiology</t>
        </is>
      </c>
      <c r="S286" s="70" t="n">
        <v>68</v>
      </c>
      <c r="T286" s="71" t="n">
        <v>7153.18</v>
      </c>
      <c r="U286" t="inlineStr">
        <is>
          <t>High</t>
        </is>
      </c>
      <c r="V286">
        <f>IF(AND(OR(Dashboard!$C$6="All",E286=Dashboard!$C$6),OR(Dashboard!$F$6="All",G286=Dashboard!$F$6),OR(Dashboard!$I$6="All",H286=Dashboard!$I$6)),1,0)</f>
        <v/>
      </c>
    </row>
    <row r="287">
      <c r="A287" t="inlineStr">
        <is>
          <t>PF100278</t>
        </is>
      </c>
      <c r="B287" s="68" t="n">
        <v>45691</v>
      </c>
      <c r="C287" s="69" t="n">
        <v>2025</v>
      </c>
      <c r="D287" t="inlineStr">
        <is>
          <t>Feb</t>
        </is>
      </c>
      <c r="E287" t="inlineStr">
        <is>
          <t>Emerging markets</t>
        </is>
      </c>
      <c r="F287" t="inlineStr">
        <is>
          <t>China</t>
        </is>
      </c>
      <c r="G287" t="inlineStr">
        <is>
          <t>Paxlovid</t>
        </is>
      </c>
      <c r="H287" t="inlineStr">
        <is>
          <t>Government / tender</t>
        </is>
      </c>
      <c r="I287" t="inlineStr">
        <is>
          <t>Public payer</t>
        </is>
      </c>
      <c r="J287" t="inlineStr">
        <is>
          <t>Amir Khan</t>
        </is>
      </c>
      <c r="K287" s="70" t="n">
        <v>2638</v>
      </c>
      <c r="L287" s="71" t="n">
        <v>1125.08</v>
      </c>
      <c r="M287" s="71" t="n">
        <v>2967961.04</v>
      </c>
      <c r="N287" s="71" t="n">
        <v>593592.21</v>
      </c>
      <c r="O287" s="71" t="n">
        <v>2374368.83</v>
      </c>
      <c r="P287" s="71" t="n">
        <v>726708.74</v>
      </c>
      <c r="Q287" s="71" t="n">
        <v>1647660.09</v>
      </c>
      <c r="R287" t="inlineStr">
        <is>
          <t>Antiviral</t>
        </is>
      </c>
      <c r="S287" s="70" t="n">
        <v>1751</v>
      </c>
      <c r="T287" s="71" t="n">
        <v>533851.99</v>
      </c>
      <c r="U287" t="inlineStr">
        <is>
          <t>Low</t>
        </is>
      </c>
      <c r="V287">
        <f>IF(AND(OR(Dashboard!$C$6="All",E287=Dashboard!$C$6),OR(Dashboard!$F$6="All",G287=Dashboard!$F$6),OR(Dashboard!$I$6="All",H287=Dashboard!$I$6)),1,0)</f>
        <v/>
      </c>
    </row>
    <row r="288">
      <c r="A288" t="inlineStr">
        <is>
          <t>PF100279</t>
        </is>
      </c>
      <c r="B288" s="68" t="n">
        <v>45691</v>
      </c>
      <c r="C288" s="69" t="n">
        <v>2025</v>
      </c>
      <c r="D288" t="inlineStr">
        <is>
          <t>Feb</t>
        </is>
      </c>
      <c r="E288" t="inlineStr">
        <is>
          <t>United States</t>
        </is>
      </c>
      <c r="F288" t="inlineStr">
        <is>
          <t>USA</t>
        </is>
      </c>
      <c r="G288" t="inlineStr">
        <is>
          <t>Abrysvo</t>
        </is>
      </c>
      <c r="H288" t="inlineStr">
        <is>
          <t>Hospital</t>
        </is>
      </c>
      <c r="I288" t="inlineStr">
        <is>
          <t>Public payer</t>
        </is>
      </c>
      <c r="J288" t="inlineStr">
        <is>
          <t>Hiroshi Tanaka</t>
        </is>
      </c>
      <c r="K288" s="70" t="n">
        <v>1674</v>
      </c>
      <c r="L288" s="71" t="n">
        <v>406.42</v>
      </c>
      <c r="M288" s="71" t="n">
        <v>680347.08</v>
      </c>
      <c r="N288" s="71" t="n">
        <v>238121.48</v>
      </c>
      <c r="O288" s="71" t="n">
        <v>442225.6</v>
      </c>
      <c r="P288" s="71" t="n">
        <v>144422.2</v>
      </c>
      <c r="Q288" s="71" t="n">
        <v>297803.4</v>
      </c>
      <c r="R288" t="inlineStr">
        <is>
          <t>Vaccines</t>
        </is>
      </c>
      <c r="S288" s="70" t="n">
        <v>1252</v>
      </c>
      <c r="T288" s="71" t="n">
        <v>108090.84</v>
      </c>
      <c r="U288" t="inlineStr">
        <is>
          <t>Low</t>
        </is>
      </c>
      <c r="V288">
        <f>IF(AND(OR(Dashboard!$C$6="All",E288=Dashboard!$C$6),OR(Dashboard!$F$6="All",G288=Dashboard!$F$6),OR(Dashboard!$I$6="All",H288=Dashboard!$I$6)),1,0)</f>
        <v/>
      </c>
    </row>
    <row r="289">
      <c r="A289" t="inlineStr">
        <is>
          <t>PF100280</t>
        </is>
      </c>
      <c r="B289" s="68" t="n">
        <v>45691</v>
      </c>
      <c r="C289" s="69" t="n">
        <v>2025</v>
      </c>
      <c r="D289" t="inlineStr">
        <is>
          <t>Feb</t>
        </is>
      </c>
      <c r="E289" t="inlineStr">
        <is>
          <t>Europe</t>
        </is>
      </c>
      <c r="F289" t="inlineStr">
        <is>
          <t>UK</t>
        </is>
      </c>
      <c r="G289" t="inlineStr">
        <is>
          <t>Abrysvo</t>
        </is>
      </c>
      <c r="H289" t="inlineStr">
        <is>
          <t>Government / tender</t>
        </is>
      </c>
      <c r="I289" t="inlineStr">
        <is>
          <t>Self-pay</t>
        </is>
      </c>
      <c r="J289" t="inlineStr">
        <is>
          <t>Sophie Müller</t>
        </is>
      </c>
      <c r="K289" s="70" t="n">
        <v>1930</v>
      </c>
      <c r="L289" s="71" t="n">
        <v>283.64</v>
      </c>
      <c r="M289" s="71" t="n">
        <v>547425.2</v>
      </c>
      <c r="N289" s="71" t="n">
        <v>82113.78</v>
      </c>
      <c r="O289" s="71" t="n">
        <v>465311.42</v>
      </c>
      <c r="P289" s="71" t="n">
        <v>168415.65</v>
      </c>
      <c r="Q289" s="71" t="n">
        <v>296895.77</v>
      </c>
      <c r="R289" t="inlineStr">
        <is>
          <t>Vaccines</t>
        </is>
      </c>
      <c r="S289" s="70" t="n">
        <v>1917</v>
      </c>
      <c r="T289" s="71" t="n">
        <v>114611.69</v>
      </c>
      <c r="U289" t="inlineStr">
        <is>
          <t>Low</t>
        </is>
      </c>
      <c r="V289">
        <f>IF(AND(OR(Dashboard!$C$6="All",E289=Dashboard!$C$6),OR(Dashboard!$F$6="All",G289=Dashboard!$F$6),OR(Dashboard!$I$6="All",H289=Dashboard!$I$6)),1,0)</f>
        <v/>
      </c>
    </row>
    <row r="290">
      <c r="A290" t="inlineStr">
        <is>
          <t>PF100281</t>
        </is>
      </c>
      <c r="B290" s="68" t="n">
        <v>45691</v>
      </c>
      <c r="C290" s="69" t="n">
        <v>2025</v>
      </c>
      <c r="D290" t="inlineStr">
        <is>
          <t>Feb</t>
        </is>
      </c>
      <c r="E290" t="inlineStr">
        <is>
          <t>United States</t>
        </is>
      </c>
      <c r="F290" t="inlineStr">
        <is>
          <t>USA</t>
        </is>
      </c>
      <c r="G290" t="inlineStr">
        <is>
          <t>Prevnar 20</t>
        </is>
      </c>
      <c r="H290" t="inlineStr">
        <is>
          <t>Retail pharmacy</t>
        </is>
      </c>
      <c r="I290" t="inlineStr">
        <is>
          <t>Public payer</t>
        </is>
      </c>
      <c r="J290" t="inlineStr">
        <is>
          <t>Fatima Al-Saud</t>
        </is>
      </c>
      <c r="K290" s="70" t="n">
        <v>1469</v>
      </c>
      <c r="L290" s="71" t="n">
        <v>400.11</v>
      </c>
      <c r="M290" s="71" t="n">
        <v>587761.59</v>
      </c>
      <c r="N290" s="71" t="n">
        <v>205716.56</v>
      </c>
      <c r="O290" s="71" t="n">
        <v>382045.03</v>
      </c>
      <c r="P290" s="71" t="n">
        <v>103712.02</v>
      </c>
      <c r="Q290" s="71" t="n">
        <v>278333.01</v>
      </c>
      <c r="R290" t="inlineStr">
        <is>
          <t>Vaccines</t>
        </is>
      </c>
      <c r="S290" s="70" t="n">
        <v>1032</v>
      </c>
      <c r="T290" s="71" t="n">
        <v>72706.83</v>
      </c>
      <c r="U290" t="inlineStr">
        <is>
          <t>Low</t>
        </is>
      </c>
      <c r="V290">
        <f>IF(AND(OR(Dashboard!$C$6="All",E290=Dashboard!$C$6),OR(Dashboard!$F$6="All",G290=Dashboard!$F$6),OR(Dashboard!$I$6="All",H290=Dashboard!$I$6)),1,0)</f>
        <v/>
      </c>
    </row>
    <row r="291">
      <c r="A291" t="inlineStr">
        <is>
          <t>PF100282</t>
        </is>
      </c>
      <c r="B291" s="68" t="n">
        <v>45691</v>
      </c>
      <c r="C291" s="69" t="n">
        <v>2025</v>
      </c>
      <c r="D291" t="inlineStr">
        <is>
          <t>Feb</t>
        </is>
      </c>
      <c r="E291" t="inlineStr">
        <is>
          <t>Europe</t>
        </is>
      </c>
      <c r="F291" t="inlineStr">
        <is>
          <t>UK</t>
        </is>
      </c>
      <c r="G291" t="inlineStr">
        <is>
          <t>Comirnaty</t>
        </is>
      </c>
      <c r="H291" t="inlineStr">
        <is>
          <t>Hospital</t>
        </is>
      </c>
      <c r="I291" t="inlineStr">
        <is>
          <t>Private insurer</t>
        </is>
      </c>
      <c r="J291" t="inlineStr">
        <is>
          <t>Emma Clarke</t>
        </is>
      </c>
      <c r="K291" s="70" t="n">
        <v>1865</v>
      </c>
      <c r="L291" s="71" t="n">
        <v>114.77</v>
      </c>
      <c r="M291" s="71" t="n">
        <v>214046.05</v>
      </c>
      <c r="N291" s="71" t="n">
        <v>10702.3</v>
      </c>
      <c r="O291" s="71" t="n">
        <v>203343.75</v>
      </c>
      <c r="P291" s="71" t="n">
        <v>72111.61</v>
      </c>
      <c r="Q291" s="71" t="n">
        <v>131232.14</v>
      </c>
      <c r="R291" t="inlineStr">
        <is>
          <t>Vaccines</t>
        </is>
      </c>
      <c r="S291" s="70" t="n">
        <v>1378</v>
      </c>
      <c r="T291" s="71" t="n">
        <v>28755.31</v>
      </c>
      <c r="U291" t="inlineStr">
        <is>
          <t>Low</t>
        </is>
      </c>
      <c r="V291">
        <f>IF(AND(OR(Dashboard!$C$6="All",E291=Dashboard!$C$6),OR(Dashboard!$F$6="All",G291=Dashboard!$F$6),OR(Dashboard!$I$6="All",H291=Dashboard!$I$6)),1,0)</f>
        <v/>
      </c>
    </row>
    <row r="292">
      <c r="A292" t="inlineStr">
        <is>
          <t>PF100283</t>
        </is>
      </c>
      <c r="B292" s="68" t="n">
        <v>45691</v>
      </c>
      <c r="C292" s="69" t="n">
        <v>2025</v>
      </c>
      <c r="D292" t="inlineStr">
        <is>
          <t>Feb</t>
        </is>
      </c>
      <c r="E292" t="inlineStr">
        <is>
          <t>Emerging markets</t>
        </is>
      </c>
      <c r="F292" t="inlineStr">
        <is>
          <t>Mexico</t>
        </is>
      </c>
      <c r="G292" t="inlineStr">
        <is>
          <t>Xeljanz</t>
        </is>
      </c>
      <c r="H292" t="inlineStr">
        <is>
          <t>Government / tender</t>
        </is>
      </c>
      <c r="I292" t="inlineStr">
        <is>
          <t>Private insurer</t>
        </is>
      </c>
      <c r="J292" t="inlineStr">
        <is>
          <t>Sophie Müller</t>
        </is>
      </c>
      <c r="K292" s="70" t="n">
        <v>1307</v>
      </c>
      <c r="L292" s="71" t="n">
        <v>1309.17</v>
      </c>
      <c r="M292" s="71" t="n">
        <v>1711085.19</v>
      </c>
      <c r="N292" s="71" t="n">
        <v>171108.52</v>
      </c>
      <c r="O292" s="71" t="n">
        <v>1539976.67</v>
      </c>
      <c r="P292" s="71" t="n">
        <v>322863.57</v>
      </c>
      <c r="Q292" s="71" t="n">
        <v>1217113.1</v>
      </c>
      <c r="R292" t="inlineStr">
        <is>
          <t>Inflammation</t>
        </is>
      </c>
      <c r="S292" s="70" t="n">
        <v>826</v>
      </c>
      <c r="T292" s="71" t="n">
        <v>276014.98</v>
      </c>
      <c r="U292" t="inlineStr">
        <is>
          <t>High</t>
        </is>
      </c>
      <c r="V292">
        <f>IF(AND(OR(Dashboard!$C$6="All",E292=Dashboard!$C$6),OR(Dashboard!$F$6="All",G292=Dashboard!$F$6),OR(Dashboard!$I$6="All",H292=Dashboard!$I$6)),1,0)</f>
        <v/>
      </c>
    </row>
    <row r="293">
      <c r="A293" t="inlineStr">
        <is>
          <t>PF100284</t>
        </is>
      </c>
      <c r="B293" s="68" t="n">
        <v>45691</v>
      </c>
      <c r="C293" s="69" t="n">
        <v>2025</v>
      </c>
      <c r="D293" t="inlineStr">
        <is>
          <t>Feb</t>
        </is>
      </c>
      <c r="E293" t="inlineStr">
        <is>
          <t>International developed</t>
        </is>
      </c>
      <c r="F293" t="inlineStr">
        <is>
          <t>Canada</t>
        </is>
      </c>
      <c r="G293" t="inlineStr">
        <is>
          <t>Prevnar 20</t>
        </is>
      </c>
      <c r="H293" t="inlineStr">
        <is>
          <t>Retail pharmacy</t>
        </is>
      </c>
      <c r="I293" t="inlineStr">
        <is>
          <t>Public payer</t>
        </is>
      </c>
      <c r="J293" t="inlineStr">
        <is>
          <t>Shraddha Kulkarni</t>
        </is>
      </c>
      <c r="K293" s="70" t="n">
        <v>1019</v>
      </c>
      <c r="L293" s="71" t="n">
        <v>252.16</v>
      </c>
      <c r="M293" s="71" t="n">
        <v>256951.04</v>
      </c>
      <c r="N293" s="71" t="n">
        <v>64237.76</v>
      </c>
      <c r="O293" s="71" t="n">
        <v>192713.28</v>
      </c>
      <c r="P293" s="71" t="n">
        <v>67585.73</v>
      </c>
      <c r="Q293" s="71" t="n">
        <v>125127.55</v>
      </c>
      <c r="R293" t="inlineStr">
        <is>
          <t>Vaccines</t>
        </is>
      </c>
      <c r="S293" s="70" t="n">
        <v>981</v>
      </c>
      <c r="T293" s="71" t="n">
        <v>53455.67</v>
      </c>
      <c r="U293" t="inlineStr">
        <is>
          <t>Low</t>
        </is>
      </c>
      <c r="V293">
        <f>IF(AND(OR(Dashboard!$C$6="All",E293=Dashboard!$C$6),OR(Dashboard!$F$6="All",G293=Dashboard!$F$6),OR(Dashboard!$I$6="All",H293=Dashboard!$I$6)),1,0)</f>
        <v/>
      </c>
    </row>
    <row r="294">
      <c r="A294" t="inlineStr">
        <is>
          <t>PF100285</t>
        </is>
      </c>
      <c r="B294" s="68" t="n">
        <v>45691</v>
      </c>
      <c r="C294" s="69" t="n">
        <v>2025</v>
      </c>
      <c r="D294" t="inlineStr">
        <is>
          <t>Feb</t>
        </is>
      </c>
      <c r="E294" t="inlineStr">
        <is>
          <t>Emerging markets</t>
        </is>
      </c>
      <c r="F294" t="inlineStr">
        <is>
          <t>Brazil</t>
        </is>
      </c>
      <c r="G294" t="inlineStr">
        <is>
          <t>Vyndaqel</t>
        </is>
      </c>
      <c r="H294" t="inlineStr">
        <is>
          <t>Hospital</t>
        </is>
      </c>
      <c r="I294" t="inlineStr">
        <is>
          <t>Private insurer</t>
        </is>
      </c>
      <c r="J294" t="inlineStr">
        <is>
          <t>Omar Haddad</t>
        </is>
      </c>
      <c r="K294" s="70" t="n">
        <v>2696</v>
      </c>
      <c r="L294" s="71" t="n">
        <v>4984.87</v>
      </c>
      <c r="M294" s="71" t="n">
        <v>13439209.52</v>
      </c>
      <c r="N294" s="71" t="n">
        <v>2015881.43</v>
      </c>
      <c r="O294" s="71" t="n">
        <v>11423328.09</v>
      </c>
      <c r="P294" s="71" t="n">
        <v>1685535.61</v>
      </c>
      <c r="Q294" s="71" t="n">
        <v>9737792.48</v>
      </c>
      <c r="R294" t="inlineStr">
        <is>
          <t>Rare disease</t>
        </is>
      </c>
      <c r="S294" s="70" t="n">
        <v>2167</v>
      </c>
      <c r="T294" s="71" t="n">
        <v>1885672.54</v>
      </c>
      <c r="U294" t="inlineStr">
        <is>
          <t>Medium</t>
        </is>
      </c>
      <c r="V294">
        <f>IF(AND(OR(Dashboard!$C$6="All",E294=Dashboard!$C$6),OR(Dashboard!$F$6="All",G294=Dashboard!$F$6),OR(Dashboard!$I$6="All",H294=Dashboard!$I$6)),1,0)</f>
        <v/>
      </c>
    </row>
    <row r="295">
      <c r="A295" t="inlineStr">
        <is>
          <t>PF100286</t>
        </is>
      </c>
      <c r="B295" s="68" t="n">
        <v>45691</v>
      </c>
      <c r="C295" s="69" t="n">
        <v>2025</v>
      </c>
      <c r="D295" t="inlineStr">
        <is>
          <t>Feb</t>
        </is>
      </c>
      <c r="E295" t="inlineStr">
        <is>
          <t>United States</t>
        </is>
      </c>
      <c r="F295" t="inlineStr">
        <is>
          <t>USA</t>
        </is>
      </c>
      <c r="G295" t="inlineStr">
        <is>
          <t>Vyndaqel</t>
        </is>
      </c>
      <c r="H295" t="inlineStr">
        <is>
          <t>Retail pharmacy</t>
        </is>
      </c>
      <c r="I295" t="inlineStr">
        <is>
          <t>Private insurer</t>
        </is>
      </c>
      <c r="J295" t="inlineStr">
        <is>
          <t>Aisha Bello</t>
        </is>
      </c>
      <c r="K295" s="70" t="n">
        <v>1676</v>
      </c>
      <c r="L295" s="71" t="n">
        <v>7621.84</v>
      </c>
      <c r="M295" s="71" t="n">
        <v>12774203.84</v>
      </c>
      <c r="N295" s="71" t="n">
        <v>3193550.96</v>
      </c>
      <c r="O295" s="71" t="n">
        <v>9580652.880000001</v>
      </c>
      <c r="P295" s="71" t="n">
        <v>1013537.35</v>
      </c>
      <c r="Q295" s="71" t="n">
        <v>8567115.529999999</v>
      </c>
      <c r="R295" t="inlineStr">
        <is>
          <t>Rare disease</t>
        </is>
      </c>
      <c r="S295" s="70" t="n">
        <v>1542</v>
      </c>
      <c r="T295" s="71" t="n">
        <v>2237476.81</v>
      </c>
      <c r="U295" t="inlineStr">
        <is>
          <t>Medium</t>
        </is>
      </c>
      <c r="V295">
        <f>IF(AND(OR(Dashboard!$C$6="All",E295=Dashboard!$C$6),OR(Dashboard!$F$6="All",G295=Dashboard!$F$6),OR(Dashboard!$I$6="All",H295=Dashboard!$I$6)),1,0)</f>
        <v/>
      </c>
    </row>
    <row r="296">
      <c r="A296" t="inlineStr">
        <is>
          <t>PF100287</t>
        </is>
      </c>
      <c r="B296" s="68" t="n">
        <v>45692</v>
      </c>
      <c r="C296" s="69" t="n">
        <v>2025</v>
      </c>
      <c r="D296" t="inlineStr">
        <is>
          <t>Feb</t>
        </is>
      </c>
      <c r="E296" t="inlineStr">
        <is>
          <t>Emerging markets</t>
        </is>
      </c>
      <c r="F296" t="inlineStr">
        <is>
          <t>India</t>
        </is>
      </c>
      <c r="G296" t="inlineStr">
        <is>
          <t>Comirnaty</t>
        </is>
      </c>
      <c r="H296" t="inlineStr">
        <is>
          <t>Retail pharmacy</t>
        </is>
      </c>
      <c r="I296" t="inlineStr">
        <is>
          <t>Public payer</t>
        </is>
      </c>
      <c r="J296" t="inlineStr">
        <is>
          <t>Ana Costa</t>
        </is>
      </c>
      <c r="K296" s="70" t="n">
        <v>2563</v>
      </c>
      <c r="L296" s="71" t="n">
        <v>104.39</v>
      </c>
      <c r="M296" s="71" t="n">
        <v>267551.57</v>
      </c>
      <c r="N296" s="71" t="n">
        <v>40132.74</v>
      </c>
      <c r="O296" s="71" t="n">
        <v>227418.83</v>
      </c>
      <c r="P296" s="71" t="n">
        <v>101832.58</v>
      </c>
      <c r="Q296" s="71" t="n">
        <v>125586.25</v>
      </c>
      <c r="R296" t="inlineStr">
        <is>
          <t>Vaccines</t>
        </is>
      </c>
      <c r="S296" s="70" t="n">
        <v>2059</v>
      </c>
      <c r="T296" s="71" t="n">
        <v>58092.16</v>
      </c>
      <c r="U296" t="inlineStr">
        <is>
          <t>Low</t>
        </is>
      </c>
      <c r="V296">
        <f>IF(AND(OR(Dashboard!$C$6="All",E296=Dashboard!$C$6),OR(Dashboard!$F$6="All",G296=Dashboard!$F$6),OR(Dashboard!$I$6="All",H296=Dashboard!$I$6)),1,0)</f>
        <v/>
      </c>
    </row>
    <row r="297">
      <c r="A297" t="inlineStr">
        <is>
          <t>PF100288</t>
        </is>
      </c>
      <c r="B297" s="68" t="n">
        <v>45692</v>
      </c>
      <c r="C297" s="69" t="n">
        <v>2025</v>
      </c>
      <c r="D297" t="inlineStr">
        <is>
          <t>Feb</t>
        </is>
      </c>
      <c r="E297" t="inlineStr">
        <is>
          <t>International developed</t>
        </is>
      </c>
      <c r="F297" t="inlineStr">
        <is>
          <t>Australia</t>
        </is>
      </c>
      <c r="G297" t="inlineStr">
        <is>
          <t>Eliquis</t>
        </is>
      </c>
      <c r="H297" t="inlineStr">
        <is>
          <t>Hospital</t>
        </is>
      </c>
      <c r="I297" t="inlineStr">
        <is>
          <t>Private insurer</t>
        </is>
      </c>
      <c r="J297" t="inlineStr">
        <is>
          <t>Ana Costa</t>
        </is>
      </c>
      <c r="K297" s="70" t="n">
        <v>1177</v>
      </c>
      <c r="L297" s="71" t="n">
        <v>435.3</v>
      </c>
      <c r="M297" s="71" t="n">
        <v>512348.1</v>
      </c>
      <c r="N297" s="71" t="n">
        <v>128087.02</v>
      </c>
      <c r="O297" s="71" t="n">
        <v>384261.08</v>
      </c>
      <c r="P297" s="71" t="n">
        <v>87701.74000000001</v>
      </c>
      <c r="Q297" s="71" t="n">
        <v>296559.34</v>
      </c>
      <c r="R297" t="inlineStr">
        <is>
          <t>Cardiology</t>
        </is>
      </c>
      <c r="S297" s="70" t="n">
        <v>1054</v>
      </c>
      <c r="T297" s="71" t="n">
        <v>98489.97</v>
      </c>
      <c r="U297" t="inlineStr">
        <is>
          <t>High</t>
        </is>
      </c>
      <c r="V297">
        <f>IF(AND(OR(Dashboard!$C$6="All",E297=Dashboard!$C$6),OR(Dashboard!$F$6="All",G297=Dashboard!$F$6),OR(Dashboard!$I$6="All",H297=Dashboard!$I$6)),1,0)</f>
        <v/>
      </c>
    </row>
    <row r="298">
      <c r="A298" t="inlineStr">
        <is>
          <t>PF100289</t>
        </is>
      </c>
      <c r="B298" s="68" t="n">
        <v>45692</v>
      </c>
      <c r="C298" s="69" t="n">
        <v>2025</v>
      </c>
      <c r="D298" t="inlineStr">
        <is>
          <t>Feb</t>
        </is>
      </c>
      <c r="E298" t="inlineStr">
        <is>
          <t>United States</t>
        </is>
      </c>
      <c r="F298" t="inlineStr">
        <is>
          <t>USA</t>
        </is>
      </c>
      <c r="G298" t="inlineStr">
        <is>
          <t>Prevnar 20</t>
        </is>
      </c>
      <c r="H298" t="inlineStr">
        <is>
          <t>Government / tender</t>
        </is>
      </c>
      <c r="I298" t="inlineStr">
        <is>
          <t>Public payer</t>
        </is>
      </c>
      <c r="J298" t="inlineStr">
        <is>
          <t>Wei Chen</t>
        </is>
      </c>
      <c r="K298" s="70" t="n">
        <v>1541</v>
      </c>
      <c r="L298" s="71" t="n">
        <v>371.07</v>
      </c>
      <c r="M298" s="71" t="n">
        <v>571818.87</v>
      </c>
      <c r="N298" s="71" t="n">
        <v>85772.83</v>
      </c>
      <c r="O298" s="71" t="n">
        <v>486046.04</v>
      </c>
      <c r="P298" s="71" t="n">
        <v>106135.63</v>
      </c>
      <c r="Q298" s="71" t="n">
        <v>379910.41</v>
      </c>
      <c r="R298" t="inlineStr">
        <is>
          <t>Vaccines</t>
        </is>
      </c>
      <c r="S298" s="70" t="n">
        <v>1537</v>
      </c>
      <c r="T298" s="71" t="n">
        <v>93356.24000000001</v>
      </c>
      <c r="U298" t="inlineStr">
        <is>
          <t>Low</t>
        </is>
      </c>
      <c r="V298">
        <f>IF(AND(OR(Dashboard!$C$6="All",E298=Dashboard!$C$6),OR(Dashboard!$F$6="All",G298=Dashboard!$F$6),OR(Dashboard!$I$6="All",H298=Dashboard!$I$6)),1,0)</f>
        <v/>
      </c>
    </row>
    <row r="299">
      <c r="A299" t="inlineStr">
        <is>
          <t>PF100290</t>
        </is>
      </c>
      <c r="B299" s="68" t="n">
        <v>45692</v>
      </c>
      <c r="C299" s="69" t="n">
        <v>2025</v>
      </c>
      <c r="D299" t="inlineStr">
        <is>
          <t>Feb</t>
        </is>
      </c>
      <c r="E299" t="inlineStr">
        <is>
          <t>Europe</t>
        </is>
      </c>
      <c r="F299" t="inlineStr">
        <is>
          <t>Spain</t>
        </is>
      </c>
      <c r="G299" t="inlineStr">
        <is>
          <t>Abrysvo</t>
        </is>
      </c>
      <c r="H299" t="inlineStr">
        <is>
          <t>Retail pharmacy</t>
        </is>
      </c>
      <c r="I299" t="inlineStr">
        <is>
          <t>Public payer</t>
        </is>
      </c>
      <c r="J299" t="inlineStr">
        <is>
          <t>Amir Khan</t>
        </is>
      </c>
      <c r="K299" s="70" t="n">
        <v>1522</v>
      </c>
      <c r="L299" s="71" t="n">
        <v>271.5</v>
      </c>
      <c r="M299" s="71" t="n">
        <v>413223</v>
      </c>
      <c r="N299" s="71" t="n">
        <v>103305.75</v>
      </c>
      <c r="O299" s="71" t="n">
        <v>309917.25</v>
      </c>
      <c r="P299" s="71" t="n">
        <v>124690.94</v>
      </c>
      <c r="Q299" s="71" t="n">
        <v>185226.31</v>
      </c>
      <c r="R299" t="inlineStr">
        <is>
          <t>Vaccines</t>
        </is>
      </c>
      <c r="S299" s="70" t="n">
        <v>1131</v>
      </c>
      <c r="T299" s="71" t="n">
        <v>80637.38</v>
      </c>
      <c r="U299" t="inlineStr">
        <is>
          <t>Low</t>
        </is>
      </c>
      <c r="V299">
        <f>IF(AND(OR(Dashboard!$C$6="All",E299=Dashboard!$C$6),OR(Dashboard!$F$6="All",G299=Dashboard!$F$6),OR(Dashboard!$I$6="All",H299=Dashboard!$I$6)),1,0)</f>
        <v/>
      </c>
    </row>
    <row r="300">
      <c r="A300" t="inlineStr">
        <is>
          <t>PF100291</t>
        </is>
      </c>
      <c r="B300" s="68" t="n">
        <v>45692</v>
      </c>
      <c r="C300" s="69" t="n">
        <v>2025</v>
      </c>
      <c r="D300" t="inlineStr">
        <is>
          <t>Feb</t>
        </is>
      </c>
      <c r="E300" t="inlineStr">
        <is>
          <t>United States</t>
        </is>
      </c>
      <c r="F300" t="inlineStr">
        <is>
          <t>USA</t>
        </is>
      </c>
      <c r="G300" t="inlineStr">
        <is>
          <t>Comirnaty</t>
        </is>
      </c>
      <c r="H300" t="inlineStr">
        <is>
          <t>Hospital</t>
        </is>
      </c>
      <c r="I300" t="inlineStr">
        <is>
          <t>Public payer</t>
        </is>
      </c>
      <c r="J300" t="inlineStr">
        <is>
          <t>Wei Chen</t>
        </is>
      </c>
      <c r="K300" s="70" t="n">
        <v>1284</v>
      </c>
      <c r="L300" s="71" t="n">
        <v>169.81</v>
      </c>
      <c r="M300" s="71" t="n">
        <v>218036.04</v>
      </c>
      <c r="N300" s="71" t="n">
        <v>65410.81</v>
      </c>
      <c r="O300" s="71" t="n">
        <v>152625.23</v>
      </c>
      <c r="P300" s="71" t="n">
        <v>49961.73</v>
      </c>
      <c r="Q300" s="71" t="n">
        <v>102663.5</v>
      </c>
      <c r="R300" t="inlineStr">
        <is>
          <t>Vaccines</t>
        </is>
      </c>
      <c r="S300" s="70" t="n">
        <v>1134</v>
      </c>
      <c r="T300" s="71" t="n">
        <v>37322.81</v>
      </c>
      <c r="U300" t="inlineStr">
        <is>
          <t>Low</t>
        </is>
      </c>
      <c r="V300">
        <f>IF(AND(OR(Dashboard!$C$6="All",E300=Dashboard!$C$6),OR(Dashboard!$F$6="All",G300=Dashboard!$F$6),OR(Dashboard!$I$6="All",H300=Dashboard!$I$6)),1,0)</f>
        <v/>
      </c>
    </row>
    <row r="301">
      <c r="A301" t="inlineStr">
        <is>
          <t>PF100292</t>
        </is>
      </c>
      <c r="B301" s="68" t="n">
        <v>45692</v>
      </c>
      <c r="C301" s="69" t="n">
        <v>2025</v>
      </c>
      <c r="D301" t="inlineStr">
        <is>
          <t>Feb</t>
        </is>
      </c>
      <c r="E301" t="inlineStr">
        <is>
          <t>Emerging markets</t>
        </is>
      </c>
      <c r="F301" t="inlineStr">
        <is>
          <t>India</t>
        </is>
      </c>
      <c r="G301" t="inlineStr">
        <is>
          <t>Ibrance</t>
        </is>
      </c>
      <c r="H301" t="inlineStr">
        <is>
          <t>Hospital</t>
        </is>
      </c>
      <c r="I301" t="inlineStr">
        <is>
          <t>Public payer</t>
        </is>
      </c>
      <c r="J301" t="inlineStr">
        <is>
          <t>Shraddha Kulkarni</t>
        </is>
      </c>
      <c r="K301" s="70" t="n">
        <v>292</v>
      </c>
      <c r="L301" s="71" t="n">
        <v>2845.66</v>
      </c>
      <c r="M301" s="71" t="n">
        <v>830932.72</v>
      </c>
      <c r="N301" s="71" t="n">
        <v>207733.18</v>
      </c>
      <c r="O301" s="71" t="n">
        <v>623199.54</v>
      </c>
      <c r="P301" s="71" t="n">
        <v>121941.17</v>
      </c>
      <c r="Q301" s="71" t="n">
        <v>501258.37</v>
      </c>
      <c r="R301" t="inlineStr">
        <is>
          <t>Oncology</t>
        </is>
      </c>
      <c r="S301" s="70" t="n">
        <v>244</v>
      </c>
      <c r="T301" s="71" t="n">
        <v>174133.12</v>
      </c>
      <c r="U301" t="inlineStr">
        <is>
          <t>High</t>
        </is>
      </c>
      <c r="V301">
        <f>IF(AND(OR(Dashboard!$C$6="All",E301=Dashboard!$C$6),OR(Dashboard!$F$6="All",G301=Dashboard!$F$6),OR(Dashboard!$I$6="All",H301=Dashboard!$I$6)),1,0)</f>
        <v/>
      </c>
    </row>
    <row r="302">
      <c r="A302" t="inlineStr">
        <is>
          <t>PF100293</t>
        </is>
      </c>
      <c r="B302" s="68" t="n">
        <v>45692</v>
      </c>
      <c r="C302" s="69" t="n">
        <v>2025</v>
      </c>
      <c r="D302" t="inlineStr">
        <is>
          <t>Feb</t>
        </is>
      </c>
      <c r="E302" t="inlineStr">
        <is>
          <t>United States</t>
        </is>
      </c>
      <c r="F302" t="inlineStr">
        <is>
          <t>USA</t>
        </is>
      </c>
      <c r="G302" t="inlineStr">
        <is>
          <t>Comirnaty</t>
        </is>
      </c>
      <c r="H302" t="inlineStr">
        <is>
          <t>Retail pharmacy</t>
        </is>
      </c>
      <c r="I302" t="inlineStr">
        <is>
          <t>Public payer</t>
        </is>
      </c>
      <c r="J302" t="inlineStr">
        <is>
          <t>Yuki Sato</t>
        </is>
      </c>
      <c r="K302" s="70" t="n">
        <v>2259</v>
      </c>
      <c r="L302" s="71" t="n">
        <v>176.83</v>
      </c>
      <c r="M302" s="71" t="n">
        <v>399458.97</v>
      </c>
      <c r="N302" s="71" t="n">
        <v>59918.85</v>
      </c>
      <c r="O302" s="71" t="n">
        <v>339540.12</v>
      </c>
      <c r="P302" s="71" t="n">
        <v>87855.19</v>
      </c>
      <c r="Q302" s="71" t="n">
        <v>251684.93</v>
      </c>
      <c r="R302" t="inlineStr">
        <is>
          <t>Vaccines</t>
        </is>
      </c>
      <c r="S302" s="70" t="n">
        <v>2178</v>
      </c>
      <c r="T302" s="71" t="n">
        <v>53198.37</v>
      </c>
      <c r="U302" t="inlineStr">
        <is>
          <t>Low</t>
        </is>
      </c>
      <c r="V302">
        <f>IF(AND(OR(Dashboard!$C$6="All",E302=Dashboard!$C$6),OR(Dashboard!$F$6="All",G302=Dashboard!$F$6),OR(Dashboard!$I$6="All",H302=Dashboard!$I$6)),1,0)</f>
        <v/>
      </c>
    </row>
    <row r="303">
      <c r="A303" t="inlineStr">
        <is>
          <t>PF100294</t>
        </is>
      </c>
      <c r="B303" s="68" t="n">
        <v>45692</v>
      </c>
      <c r="C303" s="69" t="n">
        <v>2025</v>
      </c>
      <c r="D303" t="inlineStr">
        <is>
          <t>Feb</t>
        </is>
      </c>
      <c r="E303" t="inlineStr">
        <is>
          <t>Europe</t>
        </is>
      </c>
      <c r="F303" t="inlineStr">
        <is>
          <t>Germany</t>
        </is>
      </c>
      <c r="G303" t="inlineStr">
        <is>
          <t>Comirnaty</t>
        </is>
      </c>
      <c r="H303" t="inlineStr">
        <is>
          <t>Government / tender</t>
        </is>
      </c>
      <c r="I303" t="inlineStr">
        <is>
          <t>Public payer</t>
        </is>
      </c>
      <c r="J303" t="inlineStr">
        <is>
          <t>Mei Lin</t>
        </is>
      </c>
      <c r="K303" s="70" t="n">
        <v>1795</v>
      </c>
      <c r="L303" s="71" t="n">
        <v>107.47</v>
      </c>
      <c r="M303" s="71" t="n">
        <v>192908.65</v>
      </c>
      <c r="N303" s="71" t="n">
        <v>19290.87</v>
      </c>
      <c r="O303" s="71" t="n">
        <v>173617.78</v>
      </c>
      <c r="P303" s="71" t="n">
        <v>67302.16</v>
      </c>
      <c r="Q303" s="71" t="n">
        <v>106315.62</v>
      </c>
      <c r="R303" t="inlineStr">
        <is>
          <t>Vaccines</t>
        </is>
      </c>
      <c r="S303" s="70" t="n">
        <v>1697</v>
      </c>
      <c r="T303" s="71" t="n">
        <v>30221.08</v>
      </c>
      <c r="U303" t="inlineStr">
        <is>
          <t>Low</t>
        </is>
      </c>
      <c r="V303">
        <f>IF(AND(OR(Dashboard!$C$6="All",E303=Dashboard!$C$6),OR(Dashboard!$F$6="All",G303=Dashboard!$F$6),OR(Dashboard!$I$6="All",H303=Dashboard!$I$6)),1,0)</f>
        <v/>
      </c>
    </row>
    <row r="304">
      <c r="A304" t="inlineStr">
        <is>
          <t>PF100295</t>
        </is>
      </c>
      <c r="B304" s="68" t="n">
        <v>45692</v>
      </c>
      <c r="C304" s="69" t="n">
        <v>2025</v>
      </c>
      <c r="D304" t="inlineStr">
        <is>
          <t>Feb</t>
        </is>
      </c>
      <c r="E304" t="inlineStr">
        <is>
          <t>United States</t>
        </is>
      </c>
      <c r="F304" t="inlineStr">
        <is>
          <t>USA</t>
        </is>
      </c>
      <c r="G304" t="inlineStr">
        <is>
          <t>Abrysvo</t>
        </is>
      </c>
      <c r="H304" t="inlineStr">
        <is>
          <t>Hospital</t>
        </is>
      </c>
      <c r="I304" t="inlineStr">
        <is>
          <t>Private insurer</t>
        </is>
      </c>
      <c r="J304" t="inlineStr">
        <is>
          <t>Zoya Ahmed</t>
        </is>
      </c>
      <c r="K304" s="70" t="n">
        <v>609</v>
      </c>
      <c r="L304" s="71" t="n">
        <v>416.86</v>
      </c>
      <c r="M304" s="71" t="n">
        <v>253867.74</v>
      </c>
      <c r="N304" s="71" t="n">
        <v>50773.55</v>
      </c>
      <c r="O304" s="71" t="n">
        <v>203094.19</v>
      </c>
      <c r="P304" s="71" t="n">
        <v>51292.14</v>
      </c>
      <c r="Q304" s="71" t="n">
        <v>151802.05</v>
      </c>
      <c r="R304" t="inlineStr">
        <is>
          <t>Vaccines</t>
        </is>
      </c>
      <c r="S304" s="70" t="n">
        <v>576</v>
      </c>
      <c r="T304" s="71" t="n">
        <v>34129</v>
      </c>
      <c r="U304" t="inlineStr">
        <is>
          <t>Low</t>
        </is>
      </c>
      <c r="V304">
        <f>IF(AND(OR(Dashboard!$C$6="All",E304=Dashboard!$C$6),OR(Dashboard!$F$6="All",G304=Dashboard!$F$6),OR(Dashboard!$I$6="All",H304=Dashboard!$I$6)),1,0)</f>
        <v/>
      </c>
    </row>
    <row r="305">
      <c r="A305" t="inlineStr">
        <is>
          <t>PF100296</t>
        </is>
      </c>
      <c r="B305" s="68" t="n">
        <v>45692</v>
      </c>
      <c r="C305" s="69" t="n">
        <v>2025</v>
      </c>
      <c r="D305" t="inlineStr">
        <is>
          <t>Feb</t>
        </is>
      </c>
      <c r="E305" t="inlineStr">
        <is>
          <t>Europe</t>
        </is>
      </c>
      <c r="F305" t="inlineStr">
        <is>
          <t>Spain</t>
        </is>
      </c>
      <c r="G305" t="inlineStr">
        <is>
          <t>Comirnaty</t>
        </is>
      </c>
      <c r="H305" t="inlineStr">
        <is>
          <t>Hospital</t>
        </is>
      </c>
      <c r="I305" t="inlineStr">
        <is>
          <t>Private insurer</t>
        </is>
      </c>
      <c r="J305" t="inlineStr">
        <is>
          <t>Sara Rossi</t>
        </is>
      </c>
      <c r="K305" s="70" t="n">
        <v>1691</v>
      </c>
      <c r="L305" s="71" t="n">
        <v>115.69</v>
      </c>
      <c r="M305" s="71" t="n">
        <v>195631.79</v>
      </c>
      <c r="N305" s="71" t="n">
        <v>39126.36</v>
      </c>
      <c r="O305" s="71" t="n">
        <v>156505.43</v>
      </c>
      <c r="P305" s="71" t="n">
        <v>63153.28</v>
      </c>
      <c r="Q305" s="71" t="n">
        <v>93352.14999999999</v>
      </c>
      <c r="R305" t="inlineStr">
        <is>
          <t>Vaccines</t>
        </is>
      </c>
      <c r="S305" s="70" t="n">
        <v>1457</v>
      </c>
      <c r="T305" s="71" t="n">
        <v>30815.91</v>
      </c>
      <c r="U305" t="inlineStr">
        <is>
          <t>Low</t>
        </is>
      </c>
      <c r="V305">
        <f>IF(AND(OR(Dashboard!$C$6="All",E305=Dashboard!$C$6),OR(Dashboard!$F$6="All",G305=Dashboard!$F$6),OR(Dashboard!$I$6="All",H305=Dashboard!$I$6)),1,0)</f>
        <v/>
      </c>
    </row>
    <row r="306">
      <c r="A306" t="inlineStr">
        <is>
          <t>PF100297</t>
        </is>
      </c>
      <c r="B306" s="68" t="n">
        <v>45692</v>
      </c>
      <c r="C306" s="69" t="n">
        <v>2025</v>
      </c>
      <c r="D306" t="inlineStr">
        <is>
          <t>Feb</t>
        </is>
      </c>
      <c r="E306" t="inlineStr">
        <is>
          <t>United States</t>
        </is>
      </c>
      <c r="F306" t="inlineStr">
        <is>
          <t>USA</t>
        </is>
      </c>
      <c r="G306" t="inlineStr">
        <is>
          <t>Xeljanz</t>
        </is>
      </c>
      <c r="H306" t="inlineStr">
        <is>
          <t>Hospital</t>
        </is>
      </c>
      <c r="I306" t="inlineStr">
        <is>
          <t>Private insurer</t>
        </is>
      </c>
      <c r="J306" t="inlineStr">
        <is>
          <t>Carlos Silva</t>
        </is>
      </c>
      <c r="K306" s="70" t="n">
        <v>1817</v>
      </c>
      <c r="L306" s="71" t="n">
        <v>2113.23</v>
      </c>
      <c r="M306" s="71" t="n">
        <v>3839738.91</v>
      </c>
      <c r="N306" s="71" t="n">
        <v>1343908.62</v>
      </c>
      <c r="O306" s="71" t="n">
        <v>2495830.29</v>
      </c>
      <c r="P306" s="71" t="n">
        <v>468320.45</v>
      </c>
      <c r="Q306" s="71" t="n">
        <v>2027509.84</v>
      </c>
      <c r="R306" t="inlineStr">
        <is>
          <t>Inflammation</t>
        </is>
      </c>
      <c r="S306" s="70" t="n">
        <v>1532</v>
      </c>
      <c r="T306" s="71" t="n">
        <v>761465.78</v>
      </c>
      <c r="U306" t="inlineStr">
        <is>
          <t>High</t>
        </is>
      </c>
      <c r="V306">
        <f>IF(AND(OR(Dashboard!$C$6="All",E306=Dashboard!$C$6),OR(Dashboard!$F$6="All",G306=Dashboard!$F$6),OR(Dashboard!$I$6="All",H306=Dashboard!$I$6)),1,0)</f>
        <v/>
      </c>
    </row>
    <row r="307">
      <c r="A307" t="inlineStr">
        <is>
          <t>PF100298</t>
        </is>
      </c>
      <c r="B307" s="68" t="n">
        <v>45692</v>
      </c>
      <c r="C307" s="69" t="n">
        <v>2025</v>
      </c>
      <c r="D307" t="inlineStr">
        <is>
          <t>Feb</t>
        </is>
      </c>
      <c r="E307" t="inlineStr">
        <is>
          <t>United States</t>
        </is>
      </c>
      <c r="F307" t="inlineStr">
        <is>
          <t>USA</t>
        </is>
      </c>
      <c r="G307" t="inlineStr">
        <is>
          <t>Eliquis</t>
        </is>
      </c>
      <c r="H307" t="inlineStr">
        <is>
          <t>Government / tender</t>
        </is>
      </c>
      <c r="I307" t="inlineStr">
        <is>
          <t>Private insurer</t>
        </is>
      </c>
      <c r="J307" t="inlineStr">
        <is>
          <t>Emma Clarke</t>
        </is>
      </c>
      <c r="K307" s="70" t="n">
        <v>922</v>
      </c>
      <c r="L307" s="71" t="n">
        <v>710.67</v>
      </c>
      <c r="M307" s="71" t="n">
        <v>655237.74</v>
      </c>
      <c r="N307" s="71" t="n">
        <v>196571.32</v>
      </c>
      <c r="O307" s="71" t="n">
        <v>458666.42</v>
      </c>
      <c r="P307" s="71" t="n">
        <v>72295.23</v>
      </c>
      <c r="Q307" s="71" t="n">
        <v>386371.19</v>
      </c>
      <c r="R307" t="inlineStr">
        <is>
          <t>Cardiology</t>
        </is>
      </c>
      <c r="S307" s="70" t="n">
        <v>819</v>
      </c>
      <c r="T307" s="71" t="n">
        <v>100866.22</v>
      </c>
      <c r="U307" t="inlineStr">
        <is>
          <t>High</t>
        </is>
      </c>
      <c r="V307">
        <f>IF(AND(OR(Dashboard!$C$6="All",E307=Dashboard!$C$6),OR(Dashboard!$F$6="All",G307=Dashboard!$F$6),OR(Dashboard!$I$6="All",H307=Dashboard!$I$6)),1,0)</f>
        <v/>
      </c>
    </row>
    <row r="308">
      <c r="A308" t="inlineStr">
        <is>
          <t>PF100299</t>
        </is>
      </c>
      <c r="B308" s="68" t="n">
        <v>45692</v>
      </c>
      <c r="C308" s="69" t="n">
        <v>2025</v>
      </c>
      <c r="D308" t="inlineStr">
        <is>
          <t>Feb</t>
        </is>
      </c>
      <c r="E308" t="inlineStr">
        <is>
          <t>United States</t>
        </is>
      </c>
      <c r="F308" t="inlineStr">
        <is>
          <t>USA</t>
        </is>
      </c>
      <c r="G308" t="inlineStr">
        <is>
          <t>Vyndaqel</t>
        </is>
      </c>
      <c r="H308" t="inlineStr">
        <is>
          <t>Government / tender</t>
        </is>
      </c>
      <c r="I308" t="inlineStr">
        <is>
          <t>Private insurer</t>
        </is>
      </c>
      <c r="J308" t="inlineStr">
        <is>
          <t>Arjun Mehta</t>
        </is>
      </c>
      <c r="K308" s="70" t="n">
        <v>1198</v>
      </c>
      <c r="L308" s="71" t="n">
        <v>8581.84</v>
      </c>
      <c r="M308" s="71" t="n">
        <v>10281044.32</v>
      </c>
      <c r="N308" s="71" t="n">
        <v>2056208.86</v>
      </c>
      <c r="O308" s="71" t="n">
        <v>8224835.46</v>
      </c>
      <c r="P308" s="71" t="n">
        <v>724943.4</v>
      </c>
      <c r="Q308" s="71" t="n">
        <v>7499892.06</v>
      </c>
      <c r="R308" t="inlineStr">
        <is>
          <t>Rare disease</t>
        </is>
      </c>
      <c r="S308" s="70" t="n">
        <v>1070</v>
      </c>
      <c r="T308" s="71" t="n">
        <v>1458346.34</v>
      </c>
      <c r="U308" t="inlineStr">
        <is>
          <t>Medium</t>
        </is>
      </c>
      <c r="V308">
        <f>IF(AND(OR(Dashboard!$C$6="All",E308=Dashboard!$C$6),OR(Dashboard!$F$6="All",G308=Dashboard!$F$6),OR(Dashboard!$I$6="All",H308=Dashboard!$I$6)),1,0)</f>
        <v/>
      </c>
    </row>
    <row r="309">
      <c r="A309" t="inlineStr">
        <is>
          <t>PF100300</t>
        </is>
      </c>
      <c r="B309" s="68" t="n">
        <v>45693</v>
      </c>
      <c r="C309" s="69" t="n">
        <v>2025</v>
      </c>
      <c r="D309" t="inlineStr">
        <is>
          <t>Feb</t>
        </is>
      </c>
      <c r="E309" t="inlineStr">
        <is>
          <t>Europe</t>
        </is>
      </c>
      <c r="F309" t="inlineStr">
        <is>
          <t>Italy</t>
        </is>
      </c>
      <c r="G309" t="inlineStr">
        <is>
          <t>Abrysvo</t>
        </is>
      </c>
      <c r="H309" t="inlineStr">
        <is>
          <t>Hospital</t>
        </is>
      </c>
      <c r="I309" t="inlineStr">
        <is>
          <t>Public payer</t>
        </is>
      </c>
      <c r="J309" t="inlineStr">
        <is>
          <t>Mei Lin</t>
        </is>
      </c>
      <c r="K309" s="70" t="n">
        <v>2696</v>
      </c>
      <c r="L309" s="71" t="n">
        <v>305.79</v>
      </c>
      <c r="M309" s="71" t="n">
        <v>824409.84</v>
      </c>
      <c r="N309" s="71" t="n">
        <v>41220.49</v>
      </c>
      <c r="O309" s="71" t="n">
        <v>783189.35</v>
      </c>
      <c r="P309" s="71" t="n">
        <v>221065.53</v>
      </c>
      <c r="Q309" s="71" t="n">
        <v>562123.8199999999</v>
      </c>
      <c r="R309" t="inlineStr">
        <is>
          <t>Vaccines</t>
        </is>
      </c>
      <c r="S309" s="70" t="n">
        <v>1814</v>
      </c>
      <c r="T309" s="71" t="n">
        <v>181012.26</v>
      </c>
      <c r="U309" t="inlineStr">
        <is>
          <t>Low</t>
        </is>
      </c>
      <c r="V309">
        <f>IF(AND(OR(Dashboard!$C$6="All",E309=Dashboard!$C$6),OR(Dashboard!$F$6="All",G309=Dashboard!$F$6),OR(Dashboard!$I$6="All",H309=Dashboard!$I$6)),1,0)</f>
        <v/>
      </c>
    </row>
    <row r="310">
      <c r="A310" t="inlineStr">
        <is>
          <t>PF100301</t>
        </is>
      </c>
      <c r="B310" s="68" t="n">
        <v>45693</v>
      </c>
      <c r="C310" s="69" t="n">
        <v>2025</v>
      </c>
      <c r="D310" t="inlineStr">
        <is>
          <t>Feb</t>
        </is>
      </c>
      <c r="E310" t="inlineStr">
        <is>
          <t>International developed</t>
        </is>
      </c>
      <c r="F310" t="inlineStr">
        <is>
          <t>Australia</t>
        </is>
      </c>
      <c r="G310" t="inlineStr">
        <is>
          <t>Comirnaty</t>
        </is>
      </c>
      <c r="H310" t="inlineStr">
        <is>
          <t>Retail pharmacy</t>
        </is>
      </c>
      <c r="I310" t="inlineStr">
        <is>
          <t>Public payer</t>
        </is>
      </c>
      <c r="J310" t="inlineStr">
        <is>
          <t>Carlos Silva</t>
        </is>
      </c>
      <c r="K310" s="70" t="n">
        <v>1177</v>
      </c>
      <c r="L310" s="71" t="n">
        <v>99.91</v>
      </c>
      <c r="M310" s="71" t="n">
        <v>117594.07</v>
      </c>
      <c r="N310" s="71" t="n">
        <v>29398.52</v>
      </c>
      <c r="O310" s="71" t="n">
        <v>88195.55</v>
      </c>
      <c r="P310" s="71" t="n">
        <v>44035.74</v>
      </c>
      <c r="Q310" s="71" t="n">
        <v>44159.81</v>
      </c>
      <c r="R310" t="inlineStr">
        <is>
          <t>Vaccines</t>
        </is>
      </c>
      <c r="S310" s="70" t="n">
        <v>745</v>
      </c>
      <c r="T310" s="71" t="n">
        <v>16077.91</v>
      </c>
      <c r="U310" t="inlineStr">
        <is>
          <t>Low</t>
        </is>
      </c>
      <c r="V310">
        <f>IF(AND(OR(Dashboard!$C$6="All",E310=Dashboard!$C$6),OR(Dashboard!$F$6="All",G310=Dashboard!$F$6),OR(Dashboard!$I$6="All",H310=Dashboard!$I$6)),1,0)</f>
        <v/>
      </c>
    </row>
    <row r="311">
      <c r="A311" t="inlineStr">
        <is>
          <t>PF100302</t>
        </is>
      </c>
      <c r="B311" s="68" t="n">
        <v>45693</v>
      </c>
      <c r="C311" s="69" t="n">
        <v>2025</v>
      </c>
      <c r="D311" t="inlineStr">
        <is>
          <t>Feb</t>
        </is>
      </c>
      <c r="E311" t="inlineStr">
        <is>
          <t>Europe</t>
        </is>
      </c>
      <c r="F311" t="inlineStr">
        <is>
          <t>Italy</t>
        </is>
      </c>
      <c r="G311" t="inlineStr">
        <is>
          <t>Abrysvo</t>
        </is>
      </c>
      <c r="H311" t="inlineStr">
        <is>
          <t>Retail pharmacy</t>
        </is>
      </c>
      <c r="I311" t="inlineStr">
        <is>
          <t>Public payer</t>
        </is>
      </c>
      <c r="J311" t="inlineStr">
        <is>
          <t>Kofi Mensah</t>
        </is>
      </c>
      <c r="K311" s="70" t="n">
        <v>2238</v>
      </c>
      <c r="L311" s="71" t="n">
        <v>262.14</v>
      </c>
      <c r="M311" s="71" t="n">
        <v>586669.3199999999</v>
      </c>
      <c r="N311" s="71" t="n">
        <v>29333.47</v>
      </c>
      <c r="O311" s="71" t="n">
        <v>557335.85</v>
      </c>
      <c r="P311" s="71" t="n">
        <v>182468.28</v>
      </c>
      <c r="Q311" s="71" t="n">
        <v>374867.57</v>
      </c>
      <c r="R311" t="inlineStr">
        <is>
          <t>Vaccines</t>
        </is>
      </c>
      <c r="S311" s="70" t="n">
        <v>1580</v>
      </c>
      <c r="T311" s="71" t="n">
        <v>82000.12</v>
      </c>
      <c r="U311" t="inlineStr">
        <is>
          <t>Low</t>
        </is>
      </c>
      <c r="V311">
        <f>IF(AND(OR(Dashboard!$C$6="All",E311=Dashboard!$C$6),OR(Dashboard!$F$6="All",G311=Dashboard!$F$6),OR(Dashboard!$I$6="All",H311=Dashboard!$I$6)),1,0)</f>
        <v/>
      </c>
    </row>
    <row r="312">
      <c r="A312" t="inlineStr">
        <is>
          <t>PF100303</t>
        </is>
      </c>
      <c r="B312" s="68" t="n">
        <v>45693</v>
      </c>
      <c r="C312" s="69" t="n">
        <v>2025</v>
      </c>
      <c r="D312" t="inlineStr">
        <is>
          <t>Feb</t>
        </is>
      </c>
      <c r="E312" t="inlineStr">
        <is>
          <t>International developed</t>
        </is>
      </c>
      <c r="F312" t="inlineStr">
        <is>
          <t>Australia</t>
        </is>
      </c>
      <c r="G312" t="inlineStr">
        <is>
          <t>Eliquis</t>
        </is>
      </c>
      <c r="H312" t="inlineStr">
        <is>
          <t>Government / tender</t>
        </is>
      </c>
      <c r="I312" t="inlineStr">
        <is>
          <t>Private insurer</t>
        </is>
      </c>
      <c r="J312" t="inlineStr">
        <is>
          <t>Sophie Müller</t>
        </is>
      </c>
      <c r="K312" s="70" t="n">
        <v>1569</v>
      </c>
      <c r="L312" s="71" t="n">
        <v>400.35</v>
      </c>
      <c r="M312" s="71" t="n">
        <v>628149.15</v>
      </c>
      <c r="N312" s="71" t="n">
        <v>125629.83</v>
      </c>
      <c r="O312" s="71" t="n">
        <v>502519.32</v>
      </c>
      <c r="P312" s="71" t="n">
        <v>116326.05</v>
      </c>
      <c r="Q312" s="71" t="n">
        <v>386193.27</v>
      </c>
      <c r="R312" t="inlineStr">
        <is>
          <t>Cardiology</t>
        </is>
      </c>
      <c r="S312" s="70" t="n">
        <v>1299</v>
      </c>
      <c r="T312" s="71" t="n">
        <v>109322.54</v>
      </c>
      <c r="U312" t="inlineStr">
        <is>
          <t>High</t>
        </is>
      </c>
      <c r="V312">
        <f>IF(AND(OR(Dashboard!$C$6="All",E312=Dashboard!$C$6),OR(Dashboard!$F$6="All",G312=Dashboard!$F$6),OR(Dashboard!$I$6="All",H312=Dashboard!$I$6)),1,0)</f>
        <v/>
      </c>
    </row>
    <row r="313">
      <c r="A313" t="inlineStr">
        <is>
          <t>PF100304</t>
        </is>
      </c>
      <c r="B313" s="68" t="n">
        <v>45693</v>
      </c>
      <c r="C313" s="69" t="n">
        <v>2025</v>
      </c>
      <c r="D313" t="inlineStr">
        <is>
          <t>Feb</t>
        </is>
      </c>
      <c r="E313" t="inlineStr">
        <is>
          <t>United States</t>
        </is>
      </c>
      <c r="F313" t="inlineStr">
        <is>
          <t>USA</t>
        </is>
      </c>
      <c r="G313" t="inlineStr">
        <is>
          <t>Abrysvo</t>
        </is>
      </c>
      <c r="H313" t="inlineStr">
        <is>
          <t>Hospital</t>
        </is>
      </c>
      <c r="I313" t="inlineStr">
        <is>
          <t>Private insurer</t>
        </is>
      </c>
      <c r="J313" t="inlineStr">
        <is>
          <t>Carlos Silva</t>
        </is>
      </c>
      <c r="K313" s="70" t="n">
        <v>2076</v>
      </c>
      <c r="L313" s="71" t="n">
        <v>406</v>
      </c>
      <c r="M313" s="71" t="n">
        <v>842856</v>
      </c>
      <c r="N313" s="71" t="n">
        <v>210714</v>
      </c>
      <c r="O313" s="71" t="n">
        <v>632142</v>
      </c>
      <c r="P313" s="71" t="n">
        <v>177733.2</v>
      </c>
      <c r="Q313" s="71" t="n">
        <v>454408.8</v>
      </c>
      <c r="R313" t="inlineStr">
        <is>
          <t>Vaccines</t>
        </is>
      </c>
      <c r="S313" s="70" t="n">
        <v>1369</v>
      </c>
      <c r="T313" s="71" t="n">
        <v>136863.05</v>
      </c>
      <c r="U313" t="inlineStr">
        <is>
          <t>Low</t>
        </is>
      </c>
      <c r="V313">
        <f>IF(AND(OR(Dashboard!$C$6="All",E313=Dashboard!$C$6),OR(Dashboard!$F$6="All",G313=Dashboard!$F$6),OR(Dashboard!$I$6="All",H313=Dashboard!$I$6)),1,0)</f>
        <v/>
      </c>
    </row>
    <row r="314">
      <c r="A314" t="inlineStr">
        <is>
          <t>PF100305</t>
        </is>
      </c>
      <c r="B314" s="68" t="n">
        <v>45693</v>
      </c>
      <c r="C314" s="69" t="n">
        <v>2025</v>
      </c>
      <c r="D314" t="inlineStr">
        <is>
          <t>Feb</t>
        </is>
      </c>
      <c r="E314" t="inlineStr">
        <is>
          <t>United States</t>
        </is>
      </c>
      <c r="F314" t="inlineStr">
        <is>
          <t>USA</t>
        </is>
      </c>
      <c r="G314" t="inlineStr">
        <is>
          <t>Ibrance</t>
        </is>
      </c>
      <c r="H314" t="inlineStr">
        <is>
          <t>Retail pharmacy</t>
        </is>
      </c>
      <c r="I314" t="inlineStr">
        <is>
          <t>Public payer</t>
        </is>
      </c>
      <c r="J314" t="inlineStr">
        <is>
          <t>Liam O'Brien</t>
        </is>
      </c>
      <c r="K314" s="70" t="n">
        <v>1418</v>
      </c>
      <c r="L314" s="71" t="n">
        <v>4250.37</v>
      </c>
      <c r="M314" s="71" t="n">
        <v>6027024.66</v>
      </c>
      <c r="N314" s="71" t="n">
        <v>1808107.4</v>
      </c>
      <c r="O314" s="71" t="n">
        <v>4218917.26</v>
      </c>
      <c r="P314" s="71" t="n">
        <v>625666.64</v>
      </c>
      <c r="Q314" s="71" t="n">
        <v>3593250.62</v>
      </c>
      <c r="R314" t="inlineStr">
        <is>
          <t>Oncology</t>
        </is>
      </c>
      <c r="S314" s="70" t="n">
        <v>1177</v>
      </c>
      <c r="T314" s="71" t="n">
        <v>1015676.97</v>
      </c>
      <c r="U314" t="inlineStr">
        <is>
          <t>High</t>
        </is>
      </c>
      <c r="V314">
        <f>IF(AND(OR(Dashboard!$C$6="All",E314=Dashboard!$C$6),OR(Dashboard!$F$6="All",G314=Dashboard!$F$6),OR(Dashboard!$I$6="All",H314=Dashboard!$I$6)),1,0)</f>
        <v/>
      </c>
    </row>
    <row r="315">
      <c r="A315" t="inlineStr">
        <is>
          <t>PF100306</t>
        </is>
      </c>
      <c r="B315" s="68" t="n">
        <v>45693</v>
      </c>
      <c r="C315" s="69" t="n">
        <v>2025</v>
      </c>
      <c r="D315" t="inlineStr">
        <is>
          <t>Feb</t>
        </is>
      </c>
      <c r="E315" t="inlineStr">
        <is>
          <t>Europe</t>
        </is>
      </c>
      <c r="F315" t="inlineStr">
        <is>
          <t>Spain</t>
        </is>
      </c>
      <c r="G315" t="inlineStr">
        <is>
          <t>Paxlovid</t>
        </is>
      </c>
      <c r="H315" t="inlineStr">
        <is>
          <t>Hospital</t>
        </is>
      </c>
      <c r="I315" t="inlineStr">
        <is>
          <t>Self-pay</t>
        </is>
      </c>
      <c r="J315" t="inlineStr">
        <is>
          <t>Yuki Sato</t>
        </is>
      </c>
      <c r="K315" s="70" t="n">
        <v>611</v>
      </c>
      <c r="L315" s="71" t="n">
        <v>1136.14</v>
      </c>
      <c r="M315" s="71" t="n">
        <v>694181.54</v>
      </c>
      <c r="N315" s="71" t="n">
        <v>138836.31</v>
      </c>
      <c r="O315" s="71" t="n">
        <v>555345.23</v>
      </c>
      <c r="P315" s="71" t="n">
        <v>162616.98</v>
      </c>
      <c r="Q315" s="71" t="n">
        <v>392728.25</v>
      </c>
      <c r="R315" t="inlineStr">
        <is>
          <t>Antiviral</t>
        </is>
      </c>
      <c r="S315" s="70" t="n">
        <v>459</v>
      </c>
      <c r="T315" s="71" t="n">
        <v>114345.98</v>
      </c>
      <c r="U315" t="inlineStr">
        <is>
          <t>Low</t>
        </is>
      </c>
      <c r="V315">
        <f>IF(AND(OR(Dashboard!$C$6="All",E315=Dashboard!$C$6),OR(Dashboard!$F$6="All",G315=Dashboard!$F$6),OR(Dashboard!$I$6="All",H315=Dashboard!$I$6)),1,0)</f>
        <v/>
      </c>
    </row>
    <row r="316">
      <c r="A316" t="inlineStr">
        <is>
          <t>PF100307</t>
        </is>
      </c>
      <c r="B316" s="68" t="n">
        <v>45693</v>
      </c>
      <c r="C316" s="69" t="n">
        <v>2025</v>
      </c>
      <c r="D316" t="inlineStr">
        <is>
          <t>Feb</t>
        </is>
      </c>
      <c r="E316" t="inlineStr">
        <is>
          <t>Europe</t>
        </is>
      </c>
      <c r="F316" t="inlineStr">
        <is>
          <t>Spain</t>
        </is>
      </c>
      <c r="G316" t="inlineStr">
        <is>
          <t>Eliquis</t>
        </is>
      </c>
      <c r="H316" t="inlineStr">
        <is>
          <t>Retail pharmacy</t>
        </is>
      </c>
      <c r="I316" t="inlineStr">
        <is>
          <t>Private insurer</t>
        </is>
      </c>
      <c r="J316" t="inlineStr">
        <is>
          <t>Zoya Ahmed</t>
        </is>
      </c>
      <c r="K316" s="70" t="n">
        <v>1321</v>
      </c>
      <c r="L316" s="71" t="n">
        <v>393.72</v>
      </c>
      <c r="M316" s="71" t="n">
        <v>520104.12</v>
      </c>
      <c r="N316" s="71" t="n">
        <v>130026.03</v>
      </c>
      <c r="O316" s="71" t="n">
        <v>390078.09</v>
      </c>
      <c r="P316" s="71" t="n">
        <v>96661.14999999999</v>
      </c>
      <c r="Q316" s="71" t="n">
        <v>293416.94</v>
      </c>
      <c r="R316" t="inlineStr">
        <is>
          <t>Cardiology</t>
        </is>
      </c>
      <c r="S316" s="70" t="n">
        <v>1314</v>
      </c>
      <c r="T316" s="71" t="n">
        <v>93300.00999999999</v>
      </c>
      <c r="U316" t="inlineStr">
        <is>
          <t>High</t>
        </is>
      </c>
      <c r="V316">
        <f>IF(AND(OR(Dashboard!$C$6="All",E316=Dashboard!$C$6),OR(Dashboard!$F$6="All",G316=Dashboard!$F$6),OR(Dashboard!$I$6="All",H316=Dashboard!$I$6)),1,0)</f>
        <v/>
      </c>
    </row>
    <row r="317">
      <c r="A317" t="inlineStr">
        <is>
          <t>PF100308</t>
        </is>
      </c>
      <c r="B317" s="68" t="n">
        <v>45693</v>
      </c>
      <c r="C317" s="69" t="n">
        <v>2025</v>
      </c>
      <c r="D317" t="inlineStr">
        <is>
          <t>Feb</t>
        </is>
      </c>
      <c r="E317" t="inlineStr">
        <is>
          <t>Emerging markets</t>
        </is>
      </c>
      <c r="F317" t="inlineStr">
        <is>
          <t>Brazil</t>
        </is>
      </c>
      <c r="G317" t="inlineStr">
        <is>
          <t>Vyndaqel</t>
        </is>
      </c>
      <c r="H317" t="inlineStr">
        <is>
          <t>Hospital</t>
        </is>
      </c>
      <c r="I317" t="inlineStr">
        <is>
          <t>Private insurer</t>
        </is>
      </c>
      <c r="J317" t="inlineStr">
        <is>
          <t>Liam O'Brien</t>
        </is>
      </c>
      <c r="K317" s="70" t="n">
        <v>1422</v>
      </c>
      <c r="L317" s="71" t="n">
        <v>5324.34</v>
      </c>
      <c r="M317" s="71" t="n">
        <v>7571211.48</v>
      </c>
      <c r="N317" s="71" t="n">
        <v>1514242.3</v>
      </c>
      <c r="O317" s="71" t="n">
        <v>6056969.18</v>
      </c>
      <c r="P317" s="71" t="n">
        <v>917606.34</v>
      </c>
      <c r="Q317" s="71" t="n">
        <v>5139362.84</v>
      </c>
      <c r="R317" t="inlineStr">
        <is>
          <t>Rare disease</t>
        </is>
      </c>
      <c r="S317" s="70" t="n">
        <v>1190</v>
      </c>
      <c r="T317" s="71" t="n">
        <v>1303048.58</v>
      </c>
      <c r="U317" t="inlineStr">
        <is>
          <t>Medium</t>
        </is>
      </c>
      <c r="V317">
        <f>IF(AND(OR(Dashboard!$C$6="All",E317=Dashboard!$C$6),OR(Dashboard!$F$6="All",G317=Dashboard!$F$6),OR(Dashboard!$I$6="All",H317=Dashboard!$I$6)),1,0)</f>
        <v/>
      </c>
    </row>
    <row r="318">
      <c r="A318" t="inlineStr">
        <is>
          <t>PF100309</t>
        </is>
      </c>
      <c r="B318" s="68" t="n">
        <v>45693</v>
      </c>
      <c r="C318" s="69" t="n">
        <v>2025</v>
      </c>
      <c r="D318" t="inlineStr">
        <is>
          <t>Feb</t>
        </is>
      </c>
      <c r="E318" t="inlineStr">
        <is>
          <t>United States</t>
        </is>
      </c>
      <c r="F318" t="inlineStr">
        <is>
          <t>USA</t>
        </is>
      </c>
      <c r="G318" t="inlineStr">
        <is>
          <t>Prevnar 20</t>
        </is>
      </c>
      <c r="H318" t="inlineStr">
        <is>
          <t>Retail pharmacy</t>
        </is>
      </c>
      <c r="I318" t="inlineStr">
        <is>
          <t>Self-pay</t>
        </is>
      </c>
      <c r="J318" t="inlineStr">
        <is>
          <t>Emma Clarke</t>
        </is>
      </c>
      <c r="K318" s="70" t="n">
        <v>2693</v>
      </c>
      <c r="L318" s="71" t="n">
        <v>334.11</v>
      </c>
      <c r="M318" s="71" t="n">
        <v>899758.23</v>
      </c>
      <c r="N318" s="71" t="n">
        <v>224939.56</v>
      </c>
      <c r="O318" s="71" t="n">
        <v>674818.67</v>
      </c>
      <c r="P318" s="71" t="n">
        <v>186721.31</v>
      </c>
      <c r="Q318" s="71" t="n">
        <v>488097.36</v>
      </c>
      <c r="R318" t="inlineStr">
        <is>
          <t>Vaccines</t>
        </is>
      </c>
      <c r="S318" s="70" t="n">
        <v>2226</v>
      </c>
      <c r="T318" s="71" t="n">
        <v>124586.77</v>
      </c>
      <c r="U318" t="inlineStr">
        <is>
          <t>Low</t>
        </is>
      </c>
      <c r="V318">
        <f>IF(AND(OR(Dashboard!$C$6="All",E318=Dashboard!$C$6),OR(Dashboard!$F$6="All",G318=Dashboard!$F$6),OR(Dashboard!$I$6="All",H318=Dashboard!$I$6)),1,0)</f>
        <v/>
      </c>
    </row>
    <row r="319">
      <c r="A319" t="inlineStr">
        <is>
          <t>PF100310</t>
        </is>
      </c>
      <c r="B319" s="68" t="n">
        <v>45693</v>
      </c>
      <c r="C319" s="69" t="n">
        <v>2025</v>
      </c>
      <c r="D319" t="inlineStr">
        <is>
          <t>Feb</t>
        </is>
      </c>
      <c r="E319" t="inlineStr">
        <is>
          <t>Europe</t>
        </is>
      </c>
      <c r="F319" t="inlineStr">
        <is>
          <t>Italy</t>
        </is>
      </c>
      <c r="G319" t="inlineStr">
        <is>
          <t>Abrysvo</t>
        </is>
      </c>
      <c r="H319" t="inlineStr">
        <is>
          <t>Retail pharmacy</t>
        </is>
      </c>
      <c r="I319" t="inlineStr">
        <is>
          <t>Public payer</t>
        </is>
      </c>
      <c r="J319" t="inlineStr">
        <is>
          <t>Wei Chen</t>
        </is>
      </c>
      <c r="K319" s="70" t="n">
        <v>1064</v>
      </c>
      <c r="L319" s="71" t="n">
        <v>261.57</v>
      </c>
      <c r="M319" s="71" t="n">
        <v>278310.48</v>
      </c>
      <c r="N319" s="71" t="n">
        <v>55662.1</v>
      </c>
      <c r="O319" s="71" t="n">
        <v>222648.38</v>
      </c>
      <c r="P319" s="71" t="n">
        <v>86789.63</v>
      </c>
      <c r="Q319" s="71" t="n">
        <v>135858.75</v>
      </c>
      <c r="R319" t="inlineStr">
        <is>
          <t>Vaccines</t>
        </is>
      </c>
      <c r="S319" s="70" t="n">
        <v>899</v>
      </c>
      <c r="T319" s="71" t="n">
        <v>39936.6</v>
      </c>
      <c r="U319" t="inlineStr">
        <is>
          <t>Low</t>
        </is>
      </c>
      <c r="V319">
        <f>IF(AND(OR(Dashboard!$C$6="All",E319=Dashboard!$C$6),OR(Dashboard!$F$6="All",G319=Dashboard!$F$6),OR(Dashboard!$I$6="All",H319=Dashboard!$I$6)),1,0)</f>
        <v/>
      </c>
    </row>
    <row r="320">
      <c r="A320" t="inlineStr">
        <is>
          <t>PF100311</t>
        </is>
      </c>
      <c r="B320" s="68" t="n">
        <v>45693</v>
      </c>
      <c r="C320" s="69" t="n">
        <v>2025</v>
      </c>
      <c r="D320" t="inlineStr">
        <is>
          <t>Feb</t>
        </is>
      </c>
      <c r="E320" t="inlineStr">
        <is>
          <t>Emerging markets</t>
        </is>
      </c>
      <c r="F320" t="inlineStr">
        <is>
          <t>China</t>
        </is>
      </c>
      <c r="G320" t="inlineStr">
        <is>
          <t>Eliquis</t>
        </is>
      </c>
      <c r="H320" t="inlineStr">
        <is>
          <t>Retail pharmacy</t>
        </is>
      </c>
      <c r="I320" t="inlineStr">
        <is>
          <t>Public payer</t>
        </is>
      </c>
      <c r="J320" t="inlineStr">
        <is>
          <t>Noah Smith</t>
        </is>
      </c>
      <c r="K320" s="70" t="n">
        <v>1767</v>
      </c>
      <c r="L320" s="71" t="n">
        <v>402.56</v>
      </c>
      <c r="M320" s="71" t="n">
        <v>711323.52</v>
      </c>
      <c r="N320" s="71" t="n">
        <v>71132.35000000001</v>
      </c>
      <c r="O320" s="71" t="n">
        <v>640191.17</v>
      </c>
      <c r="P320" s="71" t="n">
        <v>131615.89</v>
      </c>
      <c r="Q320" s="71" t="n">
        <v>508575.28</v>
      </c>
      <c r="R320" t="inlineStr">
        <is>
          <t>Cardiology</t>
        </is>
      </c>
      <c r="S320" s="70" t="n">
        <v>1204</v>
      </c>
      <c r="T320" s="71" t="n">
        <v>150433.03</v>
      </c>
      <c r="U320" t="inlineStr">
        <is>
          <t>High</t>
        </is>
      </c>
      <c r="V320">
        <f>IF(AND(OR(Dashboard!$C$6="All",E320=Dashboard!$C$6),OR(Dashboard!$F$6="All",G320=Dashboard!$F$6),OR(Dashboard!$I$6="All",H320=Dashboard!$I$6)),1,0)</f>
        <v/>
      </c>
    </row>
    <row r="321">
      <c r="A321" t="inlineStr">
        <is>
          <t>PF100312</t>
        </is>
      </c>
      <c r="B321" s="68" t="n">
        <v>45693</v>
      </c>
      <c r="C321" s="69" t="n">
        <v>2025</v>
      </c>
      <c r="D321" t="inlineStr">
        <is>
          <t>Feb</t>
        </is>
      </c>
      <c r="E321" t="inlineStr">
        <is>
          <t>United States</t>
        </is>
      </c>
      <c r="F321" t="inlineStr">
        <is>
          <t>USA</t>
        </is>
      </c>
      <c r="G321" t="inlineStr">
        <is>
          <t>Paxlovid</t>
        </is>
      </c>
      <c r="H321" t="inlineStr">
        <is>
          <t>Hospital</t>
        </is>
      </c>
      <c r="I321" t="inlineStr">
        <is>
          <t>Self-pay</t>
        </is>
      </c>
      <c r="J321" t="inlineStr">
        <is>
          <t>Shraddha Kulkarni</t>
        </is>
      </c>
      <c r="K321" s="70" t="n">
        <v>1735</v>
      </c>
      <c r="L321" s="71" t="n">
        <v>1748.77</v>
      </c>
      <c r="M321" s="71" t="n">
        <v>3034115.95</v>
      </c>
      <c r="N321" s="71" t="n">
        <v>758528.99</v>
      </c>
      <c r="O321" s="71" t="n">
        <v>2275586.96</v>
      </c>
      <c r="P321" s="71" t="n">
        <v>461776.3</v>
      </c>
      <c r="Q321" s="71" t="n">
        <v>1813810.66</v>
      </c>
      <c r="R321" t="inlineStr">
        <is>
          <t>Antiviral</t>
        </is>
      </c>
      <c r="S321" s="70" t="n">
        <v>1209</v>
      </c>
      <c r="T321" s="71" t="n">
        <v>501929.68</v>
      </c>
      <c r="U321" t="inlineStr">
        <is>
          <t>Low</t>
        </is>
      </c>
      <c r="V321">
        <f>IF(AND(OR(Dashboard!$C$6="All",E321=Dashboard!$C$6),OR(Dashboard!$F$6="All",G321=Dashboard!$F$6),OR(Dashboard!$I$6="All",H321=Dashboard!$I$6)),1,0)</f>
        <v/>
      </c>
    </row>
    <row r="322">
      <c r="A322" t="inlineStr">
        <is>
          <t>PF100313</t>
        </is>
      </c>
      <c r="B322" s="68" t="n">
        <v>45693</v>
      </c>
      <c r="C322" s="69" t="n">
        <v>2025</v>
      </c>
      <c r="D322" t="inlineStr">
        <is>
          <t>Feb</t>
        </is>
      </c>
      <c r="E322" t="inlineStr">
        <is>
          <t>United States</t>
        </is>
      </c>
      <c r="F322" t="inlineStr">
        <is>
          <t>USA</t>
        </is>
      </c>
      <c r="G322" t="inlineStr">
        <is>
          <t>Prevnar 20</t>
        </is>
      </c>
      <c r="H322" t="inlineStr">
        <is>
          <t>Hospital</t>
        </is>
      </c>
      <c r="I322" t="inlineStr">
        <is>
          <t>Self-pay</t>
        </is>
      </c>
      <c r="J322" t="inlineStr">
        <is>
          <t>Wei Chen</t>
        </is>
      </c>
      <c r="K322" s="70" t="n">
        <v>2659</v>
      </c>
      <c r="L322" s="71" t="n">
        <v>355.73</v>
      </c>
      <c r="M322" s="71" t="n">
        <v>945886.0699999999</v>
      </c>
      <c r="N322" s="71" t="n">
        <v>141882.91</v>
      </c>
      <c r="O322" s="71" t="n">
        <v>804003.16</v>
      </c>
      <c r="P322" s="71" t="n">
        <v>187932.38</v>
      </c>
      <c r="Q322" s="71" t="n">
        <v>616070.78</v>
      </c>
      <c r="R322" t="inlineStr">
        <is>
          <t>Vaccines</t>
        </is>
      </c>
      <c r="S322" s="70" t="n">
        <v>2537</v>
      </c>
      <c r="T322" s="71" t="n">
        <v>183438.42</v>
      </c>
      <c r="U322" t="inlineStr">
        <is>
          <t>Low</t>
        </is>
      </c>
      <c r="V322">
        <f>IF(AND(OR(Dashboard!$C$6="All",E322=Dashboard!$C$6),OR(Dashboard!$F$6="All",G322=Dashboard!$F$6),OR(Dashboard!$I$6="All",H322=Dashboard!$I$6)),1,0)</f>
        <v/>
      </c>
    </row>
    <row r="323">
      <c r="A323" t="inlineStr">
        <is>
          <t>PF100314</t>
        </is>
      </c>
      <c r="B323" s="68" t="n">
        <v>45694</v>
      </c>
      <c r="C323" s="69" t="n">
        <v>2025</v>
      </c>
      <c r="D323" t="inlineStr">
        <is>
          <t>Feb</t>
        </is>
      </c>
      <c r="E323" t="inlineStr">
        <is>
          <t>Europe</t>
        </is>
      </c>
      <c r="F323" t="inlineStr">
        <is>
          <t>France</t>
        </is>
      </c>
      <c r="G323" t="inlineStr">
        <is>
          <t>Comirnaty</t>
        </is>
      </c>
      <c r="H323" t="inlineStr">
        <is>
          <t>Retail pharmacy</t>
        </is>
      </c>
      <c r="I323" t="inlineStr">
        <is>
          <t>Private insurer</t>
        </is>
      </c>
      <c r="J323" t="inlineStr">
        <is>
          <t>Fatima Al-Saud</t>
        </is>
      </c>
      <c r="K323" s="70" t="n">
        <v>1971</v>
      </c>
      <c r="L323" s="71" t="n">
        <v>118.02</v>
      </c>
      <c r="M323" s="71" t="n">
        <v>232617.42</v>
      </c>
      <c r="N323" s="71" t="n">
        <v>23261.74</v>
      </c>
      <c r="O323" s="71" t="n">
        <v>209355.68</v>
      </c>
      <c r="P323" s="71" t="n">
        <v>77314.11</v>
      </c>
      <c r="Q323" s="71" t="n">
        <v>132041.57</v>
      </c>
      <c r="R323" t="inlineStr">
        <is>
          <t>Vaccines</t>
        </is>
      </c>
      <c r="S323" s="70" t="n">
        <v>1577</v>
      </c>
      <c r="T323" s="71" t="n">
        <v>30140.04</v>
      </c>
      <c r="U323" t="inlineStr">
        <is>
          <t>Low</t>
        </is>
      </c>
      <c r="V323">
        <f>IF(AND(OR(Dashboard!$C$6="All",E323=Dashboard!$C$6),OR(Dashboard!$F$6="All",G323=Dashboard!$F$6),OR(Dashboard!$I$6="All",H323=Dashboard!$I$6)),1,0)</f>
        <v/>
      </c>
    </row>
    <row r="324">
      <c r="A324" t="inlineStr">
        <is>
          <t>PF100315</t>
        </is>
      </c>
      <c r="B324" s="68" t="n">
        <v>45694</v>
      </c>
      <c r="C324" s="69" t="n">
        <v>2025</v>
      </c>
      <c r="D324" t="inlineStr">
        <is>
          <t>Feb</t>
        </is>
      </c>
      <c r="E324" t="inlineStr">
        <is>
          <t>Emerging markets</t>
        </is>
      </c>
      <c r="F324" t="inlineStr">
        <is>
          <t>China</t>
        </is>
      </c>
      <c r="G324" t="inlineStr">
        <is>
          <t>Paxlovid</t>
        </is>
      </c>
      <c r="H324" t="inlineStr">
        <is>
          <t>Retail pharmacy</t>
        </is>
      </c>
      <c r="I324" t="inlineStr">
        <is>
          <t>Public payer</t>
        </is>
      </c>
      <c r="J324" t="inlineStr">
        <is>
          <t>Wei Chen</t>
        </is>
      </c>
      <c r="K324" s="70" t="n">
        <v>1070</v>
      </c>
      <c r="L324" s="71" t="n">
        <v>1189.93</v>
      </c>
      <c r="M324" s="71" t="n">
        <v>1273225.1</v>
      </c>
      <c r="N324" s="71" t="n">
        <v>127322.51</v>
      </c>
      <c r="O324" s="71" t="n">
        <v>1145902.59</v>
      </c>
      <c r="P324" s="71" t="n">
        <v>293236.69</v>
      </c>
      <c r="Q324" s="71" t="n">
        <v>852665.9</v>
      </c>
      <c r="R324" t="inlineStr">
        <is>
          <t>Antiviral</t>
        </is>
      </c>
      <c r="S324" s="70" t="n">
        <v>891</v>
      </c>
      <c r="T324" s="71" t="n">
        <v>243069.07</v>
      </c>
      <c r="U324" t="inlineStr">
        <is>
          <t>Low</t>
        </is>
      </c>
      <c r="V324">
        <f>IF(AND(OR(Dashboard!$C$6="All",E324=Dashboard!$C$6),OR(Dashboard!$F$6="All",G324=Dashboard!$F$6),OR(Dashboard!$I$6="All",H324=Dashboard!$I$6)),1,0)</f>
        <v/>
      </c>
    </row>
    <row r="325">
      <c r="A325" t="inlineStr">
        <is>
          <t>PF100316</t>
        </is>
      </c>
      <c r="B325" s="68" t="n">
        <v>45694</v>
      </c>
      <c r="C325" s="69" t="n">
        <v>2025</v>
      </c>
      <c r="D325" t="inlineStr">
        <is>
          <t>Feb</t>
        </is>
      </c>
      <c r="E325" t="inlineStr">
        <is>
          <t>United States</t>
        </is>
      </c>
      <c r="F325" t="inlineStr">
        <is>
          <t>USA</t>
        </is>
      </c>
      <c r="G325" t="inlineStr">
        <is>
          <t>Paxlovid</t>
        </is>
      </c>
      <c r="H325" t="inlineStr">
        <is>
          <t>Government / tender</t>
        </is>
      </c>
      <c r="I325" t="inlineStr">
        <is>
          <t>Private insurer</t>
        </is>
      </c>
      <c r="J325" t="inlineStr">
        <is>
          <t>Kofi Mensah</t>
        </is>
      </c>
      <c r="K325" s="70" t="n">
        <v>1555</v>
      </c>
      <c r="L325" s="71" t="n">
        <v>1620.94</v>
      </c>
      <c r="M325" s="71" t="n">
        <v>2520561.7</v>
      </c>
      <c r="N325" s="71" t="n">
        <v>630140.4300000001</v>
      </c>
      <c r="O325" s="71" t="n">
        <v>1890421.27</v>
      </c>
      <c r="P325" s="71" t="n">
        <v>441670.77</v>
      </c>
      <c r="Q325" s="71" t="n">
        <v>1448750.5</v>
      </c>
      <c r="R325" t="inlineStr">
        <is>
          <t>Antiviral</t>
        </is>
      </c>
      <c r="S325" s="70" t="n">
        <v>1357</v>
      </c>
      <c r="T325" s="71" t="n">
        <v>324110.77</v>
      </c>
      <c r="U325" t="inlineStr">
        <is>
          <t>Low</t>
        </is>
      </c>
      <c r="V325">
        <f>IF(AND(OR(Dashboard!$C$6="All",E325=Dashboard!$C$6),OR(Dashboard!$F$6="All",G325=Dashboard!$F$6),OR(Dashboard!$I$6="All",H325=Dashboard!$I$6)),1,0)</f>
        <v/>
      </c>
    </row>
    <row r="326">
      <c r="A326" t="inlineStr">
        <is>
          <t>PF100317</t>
        </is>
      </c>
      <c r="B326" s="68" t="n">
        <v>45694</v>
      </c>
      <c r="C326" s="69" t="n">
        <v>2025</v>
      </c>
      <c r="D326" t="inlineStr">
        <is>
          <t>Feb</t>
        </is>
      </c>
      <c r="E326" t="inlineStr">
        <is>
          <t>United States</t>
        </is>
      </c>
      <c r="F326" t="inlineStr">
        <is>
          <t>USA</t>
        </is>
      </c>
      <c r="G326" t="inlineStr">
        <is>
          <t>Eliquis</t>
        </is>
      </c>
      <c r="H326" t="inlineStr">
        <is>
          <t>Hospital</t>
        </is>
      </c>
      <c r="I326" t="inlineStr">
        <is>
          <t>Private insurer</t>
        </is>
      </c>
      <c r="J326" t="inlineStr">
        <is>
          <t>Mei Lin</t>
        </is>
      </c>
      <c r="K326" s="70" t="n">
        <v>2550</v>
      </c>
      <c r="L326" s="71" t="n">
        <v>648.5</v>
      </c>
      <c r="M326" s="71" t="n">
        <v>1653675</v>
      </c>
      <c r="N326" s="71" t="n">
        <v>248051.25</v>
      </c>
      <c r="O326" s="71" t="n">
        <v>1405623.75</v>
      </c>
      <c r="P326" s="71" t="n">
        <v>198107.12</v>
      </c>
      <c r="Q326" s="71" t="n">
        <v>1207516.63</v>
      </c>
      <c r="R326" t="inlineStr">
        <is>
          <t>Cardiology</t>
        </is>
      </c>
      <c r="S326" s="70" t="n">
        <v>2308</v>
      </c>
      <c r="T326" s="71" t="n">
        <v>218074.31</v>
      </c>
      <c r="U326" t="inlineStr">
        <is>
          <t>High</t>
        </is>
      </c>
      <c r="V326">
        <f>IF(AND(OR(Dashboard!$C$6="All",E326=Dashboard!$C$6),OR(Dashboard!$F$6="All",G326=Dashboard!$F$6),OR(Dashboard!$I$6="All",H326=Dashboard!$I$6)),1,0)</f>
        <v/>
      </c>
    </row>
    <row r="327">
      <c r="A327" t="inlineStr">
        <is>
          <t>PF100318</t>
        </is>
      </c>
      <c r="B327" s="68" t="n">
        <v>45695</v>
      </c>
      <c r="C327" s="69" t="n">
        <v>2025</v>
      </c>
      <c r="D327" t="inlineStr">
        <is>
          <t>Feb</t>
        </is>
      </c>
      <c r="E327" t="inlineStr">
        <is>
          <t>United States</t>
        </is>
      </c>
      <c r="F327" t="inlineStr">
        <is>
          <t>USA</t>
        </is>
      </c>
      <c r="G327" t="inlineStr">
        <is>
          <t>Vyndaqel</t>
        </is>
      </c>
      <c r="H327" t="inlineStr">
        <is>
          <t>Government / tender</t>
        </is>
      </c>
      <c r="I327" t="inlineStr">
        <is>
          <t>Private insurer</t>
        </is>
      </c>
      <c r="J327" t="inlineStr">
        <is>
          <t>Emma Clarke</t>
        </is>
      </c>
      <c r="K327" s="70" t="n">
        <v>829</v>
      </c>
      <c r="L327" s="71" t="n">
        <v>7949.89</v>
      </c>
      <c r="M327" s="71" t="n">
        <v>6590458.81</v>
      </c>
      <c r="N327" s="71" t="n">
        <v>988568.8199999999</v>
      </c>
      <c r="O327" s="71" t="n">
        <v>5601889.99</v>
      </c>
      <c r="P327" s="71" t="n">
        <v>516977.03</v>
      </c>
      <c r="Q327" s="71" t="n">
        <v>5084912.96</v>
      </c>
      <c r="R327" t="inlineStr">
        <is>
          <t>Rare disease</t>
        </is>
      </c>
      <c r="S327" s="70" t="n">
        <v>552</v>
      </c>
      <c r="T327" s="71" t="n">
        <v>1033247.48</v>
      </c>
      <c r="U327" t="inlineStr">
        <is>
          <t>Medium</t>
        </is>
      </c>
      <c r="V327">
        <f>IF(AND(OR(Dashboard!$C$6="All",E327=Dashboard!$C$6),OR(Dashboard!$F$6="All",G327=Dashboard!$F$6),OR(Dashboard!$I$6="All",H327=Dashboard!$I$6)),1,0)</f>
        <v/>
      </c>
    </row>
    <row r="328">
      <c r="A328" t="inlineStr">
        <is>
          <t>PF100319</t>
        </is>
      </c>
      <c r="B328" s="68" t="n">
        <v>45695</v>
      </c>
      <c r="C328" s="69" t="n">
        <v>2025</v>
      </c>
      <c r="D328" t="inlineStr">
        <is>
          <t>Feb</t>
        </is>
      </c>
      <c r="E328" t="inlineStr">
        <is>
          <t>Europe</t>
        </is>
      </c>
      <c r="F328" t="inlineStr">
        <is>
          <t>Italy</t>
        </is>
      </c>
      <c r="G328" t="inlineStr">
        <is>
          <t>Ibrance</t>
        </is>
      </c>
      <c r="H328" t="inlineStr">
        <is>
          <t>Hospital</t>
        </is>
      </c>
      <c r="I328" t="inlineStr">
        <is>
          <t>Public payer</t>
        </is>
      </c>
      <c r="J328" t="inlineStr">
        <is>
          <t>Ruhi Shaikh</t>
        </is>
      </c>
      <c r="K328" s="70" t="n">
        <v>202</v>
      </c>
      <c r="L328" s="71" t="n">
        <v>2886.4</v>
      </c>
      <c r="M328" s="71" t="n">
        <v>583052.8</v>
      </c>
      <c r="N328" s="71" t="n">
        <v>58305.28</v>
      </c>
      <c r="O328" s="71" t="n">
        <v>524747.52</v>
      </c>
      <c r="P328" s="71" t="n">
        <v>88903.5</v>
      </c>
      <c r="Q328" s="71" t="n">
        <v>435844.02</v>
      </c>
      <c r="R328" t="inlineStr">
        <is>
          <t>Oncology</t>
        </is>
      </c>
      <c r="S328" s="70" t="n">
        <v>192</v>
      </c>
      <c r="T328" s="71" t="n">
        <v>119853.57</v>
      </c>
      <c r="U328" t="inlineStr">
        <is>
          <t>High</t>
        </is>
      </c>
      <c r="V328">
        <f>IF(AND(OR(Dashboard!$C$6="All",E328=Dashboard!$C$6),OR(Dashboard!$F$6="All",G328=Dashboard!$F$6),OR(Dashboard!$I$6="All",H328=Dashboard!$I$6)),1,0)</f>
        <v/>
      </c>
    </row>
    <row r="329">
      <c r="A329" t="inlineStr">
        <is>
          <t>PF100320</t>
        </is>
      </c>
      <c r="B329" s="68" t="n">
        <v>45695</v>
      </c>
      <c r="C329" s="69" t="n">
        <v>2025</v>
      </c>
      <c r="D329" t="inlineStr">
        <is>
          <t>Feb</t>
        </is>
      </c>
      <c r="E329" t="inlineStr">
        <is>
          <t>United States</t>
        </is>
      </c>
      <c r="F329" t="inlineStr">
        <is>
          <t>USA</t>
        </is>
      </c>
      <c r="G329" t="inlineStr">
        <is>
          <t>Comirnaty</t>
        </is>
      </c>
      <c r="H329" t="inlineStr">
        <is>
          <t>Government / tender</t>
        </is>
      </c>
      <c r="I329" t="inlineStr">
        <is>
          <t>Self-pay</t>
        </is>
      </c>
      <c r="J329" t="inlineStr">
        <is>
          <t>Lucas Martin</t>
        </is>
      </c>
      <c r="K329" s="70" t="n">
        <v>2092</v>
      </c>
      <c r="L329" s="71" t="n">
        <v>165.81</v>
      </c>
      <c r="M329" s="71" t="n">
        <v>346874.52</v>
      </c>
      <c r="N329" s="71" t="n">
        <v>86718.63</v>
      </c>
      <c r="O329" s="71" t="n">
        <v>260155.89</v>
      </c>
      <c r="P329" s="71" t="n">
        <v>81131.74000000001</v>
      </c>
      <c r="Q329" s="71" t="n">
        <v>179024.15</v>
      </c>
      <c r="R329" t="inlineStr">
        <is>
          <t>Vaccines</t>
        </is>
      </c>
      <c r="S329" s="70" t="n">
        <v>1565</v>
      </c>
      <c r="T329" s="71" t="n">
        <v>64948.06</v>
      </c>
      <c r="U329" t="inlineStr">
        <is>
          <t>Low</t>
        </is>
      </c>
      <c r="V329">
        <f>IF(AND(OR(Dashboard!$C$6="All",E329=Dashboard!$C$6),OR(Dashboard!$F$6="All",G329=Dashboard!$F$6),OR(Dashboard!$I$6="All",H329=Dashboard!$I$6)),1,0)</f>
        <v/>
      </c>
    </row>
    <row r="330">
      <c r="A330" t="inlineStr">
        <is>
          <t>PF100321</t>
        </is>
      </c>
      <c r="B330" s="68" t="n">
        <v>45695</v>
      </c>
      <c r="C330" s="69" t="n">
        <v>2025</v>
      </c>
      <c r="D330" t="inlineStr">
        <is>
          <t>Feb</t>
        </is>
      </c>
      <c r="E330" t="inlineStr">
        <is>
          <t>United States</t>
        </is>
      </c>
      <c r="F330" t="inlineStr">
        <is>
          <t>USA</t>
        </is>
      </c>
      <c r="G330" t="inlineStr">
        <is>
          <t>Paxlovid</t>
        </is>
      </c>
      <c r="H330" t="inlineStr">
        <is>
          <t>Retail pharmacy</t>
        </is>
      </c>
      <c r="I330" t="inlineStr">
        <is>
          <t>Public payer</t>
        </is>
      </c>
      <c r="J330" t="inlineStr">
        <is>
          <t>Shraddha Kulkarni</t>
        </is>
      </c>
      <c r="K330" s="70" t="n">
        <v>713</v>
      </c>
      <c r="L330" s="71" t="n">
        <v>1705.65</v>
      </c>
      <c r="M330" s="71" t="n">
        <v>1216128.45</v>
      </c>
      <c r="N330" s="71" t="n">
        <v>243225.69</v>
      </c>
      <c r="O330" s="71" t="n">
        <v>972902.76</v>
      </c>
      <c r="P330" s="71" t="n">
        <v>194520.61</v>
      </c>
      <c r="Q330" s="71" t="n">
        <v>778382.15</v>
      </c>
      <c r="R330" t="inlineStr">
        <is>
          <t>Antiviral</t>
        </is>
      </c>
      <c r="S330" s="70" t="n">
        <v>450</v>
      </c>
      <c r="T330" s="71" t="n">
        <v>230125.96</v>
      </c>
      <c r="U330" t="inlineStr">
        <is>
          <t>Low</t>
        </is>
      </c>
      <c r="V330">
        <f>IF(AND(OR(Dashboard!$C$6="All",E330=Dashboard!$C$6),OR(Dashboard!$F$6="All",G330=Dashboard!$F$6),OR(Dashboard!$I$6="All",H330=Dashboard!$I$6)),1,0)</f>
        <v/>
      </c>
    </row>
    <row r="331">
      <c r="A331" t="inlineStr">
        <is>
          <t>PF100322</t>
        </is>
      </c>
      <c r="B331" s="68" t="n">
        <v>45695</v>
      </c>
      <c r="C331" s="69" t="n">
        <v>2025</v>
      </c>
      <c r="D331" t="inlineStr">
        <is>
          <t>Feb</t>
        </is>
      </c>
      <c r="E331" t="inlineStr">
        <is>
          <t>United States</t>
        </is>
      </c>
      <c r="F331" t="inlineStr">
        <is>
          <t>USA</t>
        </is>
      </c>
      <c r="G331" t="inlineStr">
        <is>
          <t>Ibrance</t>
        </is>
      </c>
      <c r="H331" t="inlineStr">
        <is>
          <t>Hospital</t>
        </is>
      </c>
      <c r="I331" t="inlineStr">
        <is>
          <t>Public payer</t>
        </is>
      </c>
      <c r="J331" t="inlineStr">
        <is>
          <t>Sophie Müller</t>
        </is>
      </c>
      <c r="K331" s="70" t="n">
        <v>412</v>
      </c>
      <c r="L331" s="71" t="n">
        <v>5089.74</v>
      </c>
      <c r="M331" s="71" t="n">
        <v>2096972.88</v>
      </c>
      <c r="N331" s="71" t="n">
        <v>419394.58</v>
      </c>
      <c r="O331" s="71" t="n">
        <v>1677578.3</v>
      </c>
      <c r="P331" s="71" t="n">
        <v>180680.56</v>
      </c>
      <c r="Q331" s="71" t="n">
        <v>1496897.74</v>
      </c>
      <c r="R331" t="inlineStr">
        <is>
          <t>Oncology</t>
        </is>
      </c>
      <c r="S331" s="70" t="n">
        <v>396</v>
      </c>
      <c r="T331" s="71" t="n">
        <v>438127.19</v>
      </c>
      <c r="U331" t="inlineStr">
        <is>
          <t>High</t>
        </is>
      </c>
      <c r="V331">
        <f>IF(AND(OR(Dashboard!$C$6="All",E331=Dashboard!$C$6),OR(Dashboard!$F$6="All",G331=Dashboard!$F$6),OR(Dashboard!$I$6="All",H331=Dashboard!$I$6)),1,0)</f>
        <v/>
      </c>
    </row>
    <row r="332">
      <c r="A332" t="inlineStr">
        <is>
          <t>PF100323</t>
        </is>
      </c>
      <c r="B332" s="68" t="n">
        <v>45695</v>
      </c>
      <c r="C332" s="69" t="n">
        <v>2025</v>
      </c>
      <c r="D332" t="inlineStr">
        <is>
          <t>Feb</t>
        </is>
      </c>
      <c r="E332" t="inlineStr">
        <is>
          <t>Europe</t>
        </is>
      </c>
      <c r="F332" t="inlineStr">
        <is>
          <t>Italy</t>
        </is>
      </c>
      <c r="G332" t="inlineStr">
        <is>
          <t>Comirnaty</t>
        </is>
      </c>
      <c r="H332" t="inlineStr">
        <is>
          <t>Hospital</t>
        </is>
      </c>
      <c r="I332" t="inlineStr">
        <is>
          <t>Private insurer</t>
        </is>
      </c>
      <c r="J332" t="inlineStr">
        <is>
          <t>Arjun Mehta</t>
        </is>
      </c>
      <c r="K332" s="70" t="n">
        <v>788</v>
      </c>
      <c r="L332" s="71" t="n">
        <v>120.19</v>
      </c>
      <c r="M332" s="71" t="n">
        <v>94709.72</v>
      </c>
      <c r="N332" s="71" t="n">
        <v>4735.49</v>
      </c>
      <c r="O332" s="71" t="n">
        <v>89974.23</v>
      </c>
      <c r="P332" s="71" t="n">
        <v>30238.78</v>
      </c>
      <c r="Q332" s="71" t="n">
        <v>59735.45</v>
      </c>
      <c r="R332" t="inlineStr">
        <is>
          <t>Vaccines</t>
        </is>
      </c>
      <c r="S332" s="70" t="n">
        <v>525</v>
      </c>
      <c r="T332" s="71" t="n">
        <v>13691.49</v>
      </c>
      <c r="U332" t="inlineStr">
        <is>
          <t>Low</t>
        </is>
      </c>
      <c r="V332">
        <f>IF(AND(OR(Dashboard!$C$6="All",E332=Dashboard!$C$6),OR(Dashboard!$F$6="All",G332=Dashboard!$F$6),OR(Dashboard!$I$6="All",H332=Dashboard!$I$6)),1,0)</f>
        <v/>
      </c>
    </row>
    <row r="333">
      <c r="A333" t="inlineStr">
        <is>
          <t>PF100324</t>
        </is>
      </c>
      <c r="B333" s="68" t="n">
        <v>45695</v>
      </c>
      <c r="C333" s="69" t="n">
        <v>2025</v>
      </c>
      <c r="D333" t="inlineStr">
        <is>
          <t>Feb</t>
        </is>
      </c>
      <c r="E333" t="inlineStr">
        <is>
          <t>United States</t>
        </is>
      </c>
      <c r="F333" t="inlineStr">
        <is>
          <t>USA</t>
        </is>
      </c>
      <c r="G333" t="inlineStr">
        <is>
          <t>Paxlovid</t>
        </is>
      </c>
      <c r="H333" t="inlineStr">
        <is>
          <t>Retail pharmacy</t>
        </is>
      </c>
      <c r="I333" t="inlineStr">
        <is>
          <t>Private insurer</t>
        </is>
      </c>
      <c r="J333" t="inlineStr">
        <is>
          <t>Ana Costa</t>
        </is>
      </c>
      <c r="K333" s="70" t="n">
        <v>2320</v>
      </c>
      <c r="L333" s="71" t="n">
        <v>1617.54</v>
      </c>
      <c r="M333" s="71" t="n">
        <v>3752692.8</v>
      </c>
      <c r="N333" s="71" t="n">
        <v>938173.2</v>
      </c>
      <c r="O333" s="71" t="n">
        <v>2814519.6</v>
      </c>
      <c r="P333" s="71" t="n">
        <v>638085.14</v>
      </c>
      <c r="Q333" s="71" t="n">
        <v>2176434.46</v>
      </c>
      <c r="R333" t="inlineStr">
        <is>
          <t>Antiviral</t>
        </is>
      </c>
      <c r="S333" s="70" t="n">
        <v>1987</v>
      </c>
      <c r="T333" s="71" t="n">
        <v>579175.03</v>
      </c>
      <c r="U333" t="inlineStr">
        <is>
          <t>Low</t>
        </is>
      </c>
      <c r="V333">
        <f>IF(AND(OR(Dashboard!$C$6="All",E333=Dashboard!$C$6),OR(Dashboard!$F$6="All",G333=Dashboard!$F$6),OR(Dashboard!$I$6="All",H333=Dashboard!$I$6)),1,0)</f>
        <v/>
      </c>
    </row>
    <row r="334">
      <c r="A334" t="inlineStr">
        <is>
          <t>PF100325</t>
        </is>
      </c>
      <c r="B334" s="68" t="n">
        <v>45695</v>
      </c>
      <c r="C334" s="69" t="n">
        <v>2025</v>
      </c>
      <c r="D334" t="inlineStr">
        <is>
          <t>Feb</t>
        </is>
      </c>
      <c r="E334" t="inlineStr">
        <is>
          <t>United States</t>
        </is>
      </c>
      <c r="F334" t="inlineStr">
        <is>
          <t>USA</t>
        </is>
      </c>
      <c r="G334" t="inlineStr">
        <is>
          <t>Eliquis</t>
        </is>
      </c>
      <c r="H334" t="inlineStr">
        <is>
          <t>Retail pharmacy</t>
        </is>
      </c>
      <c r="I334" t="inlineStr">
        <is>
          <t>Private insurer</t>
        </is>
      </c>
      <c r="J334" t="inlineStr">
        <is>
          <t>Omar Haddad</t>
        </is>
      </c>
      <c r="K334" s="70" t="n">
        <v>2309</v>
      </c>
      <c r="L334" s="71" t="n">
        <v>607.28</v>
      </c>
      <c r="M334" s="71" t="n">
        <v>1402209.52</v>
      </c>
      <c r="N334" s="71" t="n">
        <v>210331.43</v>
      </c>
      <c r="O334" s="71" t="n">
        <v>1191878.09</v>
      </c>
      <c r="P334" s="71" t="n">
        <v>178678.72</v>
      </c>
      <c r="Q334" s="71" t="n">
        <v>1013199.37</v>
      </c>
      <c r="R334" t="inlineStr">
        <is>
          <t>Cardiology</t>
        </is>
      </c>
      <c r="S334" s="70" t="n">
        <v>1941</v>
      </c>
      <c r="T334" s="71" t="n">
        <v>287262.76</v>
      </c>
      <c r="U334" t="inlineStr">
        <is>
          <t>High</t>
        </is>
      </c>
      <c r="V334">
        <f>IF(AND(OR(Dashboard!$C$6="All",E334=Dashboard!$C$6),OR(Dashboard!$F$6="All",G334=Dashboard!$F$6),OR(Dashboard!$I$6="All",H334=Dashboard!$I$6)),1,0)</f>
        <v/>
      </c>
    </row>
    <row r="335">
      <c r="A335" t="inlineStr">
        <is>
          <t>PF100326</t>
        </is>
      </c>
      <c r="B335" s="68" t="n">
        <v>45696</v>
      </c>
      <c r="C335" s="69" t="n">
        <v>2025</v>
      </c>
      <c r="D335" t="inlineStr">
        <is>
          <t>Feb</t>
        </is>
      </c>
      <c r="E335" t="inlineStr">
        <is>
          <t>United States</t>
        </is>
      </c>
      <c r="F335" t="inlineStr">
        <is>
          <t>USA</t>
        </is>
      </c>
      <c r="G335" t="inlineStr">
        <is>
          <t>Abrysvo</t>
        </is>
      </c>
      <c r="H335" t="inlineStr">
        <is>
          <t>Retail pharmacy</t>
        </is>
      </c>
      <c r="I335" t="inlineStr">
        <is>
          <t>Private insurer</t>
        </is>
      </c>
      <c r="J335" t="inlineStr">
        <is>
          <t>Lucas Martin</t>
        </is>
      </c>
      <c r="K335" s="70" t="n">
        <v>1332</v>
      </c>
      <c r="L335" s="71" t="n">
        <v>445.15</v>
      </c>
      <c r="M335" s="71" t="n">
        <v>592939.8</v>
      </c>
      <c r="N335" s="71" t="n">
        <v>88940.97</v>
      </c>
      <c r="O335" s="71" t="n">
        <v>503998.83</v>
      </c>
      <c r="P335" s="71" t="n">
        <v>110957.58</v>
      </c>
      <c r="Q335" s="71" t="n">
        <v>393041.25</v>
      </c>
      <c r="R335" t="inlineStr">
        <is>
          <t>Vaccines</t>
        </is>
      </c>
      <c r="S335" s="70" t="n">
        <v>1120</v>
      </c>
      <c r="T335" s="71" t="n">
        <v>92696.42999999999</v>
      </c>
      <c r="U335" t="inlineStr">
        <is>
          <t>Low</t>
        </is>
      </c>
      <c r="V335">
        <f>IF(AND(OR(Dashboard!$C$6="All",E335=Dashboard!$C$6),OR(Dashboard!$F$6="All",G335=Dashboard!$F$6),OR(Dashboard!$I$6="All",H335=Dashboard!$I$6)),1,0)</f>
        <v/>
      </c>
    </row>
    <row r="336">
      <c r="A336" t="inlineStr">
        <is>
          <t>PF100327</t>
        </is>
      </c>
      <c r="B336" s="68" t="n">
        <v>45696</v>
      </c>
      <c r="C336" s="69" t="n">
        <v>2025</v>
      </c>
      <c r="D336" t="inlineStr">
        <is>
          <t>Feb</t>
        </is>
      </c>
      <c r="E336" t="inlineStr">
        <is>
          <t>United States</t>
        </is>
      </c>
      <c r="F336" t="inlineStr">
        <is>
          <t>USA</t>
        </is>
      </c>
      <c r="G336" t="inlineStr">
        <is>
          <t>Prevnar 20</t>
        </is>
      </c>
      <c r="H336" t="inlineStr">
        <is>
          <t>Retail pharmacy</t>
        </is>
      </c>
      <c r="I336" t="inlineStr">
        <is>
          <t>Private insurer</t>
        </is>
      </c>
      <c r="J336" t="inlineStr">
        <is>
          <t>Liam O'Brien</t>
        </is>
      </c>
      <c r="K336" s="70" t="n">
        <v>2678</v>
      </c>
      <c r="L336" s="71" t="n">
        <v>348.37</v>
      </c>
      <c r="M336" s="71" t="n">
        <v>932934.86</v>
      </c>
      <c r="N336" s="71" t="n">
        <v>326527.2</v>
      </c>
      <c r="O336" s="71" t="n">
        <v>606407.66</v>
      </c>
      <c r="P336" s="71" t="n">
        <v>178118.14</v>
      </c>
      <c r="Q336" s="71" t="n">
        <v>428289.52</v>
      </c>
      <c r="R336" t="inlineStr">
        <is>
          <t>Vaccines</t>
        </is>
      </c>
      <c r="S336" s="70" t="n">
        <v>1962</v>
      </c>
      <c r="T336" s="71" t="n">
        <v>140096.79</v>
      </c>
      <c r="U336" t="inlineStr">
        <is>
          <t>Low</t>
        </is>
      </c>
      <c r="V336">
        <f>IF(AND(OR(Dashboard!$C$6="All",E336=Dashboard!$C$6),OR(Dashboard!$F$6="All",G336=Dashboard!$F$6),OR(Dashboard!$I$6="All",H336=Dashboard!$I$6)),1,0)</f>
        <v/>
      </c>
    </row>
    <row r="337">
      <c r="A337" t="inlineStr">
        <is>
          <t>PF100328</t>
        </is>
      </c>
      <c r="B337" s="68" t="n">
        <v>45696</v>
      </c>
      <c r="C337" s="69" t="n">
        <v>2025</v>
      </c>
      <c r="D337" t="inlineStr">
        <is>
          <t>Feb</t>
        </is>
      </c>
      <c r="E337" t="inlineStr">
        <is>
          <t>Emerging markets</t>
        </is>
      </c>
      <c r="F337" t="inlineStr">
        <is>
          <t>Mexico</t>
        </is>
      </c>
      <c r="G337" t="inlineStr">
        <is>
          <t>Ibrance</t>
        </is>
      </c>
      <c r="H337" t="inlineStr">
        <is>
          <t>Government / tender</t>
        </is>
      </c>
      <c r="I337" t="inlineStr">
        <is>
          <t>Public payer</t>
        </is>
      </c>
      <c r="J337" t="inlineStr">
        <is>
          <t>Kofi Mensah</t>
        </is>
      </c>
      <c r="K337" s="70" t="n">
        <v>122</v>
      </c>
      <c r="L337" s="71" t="n">
        <v>3165.42</v>
      </c>
      <c r="M337" s="71" t="n">
        <v>386181.24</v>
      </c>
      <c r="N337" s="71" t="n">
        <v>19309.06</v>
      </c>
      <c r="O337" s="71" t="n">
        <v>366872.18</v>
      </c>
      <c r="P337" s="71" t="n">
        <v>51254.94</v>
      </c>
      <c r="Q337" s="71" t="n">
        <v>315617.24</v>
      </c>
      <c r="R337" t="inlineStr">
        <is>
          <t>Oncology</t>
        </is>
      </c>
      <c r="S337" s="70" t="n">
        <v>122</v>
      </c>
      <c r="T337" s="71" t="n">
        <v>77549.28999999999</v>
      </c>
      <c r="U337" t="inlineStr">
        <is>
          <t>High</t>
        </is>
      </c>
      <c r="V337">
        <f>IF(AND(OR(Dashboard!$C$6="All",E337=Dashboard!$C$6),OR(Dashboard!$F$6="All",G337=Dashboard!$F$6),OR(Dashboard!$I$6="All",H337=Dashboard!$I$6)),1,0)</f>
        <v/>
      </c>
    </row>
    <row r="338">
      <c r="A338" t="inlineStr">
        <is>
          <t>PF100329</t>
        </is>
      </c>
      <c r="B338" s="68" t="n">
        <v>45696</v>
      </c>
      <c r="C338" s="69" t="n">
        <v>2025</v>
      </c>
      <c r="D338" t="inlineStr">
        <is>
          <t>Feb</t>
        </is>
      </c>
      <c r="E338" t="inlineStr">
        <is>
          <t>United States</t>
        </is>
      </c>
      <c r="F338" t="inlineStr">
        <is>
          <t>USA</t>
        </is>
      </c>
      <c r="G338" t="inlineStr">
        <is>
          <t>Comirnaty</t>
        </is>
      </c>
      <c r="H338" t="inlineStr">
        <is>
          <t>Retail pharmacy</t>
        </is>
      </c>
      <c r="I338" t="inlineStr">
        <is>
          <t>Private insurer</t>
        </is>
      </c>
      <c r="J338" t="inlineStr">
        <is>
          <t>Hiroshi Tanaka</t>
        </is>
      </c>
      <c r="K338" s="70" t="n">
        <v>342</v>
      </c>
      <c r="L338" s="71" t="n">
        <v>189.63</v>
      </c>
      <c r="M338" s="71" t="n">
        <v>64853.46</v>
      </c>
      <c r="N338" s="71" t="n">
        <v>9728.02</v>
      </c>
      <c r="O338" s="71" t="n">
        <v>55125.44</v>
      </c>
      <c r="P338" s="71" t="n">
        <v>12974.03</v>
      </c>
      <c r="Q338" s="71" t="n">
        <v>42151.41</v>
      </c>
      <c r="R338" t="inlineStr">
        <is>
          <t>Vaccines</t>
        </is>
      </c>
      <c r="S338" s="70" t="n">
        <v>256</v>
      </c>
      <c r="T338" s="71" t="n">
        <v>11115.07</v>
      </c>
      <c r="U338" t="inlineStr">
        <is>
          <t>Low</t>
        </is>
      </c>
      <c r="V338">
        <f>IF(AND(OR(Dashboard!$C$6="All",E338=Dashboard!$C$6),OR(Dashboard!$F$6="All",G338=Dashboard!$F$6),OR(Dashboard!$I$6="All",H338=Dashboard!$I$6)),1,0)</f>
        <v/>
      </c>
    </row>
    <row r="339">
      <c r="A339" t="inlineStr">
        <is>
          <t>PF100330</t>
        </is>
      </c>
      <c r="B339" s="68" t="n">
        <v>45696</v>
      </c>
      <c r="C339" s="69" t="n">
        <v>2025</v>
      </c>
      <c r="D339" t="inlineStr">
        <is>
          <t>Feb</t>
        </is>
      </c>
      <c r="E339" t="inlineStr">
        <is>
          <t>Europe</t>
        </is>
      </c>
      <c r="F339" t="inlineStr">
        <is>
          <t>UK</t>
        </is>
      </c>
      <c r="G339" t="inlineStr">
        <is>
          <t>Abrysvo</t>
        </is>
      </c>
      <c r="H339" t="inlineStr">
        <is>
          <t>Hospital</t>
        </is>
      </c>
      <c r="I339" t="inlineStr">
        <is>
          <t>Private insurer</t>
        </is>
      </c>
      <c r="J339" t="inlineStr">
        <is>
          <t>Hiroshi Tanaka</t>
        </is>
      </c>
      <c r="K339" s="70" t="n">
        <v>405</v>
      </c>
      <c r="L339" s="71" t="n">
        <v>267.59</v>
      </c>
      <c r="M339" s="71" t="n">
        <v>108373.95</v>
      </c>
      <c r="N339" s="71" t="n">
        <v>10837.4</v>
      </c>
      <c r="O339" s="71" t="n">
        <v>97536.55</v>
      </c>
      <c r="P339" s="71" t="n">
        <v>33287.01</v>
      </c>
      <c r="Q339" s="71" t="n">
        <v>64249.54</v>
      </c>
      <c r="R339" t="inlineStr">
        <is>
          <t>Vaccines</t>
        </is>
      </c>
      <c r="S339" s="70" t="n">
        <v>293</v>
      </c>
      <c r="T339" s="71" t="n">
        <v>14053.36</v>
      </c>
      <c r="U339" t="inlineStr">
        <is>
          <t>Low</t>
        </is>
      </c>
      <c r="V339">
        <f>IF(AND(OR(Dashboard!$C$6="All",E339=Dashboard!$C$6),OR(Dashboard!$F$6="All",G339=Dashboard!$F$6),OR(Dashboard!$I$6="All",H339=Dashboard!$I$6)),1,0)</f>
        <v/>
      </c>
    </row>
    <row r="340">
      <c r="A340" t="inlineStr">
        <is>
          <t>PF100331</t>
        </is>
      </c>
      <c r="B340" s="68" t="n">
        <v>45696</v>
      </c>
      <c r="C340" s="69" t="n">
        <v>2025</v>
      </c>
      <c r="D340" t="inlineStr">
        <is>
          <t>Feb</t>
        </is>
      </c>
      <c r="E340" t="inlineStr">
        <is>
          <t>United States</t>
        </is>
      </c>
      <c r="F340" t="inlineStr">
        <is>
          <t>USA</t>
        </is>
      </c>
      <c r="G340" t="inlineStr">
        <is>
          <t>Comirnaty</t>
        </is>
      </c>
      <c r="H340" t="inlineStr">
        <is>
          <t>Retail pharmacy</t>
        </is>
      </c>
      <c r="I340" t="inlineStr">
        <is>
          <t>Private insurer</t>
        </is>
      </c>
      <c r="J340" t="inlineStr">
        <is>
          <t>Hiroshi Tanaka</t>
        </is>
      </c>
      <c r="K340" s="70" t="n">
        <v>2389</v>
      </c>
      <c r="L340" s="71" t="n">
        <v>184.21</v>
      </c>
      <c r="M340" s="71" t="n">
        <v>440077.69</v>
      </c>
      <c r="N340" s="71" t="n">
        <v>110019.42</v>
      </c>
      <c r="O340" s="71" t="n">
        <v>330058.27</v>
      </c>
      <c r="P340" s="71" t="n">
        <v>93149.58</v>
      </c>
      <c r="Q340" s="71" t="n">
        <v>236908.69</v>
      </c>
      <c r="R340" t="inlineStr">
        <is>
          <t>Vaccines</t>
        </is>
      </c>
      <c r="S340" s="70" t="n">
        <v>2087</v>
      </c>
      <c r="T340" s="71" t="n">
        <v>58906.25</v>
      </c>
      <c r="U340" t="inlineStr">
        <is>
          <t>Low</t>
        </is>
      </c>
      <c r="V340">
        <f>IF(AND(OR(Dashboard!$C$6="All",E340=Dashboard!$C$6),OR(Dashboard!$F$6="All",G340=Dashboard!$F$6),OR(Dashboard!$I$6="All",H340=Dashboard!$I$6)),1,0)</f>
        <v/>
      </c>
    </row>
    <row r="341">
      <c r="A341" t="inlineStr">
        <is>
          <t>PF100332</t>
        </is>
      </c>
      <c r="B341" s="68" t="n">
        <v>45696</v>
      </c>
      <c r="C341" s="69" t="n">
        <v>2025</v>
      </c>
      <c r="D341" t="inlineStr">
        <is>
          <t>Feb</t>
        </is>
      </c>
      <c r="E341" t="inlineStr">
        <is>
          <t>United States</t>
        </is>
      </c>
      <c r="F341" t="inlineStr">
        <is>
          <t>USA</t>
        </is>
      </c>
      <c r="G341" t="inlineStr">
        <is>
          <t>Prevnar 20</t>
        </is>
      </c>
      <c r="H341" t="inlineStr">
        <is>
          <t>Hospital</t>
        </is>
      </c>
      <c r="I341" t="inlineStr">
        <is>
          <t>Private insurer</t>
        </is>
      </c>
      <c r="J341" t="inlineStr">
        <is>
          <t>Wei Chen</t>
        </is>
      </c>
      <c r="K341" s="70" t="n">
        <v>2139</v>
      </c>
      <c r="L341" s="71" t="n">
        <v>369.57</v>
      </c>
      <c r="M341" s="71" t="n">
        <v>790510.23</v>
      </c>
      <c r="N341" s="71" t="n">
        <v>158102.05</v>
      </c>
      <c r="O341" s="71" t="n">
        <v>632408.1800000001</v>
      </c>
      <c r="P341" s="71" t="n">
        <v>145844.82</v>
      </c>
      <c r="Q341" s="71" t="n">
        <v>486563.36</v>
      </c>
      <c r="R341" t="inlineStr">
        <is>
          <t>Vaccines</t>
        </is>
      </c>
      <c r="S341" s="70" t="n">
        <v>1424</v>
      </c>
      <c r="T341" s="71" t="n">
        <v>157518.61</v>
      </c>
      <c r="U341" t="inlineStr">
        <is>
          <t>Low</t>
        </is>
      </c>
      <c r="V341">
        <f>IF(AND(OR(Dashboard!$C$6="All",E341=Dashboard!$C$6),OR(Dashboard!$F$6="All",G341=Dashboard!$F$6),OR(Dashboard!$I$6="All",H341=Dashboard!$I$6)),1,0)</f>
        <v/>
      </c>
    </row>
    <row r="342">
      <c r="A342" t="inlineStr">
        <is>
          <t>PF100333</t>
        </is>
      </c>
      <c r="B342" s="68" t="n">
        <v>45696</v>
      </c>
      <c r="C342" s="69" t="n">
        <v>2025</v>
      </c>
      <c r="D342" t="inlineStr">
        <is>
          <t>Feb</t>
        </is>
      </c>
      <c r="E342" t="inlineStr">
        <is>
          <t>International developed</t>
        </is>
      </c>
      <c r="F342" t="inlineStr">
        <is>
          <t>Canada</t>
        </is>
      </c>
      <c r="G342" t="inlineStr">
        <is>
          <t>Eliquis</t>
        </is>
      </c>
      <c r="H342" t="inlineStr">
        <is>
          <t>Retail pharmacy</t>
        </is>
      </c>
      <c r="I342" t="inlineStr">
        <is>
          <t>Private insurer</t>
        </is>
      </c>
      <c r="J342" t="inlineStr">
        <is>
          <t>Omar Haddad</t>
        </is>
      </c>
      <c r="K342" s="70" t="n">
        <v>1900</v>
      </c>
      <c r="L342" s="71" t="n">
        <v>393.82</v>
      </c>
      <c r="M342" s="71" t="n">
        <v>748258</v>
      </c>
      <c r="N342" s="71" t="n">
        <v>112238.7</v>
      </c>
      <c r="O342" s="71" t="n">
        <v>636019.3</v>
      </c>
      <c r="P342" s="71" t="n">
        <v>141782.45</v>
      </c>
      <c r="Q342" s="71" t="n">
        <v>494236.85</v>
      </c>
      <c r="R342" t="inlineStr">
        <is>
          <t>Cardiology</t>
        </is>
      </c>
      <c r="S342" s="70" t="n">
        <v>1338</v>
      </c>
      <c r="T342" s="71" t="n">
        <v>143390.61</v>
      </c>
      <c r="U342" t="inlineStr">
        <is>
          <t>High</t>
        </is>
      </c>
      <c r="V342">
        <f>IF(AND(OR(Dashboard!$C$6="All",E342=Dashboard!$C$6),OR(Dashboard!$F$6="All",G342=Dashboard!$F$6),OR(Dashboard!$I$6="All",H342=Dashboard!$I$6)),1,0)</f>
        <v/>
      </c>
    </row>
    <row r="343">
      <c r="A343" t="inlineStr">
        <is>
          <t>PF100334</t>
        </is>
      </c>
      <c r="B343" s="68" t="n">
        <v>45697</v>
      </c>
      <c r="C343" s="69" t="n">
        <v>2025</v>
      </c>
      <c r="D343" t="inlineStr">
        <is>
          <t>Feb</t>
        </is>
      </c>
      <c r="E343" t="inlineStr">
        <is>
          <t>United States</t>
        </is>
      </c>
      <c r="F343" t="inlineStr">
        <is>
          <t>USA</t>
        </is>
      </c>
      <c r="G343" t="inlineStr">
        <is>
          <t>Vyndaqel</t>
        </is>
      </c>
      <c r="H343" t="inlineStr">
        <is>
          <t>Retail pharmacy</t>
        </is>
      </c>
      <c r="I343" t="inlineStr">
        <is>
          <t>Private insurer</t>
        </is>
      </c>
      <c r="J343" t="inlineStr">
        <is>
          <t>Shraddha Kulkarni</t>
        </is>
      </c>
      <c r="K343" s="70" t="n">
        <v>2578</v>
      </c>
      <c r="L343" s="71" t="n">
        <v>9009.92</v>
      </c>
      <c r="M343" s="71" t="n">
        <v>23227573.76</v>
      </c>
      <c r="N343" s="71" t="n">
        <v>6968272.13</v>
      </c>
      <c r="O343" s="71" t="n">
        <v>16259301.63</v>
      </c>
      <c r="P343" s="71" t="n">
        <v>1639784.76</v>
      </c>
      <c r="Q343" s="71" t="n">
        <v>14619516.87</v>
      </c>
      <c r="R343" t="inlineStr">
        <is>
          <t>Rare disease</t>
        </is>
      </c>
      <c r="S343" s="70" t="n">
        <v>1984</v>
      </c>
      <c r="T343" s="71" t="n">
        <v>4861371.3</v>
      </c>
      <c r="U343" t="inlineStr">
        <is>
          <t>Medium</t>
        </is>
      </c>
      <c r="V343">
        <f>IF(AND(OR(Dashboard!$C$6="All",E343=Dashboard!$C$6),OR(Dashboard!$F$6="All",G343=Dashboard!$F$6),OR(Dashboard!$I$6="All",H343=Dashboard!$I$6)),1,0)</f>
        <v/>
      </c>
    </row>
    <row r="344">
      <c r="A344" t="inlineStr">
        <is>
          <t>PF100335</t>
        </is>
      </c>
      <c r="B344" s="68" t="n">
        <v>45697</v>
      </c>
      <c r="C344" s="69" t="n">
        <v>2025</v>
      </c>
      <c r="D344" t="inlineStr">
        <is>
          <t>Feb</t>
        </is>
      </c>
      <c r="E344" t="inlineStr">
        <is>
          <t>Europe</t>
        </is>
      </c>
      <c r="F344" t="inlineStr">
        <is>
          <t>Italy</t>
        </is>
      </c>
      <c r="G344" t="inlineStr">
        <is>
          <t>Ibrance</t>
        </is>
      </c>
      <c r="H344" t="inlineStr">
        <is>
          <t>Government / tender</t>
        </is>
      </c>
      <c r="I344" t="inlineStr">
        <is>
          <t>Private insurer</t>
        </is>
      </c>
      <c r="J344" t="inlineStr">
        <is>
          <t>Zoya Ahmed</t>
        </is>
      </c>
      <c r="K344" s="70" t="n">
        <v>2182</v>
      </c>
      <c r="L344" s="71" t="n">
        <v>2653.69</v>
      </c>
      <c r="M344" s="71" t="n">
        <v>5790351.58</v>
      </c>
      <c r="N344" s="71" t="n">
        <v>579035.16</v>
      </c>
      <c r="O344" s="71" t="n">
        <v>5211316.42</v>
      </c>
      <c r="P344" s="71" t="n">
        <v>970224.9</v>
      </c>
      <c r="Q344" s="71" t="n">
        <v>4241091.52</v>
      </c>
      <c r="R344" t="inlineStr">
        <is>
          <t>Oncology</t>
        </is>
      </c>
      <c r="S344" s="70" t="n">
        <v>1767</v>
      </c>
      <c r="T344" s="71" t="n">
        <v>1144385.3</v>
      </c>
      <c r="U344" t="inlineStr">
        <is>
          <t>High</t>
        </is>
      </c>
      <c r="V344">
        <f>IF(AND(OR(Dashboard!$C$6="All",E344=Dashboard!$C$6),OR(Dashboard!$F$6="All",G344=Dashboard!$F$6),OR(Dashboard!$I$6="All",H344=Dashboard!$I$6)),1,0)</f>
        <v/>
      </c>
    </row>
    <row r="345">
      <c r="A345" t="inlineStr">
        <is>
          <t>PF100336</t>
        </is>
      </c>
      <c r="B345" s="68" t="n">
        <v>45697</v>
      </c>
      <c r="C345" s="69" t="n">
        <v>2025</v>
      </c>
      <c r="D345" t="inlineStr">
        <is>
          <t>Feb</t>
        </is>
      </c>
      <c r="E345" t="inlineStr">
        <is>
          <t>United States</t>
        </is>
      </c>
      <c r="F345" t="inlineStr">
        <is>
          <t>USA</t>
        </is>
      </c>
      <c r="G345" t="inlineStr">
        <is>
          <t>Prevnar 20</t>
        </is>
      </c>
      <c r="H345" t="inlineStr">
        <is>
          <t>Hospital</t>
        </is>
      </c>
      <c r="I345" t="inlineStr">
        <is>
          <t>Private insurer</t>
        </is>
      </c>
      <c r="J345" t="inlineStr">
        <is>
          <t>Ruhi Shaikh</t>
        </is>
      </c>
      <c r="K345" s="70" t="n">
        <v>210</v>
      </c>
      <c r="L345" s="71" t="n">
        <v>372.59</v>
      </c>
      <c r="M345" s="71" t="n">
        <v>78243.89999999999</v>
      </c>
      <c r="N345" s="71" t="n">
        <v>11736.59</v>
      </c>
      <c r="O345" s="71" t="n">
        <v>66507.31</v>
      </c>
      <c r="P345" s="71" t="n">
        <v>14940.87</v>
      </c>
      <c r="Q345" s="71" t="n">
        <v>51566.44</v>
      </c>
      <c r="R345" t="inlineStr">
        <is>
          <t>Vaccines</t>
        </is>
      </c>
      <c r="S345" s="70" t="n">
        <v>132</v>
      </c>
      <c r="T345" s="71" t="n">
        <v>9724.879999999999</v>
      </c>
      <c r="U345" t="inlineStr">
        <is>
          <t>Low</t>
        </is>
      </c>
      <c r="V345">
        <f>IF(AND(OR(Dashboard!$C$6="All",E345=Dashboard!$C$6),OR(Dashboard!$F$6="All",G345=Dashboard!$F$6),OR(Dashboard!$I$6="All",H345=Dashboard!$I$6)),1,0)</f>
        <v/>
      </c>
    </row>
    <row r="346">
      <c r="A346" t="inlineStr">
        <is>
          <t>PF100337</t>
        </is>
      </c>
      <c r="B346" s="68" t="n">
        <v>45697</v>
      </c>
      <c r="C346" s="69" t="n">
        <v>2025</v>
      </c>
      <c r="D346" t="inlineStr">
        <is>
          <t>Feb</t>
        </is>
      </c>
      <c r="E346" t="inlineStr">
        <is>
          <t>Emerging markets</t>
        </is>
      </c>
      <c r="F346" t="inlineStr">
        <is>
          <t>Brazil</t>
        </is>
      </c>
      <c r="G346" t="inlineStr">
        <is>
          <t>Prevnar 20</t>
        </is>
      </c>
      <c r="H346" t="inlineStr">
        <is>
          <t>Government / tender</t>
        </is>
      </c>
      <c r="I346" t="inlineStr">
        <is>
          <t>Private insurer</t>
        </is>
      </c>
      <c r="J346" t="inlineStr">
        <is>
          <t>Priya Nair</t>
        </is>
      </c>
      <c r="K346" s="70" t="n">
        <v>784</v>
      </c>
      <c r="L346" s="71" t="n">
        <v>237.47</v>
      </c>
      <c r="M346" s="71" t="n">
        <v>186176.48</v>
      </c>
      <c r="N346" s="71" t="n">
        <v>9308.82</v>
      </c>
      <c r="O346" s="71" t="n">
        <v>176867.66</v>
      </c>
      <c r="P346" s="71" t="n">
        <v>55596.88</v>
      </c>
      <c r="Q346" s="71" t="n">
        <v>121270.78</v>
      </c>
      <c r="R346" t="inlineStr">
        <is>
          <t>Vaccines</t>
        </is>
      </c>
      <c r="S346" s="70" t="n">
        <v>654</v>
      </c>
      <c r="T346" s="71" t="n">
        <v>23183.37</v>
      </c>
      <c r="U346" t="inlineStr">
        <is>
          <t>Low</t>
        </is>
      </c>
      <c r="V346">
        <f>IF(AND(OR(Dashboard!$C$6="All",E346=Dashboard!$C$6),OR(Dashboard!$F$6="All",G346=Dashboard!$F$6),OR(Dashboard!$I$6="All",H346=Dashboard!$I$6)),1,0)</f>
        <v/>
      </c>
    </row>
    <row r="347">
      <c r="A347" t="inlineStr">
        <is>
          <t>PF100338</t>
        </is>
      </c>
      <c r="B347" s="68" t="n">
        <v>45697</v>
      </c>
      <c r="C347" s="69" t="n">
        <v>2025</v>
      </c>
      <c r="D347" t="inlineStr">
        <is>
          <t>Feb</t>
        </is>
      </c>
      <c r="E347" t="inlineStr">
        <is>
          <t>United States</t>
        </is>
      </c>
      <c r="F347" t="inlineStr">
        <is>
          <t>USA</t>
        </is>
      </c>
      <c r="G347" t="inlineStr">
        <is>
          <t>Vyndaqel</t>
        </is>
      </c>
      <c r="H347" t="inlineStr">
        <is>
          <t>Retail pharmacy</t>
        </is>
      </c>
      <c r="I347" t="inlineStr">
        <is>
          <t>Private insurer</t>
        </is>
      </c>
      <c r="J347" t="inlineStr">
        <is>
          <t>Shraddha Kulkarni</t>
        </is>
      </c>
      <c r="K347" s="70" t="n">
        <v>2699</v>
      </c>
      <c r="L347" s="71" t="n">
        <v>7835.17</v>
      </c>
      <c r="M347" s="71" t="n">
        <v>21147123.83</v>
      </c>
      <c r="N347" s="71" t="n">
        <v>5286780.96</v>
      </c>
      <c r="O347" s="71" t="n">
        <v>15860342.87</v>
      </c>
      <c r="P347" s="71" t="n">
        <v>1646258.78</v>
      </c>
      <c r="Q347" s="71" t="n">
        <v>14214084.09</v>
      </c>
      <c r="R347" t="inlineStr">
        <is>
          <t>Rare disease</t>
        </is>
      </c>
      <c r="S347" s="70" t="n">
        <v>1813</v>
      </c>
      <c r="T347" s="71" t="n">
        <v>4533824.12</v>
      </c>
      <c r="U347" t="inlineStr">
        <is>
          <t>Medium</t>
        </is>
      </c>
      <c r="V347">
        <f>IF(AND(OR(Dashboard!$C$6="All",E347=Dashboard!$C$6),OR(Dashboard!$F$6="All",G347=Dashboard!$F$6),OR(Dashboard!$I$6="All",H347=Dashboard!$I$6)),1,0)</f>
        <v/>
      </c>
    </row>
    <row r="348">
      <c r="A348" t="inlineStr">
        <is>
          <t>PF100339</t>
        </is>
      </c>
      <c r="B348" s="68" t="n">
        <v>45697</v>
      </c>
      <c r="C348" s="69" t="n">
        <v>2025</v>
      </c>
      <c r="D348" t="inlineStr">
        <is>
          <t>Feb</t>
        </is>
      </c>
      <c r="E348" t="inlineStr">
        <is>
          <t>United States</t>
        </is>
      </c>
      <c r="F348" t="inlineStr">
        <is>
          <t>USA</t>
        </is>
      </c>
      <c r="G348" t="inlineStr">
        <is>
          <t>Prevnar 20</t>
        </is>
      </c>
      <c r="H348" t="inlineStr">
        <is>
          <t>Government / tender</t>
        </is>
      </c>
      <c r="I348" t="inlineStr">
        <is>
          <t>Public payer</t>
        </is>
      </c>
      <c r="J348" t="inlineStr">
        <is>
          <t>Noah Smith</t>
        </is>
      </c>
      <c r="K348" s="70" t="n">
        <v>712</v>
      </c>
      <c r="L348" s="71" t="n">
        <v>387.49</v>
      </c>
      <c r="M348" s="71" t="n">
        <v>275892.88</v>
      </c>
      <c r="N348" s="71" t="n">
        <v>55178.58</v>
      </c>
      <c r="O348" s="71" t="n">
        <v>220714.3</v>
      </c>
      <c r="P348" s="71" t="n">
        <v>50890.63</v>
      </c>
      <c r="Q348" s="71" t="n">
        <v>169823.67</v>
      </c>
      <c r="R348" t="inlineStr">
        <is>
          <t>Vaccines</t>
        </is>
      </c>
      <c r="S348" s="70" t="n">
        <v>452</v>
      </c>
      <c r="T348" s="71" t="n">
        <v>40132.8</v>
      </c>
      <c r="U348" t="inlineStr">
        <is>
          <t>Low</t>
        </is>
      </c>
      <c r="V348">
        <f>IF(AND(OR(Dashboard!$C$6="All",E348=Dashboard!$C$6),OR(Dashboard!$F$6="All",G348=Dashboard!$F$6),OR(Dashboard!$I$6="All",H348=Dashboard!$I$6)),1,0)</f>
        <v/>
      </c>
    </row>
    <row r="349">
      <c r="A349" t="inlineStr">
        <is>
          <t>PF100340</t>
        </is>
      </c>
      <c r="B349" s="68" t="n">
        <v>45697</v>
      </c>
      <c r="C349" s="69" t="n">
        <v>2025</v>
      </c>
      <c r="D349" t="inlineStr">
        <is>
          <t>Feb</t>
        </is>
      </c>
      <c r="E349" t="inlineStr">
        <is>
          <t>Emerging markets</t>
        </is>
      </c>
      <c r="F349" t="inlineStr">
        <is>
          <t>India</t>
        </is>
      </c>
      <c r="G349" t="inlineStr">
        <is>
          <t>Eliquis</t>
        </is>
      </c>
      <c r="H349" t="inlineStr">
        <is>
          <t>Hospital</t>
        </is>
      </c>
      <c r="I349" t="inlineStr">
        <is>
          <t>Public payer</t>
        </is>
      </c>
      <c r="J349" t="inlineStr">
        <is>
          <t>Olivia Brown</t>
        </is>
      </c>
      <c r="K349" s="70" t="n">
        <v>2025</v>
      </c>
      <c r="L349" s="71" t="n">
        <v>385.86</v>
      </c>
      <c r="M349" s="71" t="n">
        <v>781366.5</v>
      </c>
      <c r="N349" s="71" t="n">
        <v>156273.3</v>
      </c>
      <c r="O349" s="71" t="n">
        <v>625093.2</v>
      </c>
      <c r="P349" s="71" t="n">
        <v>149813.66</v>
      </c>
      <c r="Q349" s="71" t="n">
        <v>475279.54</v>
      </c>
      <c r="R349" t="inlineStr">
        <is>
          <t>Cardiology</t>
        </is>
      </c>
      <c r="S349" s="70" t="n">
        <v>1280</v>
      </c>
      <c r="T349" s="71" t="n">
        <v>99366.64</v>
      </c>
      <c r="U349" t="inlineStr">
        <is>
          <t>High</t>
        </is>
      </c>
      <c r="V349">
        <f>IF(AND(OR(Dashboard!$C$6="All",E349=Dashboard!$C$6),OR(Dashboard!$F$6="All",G349=Dashboard!$F$6),OR(Dashboard!$I$6="All",H349=Dashboard!$I$6)),1,0)</f>
        <v/>
      </c>
    </row>
    <row r="350">
      <c r="A350" t="inlineStr">
        <is>
          <t>PF100341</t>
        </is>
      </c>
      <c r="B350" s="68" t="n">
        <v>45698</v>
      </c>
      <c r="C350" s="69" t="n">
        <v>2025</v>
      </c>
      <c r="D350" t="inlineStr">
        <is>
          <t>Feb</t>
        </is>
      </c>
      <c r="E350" t="inlineStr">
        <is>
          <t>Europe</t>
        </is>
      </c>
      <c r="F350" t="inlineStr">
        <is>
          <t>UK</t>
        </is>
      </c>
      <c r="G350" t="inlineStr">
        <is>
          <t>Eliquis</t>
        </is>
      </c>
      <c r="H350" t="inlineStr">
        <is>
          <t>Retail pharmacy</t>
        </is>
      </c>
      <c r="I350" t="inlineStr">
        <is>
          <t>Private insurer</t>
        </is>
      </c>
      <c r="J350" t="inlineStr">
        <is>
          <t>Omar Haddad</t>
        </is>
      </c>
      <c r="K350" s="70" t="n">
        <v>703</v>
      </c>
      <c r="L350" s="71" t="n">
        <v>388.09</v>
      </c>
      <c r="M350" s="71" t="n">
        <v>272827.27</v>
      </c>
      <c r="N350" s="71" t="n">
        <v>13641.36</v>
      </c>
      <c r="O350" s="71" t="n">
        <v>259185.91</v>
      </c>
      <c r="P350" s="71" t="n">
        <v>52849.57</v>
      </c>
      <c r="Q350" s="71" t="n">
        <v>206336.34</v>
      </c>
      <c r="R350" t="inlineStr">
        <is>
          <t>Cardiology</t>
        </is>
      </c>
      <c r="S350" s="70" t="n">
        <v>447</v>
      </c>
      <c r="T350" s="71" t="n">
        <v>37250.73</v>
      </c>
      <c r="U350" t="inlineStr">
        <is>
          <t>High</t>
        </is>
      </c>
      <c r="V350">
        <f>IF(AND(OR(Dashboard!$C$6="All",E350=Dashboard!$C$6),OR(Dashboard!$F$6="All",G350=Dashboard!$F$6),OR(Dashboard!$I$6="All",H350=Dashboard!$I$6)),1,0)</f>
        <v/>
      </c>
    </row>
    <row r="351">
      <c r="A351" t="inlineStr">
        <is>
          <t>PF100342</t>
        </is>
      </c>
      <c r="B351" s="68" t="n">
        <v>45698</v>
      </c>
      <c r="C351" s="69" t="n">
        <v>2025</v>
      </c>
      <c r="D351" t="inlineStr">
        <is>
          <t>Feb</t>
        </is>
      </c>
      <c r="E351" t="inlineStr">
        <is>
          <t>Emerging markets</t>
        </is>
      </c>
      <c r="F351" t="inlineStr">
        <is>
          <t>Mexico</t>
        </is>
      </c>
      <c r="G351" t="inlineStr">
        <is>
          <t>Eliquis</t>
        </is>
      </c>
      <c r="H351" t="inlineStr">
        <is>
          <t>Hospital</t>
        </is>
      </c>
      <c r="I351" t="inlineStr">
        <is>
          <t>Private insurer</t>
        </is>
      </c>
      <c r="J351" t="inlineStr">
        <is>
          <t>Fatima Al-Saud</t>
        </is>
      </c>
      <c r="K351" s="70" t="n">
        <v>719</v>
      </c>
      <c r="L351" s="71" t="n">
        <v>414.71</v>
      </c>
      <c r="M351" s="71" t="n">
        <v>298176.49</v>
      </c>
      <c r="N351" s="71" t="n">
        <v>59635.3</v>
      </c>
      <c r="O351" s="71" t="n">
        <v>238541.19</v>
      </c>
      <c r="P351" s="71" t="n">
        <v>52593.76</v>
      </c>
      <c r="Q351" s="71" t="n">
        <v>185947.43</v>
      </c>
      <c r="R351" t="inlineStr">
        <is>
          <t>Cardiology</t>
        </is>
      </c>
      <c r="S351" s="70" t="n">
        <v>479</v>
      </c>
      <c r="T351" s="71" t="n">
        <v>64815.58</v>
      </c>
      <c r="U351" t="inlineStr">
        <is>
          <t>High</t>
        </is>
      </c>
      <c r="V351">
        <f>IF(AND(OR(Dashboard!$C$6="All",E351=Dashboard!$C$6),OR(Dashboard!$F$6="All",G351=Dashboard!$F$6),OR(Dashboard!$I$6="All",H351=Dashboard!$I$6)),1,0)</f>
        <v/>
      </c>
    </row>
    <row r="352">
      <c r="A352" t="inlineStr">
        <is>
          <t>PF100343</t>
        </is>
      </c>
      <c r="B352" s="68" t="n">
        <v>45698</v>
      </c>
      <c r="C352" s="69" t="n">
        <v>2025</v>
      </c>
      <c r="D352" t="inlineStr">
        <is>
          <t>Feb</t>
        </is>
      </c>
      <c r="E352" t="inlineStr">
        <is>
          <t>United States</t>
        </is>
      </c>
      <c r="F352" t="inlineStr">
        <is>
          <t>USA</t>
        </is>
      </c>
      <c r="G352" t="inlineStr">
        <is>
          <t>Vyndaqel</t>
        </is>
      </c>
      <c r="H352" t="inlineStr">
        <is>
          <t>Government / tender</t>
        </is>
      </c>
      <c r="I352" t="inlineStr">
        <is>
          <t>Private insurer</t>
        </is>
      </c>
      <c r="J352" t="inlineStr">
        <is>
          <t>Zoya Ahmed</t>
        </is>
      </c>
      <c r="K352" s="70" t="n">
        <v>1075</v>
      </c>
      <c r="L352" s="71" t="n">
        <v>8674.75</v>
      </c>
      <c r="M352" s="71" t="n">
        <v>9325356.25</v>
      </c>
      <c r="N352" s="71" t="n">
        <v>3263874.69</v>
      </c>
      <c r="O352" s="71" t="n">
        <v>6061481.56</v>
      </c>
      <c r="P352" s="71" t="n">
        <v>654854.87</v>
      </c>
      <c r="Q352" s="71" t="n">
        <v>5406626.69</v>
      </c>
      <c r="R352" t="inlineStr">
        <is>
          <t>Rare disease</t>
        </is>
      </c>
      <c r="S352" s="70" t="n">
        <v>982</v>
      </c>
      <c r="T352" s="71" t="n">
        <v>1308593.5</v>
      </c>
      <c r="U352" t="inlineStr">
        <is>
          <t>Medium</t>
        </is>
      </c>
      <c r="V352">
        <f>IF(AND(OR(Dashboard!$C$6="All",E352=Dashboard!$C$6),OR(Dashboard!$F$6="All",G352=Dashboard!$F$6),OR(Dashboard!$I$6="All",H352=Dashboard!$I$6)),1,0)</f>
        <v/>
      </c>
    </row>
    <row r="353">
      <c r="A353" t="inlineStr">
        <is>
          <t>PF100344</t>
        </is>
      </c>
      <c r="B353" s="68" t="n">
        <v>45698</v>
      </c>
      <c r="C353" s="69" t="n">
        <v>2025</v>
      </c>
      <c r="D353" t="inlineStr">
        <is>
          <t>Feb</t>
        </is>
      </c>
      <c r="E353" t="inlineStr">
        <is>
          <t>United States</t>
        </is>
      </c>
      <c r="F353" t="inlineStr">
        <is>
          <t>USA</t>
        </is>
      </c>
      <c r="G353" t="inlineStr">
        <is>
          <t>Abrysvo</t>
        </is>
      </c>
      <c r="H353" t="inlineStr">
        <is>
          <t>Hospital</t>
        </is>
      </c>
      <c r="I353" t="inlineStr">
        <is>
          <t>Public payer</t>
        </is>
      </c>
      <c r="J353" t="inlineStr">
        <is>
          <t>Amir Khan</t>
        </is>
      </c>
      <c r="K353" s="70" t="n">
        <v>1728</v>
      </c>
      <c r="L353" s="71" t="n">
        <v>440.62</v>
      </c>
      <c r="M353" s="71" t="n">
        <v>761391.36</v>
      </c>
      <c r="N353" s="71" t="n">
        <v>152278.27</v>
      </c>
      <c r="O353" s="71" t="n">
        <v>609113.09</v>
      </c>
      <c r="P353" s="71" t="n">
        <v>145149.06</v>
      </c>
      <c r="Q353" s="71" t="n">
        <v>463964.03</v>
      </c>
      <c r="R353" t="inlineStr">
        <is>
          <t>Vaccines</t>
        </is>
      </c>
      <c r="S353" s="70" t="n">
        <v>1085</v>
      </c>
      <c r="T353" s="71" t="n">
        <v>108429.4</v>
      </c>
      <c r="U353" t="inlineStr">
        <is>
          <t>Low</t>
        </is>
      </c>
      <c r="V353">
        <f>IF(AND(OR(Dashboard!$C$6="All",E353=Dashboard!$C$6),OR(Dashboard!$F$6="All",G353=Dashboard!$F$6),OR(Dashboard!$I$6="All",H353=Dashboard!$I$6)),1,0)</f>
        <v/>
      </c>
    </row>
    <row r="354">
      <c r="A354" t="inlineStr">
        <is>
          <t>PF100345</t>
        </is>
      </c>
      <c r="B354" s="68" t="n">
        <v>45698</v>
      </c>
      <c r="C354" s="69" t="n">
        <v>2025</v>
      </c>
      <c r="D354" t="inlineStr">
        <is>
          <t>Feb</t>
        </is>
      </c>
      <c r="E354" t="inlineStr">
        <is>
          <t>United States</t>
        </is>
      </c>
      <c r="F354" t="inlineStr">
        <is>
          <t>USA</t>
        </is>
      </c>
      <c r="G354" t="inlineStr">
        <is>
          <t>Paxlovid</t>
        </is>
      </c>
      <c r="H354" t="inlineStr">
        <is>
          <t>Hospital</t>
        </is>
      </c>
      <c r="I354" t="inlineStr">
        <is>
          <t>Public payer</t>
        </is>
      </c>
      <c r="J354" t="inlineStr">
        <is>
          <t>Aisha Bello</t>
        </is>
      </c>
      <c r="K354" s="70" t="n">
        <v>73</v>
      </c>
      <c r="L354" s="71" t="n">
        <v>1894.3</v>
      </c>
      <c r="M354" s="71" t="n">
        <v>138283.9</v>
      </c>
      <c r="N354" s="71" t="n">
        <v>48399.36</v>
      </c>
      <c r="O354" s="71" t="n">
        <v>89884.53999999999</v>
      </c>
      <c r="P354" s="71" t="n">
        <v>19666.23</v>
      </c>
      <c r="Q354" s="71" t="n">
        <v>70218.31</v>
      </c>
      <c r="R354" t="inlineStr">
        <is>
          <t>Antiviral</t>
        </is>
      </c>
      <c r="S354" s="70" t="n">
        <v>72</v>
      </c>
      <c r="T354" s="71" t="n">
        <v>18391.6</v>
      </c>
      <c r="U354" t="inlineStr">
        <is>
          <t>Low</t>
        </is>
      </c>
      <c r="V354">
        <f>IF(AND(OR(Dashboard!$C$6="All",E354=Dashboard!$C$6),OR(Dashboard!$F$6="All",G354=Dashboard!$F$6),OR(Dashboard!$I$6="All",H354=Dashboard!$I$6)),1,0)</f>
        <v/>
      </c>
    </row>
    <row r="355">
      <c r="A355" t="inlineStr">
        <is>
          <t>PF100346</t>
        </is>
      </c>
      <c r="B355" s="68" t="n">
        <v>45698</v>
      </c>
      <c r="C355" s="69" t="n">
        <v>2025</v>
      </c>
      <c r="D355" t="inlineStr">
        <is>
          <t>Feb</t>
        </is>
      </c>
      <c r="E355" t="inlineStr">
        <is>
          <t>Europe</t>
        </is>
      </c>
      <c r="F355" t="inlineStr">
        <is>
          <t>Spain</t>
        </is>
      </c>
      <c r="G355" t="inlineStr">
        <is>
          <t>Comirnaty</t>
        </is>
      </c>
      <c r="H355" t="inlineStr">
        <is>
          <t>Retail pharmacy</t>
        </is>
      </c>
      <c r="I355" t="inlineStr">
        <is>
          <t>Private insurer</t>
        </is>
      </c>
      <c r="J355" t="inlineStr">
        <is>
          <t>Hiroshi Tanaka</t>
        </is>
      </c>
      <c r="K355" s="70" t="n">
        <v>2011</v>
      </c>
      <c r="L355" s="71" t="n">
        <v>104.67</v>
      </c>
      <c r="M355" s="71" t="n">
        <v>210491.37</v>
      </c>
      <c r="N355" s="71" t="n">
        <v>42098.27</v>
      </c>
      <c r="O355" s="71" t="n">
        <v>168393.1</v>
      </c>
      <c r="P355" s="71" t="n">
        <v>74438.27</v>
      </c>
      <c r="Q355" s="71" t="n">
        <v>93954.83</v>
      </c>
      <c r="R355" t="inlineStr">
        <is>
          <t>Vaccines</t>
        </is>
      </c>
      <c r="S355" s="70" t="n">
        <v>1365</v>
      </c>
      <c r="T355" s="71" t="n">
        <v>30978.28</v>
      </c>
      <c r="U355" t="inlineStr">
        <is>
          <t>Low</t>
        </is>
      </c>
      <c r="V355">
        <f>IF(AND(OR(Dashboard!$C$6="All",E355=Dashboard!$C$6),OR(Dashboard!$F$6="All",G355=Dashboard!$F$6),OR(Dashboard!$I$6="All",H355=Dashboard!$I$6)),1,0)</f>
        <v/>
      </c>
    </row>
    <row r="356">
      <c r="A356" t="inlineStr">
        <is>
          <t>PF100347</t>
        </is>
      </c>
      <c r="B356" s="68" t="n">
        <v>45698</v>
      </c>
      <c r="C356" s="69" t="n">
        <v>2025</v>
      </c>
      <c r="D356" t="inlineStr">
        <is>
          <t>Feb</t>
        </is>
      </c>
      <c r="E356" t="inlineStr">
        <is>
          <t>United States</t>
        </is>
      </c>
      <c r="F356" t="inlineStr">
        <is>
          <t>USA</t>
        </is>
      </c>
      <c r="G356" t="inlineStr">
        <is>
          <t>Eliquis</t>
        </is>
      </c>
      <c r="H356" t="inlineStr">
        <is>
          <t>Government / tender</t>
        </is>
      </c>
      <c r="I356" t="inlineStr">
        <is>
          <t>Public payer</t>
        </is>
      </c>
      <c r="J356" t="inlineStr">
        <is>
          <t>Kofi Mensah</t>
        </is>
      </c>
      <c r="K356" s="70" t="n">
        <v>887</v>
      </c>
      <c r="L356" s="71" t="n">
        <v>657.14</v>
      </c>
      <c r="M356" s="71" t="n">
        <v>582883.1800000001</v>
      </c>
      <c r="N356" s="71" t="n">
        <v>116576.64</v>
      </c>
      <c r="O356" s="71" t="n">
        <v>466306.54</v>
      </c>
      <c r="P356" s="71" t="n">
        <v>66449.2</v>
      </c>
      <c r="Q356" s="71" t="n">
        <v>399857.34</v>
      </c>
      <c r="R356" t="inlineStr">
        <is>
          <t>Cardiology</t>
        </is>
      </c>
      <c r="S356" s="70" t="n">
        <v>603</v>
      </c>
      <c r="T356" s="71" t="n">
        <v>81175.60000000001</v>
      </c>
      <c r="U356" t="inlineStr">
        <is>
          <t>High</t>
        </is>
      </c>
      <c r="V356">
        <f>IF(AND(OR(Dashboard!$C$6="All",E356=Dashboard!$C$6),OR(Dashboard!$F$6="All",G356=Dashboard!$F$6),OR(Dashboard!$I$6="All",H356=Dashboard!$I$6)),1,0)</f>
        <v/>
      </c>
    </row>
    <row r="357">
      <c r="A357" t="inlineStr">
        <is>
          <t>PF100348</t>
        </is>
      </c>
      <c r="B357" s="68" t="n">
        <v>45698</v>
      </c>
      <c r="C357" s="69" t="n">
        <v>2025</v>
      </c>
      <c r="D357" t="inlineStr">
        <is>
          <t>Feb</t>
        </is>
      </c>
      <c r="E357" t="inlineStr">
        <is>
          <t>Europe</t>
        </is>
      </c>
      <c r="F357" t="inlineStr">
        <is>
          <t>France</t>
        </is>
      </c>
      <c r="G357" t="inlineStr">
        <is>
          <t>Abrysvo</t>
        </is>
      </c>
      <c r="H357" t="inlineStr">
        <is>
          <t>Government / tender</t>
        </is>
      </c>
      <c r="I357" t="inlineStr">
        <is>
          <t>Public payer</t>
        </is>
      </c>
      <c r="J357" t="inlineStr">
        <is>
          <t>Omar Haddad</t>
        </is>
      </c>
      <c r="K357" s="70" t="n">
        <v>1037</v>
      </c>
      <c r="L357" s="71" t="n">
        <v>292.31</v>
      </c>
      <c r="M357" s="71" t="n">
        <v>303125.47</v>
      </c>
      <c r="N357" s="71" t="n">
        <v>45468.82</v>
      </c>
      <c r="O357" s="71" t="n">
        <v>257656.65</v>
      </c>
      <c r="P357" s="71" t="n">
        <v>86404.53999999999</v>
      </c>
      <c r="Q357" s="71" t="n">
        <v>171252.11</v>
      </c>
      <c r="R357" t="inlineStr">
        <is>
          <t>Vaccines</t>
        </is>
      </c>
      <c r="S357" s="70" t="n">
        <v>931</v>
      </c>
      <c r="T357" s="71" t="n">
        <v>46796.06</v>
      </c>
      <c r="U357" t="inlineStr">
        <is>
          <t>Low</t>
        </is>
      </c>
      <c r="V357">
        <f>IF(AND(OR(Dashboard!$C$6="All",E357=Dashboard!$C$6),OR(Dashboard!$F$6="All",G357=Dashboard!$F$6),OR(Dashboard!$I$6="All",H357=Dashboard!$I$6)),1,0)</f>
        <v/>
      </c>
    </row>
    <row r="358">
      <c r="A358" t="inlineStr">
        <is>
          <t>PF100349</t>
        </is>
      </c>
      <c r="B358" s="68" t="n">
        <v>45698</v>
      </c>
      <c r="C358" s="69" t="n">
        <v>2025</v>
      </c>
      <c r="D358" t="inlineStr">
        <is>
          <t>Feb</t>
        </is>
      </c>
      <c r="E358" t="inlineStr">
        <is>
          <t>United States</t>
        </is>
      </c>
      <c r="F358" t="inlineStr">
        <is>
          <t>USA</t>
        </is>
      </c>
      <c r="G358" t="inlineStr">
        <is>
          <t>Ibrance</t>
        </is>
      </c>
      <c r="H358" t="inlineStr">
        <is>
          <t>Hospital</t>
        </is>
      </c>
      <c r="I358" t="inlineStr">
        <is>
          <t>Private insurer</t>
        </is>
      </c>
      <c r="J358" t="inlineStr">
        <is>
          <t>Fatima Al-Saud</t>
        </is>
      </c>
      <c r="K358" s="70" t="n">
        <v>1336</v>
      </c>
      <c r="L358" s="71" t="n">
        <v>4233.54</v>
      </c>
      <c r="M358" s="71" t="n">
        <v>5656009.44</v>
      </c>
      <c r="N358" s="71" t="n">
        <v>1414002.36</v>
      </c>
      <c r="O358" s="71" t="n">
        <v>4242007.08</v>
      </c>
      <c r="P358" s="71" t="n">
        <v>594770.4300000001</v>
      </c>
      <c r="Q358" s="71" t="n">
        <v>3647236.65</v>
      </c>
      <c r="R358" t="inlineStr">
        <is>
          <t>Oncology</t>
        </is>
      </c>
      <c r="S358" s="70" t="n">
        <v>1022</v>
      </c>
      <c r="T358" s="71" t="n">
        <v>880806.9</v>
      </c>
      <c r="U358" t="inlineStr">
        <is>
          <t>High</t>
        </is>
      </c>
      <c r="V358">
        <f>IF(AND(OR(Dashboard!$C$6="All",E358=Dashboard!$C$6),OR(Dashboard!$F$6="All",G358=Dashboard!$F$6),OR(Dashboard!$I$6="All",H358=Dashboard!$I$6)),1,0)</f>
        <v/>
      </c>
    </row>
    <row r="359">
      <c r="A359" t="inlineStr">
        <is>
          <t>PF100350</t>
        </is>
      </c>
      <c r="B359" s="68" t="n">
        <v>45699</v>
      </c>
      <c r="C359" s="69" t="n">
        <v>2025</v>
      </c>
      <c r="D359" t="inlineStr">
        <is>
          <t>Feb</t>
        </is>
      </c>
      <c r="E359" t="inlineStr">
        <is>
          <t>International developed</t>
        </is>
      </c>
      <c r="F359" t="inlineStr">
        <is>
          <t>Canada</t>
        </is>
      </c>
      <c r="G359" t="inlineStr">
        <is>
          <t>Eliquis</t>
        </is>
      </c>
      <c r="H359" t="inlineStr">
        <is>
          <t>Government / tender</t>
        </is>
      </c>
      <c r="I359" t="inlineStr">
        <is>
          <t>Public payer</t>
        </is>
      </c>
      <c r="J359" t="inlineStr">
        <is>
          <t>Amir Khan</t>
        </is>
      </c>
      <c r="K359" s="70" t="n">
        <v>972</v>
      </c>
      <c r="L359" s="71" t="n">
        <v>426.07</v>
      </c>
      <c r="M359" s="71" t="n">
        <v>414140.04</v>
      </c>
      <c r="N359" s="71" t="n">
        <v>20707</v>
      </c>
      <c r="O359" s="71" t="n">
        <v>393433.04</v>
      </c>
      <c r="P359" s="71" t="n">
        <v>72053</v>
      </c>
      <c r="Q359" s="71" t="n">
        <v>321380.04</v>
      </c>
      <c r="R359" t="inlineStr">
        <is>
          <t>Cardiology</t>
        </is>
      </c>
      <c r="S359" s="70" t="n">
        <v>896</v>
      </c>
      <c r="T359" s="71" t="n">
        <v>85004.89999999999</v>
      </c>
      <c r="U359" t="inlineStr">
        <is>
          <t>High</t>
        </is>
      </c>
      <c r="V359">
        <f>IF(AND(OR(Dashboard!$C$6="All",E359=Dashboard!$C$6),OR(Dashboard!$F$6="All",G359=Dashboard!$F$6),OR(Dashboard!$I$6="All",H359=Dashboard!$I$6)),1,0)</f>
        <v/>
      </c>
    </row>
    <row r="360">
      <c r="A360" t="inlineStr">
        <is>
          <t>PF100351</t>
        </is>
      </c>
      <c r="B360" s="68" t="n">
        <v>45699</v>
      </c>
      <c r="C360" s="69" t="n">
        <v>2025</v>
      </c>
      <c r="D360" t="inlineStr">
        <is>
          <t>Feb</t>
        </is>
      </c>
      <c r="E360" t="inlineStr">
        <is>
          <t>International developed</t>
        </is>
      </c>
      <c r="F360" t="inlineStr">
        <is>
          <t>Japan</t>
        </is>
      </c>
      <c r="G360" t="inlineStr">
        <is>
          <t>Vyndaqel</t>
        </is>
      </c>
      <c r="H360" t="inlineStr">
        <is>
          <t>Retail pharmacy</t>
        </is>
      </c>
      <c r="I360" t="inlineStr">
        <is>
          <t>Public payer</t>
        </is>
      </c>
      <c r="J360" t="inlineStr">
        <is>
          <t>Lucas Martin</t>
        </is>
      </c>
      <c r="K360" s="70" t="n">
        <v>1564</v>
      </c>
      <c r="L360" s="71" t="n">
        <v>4975.74</v>
      </c>
      <c r="M360" s="71" t="n">
        <v>7782057.36</v>
      </c>
      <c r="N360" s="71" t="n">
        <v>778205.74</v>
      </c>
      <c r="O360" s="71" t="n">
        <v>7003851.62</v>
      </c>
      <c r="P360" s="71" t="n">
        <v>972033.65</v>
      </c>
      <c r="Q360" s="71" t="n">
        <v>6031817.97</v>
      </c>
      <c r="R360" t="inlineStr">
        <is>
          <t>Rare disease</t>
        </is>
      </c>
      <c r="S360" s="70" t="n">
        <v>1207</v>
      </c>
      <c r="T360" s="71" t="n">
        <v>1563264.43</v>
      </c>
      <c r="U360" t="inlineStr">
        <is>
          <t>Medium</t>
        </is>
      </c>
      <c r="V360">
        <f>IF(AND(OR(Dashboard!$C$6="All",E360=Dashboard!$C$6),OR(Dashboard!$F$6="All",G360=Dashboard!$F$6),OR(Dashboard!$I$6="All",H360=Dashboard!$I$6)),1,0)</f>
        <v/>
      </c>
    </row>
    <row r="361">
      <c r="A361" t="inlineStr">
        <is>
          <t>PF100352</t>
        </is>
      </c>
      <c r="B361" s="68" t="n">
        <v>45699</v>
      </c>
      <c r="C361" s="69" t="n">
        <v>2025</v>
      </c>
      <c r="D361" t="inlineStr">
        <is>
          <t>Feb</t>
        </is>
      </c>
      <c r="E361" t="inlineStr">
        <is>
          <t>United States</t>
        </is>
      </c>
      <c r="F361" t="inlineStr">
        <is>
          <t>USA</t>
        </is>
      </c>
      <c r="G361" t="inlineStr">
        <is>
          <t>Comirnaty</t>
        </is>
      </c>
      <c r="H361" t="inlineStr">
        <is>
          <t>Retail pharmacy</t>
        </is>
      </c>
      <c r="I361" t="inlineStr">
        <is>
          <t>Self-pay</t>
        </is>
      </c>
      <c r="J361" t="inlineStr">
        <is>
          <t>Carlos Silva</t>
        </is>
      </c>
      <c r="K361" s="70" t="n">
        <v>2466</v>
      </c>
      <c r="L361" s="71" t="n">
        <v>184.46</v>
      </c>
      <c r="M361" s="71" t="n">
        <v>454878.36</v>
      </c>
      <c r="N361" s="71" t="n">
        <v>159207.43</v>
      </c>
      <c r="O361" s="71" t="n">
        <v>295670.93</v>
      </c>
      <c r="P361" s="71" t="n">
        <v>91923.33</v>
      </c>
      <c r="Q361" s="71" t="n">
        <v>203747.6</v>
      </c>
      <c r="R361" t="inlineStr">
        <is>
          <t>Vaccines</t>
        </is>
      </c>
      <c r="S361" s="70" t="n">
        <v>2244</v>
      </c>
      <c r="T361" s="71" t="n">
        <v>99431.03999999999</v>
      </c>
      <c r="U361" t="inlineStr">
        <is>
          <t>Low</t>
        </is>
      </c>
      <c r="V361">
        <f>IF(AND(OR(Dashboard!$C$6="All",E361=Dashboard!$C$6),OR(Dashboard!$F$6="All",G361=Dashboard!$F$6),OR(Dashboard!$I$6="All",H361=Dashboard!$I$6)),1,0)</f>
        <v/>
      </c>
    </row>
    <row r="362">
      <c r="A362" t="inlineStr">
        <is>
          <t>PF100353</t>
        </is>
      </c>
      <c r="B362" s="68" t="n">
        <v>45699</v>
      </c>
      <c r="C362" s="69" t="n">
        <v>2025</v>
      </c>
      <c r="D362" t="inlineStr">
        <is>
          <t>Feb</t>
        </is>
      </c>
      <c r="E362" t="inlineStr">
        <is>
          <t>Europe</t>
        </is>
      </c>
      <c r="F362" t="inlineStr">
        <is>
          <t>Spain</t>
        </is>
      </c>
      <c r="G362" t="inlineStr">
        <is>
          <t>Comirnaty</t>
        </is>
      </c>
      <c r="H362" t="inlineStr">
        <is>
          <t>Hospital</t>
        </is>
      </c>
      <c r="I362" t="inlineStr">
        <is>
          <t>Public payer</t>
        </is>
      </c>
      <c r="J362" t="inlineStr">
        <is>
          <t>Noah Smith</t>
        </is>
      </c>
      <c r="K362" s="70" t="n">
        <v>1246</v>
      </c>
      <c r="L362" s="71" t="n">
        <v>102.9</v>
      </c>
      <c r="M362" s="71" t="n">
        <v>128213.4</v>
      </c>
      <c r="N362" s="71" t="n">
        <v>25642.68</v>
      </c>
      <c r="O362" s="71" t="n">
        <v>102570.72</v>
      </c>
      <c r="P362" s="71" t="n">
        <v>49404.88</v>
      </c>
      <c r="Q362" s="71" t="n">
        <v>53165.84</v>
      </c>
      <c r="R362" t="inlineStr">
        <is>
          <t>Vaccines</t>
        </is>
      </c>
      <c r="S362" s="70" t="n">
        <v>916</v>
      </c>
      <c r="T362" s="71" t="n">
        <v>23156.57</v>
      </c>
      <c r="U362" t="inlineStr">
        <is>
          <t>Low</t>
        </is>
      </c>
      <c r="V362">
        <f>IF(AND(OR(Dashboard!$C$6="All",E362=Dashboard!$C$6),OR(Dashboard!$F$6="All",G362=Dashboard!$F$6),OR(Dashboard!$I$6="All",H362=Dashboard!$I$6)),1,0)</f>
        <v/>
      </c>
    </row>
    <row r="363">
      <c r="A363" t="inlineStr">
        <is>
          <t>PF100354</t>
        </is>
      </c>
      <c r="B363" s="68" t="n">
        <v>45699</v>
      </c>
      <c r="C363" s="69" t="n">
        <v>2025</v>
      </c>
      <c r="D363" t="inlineStr">
        <is>
          <t>Feb</t>
        </is>
      </c>
      <c r="E363" t="inlineStr">
        <is>
          <t>Emerging markets</t>
        </is>
      </c>
      <c r="F363" t="inlineStr">
        <is>
          <t>India</t>
        </is>
      </c>
      <c r="G363" t="inlineStr">
        <is>
          <t>Comirnaty</t>
        </is>
      </c>
      <c r="H363" t="inlineStr">
        <is>
          <t>Government / tender</t>
        </is>
      </c>
      <c r="I363" t="inlineStr">
        <is>
          <t>Self-pay</t>
        </is>
      </c>
      <c r="J363" t="inlineStr">
        <is>
          <t>Arjun Mehta</t>
        </is>
      </c>
      <c r="K363" s="70" t="n">
        <v>2636</v>
      </c>
      <c r="L363" s="71" t="n">
        <v>117.56</v>
      </c>
      <c r="M363" s="71" t="n">
        <v>309888.16</v>
      </c>
      <c r="N363" s="71" t="n">
        <v>61977.63</v>
      </c>
      <c r="O363" s="71" t="n">
        <v>247910.53</v>
      </c>
      <c r="P363" s="71" t="n">
        <v>97637.73</v>
      </c>
      <c r="Q363" s="71" t="n">
        <v>150272.8</v>
      </c>
      <c r="R363" t="inlineStr">
        <is>
          <t>Vaccines</t>
        </is>
      </c>
      <c r="S363" s="70" t="n">
        <v>2191</v>
      </c>
      <c r="T363" s="71" t="n">
        <v>44292.34</v>
      </c>
      <c r="U363" t="inlineStr">
        <is>
          <t>Low</t>
        </is>
      </c>
      <c r="V363">
        <f>IF(AND(OR(Dashboard!$C$6="All",E363=Dashboard!$C$6),OR(Dashboard!$F$6="All",G363=Dashboard!$F$6),OR(Dashboard!$I$6="All",H363=Dashboard!$I$6)),1,0)</f>
        <v/>
      </c>
    </row>
    <row r="364">
      <c r="A364" t="inlineStr">
        <is>
          <t>PF100355</t>
        </is>
      </c>
      <c r="B364" s="68" t="n">
        <v>45699</v>
      </c>
      <c r="C364" s="69" t="n">
        <v>2025</v>
      </c>
      <c r="D364" t="inlineStr">
        <is>
          <t>Feb</t>
        </is>
      </c>
      <c r="E364" t="inlineStr">
        <is>
          <t>International developed</t>
        </is>
      </c>
      <c r="F364" t="inlineStr">
        <is>
          <t>Japan</t>
        </is>
      </c>
      <c r="G364" t="inlineStr">
        <is>
          <t>Ibrance</t>
        </is>
      </c>
      <c r="H364" t="inlineStr">
        <is>
          <t>Hospital</t>
        </is>
      </c>
      <c r="I364" t="inlineStr">
        <is>
          <t>Private insurer</t>
        </is>
      </c>
      <c r="J364" t="inlineStr">
        <is>
          <t>Omar Haddad</t>
        </is>
      </c>
      <c r="K364" s="70" t="n">
        <v>2520</v>
      </c>
      <c r="L364" s="71" t="n">
        <v>2975.77</v>
      </c>
      <c r="M364" s="71" t="n">
        <v>7498940.4</v>
      </c>
      <c r="N364" s="71" t="n">
        <v>749894.04</v>
      </c>
      <c r="O364" s="71" t="n">
        <v>6749046.36</v>
      </c>
      <c r="P364" s="71" t="n">
        <v>1064994.45</v>
      </c>
      <c r="Q364" s="71" t="n">
        <v>5684051.91</v>
      </c>
      <c r="R364" t="inlineStr">
        <is>
          <t>Oncology</t>
        </is>
      </c>
      <c r="S364" s="70" t="n">
        <v>1600</v>
      </c>
      <c r="T364" s="71" t="n">
        <v>1512632.52</v>
      </c>
      <c r="U364" t="inlineStr">
        <is>
          <t>High</t>
        </is>
      </c>
      <c r="V364">
        <f>IF(AND(OR(Dashboard!$C$6="All",E364=Dashboard!$C$6),OR(Dashboard!$F$6="All",G364=Dashboard!$F$6),OR(Dashboard!$I$6="All",H364=Dashboard!$I$6)),1,0)</f>
        <v/>
      </c>
    </row>
    <row r="365">
      <c r="A365" t="inlineStr">
        <is>
          <t>PF100356</t>
        </is>
      </c>
      <c r="B365" s="68" t="n">
        <v>45699</v>
      </c>
      <c r="C365" s="69" t="n">
        <v>2025</v>
      </c>
      <c r="D365" t="inlineStr">
        <is>
          <t>Feb</t>
        </is>
      </c>
      <c r="E365" t="inlineStr">
        <is>
          <t>United States</t>
        </is>
      </c>
      <c r="F365" t="inlineStr">
        <is>
          <t>USA</t>
        </is>
      </c>
      <c r="G365" t="inlineStr">
        <is>
          <t>Abrysvo</t>
        </is>
      </c>
      <c r="H365" t="inlineStr">
        <is>
          <t>Government / tender</t>
        </is>
      </c>
      <c r="I365" t="inlineStr">
        <is>
          <t>Private insurer</t>
        </is>
      </c>
      <c r="J365" t="inlineStr">
        <is>
          <t>Hiroshi Tanaka</t>
        </is>
      </c>
      <c r="K365" s="70" t="n">
        <v>2540</v>
      </c>
      <c r="L365" s="71" t="n">
        <v>446.94</v>
      </c>
      <c r="M365" s="71" t="n">
        <v>1135227.6</v>
      </c>
      <c r="N365" s="71" t="n">
        <v>227045.52</v>
      </c>
      <c r="O365" s="71" t="n">
        <v>908182.08</v>
      </c>
      <c r="P365" s="71" t="n">
        <v>215193.07</v>
      </c>
      <c r="Q365" s="71" t="n">
        <v>692989.01</v>
      </c>
      <c r="R365" t="inlineStr">
        <is>
          <t>Vaccines</t>
        </is>
      </c>
      <c r="S365" s="70" t="n">
        <v>2404</v>
      </c>
      <c r="T365" s="71" t="n">
        <v>206454.26</v>
      </c>
      <c r="U365" t="inlineStr">
        <is>
          <t>Low</t>
        </is>
      </c>
      <c r="V365">
        <f>IF(AND(OR(Dashboard!$C$6="All",E365=Dashboard!$C$6),OR(Dashboard!$F$6="All",G365=Dashboard!$F$6),OR(Dashboard!$I$6="All",H365=Dashboard!$I$6)),1,0)</f>
        <v/>
      </c>
    </row>
    <row r="366">
      <c r="A366" t="inlineStr">
        <is>
          <t>PF100357</t>
        </is>
      </c>
      <c r="B366" s="68" t="n">
        <v>45699</v>
      </c>
      <c r="C366" s="69" t="n">
        <v>2025</v>
      </c>
      <c r="D366" t="inlineStr">
        <is>
          <t>Feb</t>
        </is>
      </c>
      <c r="E366" t="inlineStr">
        <is>
          <t>United States</t>
        </is>
      </c>
      <c r="F366" t="inlineStr">
        <is>
          <t>USA</t>
        </is>
      </c>
      <c r="G366" t="inlineStr">
        <is>
          <t>Comirnaty</t>
        </is>
      </c>
      <c r="H366" t="inlineStr">
        <is>
          <t>Government / tender</t>
        </is>
      </c>
      <c r="I366" t="inlineStr">
        <is>
          <t>Public payer</t>
        </is>
      </c>
      <c r="J366" t="inlineStr">
        <is>
          <t>Ravindra Patil</t>
        </is>
      </c>
      <c r="K366" s="70" t="n">
        <v>528</v>
      </c>
      <c r="L366" s="71" t="n">
        <v>183.63</v>
      </c>
      <c r="M366" s="71" t="n">
        <v>96956.64</v>
      </c>
      <c r="N366" s="71" t="n">
        <v>24239.16</v>
      </c>
      <c r="O366" s="71" t="n">
        <v>72717.48</v>
      </c>
      <c r="P366" s="71" t="n">
        <v>21041.37</v>
      </c>
      <c r="Q366" s="71" t="n">
        <v>51676.11</v>
      </c>
      <c r="R366" t="inlineStr">
        <is>
          <t>Vaccines</t>
        </is>
      </c>
      <c r="S366" s="70" t="n">
        <v>347</v>
      </c>
      <c r="T366" s="71" t="n">
        <v>20974.13</v>
      </c>
      <c r="U366" t="inlineStr">
        <is>
          <t>Low</t>
        </is>
      </c>
      <c r="V366">
        <f>IF(AND(OR(Dashboard!$C$6="All",E366=Dashboard!$C$6),OR(Dashboard!$F$6="All",G366=Dashboard!$F$6),OR(Dashboard!$I$6="All",H366=Dashboard!$I$6)),1,0)</f>
        <v/>
      </c>
    </row>
    <row r="367">
      <c r="A367" t="inlineStr">
        <is>
          <t>PF100358</t>
        </is>
      </c>
      <c r="B367" s="68" t="n">
        <v>45700</v>
      </c>
      <c r="C367" s="69" t="n">
        <v>2025</v>
      </c>
      <c r="D367" t="inlineStr">
        <is>
          <t>Feb</t>
        </is>
      </c>
      <c r="E367" t="inlineStr">
        <is>
          <t>Europe</t>
        </is>
      </c>
      <c r="F367" t="inlineStr">
        <is>
          <t>Germany</t>
        </is>
      </c>
      <c r="G367" t="inlineStr">
        <is>
          <t>Vyndaqel</t>
        </is>
      </c>
      <c r="H367" t="inlineStr">
        <is>
          <t>Hospital</t>
        </is>
      </c>
      <c r="I367" t="inlineStr">
        <is>
          <t>Self-pay</t>
        </is>
      </c>
      <c r="J367" t="inlineStr">
        <is>
          <t>Noah Smith</t>
        </is>
      </c>
      <c r="K367" s="70" t="n">
        <v>892</v>
      </c>
      <c r="L367" s="71" t="n">
        <v>5550.74</v>
      </c>
      <c r="M367" s="71" t="n">
        <v>4951260.08</v>
      </c>
      <c r="N367" s="71" t="n">
        <v>495126.01</v>
      </c>
      <c r="O367" s="71" t="n">
        <v>4456134.07</v>
      </c>
      <c r="P367" s="71" t="n">
        <v>537324.83</v>
      </c>
      <c r="Q367" s="71" t="n">
        <v>3918809.24</v>
      </c>
      <c r="R367" t="inlineStr">
        <is>
          <t>Rare disease</t>
        </is>
      </c>
      <c r="S367" s="70" t="n">
        <v>842</v>
      </c>
      <c r="T367" s="71" t="n">
        <v>936277.9300000001</v>
      </c>
      <c r="U367" t="inlineStr">
        <is>
          <t>Medium</t>
        </is>
      </c>
      <c r="V367">
        <f>IF(AND(OR(Dashboard!$C$6="All",E367=Dashboard!$C$6),OR(Dashboard!$F$6="All",G367=Dashboard!$F$6),OR(Dashboard!$I$6="All",H367=Dashboard!$I$6)),1,0)</f>
        <v/>
      </c>
    </row>
    <row r="368">
      <c r="A368" t="inlineStr">
        <is>
          <t>PF100359</t>
        </is>
      </c>
      <c r="B368" s="68" t="n">
        <v>45700</v>
      </c>
      <c r="C368" s="69" t="n">
        <v>2025</v>
      </c>
      <c r="D368" t="inlineStr">
        <is>
          <t>Feb</t>
        </is>
      </c>
      <c r="E368" t="inlineStr">
        <is>
          <t>United States</t>
        </is>
      </c>
      <c r="F368" t="inlineStr">
        <is>
          <t>USA</t>
        </is>
      </c>
      <c r="G368" t="inlineStr">
        <is>
          <t>Vyndaqel</t>
        </is>
      </c>
      <c r="H368" t="inlineStr">
        <is>
          <t>Hospital</t>
        </is>
      </c>
      <c r="I368" t="inlineStr">
        <is>
          <t>Private insurer</t>
        </is>
      </c>
      <c r="J368" t="inlineStr">
        <is>
          <t>Ravindra Patil</t>
        </is>
      </c>
      <c r="K368" s="70" t="n">
        <v>1192</v>
      </c>
      <c r="L368" s="71" t="n">
        <v>8066.82</v>
      </c>
      <c r="M368" s="71" t="n">
        <v>9615649.439999999</v>
      </c>
      <c r="N368" s="71" t="n">
        <v>2884694.83</v>
      </c>
      <c r="O368" s="71" t="n">
        <v>6730954.61</v>
      </c>
      <c r="P368" s="71" t="n">
        <v>751828.74</v>
      </c>
      <c r="Q368" s="71" t="n">
        <v>5979125.87</v>
      </c>
      <c r="R368" t="inlineStr">
        <is>
          <t>Rare disease</t>
        </is>
      </c>
      <c r="S368" s="70" t="n">
        <v>830</v>
      </c>
      <c r="T368" s="71" t="n">
        <v>1184661.68</v>
      </c>
      <c r="U368" t="inlineStr">
        <is>
          <t>Medium</t>
        </is>
      </c>
      <c r="V368">
        <f>IF(AND(OR(Dashboard!$C$6="All",E368=Dashboard!$C$6),OR(Dashboard!$F$6="All",G368=Dashboard!$F$6),OR(Dashboard!$I$6="All",H368=Dashboard!$I$6)),1,0)</f>
        <v/>
      </c>
    </row>
    <row r="369">
      <c r="A369" t="inlineStr">
        <is>
          <t>PF100360</t>
        </is>
      </c>
      <c r="B369" s="68" t="n">
        <v>45700</v>
      </c>
      <c r="C369" s="69" t="n">
        <v>2025</v>
      </c>
      <c r="D369" t="inlineStr">
        <is>
          <t>Feb</t>
        </is>
      </c>
      <c r="E369" t="inlineStr">
        <is>
          <t>Emerging markets</t>
        </is>
      </c>
      <c r="F369" t="inlineStr">
        <is>
          <t>Mexico</t>
        </is>
      </c>
      <c r="G369" t="inlineStr">
        <is>
          <t>Xeljanz</t>
        </is>
      </c>
      <c r="H369" t="inlineStr">
        <is>
          <t>Retail pharmacy</t>
        </is>
      </c>
      <c r="I369" t="inlineStr">
        <is>
          <t>Private insurer</t>
        </is>
      </c>
      <c r="J369" t="inlineStr">
        <is>
          <t>Yuki Sato</t>
        </is>
      </c>
      <c r="K369" s="70" t="n">
        <v>1001</v>
      </c>
      <c r="L369" s="71" t="n">
        <v>1477.97</v>
      </c>
      <c r="M369" s="71" t="n">
        <v>1479447.97</v>
      </c>
      <c r="N369" s="71" t="n">
        <v>73972.39999999999</v>
      </c>
      <c r="O369" s="71" t="n">
        <v>1405475.57</v>
      </c>
      <c r="P369" s="71" t="n">
        <v>243366.52</v>
      </c>
      <c r="Q369" s="71" t="n">
        <v>1162109.05</v>
      </c>
      <c r="R369" t="inlineStr">
        <is>
          <t>Inflammation</t>
        </is>
      </c>
      <c r="S369" s="70" t="n">
        <v>793</v>
      </c>
      <c r="T369" s="71" t="n">
        <v>232525.77</v>
      </c>
      <c r="U369" t="inlineStr">
        <is>
          <t>High</t>
        </is>
      </c>
      <c r="V369">
        <f>IF(AND(OR(Dashboard!$C$6="All",E369=Dashboard!$C$6),OR(Dashboard!$F$6="All",G369=Dashboard!$F$6),OR(Dashboard!$I$6="All",H369=Dashboard!$I$6)),1,0)</f>
        <v/>
      </c>
    </row>
    <row r="370">
      <c r="A370" t="inlineStr">
        <is>
          <t>PF100361</t>
        </is>
      </c>
      <c r="B370" s="68" t="n">
        <v>45700</v>
      </c>
      <c r="C370" s="69" t="n">
        <v>2025</v>
      </c>
      <c r="D370" t="inlineStr">
        <is>
          <t>Feb</t>
        </is>
      </c>
      <c r="E370" t="inlineStr">
        <is>
          <t>United States</t>
        </is>
      </c>
      <c r="F370" t="inlineStr">
        <is>
          <t>USA</t>
        </is>
      </c>
      <c r="G370" t="inlineStr">
        <is>
          <t>Eliquis</t>
        </is>
      </c>
      <c r="H370" t="inlineStr">
        <is>
          <t>Retail pharmacy</t>
        </is>
      </c>
      <c r="I370" t="inlineStr">
        <is>
          <t>Private insurer</t>
        </is>
      </c>
      <c r="J370" t="inlineStr">
        <is>
          <t>Amir Khan</t>
        </is>
      </c>
      <c r="K370" s="70" t="n">
        <v>266</v>
      </c>
      <c r="L370" s="71" t="n">
        <v>735.89</v>
      </c>
      <c r="M370" s="71" t="n">
        <v>195746.74</v>
      </c>
      <c r="N370" s="71" t="n">
        <v>29362.01</v>
      </c>
      <c r="O370" s="71" t="n">
        <v>166384.73</v>
      </c>
      <c r="P370" s="71" t="n">
        <v>19412.57</v>
      </c>
      <c r="Q370" s="71" t="n">
        <v>146972.16</v>
      </c>
      <c r="R370" t="inlineStr">
        <is>
          <t>Cardiology</t>
        </is>
      </c>
      <c r="S370" s="70" t="n">
        <v>173</v>
      </c>
      <c r="T370" s="71" t="n">
        <v>30286.63</v>
      </c>
      <c r="U370" t="inlineStr">
        <is>
          <t>High</t>
        </is>
      </c>
      <c r="V370">
        <f>IF(AND(OR(Dashboard!$C$6="All",E370=Dashboard!$C$6),OR(Dashboard!$F$6="All",G370=Dashboard!$F$6),OR(Dashboard!$I$6="All",H370=Dashboard!$I$6)),1,0)</f>
        <v/>
      </c>
    </row>
    <row r="371">
      <c r="A371" t="inlineStr">
        <is>
          <t>PF100362</t>
        </is>
      </c>
      <c r="B371" s="68" t="n">
        <v>45700</v>
      </c>
      <c r="C371" s="69" t="n">
        <v>2025</v>
      </c>
      <c r="D371" t="inlineStr">
        <is>
          <t>Feb</t>
        </is>
      </c>
      <c r="E371" t="inlineStr">
        <is>
          <t>International developed</t>
        </is>
      </c>
      <c r="F371" t="inlineStr">
        <is>
          <t>Japan</t>
        </is>
      </c>
      <c r="G371" t="inlineStr">
        <is>
          <t>Prevnar 20</t>
        </is>
      </c>
      <c r="H371" t="inlineStr">
        <is>
          <t>Hospital</t>
        </is>
      </c>
      <c r="I371" t="inlineStr">
        <is>
          <t>Private insurer</t>
        </is>
      </c>
      <c r="J371" t="inlineStr">
        <is>
          <t>Omar Haddad</t>
        </is>
      </c>
      <c r="K371" s="70" t="n">
        <v>657</v>
      </c>
      <c r="L371" s="71" t="n">
        <v>239.8</v>
      </c>
      <c r="M371" s="71" t="n">
        <v>157548.6</v>
      </c>
      <c r="N371" s="71" t="n">
        <v>15754.86</v>
      </c>
      <c r="O371" s="71" t="n">
        <v>141793.74</v>
      </c>
      <c r="P371" s="71" t="n">
        <v>45108.8</v>
      </c>
      <c r="Q371" s="71" t="n">
        <v>96684.94</v>
      </c>
      <c r="R371" t="inlineStr">
        <is>
          <t>Vaccines</t>
        </is>
      </c>
      <c r="S371" s="70" t="n">
        <v>512</v>
      </c>
      <c r="T371" s="71" t="n">
        <v>25229.56</v>
      </c>
      <c r="U371" t="inlineStr">
        <is>
          <t>Low</t>
        </is>
      </c>
      <c r="V371">
        <f>IF(AND(OR(Dashboard!$C$6="All",E371=Dashboard!$C$6),OR(Dashboard!$F$6="All",G371=Dashboard!$F$6),OR(Dashboard!$I$6="All",H371=Dashboard!$I$6)),1,0)</f>
        <v/>
      </c>
    </row>
    <row r="372">
      <c r="A372" t="inlineStr">
        <is>
          <t>PF100363</t>
        </is>
      </c>
      <c r="B372" s="68" t="n">
        <v>45700</v>
      </c>
      <c r="C372" s="69" t="n">
        <v>2025</v>
      </c>
      <c r="D372" t="inlineStr">
        <is>
          <t>Feb</t>
        </is>
      </c>
      <c r="E372" t="inlineStr">
        <is>
          <t>Emerging markets</t>
        </is>
      </c>
      <c r="F372" t="inlineStr">
        <is>
          <t>Brazil</t>
        </is>
      </c>
      <c r="G372" t="inlineStr">
        <is>
          <t>Comirnaty</t>
        </is>
      </c>
      <c r="H372" t="inlineStr">
        <is>
          <t>Retail pharmacy</t>
        </is>
      </c>
      <c r="I372" t="inlineStr">
        <is>
          <t>Self-pay</t>
        </is>
      </c>
      <c r="J372" t="inlineStr">
        <is>
          <t>Amir Khan</t>
        </is>
      </c>
      <c r="K372" s="70" t="n">
        <v>1654</v>
      </c>
      <c r="L372" s="71" t="n">
        <v>99.23999999999999</v>
      </c>
      <c r="M372" s="71" t="n">
        <v>164142.96</v>
      </c>
      <c r="N372" s="71" t="n">
        <v>8207.15</v>
      </c>
      <c r="O372" s="71" t="n">
        <v>155935.81</v>
      </c>
      <c r="P372" s="71" t="n">
        <v>64881.85</v>
      </c>
      <c r="Q372" s="71" t="n">
        <v>91053.96000000001</v>
      </c>
      <c r="R372" t="inlineStr">
        <is>
          <t>Vaccines</t>
        </is>
      </c>
      <c r="S372" s="70" t="n">
        <v>1301</v>
      </c>
      <c r="T372" s="71" t="n">
        <v>20951.57</v>
      </c>
      <c r="U372" t="inlineStr">
        <is>
          <t>Low</t>
        </is>
      </c>
      <c r="V372">
        <f>IF(AND(OR(Dashboard!$C$6="All",E372=Dashboard!$C$6),OR(Dashboard!$F$6="All",G372=Dashboard!$F$6),OR(Dashboard!$I$6="All",H372=Dashboard!$I$6)),1,0)</f>
        <v/>
      </c>
    </row>
    <row r="373">
      <c r="A373" t="inlineStr">
        <is>
          <t>PF100364</t>
        </is>
      </c>
      <c r="B373" s="68" t="n">
        <v>45700</v>
      </c>
      <c r="C373" s="69" t="n">
        <v>2025</v>
      </c>
      <c r="D373" t="inlineStr">
        <is>
          <t>Feb</t>
        </is>
      </c>
      <c r="E373" t="inlineStr">
        <is>
          <t>International developed</t>
        </is>
      </c>
      <c r="F373" t="inlineStr">
        <is>
          <t>Japan</t>
        </is>
      </c>
      <c r="G373" t="inlineStr">
        <is>
          <t>Abrysvo</t>
        </is>
      </c>
      <c r="H373" t="inlineStr">
        <is>
          <t>Retail pharmacy</t>
        </is>
      </c>
      <c r="I373" t="inlineStr">
        <is>
          <t>Private insurer</t>
        </is>
      </c>
      <c r="J373" t="inlineStr">
        <is>
          <t>Kofi Mensah</t>
        </is>
      </c>
      <c r="K373" s="70" t="n">
        <v>1009</v>
      </c>
      <c r="L373" s="71" t="n">
        <v>281.81</v>
      </c>
      <c r="M373" s="71" t="n">
        <v>284346.29</v>
      </c>
      <c r="N373" s="71" t="n">
        <v>28434.63</v>
      </c>
      <c r="O373" s="71" t="n">
        <v>255911.66</v>
      </c>
      <c r="P373" s="71" t="n">
        <v>87874.19</v>
      </c>
      <c r="Q373" s="71" t="n">
        <v>168037.47</v>
      </c>
      <c r="R373" t="inlineStr">
        <is>
          <t>Vaccines</t>
        </is>
      </c>
      <c r="S373" s="70" t="n">
        <v>632</v>
      </c>
      <c r="T373" s="71" t="n">
        <v>57853.29</v>
      </c>
      <c r="U373" t="inlineStr">
        <is>
          <t>Low</t>
        </is>
      </c>
      <c r="V373">
        <f>IF(AND(OR(Dashboard!$C$6="All",E373=Dashboard!$C$6),OR(Dashboard!$F$6="All",G373=Dashboard!$F$6),OR(Dashboard!$I$6="All",H373=Dashboard!$I$6)),1,0)</f>
        <v/>
      </c>
    </row>
    <row r="374">
      <c r="A374" t="inlineStr">
        <is>
          <t>PF100365</t>
        </is>
      </c>
      <c r="B374" s="68" t="n">
        <v>45700</v>
      </c>
      <c r="C374" s="69" t="n">
        <v>2025</v>
      </c>
      <c r="D374" t="inlineStr">
        <is>
          <t>Feb</t>
        </is>
      </c>
      <c r="E374" t="inlineStr">
        <is>
          <t>Emerging markets</t>
        </is>
      </c>
      <c r="F374" t="inlineStr">
        <is>
          <t>Brazil</t>
        </is>
      </c>
      <c r="G374" t="inlineStr">
        <is>
          <t>Prevnar 20</t>
        </is>
      </c>
      <c r="H374" t="inlineStr">
        <is>
          <t>Retail pharmacy</t>
        </is>
      </c>
      <c r="I374" t="inlineStr">
        <is>
          <t>Public payer</t>
        </is>
      </c>
      <c r="J374" t="inlineStr">
        <is>
          <t>Noah Smith</t>
        </is>
      </c>
      <c r="K374" s="70" t="n">
        <v>2074</v>
      </c>
      <c r="L374" s="71" t="n">
        <v>211.24</v>
      </c>
      <c r="M374" s="71" t="n">
        <v>438111.76</v>
      </c>
      <c r="N374" s="71" t="n">
        <v>87622.35000000001</v>
      </c>
      <c r="O374" s="71" t="n">
        <v>350489.41</v>
      </c>
      <c r="P374" s="71" t="n">
        <v>141789.17</v>
      </c>
      <c r="Q374" s="71" t="n">
        <v>208700.24</v>
      </c>
      <c r="R374" t="inlineStr">
        <is>
          <t>Vaccines</t>
        </is>
      </c>
      <c r="S374" s="70" t="n">
        <v>1836</v>
      </c>
      <c r="T374" s="71" t="n">
        <v>53557.93</v>
      </c>
      <c r="U374" t="inlineStr">
        <is>
          <t>Low</t>
        </is>
      </c>
      <c r="V374">
        <f>IF(AND(OR(Dashboard!$C$6="All",E374=Dashboard!$C$6),OR(Dashboard!$F$6="All",G374=Dashboard!$F$6),OR(Dashboard!$I$6="All",H374=Dashboard!$I$6)),1,0)</f>
        <v/>
      </c>
    </row>
    <row r="375">
      <c r="A375" t="inlineStr">
        <is>
          <t>PF100366</t>
        </is>
      </c>
      <c r="B375" s="68" t="n">
        <v>45701</v>
      </c>
      <c r="C375" s="69" t="n">
        <v>2025</v>
      </c>
      <c r="D375" t="inlineStr">
        <is>
          <t>Feb</t>
        </is>
      </c>
      <c r="E375" t="inlineStr">
        <is>
          <t>United States</t>
        </is>
      </c>
      <c r="F375" t="inlineStr">
        <is>
          <t>USA</t>
        </is>
      </c>
      <c r="G375" t="inlineStr">
        <is>
          <t>Ibrance</t>
        </is>
      </c>
      <c r="H375" t="inlineStr">
        <is>
          <t>Government / tender</t>
        </is>
      </c>
      <c r="I375" t="inlineStr">
        <is>
          <t>Public payer</t>
        </is>
      </c>
      <c r="J375" t="inlineStr">
        <is>
          <t>Sophie Müller</t>
        </is>
      </c>
      <c r="K375" s="70" t="n">
        <v>2108</v>
      </c>
      <c r="L375" s="71" t="n">
        <v>5072.05</v>
      </c>
      <c r="M375" s="71" t="n">
        <v>10691881.4</v>
      </c>
      <c r="N375" s="71" t="n">
        <v>3742158.49</v>
      </c>
      <c r="O375" s="71" t="n">
        <v>6949722.91</v>
      </c>
      <c r="P375" s="71" t="n">
        <v>952130.91</v>
      </c>
      <c r="Q375" s="71" t="n">
        <v>5997592</v>
      </c>
      <c r="R375" t="inlineStr">
        <is>
          <t>Oncology</t>
        </is>
      </c>
      <c r="S375" s="70" t="n">
        <v>2009</v>
      </c>
      <c r="T375" s="71" t="n">
        <v>1562526.15</v>
      </c>
      <c r="U375" t="inlineStr">
        <is>
          <t>High</t>
        </is>
      </c>
      <c r="V375">
        <f>IF(AND(OR(Dashboard!$C$6="All",E375=Dashboard!$C$6),OR(Dashboard!$F$6="All",G375=Dashboard!$F$6),OR(Dashboard!$I$6="All",H375=Dashboard!$I$6)),1,0)</f>
        <v/>
      </c>
    </row>
    <row r="376">
      <c r="A376" t="inlineStr">
        <is>
          <t>PF100367</t>
        </is>
      </c>
      <c r="B376" s="68" t="n">
        <v>45701</v>
      </c>
      <c r="C376" s="69" t="n">
        <v>2025</v>
      </c>
      <c r="D376" t="inlineStr">
        <is>
          <t>Feb</t>
        </is>
      </c>
      <c r="E376" t="inlineStr">
        <is>
          <t>United States</t>
        </is>
      </c>
      <c r="F376" t="inlineStr">
        <is>
          <t>USA</t>
        </is>
      </c>
      <c r="G376" t="inlineStr">
        <is>
          <t>Prevnar 20</t>
        </is>
      </c>
      <c r="H376" t="inlineStr">
        <is>
          <t>Retail pharmacy</t>
        </is>
      </c>
      <c r="I376" t="inlineStr">
        <is>
          <t>Private insurer</t>
        </is>
      </c>
      <c r="J376" t="inlineStr">
        <is>
          <t>Zoya Ahmed</t>
        </is>
      </c>
      <c r="K376" s="70" t="n">
        <v>129</v>
      </c>
      <c r="L376" s="71" t="n">
        <v>340.48</v>
      </c>
      <c r="M376" s="71" t="n">
        <v>43921.92</v>
      </c>
      <c r="N376" s="71" t="n">
        <v>6588.29</v>
      </c>
      <c r="O376" s="71" t="n">
        <v>37333.63</v>
      </c>
      <c r="P376" s="71" t="n">
        <v>8726.6</v>
      </c>
      <c r="Q376" s="71" t="n">
        <v>28607.03</v>
      </c>
      <c r="R376" t="inlineStr">
        <is>
          <t>Vaccines</t>
        </is>
      </c>
      <c r="S376" s="70" t="n">
        <v>92</v>
      </c>
      <c r="T376" s="71" t="n">
        <v>8681.440000000001</v>
      </c>
      <c r="U376" t="inlineStr">
        <is>
          <t>Low</t>
        </is>
      </c>
      <c r="V376">
        <f>IF(AND(OR(Dashboard!$C$6="All",E376=Dashboard!$C$6),OR(Dashboard!$F$6="All",G376=Dashboard!$F$6),OR(Dashboard!$I$6="All",H376=Dashboard!$I$6)),1,0)</f>
        <v/>
      </c>
    </row>
    <row r="377">
      <c r="A377" t="inlineStr">
        <is>
          <t>PF100368</t>
        </is>
      </c>
      <c r="B377" s="68" t="n">
        <v>45701</v>
      </c>
      <c r="C377" s="69" t="n">
        <v>2025</v>
      </c>
      <c r="D377" t="inlineStr">
        <is>
          <t>Feb</t>
        </is>
      </c>
      <c r="E377" t="inlineStr">
        <is>
          <t>United States</t>
        </is>
      </c>
      <c r="F377" t="inlineStr">
        <is>
          <t>USA</t>
        </is>
      </c>
      <c r="G377" t="inlineStr">
        <is>
          <t>Vyndaqel</t>
        </is>
      </c>
      <c r="H377" t="inlineStr">
        <is>
          <t>Retail pharmacy</t>
        </is>
      </c>
      <c r="I377" t="inlineStr">
        <is>
          <t>Private insurer</t>
        </is>
      </c>
      <c r="J377" t="inlineStr">
        <is>
          <t>Lucas Martin</t>
        </is>
      </c>
      <c r="K377" s="70" t="n">
        <v>714</v>
      </c>
      <c r="L377" s="71" t="n">
        <v>8154.21</v>
      </c>
      <c r="M377" s="71" t="n">
        <v>5822105.94</v>
      </c>
      <c r="N377" s="71" t="n">
        <v>2037737.08</v>
      </c>
      <c r="O377" s="71" t="n">
        <v>3784368.86</v>
      </c>
      <c r="P377" s="71" t="n">
        <v>427977.09</v>
      </c>
      <c r="Q377" s="71" t="n">
        <v>3356391.77</v>
      </c>
      <c r="R377" t="inlineStr">
        <is>
          <t>Rare disease</t>
        </is>
      </c>
      <c r="S377" s="70" t="n">
        <v>676</v>
      </c>
      <c r="T377" s="71" t="n">
        <v>1255231.02</v>
      </c>
      <c r="U377" t="inlineStr">
        <is>
          <t>Medium</t>
        </is>
      </c>
      <c r="V377">
        <f>IF(AND(OR(Dashboard!$C$6="All",E377=Dashboard!$C$6),OR(Dashboard!$F$6="All",G377=Dashboard!$F$6),OR(Dashboard!$I$6="All",H377=Dashboard!$I$6)),1,0)</f>
        <v/>
      </c>
    </row>
    <row r="378">
      <c r="A378" t="inlineStr">
        <is>
          <t>PF100369</t>
        </is>
      </c>
      <c r="B378" s="68" t="n">
        <v>45701</v>
      </c>
      <c r="C378" s="69" t="n">
        <v>2025</v>
      </c>
      <c r="D378" t="inlineStr">
        <is>
          <t>Feb</t>
        </is>
      </c>
      <c r="E378" t="inlineStr">
        <is>
          <t>International developed</t>
        </is>
      </c>
      <c r="F378" t="inlineStr">
        <is>
          <t>Japan</t>
        </is>
      </c>
      <c r="G378" t="inlineStr">
        <is>
          <t>Eliquis</t>
        </is>
      </c>
      <c r="H378" t="inlineStr">
        <is>
          <t>Retail pharmacy</t>
        </is>
      </c>
      <c r="I378" t="inlineStr">
        <is>
          <t>Public payer</t>
        </is>
      </c>
      <c r="J378" t="inlineStr">
        <is>
          <t>Aisha Bello</t>
        </is>
      </c>
      <c r="K378" s="70" t="n">
        <v>177</v>
      </c>
      <c r="L378" s="71" t="n">
        <v>456.24</v>
      </c>
      <c r="M378" s="71" t="n">
        <v>80754.48</v>
      </c>
      <c r="N378" s="71" t="n">
        <v>4037.72</v>
      </c>
      <c r="O378" s="71" t="n">
        <v>76716.75999999999</v>
      </c>
      <c r="P378" s="71" t="n">
        <v>13860.08</v>
      </c>
      <c r="Q378" s="71" t="n">
        <v>62856.68</v>
      </c>
      <c r="R378" t="inlineStr">
        <is>
          <t>Cardiology</t>
        </is>
      </c>
      <c r="S378" s="70" t="n">
        <v>125</v>
      </c>
      <c r="T378" s="71" t="n">
        <v>12302.82</v>
      </c>
      <c r="U378" t="inlineStr">
        <is>
          <t>High</t>
        </is>
      </c>
      <c r="V378">
        <f>IF(AND(OR(Dashboard!$C$6="All",E378=Dashboard!$C$6),OR(Dashboard!$F$6="All",G378=Dashboard!$F$6),OR(Dashboard!$I$6="All",H378=Dashboard!$I$6)),1,0)</f>
        <v/>
      </c>
    </row>
    <row r="379">
      <c r="A379" t="inlineStr">
        <is>
          <t>PF100370</t>
        </is>
      </c>
      <c r="B379" s="68" t="n">
        <v>45701</v>
      </c>
      <c r="C379" s="69" t="n">
        <v>2025</v>
      </c>
      <c r="D379" t="inlineStr">
        <is>
          <t>Feb</t>
        </is>
      </c>
      <c r="E379" t="inlineStr">
        <is>
          <t>Emerging markets</t>
        </is>
      </c>
      <c r="F379" t="inlineStr">
        <is>
          <t>Brazil</t>
        </is>
      </c>
      <c r="G379" t="inlineStr">
        <is>
          <t>Comirnaty</t>
        </is>
      </c>
      <c r="H379" t="inlineStr">
        <is>
          <t>Retail pharmacy</t>
        </is>
      </c>
      <c r="I379" t="inlineStr">
        <is>
          <t>Private insurer</t>
        </is>
      </c>
      <c r="J379" t="inlineStr">
        <is>
          <t>Priya Nair</t>
        </is>
      </c>
      <c r="K379" s="70" t="n">
        <v>122</v>
      </c>
      <c r="L379" s="71" t="n">
        <v>120.62</v>
      </c>
      <c r="M379" s="71" t="n">
        <v>14715.64</v>
      </c>
      <c r="N379" s="71" t="n">
        <v>735.78</v>
      </c>
      <c r="O379" s="71" t="n">
        <v>13979.86</v>
      </c>
      <c r="P379" s="71" t="n">
        <v>4789.97</v>
      </c>
      <c r="Q379" s="71" t="n">
        <v>9189.889999999999</v>
      </c>
      <c r="R379" t="inlineStr">
        <is>
          <t>Vaccines</t>
        </is>
      </c>
      <c r="S379" s="70" t="n">
        <v>118</v>
      </c>
      <c r="T379" s="71" t="n">
        <v>1779.23</v>
      </c>
      <c r="U379" t="inlineStr">
        <is>
          <t>Low</t>
        </is>
      </c>
      <c r="V379">
        <f>IF(AND(OR(Dashboard!$C$6="All",E379=Dashboard!$C$6),OR(Dashboard!$F$6="All",G379=Dashboard!$F$6),OR(Dashboard!$I$6="All",H379=Dashboard!$I$6)),1,0)</f>
        <v/>
      </c>
    </row>
    <row r="380">
      <c r="A380" t="inlineStr">
        <is>
          <t>PF100371</t>
        </is>
      </c>
      <c r="B380" s="68" t="n">
        <v>45701</v>
      </c>
      <c r="C380" s="69" t="n">
        <v>2025</v>
      </c>
      <c r="D380" t="inlineStr">
        <is>
          <t>Feb</t>
        </is>
      </c>
      <c r="E380" t="inlineStr">
        <is>
          <t>United States</t>
        </is>
      </c>
      <c r="F380" t="inlineStr">
        <is>
          <t>USA</t>
        </is>
      </c>
      <c r="G380" t="inlineStr">
        <is>
          <t>Prevnar 20</t>
        </is>
      </c>
      <c r="H380" t="inlineStr">
        <is>
          <t>Retail pharmacy</t>
        </is>
      </c>
      <c r="I380" t="inlineStr">
        <is>
          <t>Public payer</t>
        </is>
      </c>
      <c r="J380" t="inlineStr">
        <is>
          <t>Noah Smith</t>
        </is>
      </c>
      <c r="K380" s="70" t="n">
        <v>2340</v>
      </c>
      <c r="L380" s="71" t="n">
        <v>364.18</v>
      </c>
      <c r="M380" s="71" t="n">
        <v>852181.2</v>
      </c>
      <c r="N380" s="71" t="n">
        <v>170436.24</v>
      </c>
      <c r="O380" s="71" t="n">
        <v>681744.96</v>
      </c>
      <c r="P380" s="71" t="n">
        <v>162758.99</v>
      </c>
      <c r="Q380" s="71" t="n">
        <v>518985.97</v>
      </c>
      <c r="R380" t="inlineStr">
        <is>
          <t>Vaccines</t>
        </is>
      </c>
      <c r="S380" s="70" t="n">
        <v>1504</v>
      </c>
      <c r="T380" s="71" t="n">
        <v>102287.94</v>
      </c>
      <c r="U380" t="inlineStr">
        <is>
          <t>Low</t>
        </is>
      </c>
      <c r="V380">
        <f>IF(AND(OR(Dashboard!$C$6="All",E380=Dashboard!$C$6),OR(Dashboard!$F$6="All",G380=Dashboard!$F$6),OR(Dashboard!$I$6="All",H380=Dashboard!$I$6)),1,0)</f>
        <v/>
      </c>
    </row>
    <row r="381">
      <c r="A381" t="inlineStr">
        <is>
          <t>PF100372</t>
        </is>
      </c>
      <c r="B381" s="68" t="n">
        <v>45701</v>
      </c>
      <c r="C381" s="69" t="n">
        <v>2025</v>
      </c>
      <c r="D381" t="inlineStr">
        <is>
          <t>Feb</t>
        </is>
      </c>
      <c r="E381" t="inlineStr">
        <is>
          <t>Emerging markets</t>
        </is>
      </c>
      <c r="F381" t="inlineStr">
        <is>
          <t>Brazil</t>
        </is>
      </c>
      <c r="G381" t="inlineStr">
        <is>
          <t>Ibrance</t>
        </is>
      </c>
      <c r="H381" t="inlineStr">
        <is>
          <t>Hospital</t>
        </is>
      </c>
      <c r="I381" t="inlineStr">
        <is>
          <t>Private insurer</t>
        </is>
      </c>
      <c r="J381" t="inlineStr">
        <is>
          <t>Sophie Müller</t>
        </is>
      </c>
      <c r="K381" s="70" t="n">
        <v>2441</v>
      </c>
      <c r="L381" s="71" t="n">
        <v>2789.39</v>
      </c>
      <c r="M381" s="71" t="n">
        <v>6808900.99</v>
      </c>
      <c r="N381" s="71" t="n">
        <v>680890.1</v>
      </c>
      <c r="O381" s="71" t="n">
        <v>6128010.89</v>
      </c>
      <c r="P381" s="71" t="n">
        <v>1063699.35</v>
      </c>
      <c r="Q381" s="71" t="n">
        <v>5064311.54</v>
      </c>
      <c r="R381" t="inlineStr">
        <is>
          <t>Oncology</t>
        </is>
      </c>
      <c r="S381" s="70" t="n">
        <v>2171</v>
      </c>
      <c r="T381" s="71" t="n">
        <v>1463615.39</v>
      </c>
      <c r="U381" t="inlineStr">
        <is>
          <t>High</t>
        </is>
      </c>
      <c r="V381">
        <f>IF(AND(OR(Dashboard!$C$6="All",E381=Dashboard!$C$6),OR(Dashboard!$F$6="All",G381=Dashboard!$F$6),OR(Dashboard!$I$6="All",H381=Dashboard!$I$6)),1,0)</f>
        <v/>
      </c>
    </row>
    <row r="382">
      <c r="A382" t="inlineStr">
        <is>
          <t>PF100373</t>
        </is>
      </c>
      <c r="B382" s="68" t="n">
        <v>45701</v>
      </c>
      <c r="C382" s="69" t="n">
        <v>2025</v>
      </c>
      <c r="D382" t="inlineStr">
        <is>
          <t>Feb</t>
        </is>
      </c>
      <c r="E382" t="inlineStr">
        <is>
          <t>Emerging markets</t>
        </is>
      </c>
      <c r="F382" t="inlineStr">
        <is>
          <t>India</t>
        </is>
      </c>
      <c r="G382" t="inlineStr">
        <is>
          <t>Paxlovid</t>
        </is>
      </c>
      <c r="H382" t="inlineStr">
        <is>
          <t>Hospital</t>
        </is>
      </c>
      <c r="I382" t="inlineStr">
        <is>
          <t>Public payer</t>
        </is>
      </c>
      <c r="J382" t="inlineStr">
        <is>
          <t>Lucas Martin</t>
        </is>
      </c>
      <c r="K382" s="70" t="n">
        <v>85</v>
      </c>
      <c r="L382" s="71" t="n">
        <v>1110.04</v>
      </c>
      <c r="M382" s="71" t="n">
        <v>94353.39999999999</v>
      </c>
      <c r="N382" s="71" t="n">
        <v>9435.34</v>
      </c>
      <c r="O382" s="71" t="n">
        <v>84918.06</v>
      </c>
      <c r="P382" s="71" t="n">
        <v>23977.46</v>
      </c>
      <c r="Q382" s="71" t="n">
        <v>60940.6</v>
      </c>
      <c r="R382" t="inlineStr">
        <is>
          <t>Antiviral</t>
        </is>
      </c>
      <c r="S382" s="70" t="n">
        <v>71</v>
      </c>
      <c r="T382" s="71" t="n">
        <v>18102.03</v>
      </c>
      <c r="U382" t="inlineStr">
        <is>
          <t>Low</t>
        </is>
      </c>
      <c r="V382">
        <f>IF(AND(OR(Dashboard!$C$6="All",E382=Dashboard!$C$6),OR(Dashboard!$F$6="All",G382=Dashboard!$F$6),OR(Dashboard!$I$6="All",H382=Dashboard!$I$6)),1,0)</f>
        <v/>
      </c>
    </row>
    <row r="383">
      <c r="A383" t="inlineStr">
        <is>
          <t>PF100374</t>
        </is>
      </c>
      <c r="B383" s="68" t="n">
        <v>45701</v>
      </c>
      <c r="C383" s="69" t="n">
        <v>2025</v>
      </c>
      <c r="D383" t="inlineStr">
        <is>
          <t>Feb</t>
        </is>
      </c>
      <c r="E383" t="inlineStr">
        <is>
          <t>United States</t>
        </is>
      </c>
      <c r="F383" t="inlineStr">
        <is>
          <t>USA</t>
        </is>
      </c>
      <c r="G383" t="inlineStr">
        <is>
          <t>Ibrance</t>
        </is>
      </c>
      <c r="H383" t="inlineStr">
        <is>
          <t>Retail pharmacy</t>
        </is>
      </c>
      <c r="I383" t="inlineStr">
        <is>
          <t>Private insurer</t>
        </is>
      </c>
      <c r="J383" t="inlineStr">
        <is>
          <t>Lucas Martin</t>
        </is>
      </c>
      <c r="K383" s="70" t="n">
        <v>1797</v>
      </c>
      <c r="L383" s="71" t="n">
        <v>4336.64</v>
      </c>
      <c r="M383" s="71" t="n">
        <v>7792942.08</v>
      </c>
      <c r="N383" s="71" t="n">
        <v>1948235.52</v>
      </c>
      <c r="O383" s="71" t="n">
        <v>5844706.56</v>
      </c>
      <c r="P383" s="71" t="n">
        <v>772247.37</v>
      </c>
      <c r="Q383" s="71" t="n">
        <v>5072459.19</v>
      </c>
      <c r="R383" t="inlineStr">
        <is>
          <t>Oncology</t>
        </is>
      </c>
      <c r="S383" s="70" t="n">
        <v>1730</v>
      </c>
      <c r="T383" s="71" t="n">
        <v>1701523.28</v>
      </c>
      <c r="U383" t="inlineStr">
        <is>
          <t>High</t>
        </is>
      </c>
      <c r="V383">
        <f>IF(AND(OR(Dashboard!$C$6="All",E383=Dashboard!$C$6),OR(Dashboard!$F$6="All",G383=Dashboard!$F$6),OR(Dashboard!$I$6="All",H383=Dashboard!$I$6)),1,0)</f>
        <v/>
      </c>
    </row>
    <row r="384">
      <c r="A384" t="inlineStr">
        <is>
          <t>PF100375</t>
        </is>
      </c>
      <c r="B384" s="68" t="n">
        <v>45701</v>
      </c>
      <c r="C384" s="69" t="n">
        <v>2025</v>
      </c>
      <c r="D384" t="inlineStr">
        <is>
          <t>Feb</t>
        </is>
      </c>
      <c r="E384" t="inlineStr">
        <is>
          <t>International developed</t>
        </is>
      </c>
      <c r="F384" t="inlineStr">
        <is>
          <t>Japan</t>
        </is>
      </c>
      <c r="G384" t="inlineStr">
        <is>
          <t>Vyndaqel</t>
        </is>
      </c>
      <c r="H384" t="inlineStr">
        <is>
          <t>Government / tender</t>
        </is>
      </c>
      <c r="I384" t="inlineStr">
        <is>
          <t>Public payer</t>
        </is>
      </c>
      <c r="J384" t="inlineStr">
        <is>
          <t>Liam O'Brien</t>
        </is>
      </c>
      <c r="K384" s="70" t="n">
        <v>1955</v>
      </c>
      <c r="L384" s="71" t="n">
        <v>4731.11</v>
      </c>
      <c r="M384" s="71" t="n">
        <v>9249320.050000001</v>
      </c>
      <c r="N384" s="71" t="n">
        <v>924932.01</v>
      </c>
      <c r="O384" s="71" t="n">
        <v>8324388.04</v>
      </c>
      <c r="P384" s="71" t="n">
        <v>1239791.32</v>
      </c>
      <c r="Q384" s="71" t="n">
        <v>7084596.72</v>
      </c>
      <c r="R384" t="inlineStr">
        <is>
          <t>Rare disease</t>
        </is>
      </c>
      <c r="S384" s="70" t="n">
        <v>1264</v>
      </c>
      <c r="T384" s="71" t="n">
        <v>1712575.34</v>
      </c>
      <c r="U384" t="inlineStr">
        <is>
          <t>Medium</t>
        </is>
      </c>
      <c r="V384">
        <f>IF(AND(OR(Dashboard!$C$6="All",E384=Dashboard!$C$6),OR(Dashboard!$F$6="All",G384=Dashboard!$F$6),OR(Dashboard!$I$6="All",H384=Dashboard!$I$6)),1,0)</f>
        <v/>
      </c>
    </row>
    <row r="385">
      <c r="A385" t="inlineStr">
        <is>
          <t>PF100376</t>
        </is>
      </c>
      <c r="B385" s="68" t="n">
        <v>45701</v>
      </c>
      <c r="C385" s="69" t="n">
        <v>2025</v>
      </c>
      <c r="D385" t="inlineStr">
        <is>
          <t>Feb</t>
        </is>
      </c>
      <c r="E385" t="inlineStr">
        <is>
          <t>United States</t>
        </is>
      </c>
      <c r="F385" t="inlineStr">
        <is>
          <t>USA</t>
        </is>
      </c>
      <c r="G385" t="inlineStr">
        <is>
          <t>Comirnaty</t>
        </is>
      </c>
      <c r="H385" t="inlineStr">
        <is>
          <t>Government / tender</t>
        </is>
      </c>
      <c r="I385" t="inlineStr">
        <is>
          <t>Self-pay</t>
        </is>
      </c>
      <c r="J385" t="inlineStr">
        <is>
          <t>Kofi Mensah</t>
        </is>
      </c>
      <c r="K385" s="70" t="n">
        <v>2638</v>
      </c>
      <c r="L385" s="71" t="n">
        <v>160.62</v>
      </c>
      <c r="M385" s="71" t="n">
        <v>423715.56</v>
      </c>
      <c r="N385" s="71" t="n">
        <v>148300.45</v>
      </c>
      <c r="O385" s="71" t="n">
        <v>275415.11</v>
      </c>
      <c r="P385" s="71" t="n">
        <v>99446.86</v>
      </c>
      <c r="Q385" s="71" t="n">
        <v>175968.25</v>
      </c>
      <c r="R385" t="inlineStr">
        <is>
          <t>Vaccines</t>
        </is>
      </c>
      <c r="S385" s="70" t="n">
        <v>2067</v>
      </c>
      <c r="T385" s="71" t="n">
        <v>55938.25</v>
      </c>
      <c r="U385" t="inlineStr">
        <is>
          <t>Low</t>
        </is>
      </c>
      <c r="V385">
        <f>IF(AND(OR(Dashboard!$C$6="All",E385=Dashboard!$C$6),OR(Dashboard!$F$6="All",G385=Dashboard!$F$6),OR(Dashboard!$I$6="All",H385=Dashboard!$I$6)),1,0)</f>
        <v/>
      </c>
    </row>
    <row r="386">
      <c r="A386" t="inlineStr">
        <is>
          <t>PF100377</t>
        </is>
      </c>
      <c r="B386" s="68" t="n">
        <v>45702</v>
      </c>
      <c r="C386" s="69" t="n">
        <v>2025</v>
      </c>
      <c r="D386" t="inlineStr">
        <is>
          <t>Feb</t>
        </is>
      </c>
      <c r="E386" t="inlineStr">
        <is>
          <t>United States</t>
        </is>
      </c>
      <c r="F386" t="inlineStr">
        <is>
          <t>USA</t>
        </is>
      </c>
      <c r="G386" t="inlineStr">
        <is>
          <t>Paxlovid</t>
        </is>
      </c>
      <c r="H386" t="inlineStr">
        <is>
          <t>Retail pharmacy</t>
        </is>
      </c>
      <c r="I386" t="inlineStr">
        <is>
          <t>Self-pay</t>
        </is>
      </c>
      <c r="J386" t="inlineStr">
        <is>
          <t>Sara Rossi</t>
        </is>
      </c>
      <c r="K386" s="70" t="n">
        <v>544</v>
      </c>
      <c r="L386" s="71" t="n">
        <v>1778.37</v>
      </c>
      <c r="M386" s="71" t="n">
        <v>967433.28</v>
      </c>
      <c r="N386" s="71" t="n">
        <v>145114.99</v>
      </c>
      <c r="O386" s="71" t="n">
        <v>822318.29</v>
      </c>
      <c r="P386" s="71" t="n">
        <v>150221.43</v>
      </c>
      <c r="Q386" s="71" t="n">
        <v>672096.86</v>
      </c>
      <c r="R386" t="inlineStr">
        <is>
          <t>Antiviral</t>
        </is>
      </c>
      <c r="S386" s="70" t="n">
        <v>377</v>
      </c>
      <c r="T386" s="71" t="n">
        <v>129814.06</v>
      </c>
      <c r="U386" t="inlineStr">
        <is>
          <t>Low</t>
        </is>
      </c>
      <c r="V386">
        <f>IF(AND(OR(Dashboard!$C$6="All",E386=Dashboard!$C$6),OR(Dashboard!$F$6="All",G386=Dashboard!$F$6),OR(Dashboard!$I$6="All",H386=Dashboard!$I$6)),1,0)</f>
        <v/>
      </c>
    </row>
    <row r="387">
      <c r="A387" t="inlineStr">
        <is>
          <t>PF100378</t>
        </is>
      </c>
      <c r="B387" s="68" t="n">
        <v>45702</v>
      </c>
      <c r="C387" s="69" t="n">
        <v>2025</v>
      </c>
      <c r="D387" t="inlineStr">
        <is>
          <t>Feb</t>
        </is>
      </c>
      <c r="E387" t="inlineStr">
        <is>
          <t>United States</t>
        </is>
      </c>
      <c r="F387" t="inlineStr">
        <is>
          <t>USA</t>
        </is>
      </c>
      <c r="G387" t="inlineStr">
        <is>
          <t>Prevnar 20</t>
        </is>
      </c>
      <c r="H387" t="inlineStr">
        <is>
          <t>Hospital</t>
        </is>
      </c>
      <c r="I387" t="inlineStr">
        <is>
          <t>Private insurer</t>
        </is>
      </c>
      <c r="J387" t="inlineStr">
        <is>
          <t>Sara Rossi</t>
        </is>
      </c>
      <c r="K387" s="70" t="n">
        <v>1067</v>
      </c>
      <c r="L387" s="71" t="n">
        <v>394.58</v>
      </c>
      <c r="M387" s="71" t="n">
        <v>421016.86</v>
      </c>
      <c r="N387" s="71" t="n">
        <v>147355.9</v>
      </c>
      <c r="O387" s="71" t="n">
        <v>273660.96</v>
      </c>
      <c r="P387" s="71" t="n">
        <v>72568.34</v>
      </c>
      <c r="Q387" s="71" t="n">
        <v>201092.62</v>
      </c>
      <c r="R387" t="inlineStr">
        <is>
          <t>Vaccines</t>
        </is>
      </c>
      <c r="S387" s="70" t="n">
        <v>718</v>
      </c>
      <c r="T387" s="71" t="n">
        <v>87506.81</v>
      </c>
      <c r="U387" t="inlineStr">
        <is>
          <t>Low</t>
        </is>
      </c>
      <c r="V387">
        <f>IF(AND(OR(Dashboard!$C$6="All",E387=Dashboard!$C$6),OR(Dashboard!$F$6="All",G387=Dashboard!$F$6),OR(Dashboard!$I$6="All",H387=Dashboard!$I$6)),1,0)</f>
        <v/>
      </c>
    </row>
    <row r="388">
      <c r="A388" t="inlineStr">
        <is>
          <t>PF100379</t>
        </is>
      </c>
      <c r="B388" s="68" t="n">
        <v>45702</v>
      </c>
      <c r="C388" s="69" t="n">
        <v>2025</v>
      </c>
      <c r="D388" t="inlineStr">
        <is>
          <t>Feb</t>
        </is>
      </c>
      <c r="E388" t="inlineStr">
        <is>
          <t>United States</t>
        </is>
      </c>
      <c r="F388" t="inlineStr">
        <is>
          <t>USA</t>
        </is>
      </c>
      <c r="G388" t="inlineStr">
        <is>
          <t>Prevnar 20</t>
        </is>
      </c>
      <c r="H388" t="inlineStr">
        <is>
          <t>Hospital</t>
        </is>
      </c>
      <c r="I388" t="inlineStr">
        <is>
          <t>Private insurer</t>
        </is>
      </c>
      <c r="J388" t="inlineStr">
        <is>
          <t>Lucas Martin</t>
        </is>
      </c>
      <c r="K388" s="70" t="n">
        <v>1390</v>
      </c>
      <c r="L388" s="71" t="n">
        <v>381.31</v>
      </c>
      <c r="M388" s="71" t="n">
        <v>530020.9</v>
      </c>
      <c r="N388" s="71" t="n">
        <v>159006.27</v>
      </c>
      <c r="O388" s="71" t="n">
        <v>371014.63</v>
      </c>
      <c r="P388" s="71" t="n">
        <v>96990.44</v>
      </c>
      <c r="Q388" s="71" t="n">
        <v>274024.19</v>
      </c>
      <c r="R388" t="inlineStr">
        <is>
          <t>Vaccines</t>
        </is>
      </c>
      <c r="S388" s="70" t="n">
        <v>1157</v>
      </c>
      <c r="T388" s="71" t="n">
        <v>96420.17</v>
      </c>
      <c r="U388" t="inlineStr">
        <is>
          <t>Low</t>
        </is>
      </c>
      <c r="V388">
        <f>IF(AND(OR(Dashboard!$C$6="All",E388=Dashboard!$C$6),OR(Dashboard!$F$6="All",G388=Dashboard!$F$6),OR(Dashboard!$I$6="All",H388=Dashboard!$I$6)),1,0)</f>
        <v/>
      </c>
    </row>
    <row r="389">
      <c r="A389" t="inlineStr">
        <is>
          <t>PF100380</t>
        </is>
      </c>
      <c r="B389" s="68" t="n">
        <v>45702</v>
      </c>
      <c r="C389" s="69" t="n">
        <v>2025</v>
      </c>
      <c r="D389" t="inlineStr">
        <is>
          <t>Feb</t>
        </is>
      </c>
      <c r="E389" t="inlineStr">
        <is>
          <t>Europe</t>
        </is>
      </c>
      <c r="F389" t="inlineStr">
        <is>
          <t>Italy</t>
        </is>
      </c>
      <c r="G389" t="inlineStr">
        <is>
          <t>Eliquis</t>
        </is>
      </c>
      <c r="H389" t="inlineStr">
        <is>
          <t>Government / tender</t>
        </is>
      </c>
      <c r="I389" t="inlineStr">
        <is>
          <t>Private insurer</t>
        </is>
      </c>
      <c r="J389" t="inlineStr">
        <is>
          <t>Priya Nair</t>
        </is>
      </c>
      <c r="K389" s="70" t="n">
        <v>2170</v>
      </c>
      <c r="L389" s="71" t="n">
        <v>384.05</v>
      </c>
      <c r="M389" s="71" t="n">
        <v>833388.5</v>
      </c>
      <c r="N389" s="71" t="n">
        <v>125008.27</v>
      </c>
      <c r="O389" s="71" t="n">
        <v>708380.23</v>
      </c>
      <c r="P389" s="71" t="n">
        <v>162263.76</v>
      </c>
      <c r="Q389" s="71" t="n">
        <v>546116.47</v>
      </c>
      <c r="R389" t="inlineStr">
        <is>
          <t>Cardiology</t>
        </is>
      </c>
      <c r="S389" s="70" t="n">
        <v>1577</v>
      </c>
      <c r="T389" s="71" t="n">
        <v>179975.79</v>
      </c>
      <c r="U389" t="inlineStr">
        <is>
          <t>High</t>
        </is>
      </c>
      <c r="V389">
        <f>IF(AND(OR(Dashboard!$C$6="All",E389=Dashboard!$C$6),OR(Dashboard!$F$6="All",G389=Dashboard!$F$6),OR(Dashboard!$I$6="All",H389=Dashboard!$I$6)),1,0)</f>
        <v/>
      </c>
    </row>
    <row r="390">
      <c r="A390" t="inlineStr">
        <is>
          <t>PF100381</t>
        </is>
      </c>
      <c r="B390" s="68" t="n">
        <v>45702</v>
      </c>
      <c r="C390" s="69" t="n">
        <v>2025</v>
      </c>
      <c r="D390" t="inlineStr">
        <is>
          <t>Feb</t>
        </is>
      </c>
      <c r="E390" t="inlineStr">
        <is>
          <t>International developed</t>
        </is>
      </c>
      <c r="F390" t="inlineStr">
        <is>
          <t>Japan</t>
        </is>
      </c>
      <c r="G390" t="inlineStr">
        <is>
          <t>Eliquis</t>
        </is>
      </c>
      <c r="H390" t="inlineStr">
        <is>
          <t>Retail pharmacy</t>
        </is>
      </c>
      <c r="I390" t="inlineStr">
        <is>
          <t>Private insurer</t>
        </is>
      </c>
      <c r="J390" t="inlineStr">
        <is>
          <t>Hiroshi Tanaka</t>
        </is>
      </c>
      <c r="K390" s="70" t="n">
        <v>1763</v>
      </c>
      <c r="L390" s="71" t="n">
        <v>403.91</v>
      </c>
      <c r="M390" s="71" t="n">
        <v>712093.33</v>
      </c>
      <c r="N390" s="71" t="n">
        <v>106814</v>
      </c>
      <c r="O390" s="71" t="n">
        <v>605279.33</v>
      </c>
      <c r="P390" s="71" t="n">
        <v>135898.38</v>
      </c>
      <c r="Q390" s="71" t="n">
        <v>469380.95</v>
      </c>
      <c r="R390" t="inlineStr">
        <is>
          <t>Cardiology</t>
        </is>
      </c>
      <c r="S390" s="70" t="n">
        <v>1228</v>
      </c>
      <c r="T390" s="71" t="n">
        <v>90735.25</v>
      </c>
      <c r="U390" t="inlineStr">
        <is>
          <t>High</t>
        </is>
      </c>
      <c r="V390">
        <f>IF(AND(OR(Dashboard!$C$6="All",E390=Dashboard!$C$6),OR(Dashboard!$F$6="All",G390=Dashboard!$F$6),OR(Dashboard!$I$6="All",H390=Dashboard!$I$6)),1,0)</f>
        <v/>
      </c>
    </row>
    <row r="391">
      <c r="A391" t="inlineStr">
        <is>
          <t>PF100382</t>
        </is>
      </c>
      <c r="B391" s="68" t="n">
        <v>45702</v>
      </c>
      <c r="C391" s="69" t="n">
        <v>2025</v>
      </c>
      <c r="D391" t="inlineStr">
        <is>
          <t>Feb</t>
        </is>
      </c>
      <c r="E391" t="inlineStr">
        <is>
          <t>United States</t>
        </is>
      </c>
      <c r="F391" t="inlineStr">
        <is>
          <t>USA</t>
        </is>
      </c>
      <c r="G391" t="inlineStr">
        <is>
          <t>Vyndaqel</t>
        </is>
      </c>
      <c r="H391" t="inlineStr">
        <is>
          <t>Retail pharmacy</t>
        </is>
      </c>
      <c r="I391" t="inlineStr">
        <is>
          <t>Public payer</t>
        </is>
      </c>
      <c r="J391" t="inlineStr">
        <is>
          <t>Priya Nair</t>
        </is>
      </c>
      <c r="K391" s="70" t="n">
        <v>1940</v>
      </c>
      <c r="L391" s="71" t="n">
        <v>7888.02</v>
      </c>
      <c r="M391" s="71" t="n">
        <v>15302758.8</v>
      </c>
      <c r="N391" s="71" t="n">
        <v>2295413.82</v>
      </c>
      <c r="O391" s="71" t="n">
        <v>13007344.98</v>
      </c>
      <c r="P391" s="71" t="n">
        <v>1218869.95</v>
      </c>
      <c r="Q391" s="71" t="n">
        <v>11788475.03</v>
      </c>
      <c r="R391" t="inlineStr">
        <is>
          <t>Rare disease</t>
        </is>
      </c>
      <c r="S391" s="70" t="n">
        <v>1390</v>
      </c>
      <c r="T391" s="71" t="n">
        <v>2804438.93</v>
      </c>
      <c r="U391" t="inlineStr">
        <is>
          <t>Medium</t>
        </is>
      </c>
      <c r="V391">
        <f>IF(AND(OR(Dashboard!$C$6="All",E391=Dashboard!$C$6),OR(Dashboard!$F$6="All",G391=Dashboard!$F$6),OR(Dashboard!$I$6="All",H391=Dashboard!$I$6)),1,0)</f>
        <v/>
      </c>
    </row>
    <row r="392">
      <c r="A392" t="inlineStr">
        <is>
          <t>PF100383</t>
        </is>
      </c>
      <c r="B392" s="68" t="n">
        <v>45702</v>
      </c>
      <c r="C392" s="69" t="n">
        <v>2025</v>
      </c>
      <c r="D392" t="inlineStr">
        <is>
          <t>Feb</t>
        </is>
      </c>
      <c r="E392" t="inlineStr">
        <is>
          <t>United States</t>
        </is>
      </c>
      <c r="F392" t="inlineStr">
        <is>
          <t>USA</t>
        </is>
      </c>
      <c r="G392" t="inlineStr">
        <is>
          <t>Xeljanz</t>
        </is>
      </c>
      <c r="H392" t="inlineStr">
        <is>
          <t>Retail pharmacy</t>
        </is>
      </c>
      <c r="I392" t="inlineStr">
        <is>
          <t>Private insurer</t>
        </is>
      </c>
      <c r="J392" t="inlineStr">
        <is>
          <t>Sara Rossi</t>
        </is>
      </c>
      <c r="K392" s="70" t="n">
        <v>1001</v>
      </c>
      <c r="L392" s="71" t="n">
        <v>2250.93</v>
      </c>
      <c r="M392" s="71" t="n">
        <v>2253180.93</v>
      </c>
      <c r="N392" s="71" t="n">
        <v>563295.23</v>
      </c>
      <c r="O392" s="71" t="n">
        <v>1689885.7</v>
      </c>
      <c r="P392" s="71" t="n">
        <v>245191.71</v>
      </c>
      <c r="Q392" s="71" t="n">
        <v>1444693.99</v>
      </c>
      <c r="R392" t="inlineStr">
        <is>
          <t>Inflammation</t>
        </is>
      </c>
      <c r="S392" s="70" t="n">
        <v>672</v>
      </c>
      <c r="T392" s="71" t="n">
        <v>383540.51</v>
      </c>
      <c r="U392" t="inlineStr">
        <is>
          <t>High</t>
        </is>
      </c>
      <c r="V392">
        <f>IF(AND(OR(Dashboard!$C$6="All",E392=Dashboard!$C$6),OR(Dashboard!$F$6="All",G392=Dashboard!$F$6),OR(Dashboard!$I$6="All",H392=Dashboard!$I$6)),1,0)</f>
        <v/>
      </c>
    </row>
    <row r="393">
      <c r="A393" t="inlineStr">
        <is>
          <t>PF100384</t>
        </is>
      </c>
      <c r="B393" s="68" t="n">
        <v>45702</v>
      </c>
      <c r="C393" s="69" t="n">
        <v>2025</v>
      </c>
      <c r="D393" t="inlineStr">
        <is>
          <t>Feb</t>
        </is>
      </c>
      <c r="E393" t="inlineStr">
        <is>
          <t>Europe</t>
        </is>
      </c>
      <c r="F393" t="inlineStr">
        <is>
          <t>Spain</t>
        </is>
      </c>
      <c r="G393" t="inlineStr">
        <is>
          <t>Ibrance</t>
        </is>
      </c>
      <c r="H393" t="inlineStr">
        <is>
          <t>Government / tender</t>
        </is>
      </c>
      <c r="I393" t="inlineStr">
        <is>
          <t>Self-pay</t>
        </is>
      </c>
      <c r="J393" t="inlineStr">
        <is>
          <t>Ruhi Shaikh</t>
        </is>
      </c>
      <c r="K393" s="70" t="n">
        <v>2694</v>
      </c>
      <c r="L393" s="71" t="n">
        <v>2722.59</v>
      </c>
      <c r="M393" s="71" t="n">
        <v>7334657.46</v>
      </c>
      <c r="N393" s="71" t="n">
        <v>733465.75</v>
      </c>
      <c r="O393" s="71" t="n">
        <v>6601191.71</v>
      </c>
      <c r="P393" s="71" t="n">
        <v>1198517.31</v>
      </c>
      <c r="Q393" s="71" t="n">
        <v>5402674.4</v>
      </c>
      <c r="R393" t="inlineStr">
        <is>
          <t>Oncology</t>
        </is>
      </c>
      <c r="S393" s="70" t="n">
        <v>1906</v>
      </c>
      <c r="T393" s="71" t="n">
        <v>947274.5</v>
      </c>
      <c r="U393" t="inlineStr">
        <is>
          <t>High</t>
        </is>
      </c>
      <c r="V393">
        <f>IF(AND(OR(Dashboard!$C$6="All",E393=Dashboard!$C$6),OR(Dashboard!$F$6="All",G393=Dashboard!$F$6),OR(Dashboard!$I$6="All",H393=Dashboard!$I$6)),1,0)</f>
        <v/>
      </c>
    </row>
    <row r="394">
      <c r="A394" t="inlineStr">
        <is>
          <t>PF100385</t>
        </is>
      </c>
      <c r="B394" s="68" t="n">
        <v>45702</v>
      </c>
      <c r="C394" s="69" t="n">
        <v>2025</v>
      </c>
      <c r="D394" t="inlineStr">
        <is>
          <t>Feb</t>
        </is>
      </c>
      <c r="E394" t="inlineStr">
        <is>
          <t>International developed</t>
        </is>
      </c>
      <c r="F394" t="inlineStr">
        <is>
          <t>Japan</t>
        </is>
      </c>
      <c r="G394" t="inlineStr">
        <is>
          <t>Ibrance</t>
        </is>
      </c>
      <c r="H394" t="inlineStr">
        <is>
          <t>Government / tender</t>
        </is>
      </c>
      <c r="I394" t="inlineStr">
        <is>
          <t>Private insurer</t>
        </is>
      </c>
      <c r="J394" t="inlineStr">
        <is>
          <t>Olivia Brown</t>
        </is>
      </c>
      <c r="K394" s="70" t="n">
        <v>2353</v>
      </c>
      <c r="L394" s="71" t="n">
        <v>3176.04</v>
      </c>
      <c r="M394" s="71" t="n">
        <v>7473222.12</v>
      </c>
      <c r="N394" s="71" t="n">
        <v>1494644.42</v>
      </c>
      <c r="O394" s="71" t="n">
        <v>5978577.7</v>
      </c>
      <c r="P394" s="71" t="n">
        <v>1012143.21</v>
      </c>
      <c r="Q394" s="71" t="n">
        <v>4966434.49</v>
      </c>
      <c r="R394" t="inlineStr">
        <is>
          <t>Oncology</t>
        </is>
      </c>
      <c r="S394" s="70" t="n">
        <v>2032</v>
      </c>
      <c r="T394" s="71" t="n">
        <v>1633228.32</v>
      </c>
      <c r="U394" t="inlineStr">
        <is>
          <t>High</t>
        </is>
      </c>
      <c r="V394">
        <f>IF(AND(OR(Dashboard!$C$6="All",E394=Dashboard!$C$6),OR(Dashboard!$F$6="All",G394=Dashboard!$F$6),OR(Dashboard!$I$6="All",H394=Dashboard!$I$6)),1,0)</f>
        <v/>
      </c>
    </row>
    <row r="395">
      <c r="A395" t="inlineStr">
        <is>
          <t>PF100386</t>
        </is>
      </c>
      <c r="B395" s="68" t="n">
        <v>45703</v>
      </c>
      <c r="C395" s="69" t="n">
        <v>2025</v>
      </c>
      <c r="D395" t="inlineStr">
        <is>
          <t>Feb</t>
        </is>
      </c>
      <c r="E395" t="inlineStr">
        <is>
          <t>Emerging markets</t>
        </is>
      </c>
      <c r="F395" t="inlineStr">
        <is>
          <t>Brazil</t>
        </is>
      </c>
      <c r="G395" t="inlineStr">
        <is>
          <t>Eliquis</t>
        </is>
      </c>
      <c r="H395" t="inlineStr">
        <is>
          <t>Retail pharmacy</t>
        </is>
      </c>
      <c r="I395" t="inlineStr">
        <is>
          <t>Self-pay</t>
        </is>
      </c>
      <c r="J395" t="inlineStr">
        <is>
          <t>Arjun Mehta</t>
        </is>
      </c>
      <c r="K395" s="70" t="n">
        <v>176</v>
      </c>
      <c r="L395" s="71" t="n">
        <v>388.43</v>
      </c>
      <c r="M395" s="71" t="n">
        <v>68363.67999999999</v>
      </c>
      <c r="N395" s="71" t="n">
        <v>13672.74</v>
      </c>
      <c r="O395" s="71" t="n">
        <v>54690.94</v>
      </c>
      <c r="P395" s="71" t="n">
        <v>13424.74</v>
      </c>
      <c r="Q395" s="71" t="n">
        <v>41266.2</v>
      </c>
      <c r="R395" t="inlineStr">
        <is>
          <t>Cardiology</t>
        </is>
      </c>
      <c r="S395" s="70" t="n">
        <v>141</v>
      </c>
      <c r="T395" s="71" t="n">
        <v>9180.059999999999</v>
      </c>
      <c r="U395" t="inlineStr">
        <is>
          <t>High</t>
        </is>
      </c>
      <c r="V395">
        <f>IF(AND(OR(Dashboard!$C$6="All",E395=Dashboard!$C$6),OR(Dashboard!$F$6="All",G395=Dashboard!$F$6),OR(Dashboard!$I$6="All",H395=Dashboard!$I$6)),1,0)</f>
        <v/>
      </c>
    </row>
    <row r="396">
      <c r="A396" t="inlineStr">
        <is>
          <t>PF100387</t>
        </is>
      </c>
      <c r="B396" s="68" t="n">
        <v>45703</v>
      </c>
      <c r="C396" s="69" t="n">
        <v>2025</v>
      </c>
      <c r="D396" t="inlineStr">
        <is>
          <t>Feb</t>
        </is>
      </c>
      <c r="E396" t="inlineStr">
        <is>
          <t>International developed</t>
        </is>
      </c>
      <c r="F396" t="inlineStr">
        <is>
          <t>Australia</t>
        </is>
      </c>
      <c r="G396" t="inlineStr">
        <is>
          <t>Abrysvo</t>
        </is>
      </c>
      <c r="H396" t="inlineStr">
        <is>
          <t>Hospital</t>
        </is>
      </c>
      <c r="I396" t="inlineStr">
        <is>
          <t>Public payer</t>
        </is>
      </c>
      <c r="J396" t="inlineStr">
        <is>
          <t>Yuki Sato</t>
        </is>
      </c>
      <c r="K396" s="70" t="n">
        <v>98</v>
      </c>
      <c r="L396" s="71" t="n">
        <v>300.63</v>
      </c>
      <c r="M396" s="71" t="n">
        <v>29461.74</v>
      </c>
      <c r="N396" s="71" t="n">
        <v>4419.26</v>
      </c>
      <c r="O396" s="71" t="n">
        <v>25042.48</v>
      </c>
      <c r="P396" s="71" t="n">
        <v>8279.620000000001</v>
      </c>
      <c r="Q396" s="71" t="n">
        <v>16762.86</v>
      </c>
      <c r="R396" t="inlineStr">
        <is>
          <t>Vaccines</t>
        </is>
      </c>
      <c r="S396" s="70" t="n">
        <v>80</v>
      </c>
      <c r="T396" s="71" t="n">
        <v>4157.43</v>
      </c>
      <c r="U396" t="inlineStr">
        <is>
          <t>Low</t>
        </is>
      </c>
      <c r="V396">
        <f>IF(AND(OR(Dashboard!$C$6="All",E396=Dashboard!$C$6),OR(Dashboard!$F$6="All",G396=Dashboard!$F$6),OR(Dashboard!$I$6="All",H396=Dashboard!$I$6)),1,0)</f>
        <v/>
      </c>
    </row>
    <row r="397">
      <c r="A397" t="inlineStr">
        <is>
          <t>PF100388</t>
        </is>
      </c>
      <c r="B397" s="68" t="n">
        <v>45703</v>
      </c>
      <c r="C397" s="69" t="n">
        <v>2025</v>
      </c>
      <c r="D397" t="inlineStr">
        <is>
          <t>Feb</t>
        </is>
      </c>
      <c r="E397" t="inlineStr">
        <is>
          <t>Europe</t>
        </is>
      </c>
      <c r="F397" t="inlineStr">
        <is>
          <t>UK</t>
        </is>
      </c>
      <c r="G397" t="inlineStr">
        <is>
          <t>Xeljanz</t>
        </is>
      </c>
      <c r="H397" t="inlineStr">
        <is>
          <t>Government / tender</t>
        </is>
      </c>
      <c r="I397" t="inlineStr">
        <is>
          <t>Self-pay</t>
        </is>
      </c>
      <c r="J397" t="inlineStr">
        <is>
          <t>Shraddha Kulkarni</t>
        </is>
      </c>
      <c r="K397" s="70" t="n">
        <v>1862</v>
      </c>
      <c r="L397" s="71" t="n">
        <v>1377.34</v>
      </c>
      <c r="M397" s="71" t="n">
        <v>2564607.08</v>
      </c>
      <c r="N397" s="71" t="n">
        <v>512921.42</v>
      </c>
      <c r="O397" s="71" t="n">
        <v>2051685.66</v>
      </c>
      <c r="P397" s="71" t="n">
        <v>475306.9</v>
      </c>
      <c r="Q397" s="71" t="n">
        <v>1576378.76</v>
      </c>
      <c r="R397" t="inlineStr">
        <is>
          <t>Inflammation</t>
        </is>
      </c>
      <c r="S397" s="70" t="n">
        <v>1354</v>
      </c>
      <c r="T397" s="71" t="n">
        <v>562421.63</v>
      </c>
      <c r="U397" t="inlineStr">
        <is>
          <t>High</t>
        </is>
      </c>
      <c r="V397">
        <f>IF(AND(OR(Dashboard!$C$6="All",E397=Dashboard!$C$6),OR(Dashboard!$F$6="All",G397=Dashboard!$F$6),OR(Dashboard!$I$6="All",H397=Dashboard!$I$6)),1,0)</f>
        <v/>
      </c>
    </row>
    <row r="398">
      <c r="A398" t="inlineStr">
        <is>
          <t>PF100389</t>
        </is>
      </c>
      <c r="B398" s="68" t="n">
        <v>45703</v>
      </c>
      <c r="C398" s="69" t="n">
        <v>2025</v>
      </c>
      <c r="D398" t="inlineStr">
        <is>
          <t>Feb</t>
        </is>
      </c>
      <c r="E398" t="inlineStr">
        <is>
          <t>United States</t>
        </is>
      </c>
      <c r="F398" t="inlineStr">
        <is>
          <t>USA</t>
        </is>
      </c>
      <c r="G398" t="inlineStr">
        <is>
          <t>Eliquis</t>
        </is>
      </c>
      <c r="H398" t="inlineStr">
        <is>
          <t>Government / tender</t>
        </is>
      </c>
      <c r="I398" t="inlineStr">
        <is>
          <t>Public payer</t>
        </is>
      </c>
      <c r="J398" t="inlineStr">
        <is>
          <t>Fatima Al-Saud</t>
        </is>
      </c>
      <c r="K398" s="70" t="n">
        <v>73</v>
      </c>
      <c r="L398" s="71" t="n">
        <v>655.52</v>
      </c>
      <c r="M398" s="71" t="n">
        <v>47852.96</v>
      </c>
      <c r="N398" s="71" t="n">
        <v>9570.59</v>
      </c>
      <c r="O398" s="71" t="n">
        <v>38282.37</v>
      </c>
      <c r="P398" s="71" t="n">
        <v>5365.81</v>
      </c>
      <c r="Q398" s="71" t="n">
        <v>32916.56</v>
      </c>
      <c r="R398" t="inlineStr">
        <is>
          <t>Cardiology</t>
        </is>
      </c>
      <c r="S398" s="70" t="n">
        <v>55</v>
      </c>
      <c r="T398" s="71" t="n">
        <v>7400.83</v>
      </c>
      <c r="U398" t="inlineStr">
        <is>
          <t>High</t>
        </is>
      </c>
      <c r="V398">
        <f>IF(AND(OR(Dashboard!$C$6="All",E398=Dashboard!$C$6),OR(Dashboard!$F$6="All",G398=Dashboard!$F$6),OR(Dashboard!$I$6="All",H398=Dashboard!$I$6)),1,0)</f>
        <v/>
      </c>
    </row>
    <row r="399">
      <c r="A399" t="inlineStr">
        <is>
          <t>PF100390</t>
        </is>
      </c>
      <c r="B399" s="68" t="n">
        <v>45703</v>
      </c>
      <c r="C399" s="69" t="n">
        <v>2025</v>
      </c>
      <c r="D399" t="inlineStr">
        <is>
          <t>Feb</t>
        </is>
      </c>
      <c r="E399" t="inlineStr">
        <is>
          <t>United States</t>
        </is>
      </c>
      <c r="F399" t="inlineStr">
        <is>
          <t>USA</t>
        </is>
      </c>
      <c r="G399" t="inlineStr">
        <is>
          <t>Abrysvo</t>
        </is>
      </c>
      <c r="H399" t="inlineStr">
        <is>
          <t>Government / tender</t>
        </is>
      </c>
      <c r="I399" t="inlineStr">
        <is>
          <t>Self-pay</t>
        </is>
      </c>
      <c r="J399" t="inlineStr">
        <is>
          <t>Amir Khan</t>
        </is>
      </c>
      <c r="K399" s="70" t="n">
        <v>1400</v>
      </c>
      <c r="L399" s="71" t="n">
        <v>446.1</v>
      </c>
      <c r="M399" s="71" t="n">
        <v>624540</v>
      </c>
      <c r="N399" s="71" t="n">
        <v>187362</v>
      </c>
      <c r="O399" s="71" t="n">
        <v>437178</v>
      </c>
      <c r="P399" s="71" t="n">
        <v>113258.08</v>
      </c>
      <c r="Q399" s="71" t="n">
        <v>323919.92</v>
      </c>
      <c r="R399" t="inlineStr">
        <is>
          <t>Vaccines</t>
        </is>
      </c>
      <c r="S399" s="70" t="n">
        <v>958</v>
      </c>
      <c r="T399" s="71" t="n">
        <v>80340.57000000001</v>
      </c>
      <c r="U399" t="inlineStr">
        <is>
          <t>Low</t>
        </is>
      </c>
      <c r="V399">
        <f>IF(AND(OR(Dashboard!$C$6="All",E399=Dashboard!$C$6),OR(Dashboard!$F$6="All",G399=Dashboard!$F$6),OR(Dashboard!$I$6="All",H399=Dashboard!$I$6)),1,0)</f>
        <v/>
      </c>
    </row>
    <row r="400">
      <c r="A400" t="inlineStr">
        <is>
          <t>PF100391</t>
        </is>
      </c>
      <c r="B400" s="68" t="n">
        <v>45703</v>
      </c>
      <c r="C400" s="69" t="n">
        <v>2025</v>
      </c>
      <c r="D400" t="inlineStr">
        <is>
          <t>Feb</t>
        </is>
      </c>
      <c r="E400" t="inlineStr">
        <is>
          <t>Emerging markets</t>
        </is>
      </c>
      <c r="F400" t="inlineStr">
        <is>
          <t>Brazil</t>
        </is>
      </c>
      <c r="G400" t="inlineStr">
        <is>
          <t>Xeljanz</t>
        </is>
      </c>
      <c r="H400" t="inlineStr">
        <is>
          <t>Government / tender</t>
        </is>
      </c>
      <c r="I400" t="inlineStr">
        <is>
          <t>Private insurer</t>
        </is>
      </c>
      <c r="J400" t="inlineStr">
        <is>
          <t>Kofi Mensah</t>
        </is>
      </c>
      <c r="K400" s="70" t="n">
        <v>600</v>
      </c>
      <c r="L400" s="71" t="n">
        <v>1530.87</v>
      </c>
      <c r="M400" s="71" t="n">
        <v>918522</v>
      </c>
      <c r="N400" s="71" t="n">
        <v>137778.3</v>
      </c>
      <c r="O400" s="71" t="n">
        <v>780743.7</v>
      </c>
      <c r="P400" s="71" t="n">
        <v>152060.68</v>
      </c>
      <c r="Q400" s="71" t="n">
        <v>628683.02</v>
      </c>
      <c r="R400" t="inlineStr">
        <is>
          <t>Inflammation</t>
        </is>
      </c>
      <c r="S400" s="70" t="n">
        <v>518</v>
      </c>
      <c r="T400" s="71" t="n">
        <v>118792.17</v>
      </c>
      <c r="U400" t="inlineStr">
        <is>
          <t>High</t>
        </is>
      </c>
      <c r="V400">
        <f>IF(AND(OR(Dashboard!$C$6="All",E400=Dashboard!$C$6),OR(Dashboard!$F$6="All",G400=Dashboard!$F$6),OR(Dashboard!$I$6="All",H400=Dashboard!$I$6)),1,0)</f>
        <v/>
      </c>
    </row>
    <row r="401">
      <c r="A401" t="inlineStr">
        <is>
          <t>PF100392</t>
        </is>
      </c>
      <c r="B401" s="68" t="n">
        <v>45703</v>
      </c>
      <c r="C401" s="69" t="n">
        <v>2025</v>
      </c>
      <c r="D401" t="inlineStr">
        <is>
          <t>Feb</t>
        </is>
      </c>
      <c r="E401" t="inlineStr">
        <is>
          <t>Europe</t>
        </is>
      </c>
      <c r="F401" t="inlineStr">
        <is>
          <t>Spain</t>
        </is>
      </c>
      <c r="G401" t="inlineStr">
        <is>
          <t>Xeljanz</t>
        </is>
      </c>
      <c r="H401" t="inlineStr">
        <is>
          <t>Hospital</t>
        </is>
      </c>
      <c r="I401" t="inlineStr">
        <is>
          <t>Public payer</t>
        </is>
      </c>
      <c r="J401" t="inlineStr">
        <is>
          <t>Zoya Ahmed</t>
        </is>
      </c>
      <c r="K401" s="70" t="n">
        <v>1759</v>
      </c>
      <c r="L401" s="71" t="n">
        <v>1530.97</v>
      </c>
      <c r="M401" s="71" t="n">
        <v>2692976.23</v>
      </c>
      <c r="N401" s="71" t="n">
        <v>403946.43</v>
      </c>
      <c r="O401" s="71" t="n">
        <v>2289029.8</v>
      </c>
      <c r="P401" s="71" t="n">
        <v>444509.9</v>
      </c>
      <c r="Q401" s="71" t="n">
        <v>1844519.9</v>
      </c>
      <c r="R401" t="inlineStr">
        <is>
          <t>Inflammation</t>
        </is>
      </c>
      <c r="S401" s="70" t="n">
        <v>1456</v>
      </c>
      <c r="T401" s="71" t="n">
        <v>495004.7</v>
      </c>
      <c r="U401" t="inlineStr">
        <is>
          <t>High</t>
        </is>
      </c>
      <c r="V401">
        <f>IF(AND(OR(Dashboard!$C$6="All",E401=Dashboard!$C$6),OR(Dashboard!$F$6="All",G401=Dashboard!$F$6),OR(Dashboard!$I$6="All",H401=Dashboard!$I$6)),1,0)</f>
        <v/>
      </c>
    </row>
    <row r="402">
      <c r="A402" t="inlineStr">
        <is>
          <t>PF100393</t>
        </is>
      </c>
      <c r="B402" s="68" t="n">
        <v>45703</v>
      </c>
      <c r="C402" s="69" t="n">
        <v>2025</v>
      </c>
      <c r="D402" t="inlineStr">
        <is>
          <t>Feb</t>
        </is>
      </c>
      <c r="E402" t="inlineStr">
        <is>
          <t>Europe</t>
        </is>
      </c>
      <c r="F402" t="inlineStr">
        <is>
          <t>Italy</t>
        </is>
      </c>
      <c r="G402" t="inlineStr">
        <is>
          <t>Paxlovid</t>
        </is>
      </c>
      <c r="H402" t="inlineStr">
        <is>
          <t>Government / tender</t>
        </is>
      </c>
      <c r="I402" t="inlineStr">
        <is>
          <t>Private insurer</t>
        </is>
      </c>
      <c r="J402" t="inlineStr">
        <is>
          <t>Mei Lin</t>
        </is>
      </c>
      <c r="K402" s="70" t="n">
        <v>442</v>
      </c>
      <c r="L402" s="71" t="n">
        <v>1123.32</v>
      </c>
      <c r="M402" s="71" t="n">
        <v>496507.44</v>
      </c>
      <c r="N402" s="71" t="n">
        <v>99301.49000000001</v>
      </c>
      <c r="O402" s="71" t="n">
        <v>397205.95</v>
      </c>
      <c r="P402" s="71" t="n">
        <v>121305.79</v>
      </c>
      <c r="Q402" s="71" t="n">
        <v>275900.16</v>
      </c>
      <c r="R402" t="inlineStr">
        <is>
          <t>Antiviral</t>
        </is>
      </c>
      <c r="S402" s="70" t="n">
        <v>279</v>
      </c>
      <c r="T402" s="71" t="n">
        <v>100528.94</v>
      </c>
      <c r="U402" t="inlineStr">
        <is>
          <t>Low</t>
        </is>
      </c>
      <c r="V402">
        <f>IF(AND(OR(Dashboard!$C$6="All",E402=Dashboard!$C$6),OR(Dashboard!$F$6="All",G402=Dashboard!$F$6),OR(Dashboard!$I$6="All",H402=Dashboard!$I$6)),1,0)</f>
        <v/>
      </c>
    </row>
    <row r="403">
      <c r="A403" t="inlineStr">
        <is>
          <t>PF100394</t>
        </is>
      </c>
      <c r="B403" s="68" t="n">
        <v>45703</v>
      </c>
      <c r="C403" s="69" t="n">
        <v>2025</v>
      </c>
      <c r="D403" t="inlineStr">
        <is>
          <t>Feb</t>
        </is>
      </c>
      <c r="E403" t="inlineStr">
        <is>
          <t>Emerging markets</t>
        </is>
      </c>
      <c r="F403" t="inlineStr">
        <is>
          <t>China</t>
        </is>
      </c>
      <c r="G403" t="inlineStr">
        <is>
          <t>Prevnar 20</t>
        </is>
      </c>
      <c r="H403" t="inlineStr">
        <is>
          <t>Hospital</t>
        </is>
      </c>
      <c r="I403" t="inlineStr">
        <is>
          <t>Private insurer</t>
        </is>
      </c>
      <c r="J403" t="inlineStr">
        <is>
          <t>Olivia Brown</t>
        </is>
      </c>
      <c r="K403" s="70" t="n">
        <v>2293</v>
      </c>
      <c r="L403" s="71" t="n">
        <v>216.93</v>
      </c>
      <c r="M403" s="71" t="n">
        <v>497420.49</v>
      </c>
      <c r="N403" s="71" t="n">
        <v>124355.12</v>
      </c>
      <c r="O403" s="71" t="n">
        <v>373065.37</v>
      </c>
      <c r="P403" s="71" t="n">
        <v>161877.39</v>
      </c>
      <c r="Q403" s="71" t="n">
        <v>211187.98</v>
      </c>
      <c r="R403" t="inlineStr">
        <is>
          <t>Vaccines</t>
        </is>
      </c>
      <c r="S403" s="70" t="n">
        <v>2066</v>
      </c>
      <c r="T403" s="71" t="n">
        <v>90825.59</v>
      </c>
      <c r="U403" t="inlineStr">
        <is>
          <t>Low</t>
        </is>
      </c>
      <c r="V403">
        <f>IF(AND(OR(Dashboard!$C$6="All",E403=Dashboard!$C$6),OR(Dashboard!$F$6="All",G403=Dashboard!$F$6),OR(Dashboard!$I$6="All",H403=Dashboard!$I$6)),1,0)</f>
        <v/>
      </c>
    </row>
    <row r="404">
      <c r="A404" t="inlineStr">
        <is>
          <t>PF100395</t>
        </is>
      </c>
      <c r="B404" s="68" t="n">
        <v>45703</v>
      </c>
      <c r="C404" s="69" t="n">
        <v>2025</v>
      </c>
      <c r="D404" t="inlineStr">
        <is>
          <t>Feb</t>
        </is>
      </c>
      <c r="E404" t="inlineStr">
        <is>
          <t>Europe</t>
        </is>
      </c>
      <c r="F404" t="inlineStr">
        <is>
          <t>Spain</t>
        </is>
      </c>
      <c r="G404" t="inlineStr">
        <is>
          <t>Eliquis</t>
        </is>
      </c>
      <c r="H404" t="inlineStr">
        <is>
          <t>Retail pharmacy</t>
        </is>
      </c>
      <c r="I404" t="inlineStr">
        <is>
          <t>Private insurer</t>
        </is>
      </c>
      <c r="J404" t="inlineStr">
        <is>
          <t>Olivia Brown</t>
        </is>
      </c>
      <c r="K404" s="70" t="n">
        <v>2037</v>
      </c>
      <c r="L404" s="71" t="n">
        <v>437.62</v>
      </c>
      <c r="M404" s="71" t="n">
        <v>891431.9399999999</v>
      </c>
      <c r="N404" s="71" t="n">
        <v>178286.39</v>
      </c>
      <c r="O404" s="71" t="n">
        <v>713145.55</v>
      </c>
      <c r="P404" s="71" t="n">
        <v>149793.23</v>
      </c>
      <c r="Q404" s="71" t="n">
        <v>563352.3199999999</v>
      </c>
      <c r="R404" t="inlineStr">
        <is>
          <t>Cardiology</t>
        </is>
      </c>
      <c r="S404" s="70" t="n">
        <v>1452</v>
      </c>
      <c r="T404" s="71" t="n">
        <v>115946.79</v>
      </c>
      <c r="U404" t="inlineStr">
        <is>
          <t>High</t>
        </is>
      </c>
      <c r="V404">
        <f>IF(AND(OR(Dashboard!$C$6="All",E404=Dashboard!$C$6),OR(Dashboard!$F$6="All",G404=Dashboard!$F$6),OR(Dashboard!$I$6="All",H404=Dashboard!$I$6)),1,0)</f>
        <v/>
      </c>
    </row>
    <row r="405">
      <c r="A405" t="inlineStr">
        <is>
          <t>PF100396</t>
        </is>
      </c>
      <c r="B405" s="68" t="n">
        <v>45703</v>
      </c>
      <c r="C405" s="69" t="n">
        <v>2025</v>
      </c>
      <c r="D405" t="inlineStr">
        <is>
          <t>Feb</t>
        </is>
      </c>
      <c r="E405" t="inlineStr">
        <is>
          <t>United States</t>
        </is>
      </c>
      <c r="F405" t="inlineStr">
        <is>
          <t>USA</t>
        </is>
      </c>
      <c r="G405" t="inlineStr">
        <is>
          <t>Eliquis</t>
        </is>
      </c>
      <c r="H405" t="inlineStr">
        <is>
          <t>Hospital</t>
        </is>
      </c>
      <c r="I405" t="inlineStr">
        <is>
          <t>Public payer</t>
        </is>
      </c>
      <c r="J405" t="inlineStr">
        <is>
          <t>Shraddha Kulkarni</t>
        </is>
      </c>
      <c r="K405" s="70" t="n">
        <v>2337</v>
      </c>
      <c r="L405" s="71" t="n">
        <v>660.54</v>
      </c>
      <c r="M405" s="71" t="n">
        <v>1543681.98</v>
      </c>
      <c r="N405" s="71" t="n">
        <v>540288.6899999999</v>
      </c>
      <c r="O405" s="71" t="n">
        <v>1003393.29</v>
      </c>
      <c r="P405" s="71" t="n">
        <v>173852.96</v>
      </c>
      <c r="Q405" s="71" t="n">
        <v>829540.33</v>
      </c>
      <c r="R405" t="inlineStr">
        <is>
          <t>Cardiology</t>
        </is>
      </c>
      <c r="S405" s="70" t="n">
        <v>1684</v>
      </c>
      <c r="T405" s="71" t="n">
        <v>313984.53</v>
      </c>
      <c r="U405" t="inlineStr">
        <is>
          <t>High</t>
        </is>
      </c>
      <c r="V405">
        <f>IF(AND(OR(Dashboard!$C$6="All",E405=Dashboard!$C$6),OR(Dashboard!$F$6="All",G405=Dashboard!$F$6),OR(Dashboard!$I$6="All",H405=Dashboard!$I$6)),1,0)</f>
        <v/>
      </c>
    </row>
    <row r="406">
      <c r="A406" t="inlineStr">
        <is>
          <t>PF100397</t>
        </is>
      </c>
      <c r="B406" s="68" t="n">
        <v>45703</v>
      </c>
      <c r="C406" s="69" t="n">
        <v>2025</v>
      </c>
      <c r="D406" t="inlineStr">
        <is>
          <t>Feb</t>
        </is>
      </c>
      <c r="E406" t="inlineStr">
        <is>
          <t>United States</t>
        </is>
      </c>
      <c r="F406" t="inlineStr">
        <is>
          <t>USA</t>
        </is>
      </c>
      <c r="G406" t="inlineStr">
        <is>
          <t>Comirnaty</t>
        </is>
      </c>
      <c r="H406" t="inlineStr">
        <is>
          <t>Hospital</t>
        </is>
      </c>
      <c r="I406" t="inlineStr">
        <is>
          <t>Private insurer</t>
        </is>
      </c>
      <c r="J406" t="inlineStr">
        <is>
          <t>Ruhi Shaikh</t>
        </is>
      </c>
      <c r="K406" s="70" t="n">
        <v>1067</v>
      </c>
      <c r="L406" s="71" t="n">
        <v>181.38</v>
      </c>
      <c r="M406" s="71" t="n">
        <v>193532.46</v>
      </c>
      <c r="N406" s="71" t="n">
        <v>38706.49</v>
      </c>
      <c r="O406" s="71" t="n">
        <v>154825.97</v>
      </c>
      <c r="P406" s="71" t="n">
        <v>42295.28</v>
      </c>
      <c r="Q406" s="71" t="n">
        <v>112530.69</v>
      </c>
      <c r="R406" t="inlineStr">
        <is>
          <t>Vaccines</t>
        </is>
      </c>
      <c r="S406" s="70" t="n">
        <v>696</v>
      </c>
      <c r="T406" s="71" t="n">
        <v>41679.1</v>
      </c>
      <c r="U406" t="inlineStr">
        <is>
          <t>Low</t>
        </is>
      </c>
      <c r="V406">
        <f>IF(AND(OR(Dashboard!$C$6="All",E406=Dashboard!$C$6),OR(Dashboard!$F$6="All",G406=Dashboard!$F$6),OR(Dashboard!$I$6="All",H406=Dashboard!$I$6)),1,0)</f>
        <v/>
      </c>
    </row>
    <row r="407">
      <c r="A407" t="inlineStr">
        <is>
          <t>PF100398</t>
        </is>
      </c>
      <c r="B407" s="68" t="n">
        <v>45704</v>
      </c>
      <c r="C407" s="69" t="n">
        <v>2025</v>
      </c>
      <c r="D407" t="inlineStr">
        <is>
          <t>Feb</t>
        </is>
      </c>
      <c r="E407" t="inlineStr">
        <is>
          <t>International developed</t>
        </is>
      </c>
      <c r="F407" t="inlineStr">
        <is>
          <t>Canada</t>
        </is>
      </c>
      <c r="G407" t="inlineStr">
        <is>
          <t>Eliquis</t>
        </is>
      </c>
      <c r="H407" t="inlineStr">
        <is>
          <t>Hospital</t>
        </is>
      </c>
      <c r="I407" t="inlineStr">
        <is>
          <t>Private insurer</t>
        </is>
      </c>
      <c r="J407" t="inlineStr">
        <is>
          <t>Omar Haddad</t>
        </is>
      </c>
      <c r="K407" s="70" t="n">
        <v>127</v>
      </c>
      <c r="L407" s="71" t="n">
        <v>401.69</v>
      </c>
      <c r="M407" s="71" t="n">
        <v>51014.63</v>
      </c>
      <c r="N407" s="71" t="n">
        <v>2550.73</v>
      </c>
      <c r="O407" s="71" t="n">
        <v>48463.9</v>
      </c>
      <c r="P407" s="71" t="n">
        <v>9872.1</v>
      </c>
      <c r="Q407" s="71" t="n">
        <v>38591.8</v>
      </c>
      <c r="R407" t="inlineStr">
        <is>
          <t>Cardiology</t>
        </is>
      </c>
      <c r="S407" s="70" t="n">
        <v>111</v>
      </c>
      <c r="T407" s="71" t="n">
        <v>9077.98</v>
      </c>
      <c r="U407" t="inlineStr">
        <is>
          <t>High</t>
        </is>
      </c>
      <c r="V407">
        <f>IF(AND(OR(Dashboard!$C$6="All",E407=Dashboard!$C$6),OR(Dashboard!$F$6="All",G407=Dashboard!$F$6),OR(Dashboard!$I$6="All",H407=Dashboard!$I$6)),1,0)</f>
        <v/>
      </c>
    </row>
    <row r="408">
      <c r="A408" t="inlineStr">
        <is>
          <t>PF100399</t>
        </is>
      </c>
      <c r="B408" s="68" t="n">
        <v>45704</v>
      </c>
      <c r="C408" s="69" t="n">
        <v>2025</v>
      </c>
      <c r="D408" t="inlineStr">
        <is>
          <t>Feb</t>
        </is>
      </c>
      <c r="E408" t="inlineStr">
        <is>
          <t>International developed</t>
        </is>
      </c>
      <c r="F408" t="inlineStr">
        <is>
          <t>Canada</t>
        </is>
      </c>
      <c r="G408" t="inlineStr">
        <is>
          <t>Prevnar 20</t>
        </is>
      </c>
      <c r="H408" t="inlineStr">
        <is>
          <t>Retail pharmacy</t>
        </is>
      </c>
      <c r="I408" t="inlineStr">
        <is>
          <t>Private insurer</t>
        </is>
      </c>
      <c r="J408" t="inlineStr">
        <is>
          <t>Carlos Silva</t>
        </is>
      </c>
      <c r="K408" s="70" t="n">
        <v>2426</v>
      </c>
      <c r="L408" s="71" t="n">
        <v>222.57</v>
      </c>
      <c r="M408" s="71" t="n">
        <v>539954.8199999999</v>
      </c>
      <c r="N408" s="71" t="n">
        <v>53995.48</v>
      </c>
      <c r="O408" s="71" t="n">
        <v>485959.34</v>
      </c>
      <c r="P408" s="71" t="n">
        <v>169513.25</v>
      </c>
      <c r="Q408" s="71" t="n">
        <v>316446.09</v>
      </c>
      <c r="R408" t="inlineStr">
        <is>
          <t>Vaccines</t>
        </is>
      </c>
      <c r="S408" s="70" t="n">
        <v>1525</v>
      </c>
      <c r="T408" s="71" t="n">
        <v>106787.42</v>
      </c>
      <c r="U408" t="inlineStr">
        <is>
          <t>Low</t>
        </is>
      </c>
      <c r="V408">
        <f>IF(AND(OR(Dashboard!$C$6="All",E408=Dashboard!$C$6),OR(Dashboard!$F$6="All",G408=Dashboard!$F$6),OR(Dashboard!$I$6="All",H408=Dashboard!$I$6)),1,0)</f>
        <v/>
      </c>
    </row>
    <row r="409">
      <c r="A409" t="inlineStr">
        <is>
          <t>PF100400</t>
        </is>
      </c>
      <c r="B409" s="68" t="n">
        <v>45704</v>
      </c>
      <c r="C409" s="69" t="n">
        <v>2025</v>
      </c>
      <c r="D409" t="inlineStr">
        <is>
          <t>Feb</t>
        </is>
      </c>
      <c r="E409" t="inlineStr">
        <is>
          <t>United States</t>
        </is>
      </c>
      <c r="F409" t="inlineStr">
        <is>
          <t>USA</t>
        </is>
      </c>
      <c r="G409" t="inlineStr">
        <is>
          <t>Abrysvo</t>
        </is>
      </c>
      <c r="H409" t="inlineStr">
        <is>
          <t>Retail pharmacy</t>
        </is>
      </c>
      <c r="I409" t="inlineStr">
        <is>
          <t>Self-pay</t>
        </is>
      </c>
      <c r="J409" t="inlineStr">
        <is>
          <t>Ruhi Shaikh</t>
        </is>
      </c>
      <c r="K409" s="70" t="n">
        <v>2475</v>
      </c>
      <c r="L409" s="71" t="n">
        <v>413.39</v>
      </c>
      <c r="M409" s="71" t="n">
        <v>1023140.25</v>
      </c>
      <c r="N409" s="71" t="n">
        <v>255785.06</v>
      </c>
      <c r="O409" s="71" t="n">
        <v>767355.1899999999</v>
      </c>
      <c r="P409" s="71" t="n">
        <v>204011.79</v>
      </c>
      <c r="Q409" s="71" t="n">
        <v>563343.4</v>
      </c>
      <c r="R409" t="inlineStr">
        <is>
          <t>Vaccines</t>
        </is>
      </c>
      <c r="S409" s="70" t="n">
        <v>2335</v>
      </c>
      <c r="T409" s="71" t="n">
        <v>162217.58</v>
      </c>
      <c r="U409" t="inlineStr">
        <is>
          <t>Low</t>
        </is>
      </c>
      <c r="V409">
        <f>IF(AND(OR(Dashboard!$C$6="All",E409=Dashboard!$C$6),OR(Dashboard!$F$6="All",G409=Dashboard!$F$6),OR(Dashboard!$I$6="All",H409=Dashboard!$I$6)),1,0)</f>
        <v/>
      </c>
    </row>
    <row r="410">
      <c r="A410" t="inlineStr">
        <is>
          <t>PF100401</t>
        </is>
      </c>
      <c r="B410" s="68" t="n">
        <v>45704</v>
      </c>
      <c r="C410" s="69" t="n">
        <v>2025</v>
      </c>
      <c r="D410" t="inlineStr">
        <is>
          <t>Feb</t>
        </is>
      </c>
      <c r="E410" t="inlineStr">
        <is>
          <t>United States</t>
        </is>
      </c>
      <c r="F410" t="inlineStr">
        <is>
          <t>USA</t>
        </is>
      </c>
      <c r="G410" t="inlineStr">
        <is>
          <t>Paxlovid</t>
        </is>
      </c>
      <c r="H410" t="inlineStr">
        <is>
          <t>Hospital</t>
        </is>
      </c>
      <c r="I410" t="inlineStr">
        <is>
          <t>Public payer</t>
        </is>
      </c>
      <c r="J410" t="inlineStr">
        <is>
          <t>Emma Clarke</t>
        </is>
      </c>
      <c r="K410" s="70" t="n">
        <v>2361</v>
      </c>
      <c r="L410" s="71" t="n">
        <v>1584.58</v>
      </c>
      <c r="M410" s="71" t="n">
        <v>3741193.38</v>
      </c>
      <c r="N410" s="71" t="n">
        <v>935298.34</v>
      </c>
      <c r="O410" s="71" t="n">
        <v>2805895.04</v>
      </c>
      <c r="P410" s="71" t="n">
        <v>637479.49</v>
      </c>
      <c r="Q410" s="71" t="n">
        <v>2168415.55</v>
      </c>
      <c r="R410" t="inlineStr">
        <is>
          <t>Antiviral</t>
        </is>
      </c>
      <c r="S410" s="70" t="n">
        <v>2135</v>
      </c>
      <c r="T410" s="71" t="n">
        <v>586324.2</v>
      </c>
      <c r="U410" t="inlineStr">
        <is>
          <t>Low</t>
        </is>
      </c>
      <c r="V410">
        <f>IF(AND(OR(Dashboard!$C$6="All",E410=Dashboard!$C$6),OR(Dashboard!$F$6="All",G410=Dashboard!$F$6),OR(Dashboard!$I$6="All",H410=Dashboard!$I$6)),1,0)</f>
        <v/>
      </c>
    </row>
    <row r="411">
      <c r="A411" t="inlineStr">
        <is>
          <t>PF100402</t>
        </is>
      </c>
      <c r="B411" s="68" t="n">
        <v>45704</v>
      </c>
      <c r="C411" s="69" t="n">
        <v>2025</v>
      </c>
      <c r="D411" t="inlineStr">
        <is>
          <t>Feb</t>
        </is>
      </c>
      <c r="E411" t="inlineStr">
        <is>
          <t>United States</t>
        </is>
      </c>
      <c r="F411" t="inlineStr">
        <is>
          <t>USA</t>
        </is>
      </c>
      <c r="G411" t="inlineStr">
        <is>
          <t>Xeljanz</t>
        </is>
      </c>
      <c r="H411" t="inlineStr">
        <is>
          <t>Retail pharmacy</t>
        </is>
      </c>
      <c r="I411" t="inlineStr">
        <is>
          <t>Private insurer</t>
        </is>
      </c>
      <c r="J411" t="inlineStr">
        <is>
          <t>Priya Nair</t>
        </is>
      </c>
      <c r="K411" s="70" t="n">
        <v>1876</v>
      </c>
      <c r="L411" s="71" t="n">
        <v>2305.15</v>
      </c>
      <c r="M411" s="71" t="n">
        <v>4324461.4</v>
      </c>
      <c r="N411" s="71" t="n">
        <v>864892.28</v>
      </c>
      <c r="O411" s="71" t="n">
        <v>3459569.12</v>
      </c>
      <c r="P411" s="71" t="n">
        <v>458913.93</v>
      </c>
      <c r="Q411" s="71" t="n">
        <v>3000655.19</v>
      </c>
      <c r="R411" t="inlineStr">
        <is>
          <t>Inflammation</t>
        </is>
      </c>
      <c r="S411" s="70" t="n">
        <v>1475</v>
      </c>
      <c r="T411" s="71" t="n">
        <v>704973.09</v>
      </c>
      <c r="U411" t="inlineStr">
        <is>
          <t>High</t>
        </is>
      </c>
      <c r="V411">
        <f>IF(AND(OR(Dashboard!$C$6="All",E411=Dashboard!$C$6),OR(Dashboard!$F$6="All",G411=Dashboard!$F$6),OR(Dashboard!$I$6="All",H411=Dashboard!$I$6)),1,0)</f>
        <v/>
      </c>
    </row>
    <row r="412">
      <c r="A412" t="inlineStr">
        <is>
          <t>PF100403</t>
        </is>
      </c>
      <c r="B412" s="68" t="n">
        <v>45704</v>
      </c>
      <c r="C412" s="69" t="n">
        <v>2025</v>
      </c>
      <c r="D412" t="inlineStr">
        <is>
          <t>Feb</t>
        </is>
      </c>
      <c r="E412" t="inlineStr">
        <is>
          <t>Europe</t>
        </is>
      </c>
      <c r="F412" t="inlineStr">
        <is>
          <t>France</t>
        </is>
      </c>
      <c r="G412" t="inlineStr">
        <is>
          <t>Paxlovid</t>
        </is>
      </c>
      <c r="H412" t="inlineStr">
        <is>
          <t>Retail pharmacy</t>
        </is>
      </c>
      <c r="I412" t="inlineStr">
        <is>
          <t>Self-pay</t>
        </is>
      </c>
      <c r="J412" t="inlineStr">
        <is>
          <t>Ravindra Patil</t>
        </is>
      </c>
      <c r="K412" s="70" t="n">
        <v>746</v>
      </c>
      <c r="L412" s="71" t="n">
        <v>1027.28</v>
      </c>
      <c r="M412" s="71" t="n">
        <v>766350.88</v>
      </c>
      <c r="N412" s="71" t="n">
        <v>76635.09</v>
      </c>
      <c r="O412" s="71" t="n">
        <v>689715.79</v>
      </c>
      <c r="P412" s="71" t="n">
        <v>203907.13</v>
      </c>
      <c r="Q412" s="71" t="n">
        <v>485808.66</v>
      </c>
      <c r="R412" t="inlineStr">
        <is>
          <t>Antiviral</t>
        </is>
      </c>
      <c r="S412" s="70" t="n">
        <v>472</v>
      </c>
      <c r="T412" s="71" t="n">
        <v>158151.15</v>
      </c>
      <c r="U412" t="inlineStr">
        <is>
          <t>Low</t>
        </is>
      </c>
      <c r="V412">
        <f>IF(AND(OR(Dashboard!$C$6="All",E412=Dashboard!$C$6),OR(Dashboard!$F$6="All",G412=Dashboard!$F$6),OR(Dashboard!$I$6="All",H412=Dashboard!$I$6)),1,0)</f>
        <v/>
      </c>
    </row>
    <row r="413">
      <c r="A413" t="inlineStr">
        <is>
          <t>PF100404</t>
        </is>
      </c>
      <c r="B413" s="68" t="n">
        <v>45704</v>
      </c>
      <c r="C413" s="69" t="n">
        <v>2025</v>
      </c>
      <c r="D413" t="inlineStr">
        <is>
          <t>Feb</t>
        </is>
      </c>
      <c r="E413" t="inlineStr">
        <is>
          <t>Emerging markets</t>
        </is>
      </c>
      <c r="F413" t="inlineStr">
        <is>
          <t>Mexico</t>
        </is>
      </c>
      <c r="G413" t="inlineStr">
        <is>
          <t>Eliquis</t>
        </is>
      </c>
      <c r="H413" t="inlineStr">
        <is>
          <t>Government / tender</t>
        </is>
      </c>
      <c r="I413" t="inlineStr">
        <is>
          <t>Private insurer</t>
        </is>
      </c>
      <c r="J413" t="inlineStr">
        <is>
          <t>Hiroshi Tanaka</t>
        </is>
      </c>
      <c r="K413" s="70" t="n">
        <v>1246</v>
      </c>
      <c r="L413" s="71" t="n">
        <v>391.48</v>
      </c>
      <c r="M413" s="71" t="n">
        <v>487784.08</v>
      </c>
      <c r="N413" s="71" t="n">
        <v>97556.82000000001</v>
      </c>
      <c r="O413" s="71" t="n">
        <v>390227.26</v>
      </c>
      <c r="P413" s="71" t="n">
        <v>95052.61</v>
      </c>
      <c r="Q413" s="71" t="n">
        <v>295174.65</v>
      </c>
      <c r="R413" t="inlineStr">
        <is>
          <t>Cardiology</t>
        </is>
      </c>
      <c r="S413" s="70" t="n">
        <v>1030</v>
      </c>
      <c r="T413" s="71" t="n">
        <v>103884.6</v>
      </c>
      <c r="U413" t="inlineStr">
        <is>
          <t>High</t>
        </is>
      </c>
      <c r="V413">
        <f>IF(AND(OR(Dashboard!$C$6="All",E413=Dashboard!$C$6),OR(Dashboard!$F$6="All",G413=Dashboard!$F$6),OR(Dashboard!$I$6="All",H413=Dashboard!$I$6)),1,0)</f>
        <v/>
      </c>
    </row>
    <row r="414">
      <c r="A414" t="inlineStr">
        <is>
          <t>PF100405</t>
        </is>
      </c>
      <c r="B414" s="68" t="n">
        <v>45704</v>
      </c>
      <c r="C414" s="69" t="n">
        <v>2025</v>
      </c>
      <c r="D414" t="inlineStr">
        <is>
          <t>Feb</t>
        </is>
      </c>
      <c r="E414" t="inlineStr">
        <is>
          <t>Europe</t>
        </is>
      </c>
      <c r="F414" t="inlineStr">
        <is>
          <t>Italy</t>
        </is>
      </c>
      <c r="G414" t="inlineStr">
        <is>
          <t>Xeljanz</t>
        </is>
      </c>
      <c r="H414" t="inlineStr">
        <is>
          <t>Retail pharmacy</t>
        </is>
      </c>
      <c r="I414" t="inlineStr">
        <is>
          <t>Private insurer</t>
        </is>
      </c>
      <c r="J414" t="inlineStr">
        <is>
          <t>Wei Chen</t>
        </is>
      </c>
      <c r="K414" s="70" t="n">
        <v>2182</v>
      </c>
      <c r="L414" s="71" t="n">
        <v>1475.42</v>
      </c>
      <c r="M414" s="71" t="n">
        <v>3219366.44</v>
      </c>
      <c r="N414" s="71" t="n">
        <v>321936.64</v>
      </c>
      <c r="O414" s="71" t="n">
        <v>2897429.8</v>
      </c>
      <c r="P414" s="71" t="n">
        <v>532030.15</v>
      </c>
      <c r="Q414" s="71" t="n">
        <v>2365399.65</v>
      </c>
      <c r="R414" t="inlineStr">
        <is>
          <t>Inflammation</t>
        </is>
      </c>
      <c r="S414" s="70" t="n">
        <v>1557</v>
      </c>
      <c r="T414" s="71" t="n">
        <v>645005.26</v>
      </c>
      <c r="U414" t="inlineStr">
        <is>
          <t>High</t>
        </is>
      </c>
      <c r="V414">
        <f>IF(AND(OR(Dashboard!$C$6="All",E414=Dashboard!$C$6),OR(Dashboard!$F$6="All",G414=Dashboard!$F$6),OR(Dashboard!$I$6="All",H414=Dashboard!$I$6)),1,0)</f>
        <v/>
      </c>
    </row>
    <row r="415">
      <c r="A415" t="inlineStr">
        <is>
          <t>PF100406</t>
        </is>
      </c>
      <c r="B415" s="68" t="n">
        <v>45705</v>
      </c>
      <c r="C415" s="69" t="n">
        <v>2025</v>
      </c>
      <c r="D415" t="inlineStr">
        <is>
          <t>Feb</t>
        </is>
      </c>
      <c r="E415" t="inlineStr">
        <is>
          <t>International developed</t>
        </is>
      </c>
      <c r="F415" t="inlineStr">
        <is>
          <t>Canada</t>
        </is>
      </c>
      <c r="G415" t="inlineStr">
        <is>
          <t>Prevnar 20</t>
        </is>
      </c>
      <c r="H415" t="inlineStr">
        <is>
          <t>Retail pharmacy</t>
        </is>
      </c>
      <c r="I415" t="inlineStr">
        <is>
          <t>Self-pay</t>
        </is>
      </c>
      <c r="J415" t="inlineStr">
        <is>
          <t>Hiroshi Tanaka</t>
        </is>
      </c>
      <c r="K415" s="70" t="n">
        <v>1009</v>
      </c>
      <c r="L415" s="71" t="n">
        <v>233.8</v>
      </c>
      <c r="M415" s="71" t="n">
        <v>235904.2</v>
      </c>
      <c r="N415" s="71" t="n">
        <v>35385.63</v>
      </c>
      <c r="O415" s="71" t="n">
        <v>200518.57</v>
      </c>
      <c r="P415" s="71" t="n">
        <v>67196.11</v>
      </c>
      <c r="Q415" s="71" t="n">
        <v>133322.46</v>
      </c>
      <c r="R415" t="inlineStr">
        <is>
          <t>Vaccines</t>
        </is>
      </c>
      <c r="S415" s="70" t="n">
        <v>915</v>
      </c>
      <c r="T415" s="71" t="n">
        <v>33931.81</v>
      </c>
      <c r="U415" t="inlineStr">
        <is>
          <t>Low</t>
        </is>
      </c>
      <c r="V415">
        <f>IF(AND(OR(Dashboard!$C$6="All",E415=Dashboard!$C$6),OR(Dashboard!$F$6="All",G415=Dashboard!$F$6),OR(Dashboard!$I$6="All",H415=Dashboard!$I$6)),1,0)</f>
        <v/>
      </c>
    </row>
    <row r="416">
      <c r="A416" t="inlineStr">
        <is>
          <t>PF100407</t>
        </is>
      </c>
      <c r="B416" s="68" t="n">
        <v>45705</v>
      </c>
      <c r="C416" s="69" t="n">
        <v>2025</v>
      </c>
      <c r="D416" t="inlineStr">
        <is>
          <t>Feb</t>
        </is>
      </c>
      <c r="E416" t="inlineStr">
        <is>
          <t>United States</t>
        </is>
      </c>
      <c r="F416" t="inlineStr">
        <is>
          <t>USA</t>
        </is>
      </c>
      <c r="G416" t="inlineStr">
        <is>
          <t>Paxlovid</t>
        </is>
      </c>
      <c r="H416" t="inlineStr">
        <is>
          <t>Hospital</t>
        </is>
      </c>
      <c r="I416" t="inlineStr">
        <is>
          <t>Self-pay</t>
        </is>
      </c>
      <c r="J416" t="inlineStr">
        <is>
          <t>Ana Costa</t>
        </is>
      </c>
      <c r="K416" s="70" t="n">
        <v>1342</v>
      </c>
      <c r="L416" s="71" t="n">
        <v>1821.1</v>
      </c>
      <c r="M416" s="71" t="n">
        <v>2443916.2</v>
      </c>
      <c r="N416" s="71" t="n">
        <v>488783.24</v>
      </c>
      <c r="O416" s="71" t="n">
        <v>1955132.96</v>
      </c>
      <c r="P416" s="71" t="n">
        <v>359200.46</v>
      </c>
      <c r="Q416" s="71" t="n">
        <v>1595932.5</v>
      </c>
      <c r="R416" t="inlineStr">
        <is>
          <t>Antiviral</t>
        </is>
      </c>
      <c r="S416" s="70" t="n">
        <v>851</v>
      </c>
      <c r="T416" s="71" t="n">
        <v>463227.76</v>
      </c>
      <c r="U416" t="inlineStr">
        <is>
          <t>Low</t>
        </is>
      </c>
      <c r="V416">
        <f>IF(AND(OR(Dashboard!$C$6="All",E416=Dashboard!$C$6),OR(Dashboard!$F$6="All",G416=Dashboard!$F$6),OR(Dashboard!$I$6="All",H416=Dashboard!$I$6)),1,0)</f>
        <v/>
      </c>
    </row>
    <row r="417">
      <c r="A417" t="inlineStr">
        <is>
          <t>PF100408</t>
        </is>
      </c>
      <c r="B417" s="68" t="n">
        <v>45705</v>
      </c>
      <c r="C417" s="69" t="n">
        <v>2025</v>
      </c>
      <c r="D417" t="inlineStr">
        <is>
          <t>Feb</t>
        </is>
      </c>
      <c r="E417" t="inlineStr">
        <is>
          <t>Europe</t>
        </is>
      </c>
      <c r="F417" t="inlineStr">
        <is>
          <t>Germany</t>
        </is>
      </c>
      <c r="G417" t="inlineStr">
        <is>
          <t>Eliquis</t>
        </is>
      </c>
      <c r="H417" t="inlineStr">
        <is>
          <t>Retail pharmacy</t>
        </is>
      </c>
      <c r="I417" t="inlineStr">
        <is>
          <t>Private insurer</t>
        </is>
      </c>
      <c r="J417" t="inlineStr">
        <is>
          <t>Lucas Martin</t>
        </is>
      </c>
      <c r="K417" s="70" t="n">
        <v>1683</v>
      </c>
      <c r="L417" s="71" t="n">
        <v>419.7</v>
      </c>
      <c r="M417" s="71" t="n">
        <v>706355.1</v>
      </c>
      <c r="N417" s="71" t="n">
        <v>141271.02</v>
      </c>
      <c r="O417" s="71" t="n">
        <v>565084.08</v>
      </c>
      <c r="P417" s="71" t="n">
        <v>130667.44</v>
      </c>
      <c r="Q417" s="71" t="n">
        <v>434416.64</v>
      </c>
      <c r="R417" t="inlineStr">
        <is>
          <t>Cardiology</t>
        </is>
      </c>
      <c r="S417" s="70" t="n">
        <v>1273</v>
      </c>
      <c r="T417" s="71" t="n">
        <v>147682.77</v>
      </c>
      <c r="U417" t="inlineStr">
        <is>
          <t>High</t>
        </is>
      </c>
      <c r="V417">
        <f>IF(AND(OR(Dashboard!$C$6="All",E417=Dashboard!$C$6),OR(Dashboard!$F$6="All",G417=Dashboard!$F$6),OR(Dashboard!$I$6="All",H417=Dashboard!$I$6)),1,0)</f>
        <v/>
      </c>
    </row>
    <row r="418">
      <c r="A418" t="inlineStr">
        <is>
          <t>PF100409</t>
        </is>
      </c>
      <c r="B418" s="68" t="n">
        <v>45705</v>
      </c>
      <c r="C418" s="69" t="n">
        <v>2025</v>
      </c>
      <c r="D418" t="inlineStr">
        <is>
          <t>Feb</t>
        </is>
      </c>
      <c r="E418" t="inlineStr">
        <is>
          <t>United States</t>
        </is>
      </c>
      <c r="F418" t="inlineStr">
        <is>
          <t>USA</t>
        </is>
      </c>
      <c r="G418" t="inlineStr">
        <is>
          <t>Paxlovid</t>
        </is>
      </c>
      <c r="H418" t="inlineStr">
        <is>
          <t>Retail pharmacy</t>
        </is>
      </c>
      <c r="I418" t="inlineStr">
        <is>
          <t>Private insurer</t>
        </is>
      </c>
      <c r="J418" t="inlineStr">
        <is>
          <t>Hiroshi Tanaka</t>
        </is>
      </c>
      <c r="K418" s="70" t="n">
        <v>130</v>
      </c>
      <c r="L418" s="71" t="n">
        <v>1642.7</v>
      </c>
      <c r="M418" s="71" t="n">
        <v>213551</v>
      </c>
      <c r="N418" s="71" t="n">
        <v>42710.2</v>
      </c>
      <c r="O418" s="71" t="n">
        <v>170840.8</v>
      </c>
      <c r="P418" s="71" t="n">
        <v>35455.2</v>
      </c>
      <c r="Q418" s="71" t="n">
        <v>135385.6</v>
      </c>
      <c r="R418" t="inlineStr">
        <is>
          <t>Antiviral</t>
        </is>
      </c>
      <c r="S418" s="70" t="n">
        <v>100</v>
      </c>
      <c r="T418" s="71" t="n">
        <v>35664.2</v>
      </c>
      <c r="U418" t="inlineStr">
        <is>
          <t>Low</t>
        </is>
      </c>
      <c r="V418">
        <f>IF(AND(OR(Dashboard!$C$6="All",E418=Dashboard!$C$6),OR(Dashboard!$F$6="All",G418=Dashboard!$F$6),OR(Dashboard!$I$6="All",H418=Dashboard!$I$6)),1,0)</f>
        <v/>
      </c>
    </row>
    <row r="419">
      <c r="A419" t="inlineStr">
        <is>
          <t>PF100410</t>
        </is>
      </c>
      <c r="B419" s="68" t="n">
        <v>45705</v>
      </c>
      <c r="C419" s="69" t="n">
        <v>2025</v>
      </c>
      <c r="D419" t="inlineStr">
        <is>
          <t>Feb</t>
        </is>
      </c>
      <c r="E419" t="inlineStr">
        <is>
          <t>United States</t>
        </is>
      </c>
      <c r="F419" t="inlineStr">
        <is>
          <t>USA</t>
        </is>
      </c>
      <c r="G419" t="inlineStr">
        <is>
          <t>Abrysvo</t>
        </is>
      </c>
      <c r="H419" t="inlineStr">
        <is>
          <t>Hospital</t>
        </is>
      </c>
      <c r="I419" t="inlineStr">
        <is>
          <t>Public payer</t>
        </is>
      </c>
      <c r="J419" t="inlineStr">
        <is>
          <t>Noah Smith</t>
        </is>
      </c>
      <c r="K419" s="70" t="n">
        <v>1271</v>
      </c>
      <c r="L419" s="71" t="n">
        <v>453.18</v>
      </c>
      <c r="M419" s="71" t="n">
        <v>575991.78</v>
      </c>
      <c r="N419" s="71" t="n">
        <v>115198.36</v>
      </c>
      <c r="O419" s="71" t="n">
        <v>460793.42</v>
      </c>
      <c r="P419" s="71" t="n">
        <v>105573.18</v>
      </c>
      <c r="Q419" s="71" t="n">
        <v>355220.24</v>
      </c>
      <c r="R419" t="inlineStr">
        <is>
          <t>Vaccines</t>
        </is>
      </c>
      <c r="S419" s="70" t="n">
        <v>831</v>
      </c>
      <c r="T419" s="71" t="n">
        <v>99258.99000000001</v>
      </c>
      <c r="U419" t="inlineStr">
        <is>
          <t>Low</t>
        </is>
      </c>
      <c r="V419">
        <f>IF(AND(OR(Dashboard!$C$6="All",E419=Dashboard!$C$6),OR(Dashboard!$F$6="All",G419=Dashboard!$F$6),OR(Dashboard!$I$6="All",H419=Dashboard!$I$6)),1,0)</f>
        <v/>
      </c>
    </row>
    <row r="420">
      <c r="A420" t="inlineStr">
        <is>
          <t>PF100411</t>
        </is>
      </c>
      <c r="B420" s="68" t="n">
        <v>45705</v>
      </c>
      <c r="C420" s="69" t="n">
        <v>2025</v>
      </c>
      <c r="D420" t="inlineStr">
        <is>
          <t>Feb</t>
        </is>
      </c>
      <c r="E420" t="inlineStr">
        <is>
          <t>Emerging markets</t>
        </is>
      </c>
      <c r="F420" t="inlineStr">
        <is>
          <t>Brazil</t>
        </is>
      </c>
      <c r="G420" t="inlineStr">
        <is>
          <t>Prevnar 20</t>
        </is>
      </c>
      <c r="H420" t="inlineStr">
        <is>
          <t>Retail pharmacy</t>
        </is>
      </c>
      <c r="I420" t="inlineStr">
        <is>
          <t>Public payer</t>
        </is>
      </c>
      <c r="J420" t="inlineStr">
        <is>
          <t>Mei Lin</t>
        </is>
      </c>
      <c r="K420" s="70" t="n">
        <v>2541</v>
      </c>
      <c r="L420" s="71" t="n">
        <v>234.52</v>
      </c>
      <c r="M420" s="71" t="n">
        <v>595915.3199999999</v>
      </c>
      <c r="N420" s="71" t="n">
        <v>29795.77</v>
      </c>
      <c r="O420" s="71" t="n">
        <v>566119.55</v>
      </c>
      <c r="P420" s="71" t="n">
        <v>175567.36</v>
      </c>
      <c r="Q420" s="71" t="n">
        <v>390552.19</v>
      </c>
      <c r="R420" t="inlineStr">
        <is>
          <t>Vaccines</t>
        </is>
      </c>
      <c r="S420" s="70" t="n">
        <v>1789</v>
      </c>
      <c r="T420" s="71" t="n">
        <v>78831.5</v>
      </c>
      <c r="U420" t="inlineStr">
        <is>
          <t>Low</t>
        </is>
      </c>
      <c r="V420">
        <f>IF(AND(OR(Dashboard!$C$6="All",E420=Dashboard!$C$6),OR(Dashboard!$F$6="All",G420=Dashboard!$F$6),OR(Dashboard!$I$6="All",H420=Dashboard!$I$6)),1,0)</f>
        <v/>
      </c>
    </row>
    <row r="421">
      <c r="A421" t="inlineStr">
        <is>
          <t>PF100412</t>
        </is>
      </c>
      <c r="B421" s="68" t="n">
        <v>45705</v>
      </c>
      <c r="C421" s="69" t="n">
        <v>2025</v>
      </c>
      <c r="D421" t="inlineStr">
        <is>
          <t>Feb</t>
        </is>
      </c>
      <c r="E421" t="inlineStr">
        <is>
          <t>United States</t>
        </is>
      </c>
      <c r="F421" t="inlineStr">
        <is>
          <t>USA</t>
        </is>
      </c>
      <c r="G421" t="inlineStr">
        <is>
          <t>Eliquis</t>
        </is>
      </c>
      <c r="H421" t="inlineStr">
        <is>
          <t>Retail pharmacy</t>
        </is>
      </c>
      <c r="I421" t="inlineStr">
        <is>
          <t>Public payer</t>
        </is>
      </c>
      <c r="J421" t="inlineStr">
        <is>
          <t>Carlos Silva</t>
        </is>
      </c>
      <c r="K421" s="70" t="n">
        <v>1877</v>
      </c>
      <c r="L421" s="71" t="n">
        <v>721.0700000000001</v>
      </c>
      <c r="M421" s="71" t="n">
        <v>1353448.39</v>
      </c>
      <c r="N421" s="71" t="n">
        <v>203017.26</v>
      </c>
      <c r="O421" s="71" t="n">
        <v>1150431.13</v>
      </c>
      <c r="P421" s="71" t="n">
        <v>139950.68</v>
      </c>
      <c r="Q421" s="71" t="n">
        <v>1010480.45</v>
      </c>
      <c r="R421" t="inlineStr">
        <is>
          <t>Cardiology</t>
        </is>
      </c>
      <c r="S421" s="70" t="n">
        <v>1828</v>
      </c>
      <c r="T421" s="71" t="n">
        <v>285999.38</v>
      </c>
      <c r="U421" t="inlineStr">
        <is>
          <t>High</t>
        </is>
      </c>
      <c r="V421">
        <f>IF(AND(OR(Dashboard!$C$6="All",E421=Dashboard!$C$6),OR(Dashboard!$F$6="All",G421=Dashboard!$F$6),OR(Dashboard!$I$6="All",H421=Dashboard!$I$6)),1,0)</f>
        <v/>
      </c>
    </row>
    <row r="422">
      <c r="A422" t="inlineStr">
        <is>
          <t>PF100413</t>
        </is>
      </c>
      <c r="B422" s="68" t="n">
        <v>45705</v>
      </c>
      <c r="C422" s="69" t="n">
        <v>2025</v>
      </c>
      <c r="D422" t="inlineStr">
        <is>
          <t>Feb</t>
        </is>
      </c>
      <c r="E422" t="inlineStr">
        <is>
          <t>United States</t>
        </is>
      </c>
      <c r="F422" t="inlineStr">
        <is>
          <t>USA</t>
        </is>
      </c>
      <c r="G422" t="inlineStr">
        <is>
          <t>Eliquis</t>
        </is>
      </c>
      <c r="H422" t="inlineStr">
        <is>
          <t>Hospital</t>
        </is>
      </c>
      <c r="I422" t="inlineStr">
        <is>
          <t>Private insurer</t>
        </is>
      </c>
      <c r="J422" t="inlineStr">
        <is>
          <t>Lucas Martin</t>
        </is>
      </c>
      <c r="K422" s="70" t="n">
        <v>474</v>
      </c>
      <c r="L422" s="71" t="n">
        <v>659.49</v>
      </c>
      <c r="M422" s="71" t="n">
        <v>312598.26</v>
      </c>
      <c r="N422" s="71" t="n">
        <v>62519.65</v>
      </c>
      <c r="O422" s="71" t="n">
        <v>250078.61</v>
      </c>
      <c r="P422" s="71" t="n">
        <v>34516.99</v>
      </c>
      <c r="Q422" s="71" t="n">
        <v>215561.62</v>
      </c>
      <c r="R422" t="inlineStr">
        <is>
          <t>Cardiology</t>
        </is>
      </c>
      <c r="S422" s="70" t="n">
        <v>326</v>
      </c>
      <c r="T422" s="71" t="n">
        <v>55074.65</v>
      </c>
      <c r="U422" t="inlineStr">
        <is>
          <t>High</t>
        </is>
      </c>
      <c r="V422">
        <f>IF(AND(OR(Dashboard!$C$6="All",E422=Dashboard!$C$6),OR(Dashboard!$F$6="All",G422=Dashboard!$F$6),OR(Dashboard!$I$6="All",H422=Dashboard!$I$6)),1,0)</f>
        <v/>
      </c>
    </row>
    <row r="423">
      <c r="A423" t="inlineStr">
        <is>
          <t>PF100414</t>
        </is>
      </c>
      <c r="B423" s="68" t="n">
        <v>45705</v>
      </c>
      <c r="C423" s="69" t="n">
        <v>2025</v>
      </c>
      <c r="D423" t="inlineStr">
        <is>
          <t>Feb</t>
        </is>
      </c>
      <c r="E423" t="inlineStr">
        <is>
          <t>United States</t>
        </is>
      </c>
      <c r="F423" t="inlineStr">
        <is>
          <t>USA</t>
        </is>
      </c>
      <c r="G423" t="inlineStr">
        <is>
          <t>Eliquis</t>
        </is>
      </c>
      <c r="H423" t="inlineStr">
        <is>
          <t>Hospital</t>
        </is>
      </c>
      <c r="I423" t="inlineStr">
        <is>
          <t>Public payer</t>
        </is>
      </c>
      <c r="J423" t="inlineStr">
        <is>
          <t>Emma Clarke</t>
        </is>
      </c>
      <c r="K423" s="70" t="n">
        <v>2030</v>
      </c>
      <c r="L423" s="71" t="n">
        <v>604.83</v>
      </c>
      <c r="M423" s="71" t="n">
        <v>1227804.9</v>
      </c>
      <c r="N423" s="71" t="n">
        <v>245560.98</v>
      </c>
      <c r="O423" s="71" t="n">
        <v>982243.92</v>
      </c>
      <c r="P423" s="71" t="n">
        <v>152676.94</v>
      </c>
      <c r="Q423" s="71" t="n">
        <v>829566.98</v>
      </c>
      <c r="R423" t="inlineStr">
        <is>
          <t>Cardiology</t>
        </is>
      </c>
      <c r="S423" s="70" t="n">
        <v>1398</v>
      </c>
      <c r="T423" s="71" t="n">
        <v>244258.75</v>
      </c>
      <c r="U423" t="inlineStr">
        <is>
          <t>High</t>
        </is>
      </c>
      <c r="V423">
        <f>IF(AND(OR(Dashboard!$C$6="All",E423=Dashboard!$C$6),OR(Dashboard!$F$6="All",G423=Dashboard!$F$6),OR(Dashboard!$I$6="All",H423=Dashboard!$I$6)),1,0)</f>
        <v/>
      </c>
    </row>
    <row r="424">
      <c r="A424" t="inlineStr">
        <is>
          <t>PF100415</t>
        </is>
      </c>
      <c r="B424" s="68" t="n">
        <v>45705</v>
      </c>
      <c r="C424" s="69" t="n">
        <v>2025</v>
      </c>
      <c r="D424" t="inlineStr">
        <is>
          <t>Feb</t>
        </is>
      </c>
      <c r="E424" t="inlineStr">
        <is>
          <t>Emerging markets</t>
        </is>
      </c>
      <c r="F424" t="inlineStr">
        <is>
          <t>Mexico</t>
        </is>
      </c>
      <c r="G424" t="inlineStr">
        <is>
          <t>Eliquis</t>
        </is>
      </c>
      <c r="H424" t="inlineStr">
        <is>
          <t>Hospital</t>
        </is>
      </c>
      <c r="I424" t="inlineStr">
        <is>
          <t>Private insurer</t>
        </is>
      </c>
      <c r="J424" t="inlineStr">
        <is>
          <t>Shraddha Kulkarni</t>
        </is>
      </c>
      <c r="K424" s="70" t="n">
        <v>764</v>
      </c>
      <c r="L424" s="71" t="n">
        <v>402.83</v>
      </c>
      <c r="M424" s="71" t="n">
        <v>307762.12</v>
      </c>
      <c r="N424" s="71" t="n">
        <v>76940.53</v>
      </c>
      <c r="O424" s="71" t="n">
        <v>230821.59</v>
      </c>
      <c r="P424" s="71" t="n">
        <v>55873.71</v>
      </c>
      <c r="Q424" s="71" t="n">
        <v>174947.88</v>
      </c>
      <c r="R424" t="inlineStr">
        <is>
          <t>Cardiology</t>
        </is>
      </c>
      <c r="S424" s="70" t="n">
        <v>535</v>
      </c>
      <c r="T424" s="71" t="n">
        <v>37308.06</v>
      </c>
      <c r="U424" t="inlineStr">
        <is>
          <t>High</t>
        </is>
      </c>
      <c r="V424">
        <f>IF(AND(OR(Dashboard!$C$6="All",E424=Dashboard!$C$6),OR(Dashboard!$F$6="All",G424=Dashboard!$F$6),OR(Dashboard!$I$6="All",H424=Dashboard!$I$6)),1,0)</f>
        <v/>
      </c>
    </row>
    <row r="425">
      <c r="A425" t="inlineStr">
        <is>
          <t>PF100416</t>
        </is>
      </c>
      <c r="B425" s="68" t="n">
        <v>45706</v>
      </c>
      <c r="C425" s="69" t="n">
        <v>2025</v>
      </c>
      <c r="D425" t="inlineStr">
        <is>
          <t>Feb</t>
        </is>
      </c>
      <c r="E425" t="inlineStr">
        <is>
          <t>Europe</t>
        </is>
      </c>
      <c r="F425" t="inlineStr">
        <is>
          <t>Spain</t>
        </is>
      </c>
      <c r="G425" t="inlineStr">
        <is>
          <t>Paxlovid</t>
        </is>
      </c>
      <c r="H425" t="inlineStr">
        <is>
          <t>Hospital</t>
        </is>
      </c>
      <c r="I425" t="inlineStr">
        <is>
          <t>Private insurer</t>
        </is>
      </c>
      <c r="J425" t="inlineStr">
        <is>
          <t>Zoya Ahmed</t>
        </is>
      </c>
      <c r="K425" s="70" t="n">
        <v>232</v>
      </c>
      <c r="L425" s="71" t="n">
        <v>1095.85</v>
      </c>
      <c r="M425" s="71" t="n">
        <v>254237.2</v>
      </c>
      <c r="N425" s="71" t="n">
        <v>25423.72</v>
      </c>
      <c r="O425" s="71" t="n">
        <v>228813.48</v>
      </c>
      <c r="P425" s="71" t="n">
        <v>64941.35</v>
      </c>
      <c r="Q425" s="71" t="n">
        <v>163872.13</v>
      </c>
      <c r="R425" t="inlineStr">
        <is>
          <t>Antiviral</t>
        </is>
      </c>
      <c r="S425" s="70" t="n">
        <v>186</v>
      </c>
      <c r="T425" s="71" t="n">
        <v>39215.04</v>
      </c>
      <c r="U425" t="inlineStr">
        <is>
          <t>Low</t>
        </is>
      </c>
      <c r="V425">
        <f>IF(AND(OR(Dashboard!$C$6="All",E425=Dashboard!$C$6),OR(Dashboard!$F$6="All",G425=Dashboard!$F$6),OR(Dashboard!$I$6="All",H425=Dashboard!$I$6)),1,0)</f>
        <v/>
      </c>
    </row>
    <row r="426">
      <c r="A426" t="inlineStr">
        <is>
          <t>PF100417</t>
        </is>
      </c>
      <c r="B426" s="68" t="n">
        <v>45706</v>
      </c>
      <c r="C426" s="69" t="n">
        <v>2025</v>
      </c>
      <c r="D426" t="inlineStr">
        <is>
          <t>Feb</t>
        </is>
      </c>
      <c r="E426" t="inlineStr">
        <is>
          <t>United States</t>
        </is>
      </c>
      <c r="F426" t="inlineStr">
        <is>
          <t>USA</t>
        </is>
      </c>
      <c r="G426" t="inlineStr">
        <is>
          <t>Abrysvo</t>
        </is>
      </c>
      <c r="H426" t="inlineStr">
        <is>
          <t>Hospital</t>
        </is>
      </c>
      <c r="I426" t="inlineStr">
        <is>
          <t>Private insurer</t>
        </is>
      </c>
      <c r="J426" t="inlineStr">
        <is>
          <t>Sara Rossi</t>
        </is>
      </c>
      <c r="K426" s="70" t="n">
        <v>1528</v>
      </c>
      <c r="L426" s="71" t="n">
        <v>403.74</v>
      </c>
      <c r="M426" s="71" t="n">
        <v>616914.72</v>
      </c>
      <c r="N426" s="71" t="n">
        <v>92537.21000000001</v>
      </c>
      <c r="O426" s="71" t="n">
        <v>524377.51</v>
      </c>
      <c r="P426" s="71" t="n">
        <v>127791.57</v>
      </c>
      <c r="Q426" s="71" t="n">
        <v>396585.94</v>
      </c>
      <c r="R426" t="inlineStr">
        <is>
          <t>Vaccines</t>
        </is>
      </c>
      <c r="S426" s="70" t="n">
        <v>1506</v>
      </c>
      <c r="T426" s="71" t="n">
        <v>74803.92999999999</v>
      </c>
      <c r="U426" t="inlineStr">
        <is>
          <t>Low</t>
        </is>
      </c>
      <c r="V426">
        <f>IF(AND(OR(Dashboard!$C$6="All",E426=Dashboard!$C$6),OR(Dashboard!$F$6="All",G426=Dashboard!$F$6),OR(Dashboard!$I$6="All",H426=Dashboard!$I$6)),1,0)</f>
        <v/>
      </c>
    </row>
    <row r="427">
      <c r="A427" t="inlineStr">
        <is>
          <t>PF100418</t>
        </is>
      </c>
      <c r="B427" s="68" t="n">
        <v>45706</v>
      </c>
      <c r="C427" s="69" t="n">
        <v>2025</v>
      </c>
      <c r="D427" t="inlineStr">
        <is>
          <t>Feb</t>
        </is>
      </c>
      <c r="E427" t="inlineStr">
        <is>
          <t>United States</t>
        </is>
      </c>
      <c r="F427" t="inlineStr">
        <is>
          <t>USA</t>
        </is>
      </c>
      <c r="G427" t="inlineStr">
        <is>
          <t>Paxlovid</t>
        </is>
      </c>
      <c r="H427" t="inlineStr">
        <is>
          <t>Hospital</t>
        </is>
      </c>
      <c r="I427" t="inlineStr">
        <is>
          <t>Private insurer</t>
        </is>
      </c>
      <c r="J427" t="inlineStr">
        <is>
          <t>Zoya Ahmed</t>
        </is>
      </c>
      <c r="K427" s="70" t="n">
        <v>2628</v>
      </c>
      <c r="L427" s="71" t="n">
        <v>1737.34</v>
      </c>
      <c r="M427" s="71" t="n">
        <v>4565729.52</v>
      </c>
      <c r="N427" s="71" t="n">
        <v>1598005.33</v>
      </c>
      <c r="O427" s="71" t="n">
        <v>2967724.19</v>
      </c>
      <c r="P427" s="71" t="n">
        <v>700610.8100000001</v>
      </c>
      <c r="Q427" s="71" t="n">
        <v>2267113.38</v>
      </c>
      <c r="R427" t="inlineStr">
        <is>
          <t>Antiviral</t>
        </is>
      </c>
      <c r="S427" s="70" t="n">
        <v>2458</v>
      </c>
      <c r="T427" s="71" t="n">
        <v>573889.63</v>
      </c>
      <c r="U427" t="inlineStr">
        <is>
          <t>Low</t>
        </is>
      </c>
      <c r="V427">
        <f>IF(AND(OR(Dashboard!$C$6="All",E427=Dashboard!$C$6),OR(Dashboard!$F$6="All",G427=Dashboard!$F$6),OR(Dashboard!$I$6="All",H427=Dashboard!$I$6)),1,0)</f>
        <v/>
      </c>
    </row>
    <row r="428">
      <c r="A428" t="inlineStr">
        <is>
          <t>PF100419</t>
        </is>
      </c>
      <c r="B428" s="68" t="n">
        <v>45706</v>
      </c>
      <c r="C428" s="69" t="n">
        <v>2025</v>
      </c>
      <c r="D428" t="inlineStr">
        <is>
          <t>Feb</t>
        </is>
      </c>
      <c r="E428" t="inlineStr">
        <is>
          <t>United States</t>
        </is>
      </c>
      <c r="F428" t="inlineStr">
        <is>
          <t>USA</t>
        </is>
      </c>
      <c r="G428" t="inlineStr">
        <is>
          <t>Paxlovid</t>
        </is>
      </c>
      <c r="H428" t="inlineStr">
        <is>
          <t>Retail pharmacy</t>
        </is>
      </c>
      <c r="I428" t="inlineStr">
        <is>
          <t>Self-pay</t>
        </is>
      </c>
      <c r="J428" t="inlineStr">
        <is>
          <t>Omar Haddad</t>
        </is>
      </c>
      <c r="K428" s="70" t="n">
        <v>2550</v>
      </c>
      <c r="L428" s="71" t="n">
        <v>1860.26</v>
      </c>
      <c r="M428" s="71" t="n">
        <v>4743663</v>
      </c>
      <c r="N428" s="71" t="n">
        <v>1660282.05</v>
      </c>
      <c r="O428" s="71" t="n">
        <v>3083380.95</v>
      </c>
      <c r="P428" s="71" t="n">
        <v>724206.1899999999</v>
      </c>
      <c r="Q428" s="71" t="n">
        <v>2359174.76</v>
      </c>
      <c r="R428" t="inlineStr">
        <is>
          <t>Antiviral</t>
        </is>
      </c>
      <c r="S428" s="70" t="n">
        <v>1754</v>
      </c>
      <c r="T428" s="71" t="n">
        <v>647889.15</v>
      </c>
      <c r="U428" t="inlineStr">
        <is>
          <t>Low</t>
        </is>
      </c>
      <c r="V428">
        <f>IF(AND(OR(Dashboard!$C$6="All",E428=Dashboard!$C$6),OR(Dashboard!$F$6="All",G428=Dashboard!$F$6),OR(Dashboard!$I$6="All",H428=Dashboard!$I$6)),1,0)</f>
        <v/>
      </c>
    </row>
    <row r="429">
      <c r="A429" t="inlineStr">
        <is>
          <t>PF100420</t>
        </is>
      </c>
      <c r="B429" s="68" t="n">
        <v>45706</v>
      </c>
      <c r="C429" s="69" t="n">
        <v>2025</v>
      </c>
      <c r="D429" t="inlineStr">
        <is>
          <t>Feb</t>
        </is>
      </c>
      <c r="E429" t="inlineStr">
        <is>
          <t>Europe</t>
        </is>
      </c>
      <c r="F429" t="inlineStr">
        <is>
          <t>Spain</t>
        </is>
      </c>
      <c r="G429" t="inlineStr">
        <is>
          <t>Paxlovid</t>
        </is>
      </c>
      <c r="H429" t="inlineStr">
        <is>
          <t>Hospital</t>
        </is>
      </c>
      <c r="I429" t="inlineStr">
        <is>
          <t>Public payer</t>
        </is>
      </c>
      <c r="J429" t="inlineStr">
        <is>
          <t>Noah Smith</t>
        </is>
      </c>
      <c r="K429" s="70" t="n">
        <v>841</v>
      </c>
      <c r="L429" s="71" t="n">
        <v>1034.01</v>
      </c>
      <c r="M429" s="71" t="n">
        <v>869602.41</v>
      </c>
      <c r="N429" s="71" t="n">
        <v>43480.12</v>
      </c>
      <c r="O429" s="71" t="n">
        <v>826122.29</v>
      </c>
      <c r="P429" s="71" t="n">
        <v>230264.17</v>
      </c>
      <c r="Q429" s="71" t="n">
        <v>595858.12</v>
      </c>
      <c r="R429" t="inlineStr">
        <is>
          <t>Antiviral</t>
        </is>
      </c>
      <c r="S429" s="70" t="n">
        <v>583</v>
      </c>
      <c r="T429" s="71" t="n">
        <v>164664.29</v>
      </c>
      <c r="U429" t="inlineStr">
        <is>
          <t>Low</t>
        </is>
      </c>
      <c r="V429">
        <f>IF(AND(OR(Dashboard!$C$6="All",E429=Dashboard!$C$6),OR(Dashboard!$F$6="All",G429=Dashboard!$F$6),OR(Dashboard!$I$6="All",H429=Dashboard!$I$6)),1,0)</f>
        <v/>
      </c>
    </row>
    <row r="430">
      <c r="A430" t="inlineStr">
        <is>
          <t>PF100421</t>
        </is>
      </c>
      <c r="B430" s="68" t="n">
        <v>45706</v>
      </c>
      <c r="C430" s="69" t="n">
        <v>2025</v>
      </c>
      <c r="D430" t="inlineStr">
        <is>
          <t>Feb</t>
        </is>
      </c>
      <c r="E430" t="inlineStr">
        <is>
          <t>United States</t>
        </is>
      </c>
      <c r="F430" t="inlineStr">
        <is>
          <t>USA</t>
        </is>
      </c>
      <c r="G430" t="inlineStr">
        <is>
          <t>Paxlovid</t>
        </is>
      </c>
      <c r="H430" t="inlineStr">
        <is>
          <t>Hospital</t>
        </is>
      </c>
      <c r="I430" t="inlineStr">
        <is>
          <t>Private insurer</t>
        </is>
      </c>
      <c r="J430" t="inlineStr">
        <is>
          <t>Liam O'Brien</t>
        </is>
      </c>
      <c r="K430" s="70" t="n">
        <v>77</v>
      </c>
      <c r="L430" s="71" t="n">
        <v>1754.88</v>
      </c>
      <c r="M430" s="71" t="n">
        <v>135125.76</v>
      </c>
      <c r="N430" s="71" t="n">
        <v>40537.73</v>
      </c>
      <c r="O430" s="71" t="n">
        <v>94588.03</v>
      </c>
      <c r="P430" s="71" t="n">
        <v>20875.23</v>
      </c>
      <c r="Q430" s="71" t="n">
        <v>73712.8</v>
      </c>
      <c r="R430" t="inlineStr">
        <is>
          <t>Antiviral</t>
        </is>
      </c>
      <c r="S430" s="70" t="n">
        <v>52</v>
      </c>
      <c r="T430" s="71" t="n">
        <v>27721.21</v>
      </c>
      <c r="U430" t="inlineStr">
        <is>
          <t>Low</t>
        </is>
      </c>
      <c r="V430">
        <f>IF(AND(OR(Dashboard!$C$6="All",E430=Dashboard!$C$6),OR(Dashboard!$F$6="All",G430=Dashboard!$F$6),OR(Dashboard!$I$6="All",H430=Dashboard!$I$6)),1,0)</f>
        <v/>
      </c>
    </row>
    <row r="431">
      <c r="A431" t="inlineStr">
        <is>
          <t>PF100422</t>
        </is>
      </c>
      <c r="B431" s="68" t="n">
        <v>45706</v>
      </c>
      <c r="C431" s="69" t="n">
        <v>2025</v>
      </c>
      <c r="D431" t="inlineStr">
        <is>
          <t>Feb</t>
        </is>
      </c>
      <c r="E431" t="inlineStr">
        <is>
          <t>United States</t>
        </is>
      </c>
      <c r="F431" t="inlineStr">
        <is>
          <t>USA</t>
        </is>
      </c>
      <c r="G431" t="inlineStr">
        <is>
          <t>Xeljanz</t>
        </is>
      </c>
      <c r="H431" t="inlineStr">
        <is>
          <t>Retail pharmacy</t>
        </is>
      </c>
      <c r="I431" t="inlineStr">
        <is>
          <t>Public payer</t>
        </is>
      </c>
      <c r="J431" t="inlineStr">
        <is>
          <t>Kofi Mensah</t>
        </is>
      </c>
      <c r="K431" s="70" t="n">
        <v>421</v>
      </c>
      <c r="L431" s="71" t="n">
        <v>2246.82</v>
      </c>
      <c r="M431" s="71" t="n">
        <v>945911.22</v>
      </c>
      <c r="N431" s="71" t="n">
        <v>236477.8</v>
      </c>
      <c r="O431" s="71" t="n">
        <v>709433.42</v>
      </c>
      <c r="P431" s="71" t="n">
        <v>104950.1</v>
      </c>
      <c r="Q431" s="71" t="n">
        <v>604483.3199999999</v>
      </c>
      <c r="R431" t="inlineStr">
        <is>
          <t>Inflammation</t>
        </is>
      </c>
      <c r="S431" s="70" t="n">
        <v>403</v>
      </c>
      <c r="T431" s="71" t="n">
        <v>135119.36</v>
      </c>
      <c r="U431" t="inlineStr">
        <is>
          <t>High</t>
        </is>
      </c>
      <c r="V431">
        <f>IF(AND(OR(Dashboard!$C$6="All",E431=Dashboard!$C$6),OR(Dashboard!$F$6="All",G431=Dashboard!$F$6),OR(Dashboard!$I$6="All",H431=Dashboard!$I$6)),1,0)</f>
        <v/>
      </c>
    </row>
    <row r="432">
      <c r="A432" t="inlineStr">
        <is>
          <t>PF100423</t>
        </is>
      </c>
      <c r="B432" s="68" t="n">
        <v>45706</v>
      </c>
      <c r="C432" s="69" t="n">
        <v>2025</v>
      </c>
      <c r="D432" t="inlineStr">
        <is>
          <t>Feb</t>
        </is>
      </c>
      <c r="E432" t="inlineStr">
        <is>
          <t>Europe</t>
        </is>
      </c>
      <c r="F432" t="inlineStr">
        <is>
          <t>Italy</t>
        </is>
      </c>
      <c r="G432" t="inlineStr">
        <is>
          <t>Prevnar 20</t>
        </is>
      </c>
      <c r="H432" t="inlineStr">
        <is>
          <t>Retail pharmacy</t>
        </is>
      </c>
      <c r="I432" t="inlineStr">
        <is>
          <t>Private insurer</t>
        </is>
      </c>
      <c r="J432" t="inlineStr">
        <is>
          <t>Shraddha Kulkarni</t>
        </is>
      </c>
      <c r="K432" s="70" t="n">
        <v>2399</v>
      </c>
      <c r="L432" s="71" t="n">
        <v>251.89</v>
      </c>
      <c r="M432" s="71" t="n">
        <v>604284.11</v>
      </c>
      <c r="N432" s="71" t="n">
        <v>60428.41</v>
      </c>
      <c r="O432" s="71" t="n">
        <v>543855.7</v>
      </c>
      <c r="P432" s="71" t="n">
        <v>171041.51</v>
      </c>
      <c r="Q432" s="71" t="n">
        <v>372814.19</v>
      </c>
      <c r="R432" t="inlineStr">
        <is>
          <t>Vaccines</t>
        </is>
      </c>
      <c r="S432" s="70" t="n">
        <v>1552</v>
      </c>
      <c r="T432" s="71" t="n">
        <v>111181.2</v>
      </c>
      <c r="U432" t="inlineStr">
        <is>
          <t>Low</t>
        </is>
      </c>
      <c r="V432">
        <f>IF(AND(OR(Dashboard!$C$6="All",E432=Dashboard!$C$6),OR(Dashboard!$F$6="All",G432=Dashboard!$F$6),OR(Dashboard!$I$6="All",H432=Dashboard!$I$6)),1,0)</f>
        <v/>
      </c>
    </row>
    <row r="433">
      <c r="A433" t="inlineStr">
        <is>
          <t>PF100424</t>
        </is>
      </c>
      <c r="B433" s="68" t="n">
        <v>45706</v>
      </c>
      <c r="C433" s="69" t="n">
        <v>2025</v>
      </c>
      <c r="D433" t="inlineStr">
        <is>
          <t>Feb</t>
        </is>
      </c>
      <c r="E433" t="inlineStr">
        <is>
          <t>United States</t>
        </is>
      </c>
      <c r="F433" t="inlineStr">
        <is>
          <t>USA</t>
        </is>
      </c>
      <c r="G433" t="inlineStr">
        <is>
          <t>Vyndaqel</t>
        </is>
      </c>
      <c r="H433" t="inlineStr">
        <is>
          <t>Retail pharmacy</t>
        </is>
      </c>
      <c r="I433" t="inlineStr">
        <is>
          <t>Public payer</t>
        </is>
      </c>
      <c r="J433" t="inlineStr">
        <is>
          <t>Yuki Sato</t>
        </is>
      </c>
      <c r="K433" s="70" t="n">
        <v>202</v>
      </c>
      <c r="L433" s="71" t="n">
        <v>8139.22</v>
      </c>
      <c r="M433" s="71" t="n">
        <v>1644122.44</v>
      </c>
      <c r="N433" s="71" t="n">
        <v>575442.85</v>
      </c>
      <c r="O433" s="71" t="n">
        <v>1068679.59</v>
      </c>
      <c r="P433" s="71" t="n">
        <v>129155.97</v>
      </c>
      <c r="Q433" s="71" t="n">
        <v>939523.62</v>
      </c>
      <c r="R433" t="inlineStr">
        <is>
          <t>Rare disease</t>
        </is>
      </c>
      <c r="S433" s="70" t="n">
        <v>182</v>
      </c>
      <c r="T433" s="71" t="n">
        <v>284782.22</v>
      </c>
      <c r="U433" t="inlineStr">
        <is>
          <t>Medium</t>
        </is>
      </c>
      <c r="V433">
        <f>IF(AND(OR(Dashboard!$C$6="All",E433=Dashboard!$C$6),OR(Dashboard!$F$6="All",G433=Dashboard!$F$6),OR(Dashboard!$I$6="All",H433=Dashboard!$I$6)),1,0)</f>
        <v/>
      </c>
    </row>
    <row r="434">
      <c r="A434" t="inlineStr">
        <is>
          <t>PF100425</t>
        </is>
      </c>
      <c r="B434" s="68" t="n">
        <v>45707</v>
      </c>
      <c r="C434" s="69" t="n">
        <v>2025</v>
      </c>
      <c r="D434" t="inlineStr">
        <is>
          <t>Feb</t>
        </is>
      </c>
      <c r="E434" t="inlineStr">
        <is>
          <t>Europe</t>
        </is>
      </c>
      <c r="F434" t="inlineStr">
        <is>
          <t>Spain</t>
        </is>
      </c>
      <c r="G434" t="inlineStr">
        <is>
          <t>Prevnar 20</t>
        </is>
      </c>
      <c r="H434" t="inlineStr">
        <is>
          <t>Hospital</t>
        </is>
      </c>
      <c r="I434" t="inlineStr">
        <is>
          <t>Private insurer</t>
        </is>
      </c>
      <c r="J434" t="inlineStr">
        <is>
          <t>Zoya Ahmed</t>
        </is>
      </c>
      <c r="K434" s="70" t="n">
        <v>2188</v>
      </c>
      <c r="L434" s="71" t="n">
        <v>222.74</v>
      </c>
      <c r="M434" s="71" t="n">
        <v>487355.12</v>
      </c>
      <c r="N434" s="71" t="n">
        <v>97471.02</v>
      </c>
      <c r="O434" s="71" t="n">
        <v>389884.1</v>
      </c>
      <c r="P434" s="71" t="n">
        <v>145954.57</v>
      </c>
      <c r="Q434" s="71" t="n">
        <v>243929.53</v>
      </c>
      <c r="R434" t="inlineStr">
        <is>
          <t>Vaccines</t>
        </is>
      </c>
      <c r="S434" s="70" t="n">
        <v>1493</v>
      </c>
      <c r="T434" s="71" t="n">
        <v>91605.35000000001</v>
      </c>
      <c r="U434" t="inlineStr">
        <is>
          <t>Low</t>
        </is>
      </c>
      <c r="V434">
        <f>IF(AND(OR(Dashboard!$C$6="All",E434=Dashboard!$C$6),OR(Dashboard!$F$6="All",G434=Dashboard!$F$6),OR(Dashboard!$I$6="All",H434=Dashboard!$I$6)),1,0)</f>
        <v/>
      </c>
    </row>
    <row r="435">
      <c r="A435" t="inlineStr">
        <is>
          <t>PF100426</t>
        </is>
      </c>
      <c r="B435" s="68" t="n">
        <v>45707</v>
      </c>
      <c r="C435" s="69" t="n">
        <v>2025</v>
      </c>
      <c r="D435" t="inlineStr">
        <is>
          <t>Feb</t>
        </is>
      </c>
      <c r="E435" t="inlineStr">
        <is>
          <t>United States</t>
        </is>
      </c>
      <c r="F435" t="inlineStr">
        <is>
          <t>USA</t>
        </is>
      </c>
      <c r="G435" t="inlineStr">
        <is>
          <t>Eliquis</t>
        </is>
      </c>
      <c r="H435" t="inlineStr">
        <is>
          <t>Hospital</t>
        </is>
      </c>
      <c r="I435" t="inlineStr">
        <is>
          <t>Private insurer</t>
        </is>
      </c>
      <c r="J435" t="inlineStr">
        <is>
          <t>Shraddha Kulkarni</t>
        </is>
      </c>
      <c r="K435" s="70" t="n">
        <v>2195</v>
      </c>
      <c r="L435" s="71" t="n">
        <v>652.9</v>
      </c>
      <c r="M435" s="71" t="n">
        <v>1433115.5</v>
      </c>
      <c r="N435" s="71" t="n">
        <v>429934.65</v>
      </c>
      <c r="O435" s="71" t="n">
        <v>1003180.85</v>
      </c>
      <c r="P435" s="71" t="n">
        <v>169589.32</v>
      </c>
      <c r="Q435" s="71" t="n">
        <v>833591.53</v>
      </c>
      <c r="R435" t="inlineStr">
        <is>
          <t>Cardiology</t>
        </is>
      </c>
      <c r="S435" s="70" t="n">
        <v>1727</v>
      </c>
      <c r="T435" s="71" t="n">
        <v>283004.68</v>
      </c>
      <c r="U435" t="inlineStr">
        <is>
          <t>High</t>
        </is>
      </c>
      <c r="V435">
        <f>IF(AND(OR(Dashboard!$C$6="All",E435=Dashboard!$C$6),OR(Dashboard!$F$6="All",G435=Dashboard!$F$6),OR(Dashboard!$I$6="All",H435=Dashboard!$I$6)),1,0)</f>
        <v/>
      </c>
    </row>
    <row r="436">
      <c r="A436" t="inlineStr">
        <is>
          <t>PF100427</t>
        </is>
      </c>
      <c r="B436" s="68" t="n">
        <v>45707</v>
      </c>
      <c r="C436" s="69" t="n">
        <v>2025</v>
      </c>
      <c r="D436" t="inlineStr">
        <is>
          <t>Feb</t>
        </is>
      </c>
      <c r="E436" t="inlineStr">
        <is>
          <t>United States</t>
        </is>
      </c>
      <c r="F436" t="inlineStr">
        <is>
          <t>USA</t>
        </is>
      </c>
      <c r="G436" t="inlineStr">
        <is>
          <t>Eliquis</t>
        </is>
      </c>
      <c r="H436" t="inlineStr">
        <is>
          <t>Retail pharmacy</t>
        </is>
      </c>
      <c r="I436" t="inlineStr">
        <is>
          <t>Self-pay</t>
        </is>
      </c>
      <c r="J436" t="inlineStr">
        <is>
          <t>Yuki Sato</t>
        </is>
      </c>
      <c r="K436" s="70" t="n">
        <v>2685</v>
      </c>
      <c r="L436" s="71" t="n">
        <v>657.3</v>
      </c>
      <c r="M436" s="71" t="n">
        <v>1764850.5</v>
      </c>
      <c r="N436" s="71" t="n">
        <v>352970.1</v>
      </c>
      <c r="O436" s="71" t="n">
        <v>1411880.4</v>
      </c>
      <c r="P436" s="71" t="n">
        <v>201906.67</v>
      </c>
      <c r="Q436" s="71" t="n">
        <v>1209973.73</v>
      </c>
      <c r="R436" t="inlineStr">
        <is>
          <t>Cardiology</t>
        </is>
      </c>
      <c r="S436" s="70" t="n">
        <v>2562</v>
      </c>
      <c r="T436" s="71" t="n">
        <v>325681.53</v>
      </c>
      <c r="U436" t="inlineStr">
        <is>
          <t>High</t>
        </is>
      </c>
      <c r="V436">
        <f>IF(AND(OR(Dashboard!$C$6="All",E436=Dashboard!$C$6),OR(Dashboard!$F$6="All",G436=Dashboard!$F$6),OR(Dashboard!$I$6="All",H436=Dashboard!$I$6)),1,0)</f>
        <v/>
      </c>
    </row>
    <row r="437">
      <c r="A437" t="inlineStr">
        <is>
          <t>PF100428</t>
        </is>
      </c>
      <c r="B437" s="68" t="n">
        <v>45707</v>
      </c>
      <c r="C437" s="69" t="n">
        <v>2025</v>
      </c>
      <c r="D437" t="inlineStr">
        <is>
          <t>Feb</t>
        </is>
      </c>
      <c r="E437" t="inlineStr">
        <is>
          <t>International developed</t>
        </is>
      </c>
      <c r="F437" t="inlineStr">
        <is>
          <t>Japan</t>
        </is>
      </c>
      <c r="G437" t="inlineStr">
        <is>
          <t>Eliquis</t>
        </is>
      </c>
      <c r="H437" t="inlineStr">
        <is>
          <t>Government / tender</t>
        </is>
      </c>
      <c r="I437" t="inlineStr">
        <is>
          <t>Private insurer</t>
        </is>
      </c>
      <c r="J437" t="inlineStr">
        <is>
          <t>Wei Chen</t>
        </is>
      </c>
      <c r="K437" s="70" t="n">
        <v>1760</v>
      </c>
      <c r="L437" s="71" t="n">
        <v>403.13</v>
      </c>
      <c r="M437" s="71" t="n">
        <v>709508.8</v>
      </c>
      <c r="N437" s="71" t="n">
        <v>35475.44</v>
      </c>
      <c r="O437" s="71" t="n">
        <v>674033.36</v>
      </c>
      <c r="P437" s="71" t="n">
        <v>131644.1</v>
      </c>
      <c r="Q437" s="71" t="n">
        <v>542389.26</v>
      </c>
      <c r="R437" t="inlineStr">
        <is>
          <t>Cardiology</t>
        </is>
      </c>
      <c r="S437" s="70" t="n">
        <v>1143</v>
      </c>
      <c r="T437" s="71" t="n">
        <v>118287.56</v>
      </c>
      <c r="U437" t="inlineStr">
        <is>
          <t>High</t>
        </is>
      </c>
      <c r="V437">
        <f>IF(AND(OR(Dashboard!$C$6="All",E437=Dashboard!$C$6),OR(Dashboard!$F$6="All",G437=Dashboard!$F$6),OR(Dashboard!$I$6="All",H437=Dashboard!$I$6)),1,0)</f>
        <v/>
      </c>
    </row>
    <row r="438">
      <c r="A438" t="inlineStr">
        <is>
          <t>PF100429</t>
        </is>
      </c>
      <c r="B438" s="68" t="n">
        <v>45707</v>
      </c>
      <c r="C438" s="69" t="n">
        <v>2025</v>
      </c>
      <c r="D438" t="inlineStr">
        <is>
          <t>Feb</t>
        </is>
      </c>
      <c r="E438" t="inlineStr">
        <is>
          <t>Europe</t>
        </is>
      </c>
      <c r="F438" t="inlineStr">
        <is>
          <t>Spain</t>
        </is>
      </c>
      <c r="G438" t="inlineStr">
        <is>
          <t>Eliquis</t>
        </is>
      </c>
      <c r="H438" t="inlineStr">
        <is>
          <t>Retail pharmacy</t>
        </is>
      </c>
      <c r="I438" t="inlineStr">
        <is>
          <t>Public payer</t>
        </is>
      </c>
      <c r="J438" t="inlineStr">
        <is>
          <t>Liam O'Brien</t>
        </is>
      </c>
      <c r="K438" s="70" t="n">
        <v>2436</v>
      </c>
      <c r="L438" s="71" t="n">
        <v>449.01</v>
      </c>
      <c r="M438" s="71" t="n">
        <v>1093788.36</v>
      </c>
      <c r="N438" s="71" t="n">
        <v>109378.84</v>
      </c>
      <c r="O438" s="71" t="n">
        <v>984409.52</v>
      </c>
      <c r="P438" s="71" t="n">
        <v>184654.1</v>
      </c>
      <c r="Q438" s="71" t="n">
        <v>799755.42</v>
      </c>
      <c r="R438" t="inlineStr">
        <is>
          <t>Cardiology</t>
        </is>
      </c>
      <c r="S438" s="70" t="n">
        <v>1876</v>
      </c>
      <c r="T438" s="71" t="n">
        <v>227277.5</v>
      </c>
      <c r="U438" t="inlineStr">
        <is>
          <t>High</t>
        </is>
      </c>
      <c r="V438">
        <f>IF(AND(OR(Dashboard!$C$6="All",E438=Dashboard!$C$6),OR(Dashboard!$F$6="All",G438=Dashboard!$F$6),OR(Dashboard!$I$6="All",H438=Dashboard!$I$6)),1,0)</f>
        <v/>
      </c>
    </row>
    <row r="439">
      <c r="A439" t="inlineStr">
        <is>
          <t>PF100430</t>
        </is>
      </c>
      <c r="B439" s="68" t="n">
        <v>45707</v>
      </c>
      <c r="C439" s="69" t="n">
        <v>2025</v>
      </c>
      <c r="D439" t="inlineStr">
        <is>
          <t>Feb</t>
        </is>
      </c>
      <c r="E439" t="inlineStr">
        <is>
          <t>Europe</t>
        </is>
      </c>
      <c r="F439" t="inlineStr">
        <is>
          <t>Italy</t>
        </is>
      </c>
      <c r="G439" t="inlineStr">
        <is>
          <t>Paxlovid</t>
        </is>
      </c>
      <c r="H439" t="inlineStr">
        <is>
          <t>Government / tender</t>
        </is>
      </c>
      <c r="I439" t="inlineStr">
        <is>
          <t>Public payer</t>
        </is>
      </c>
      <c r="J439" t="inlineStr">
        <is>
          <t>Ruhi Shaikh</t>
        </is>
      </c>
      <c r="K439" s="70" t="n">
        <v>919</v>
      </c>
      <c r="L439" s="71" t="n">
        <v>1042.67</v>
      </c>
      <c r="M439" s="71" t="n">
        <v>958213.73</v>
      </c>
      <c r="N439" s="71" t="n">
        <v>95821.37</v>
      </c>
      <c r="O439" s="71" t="n">
        <v>862392.36</v>
      </c>
      <c r="P439" s="71" t="n">
        <v>258440.46</v>
      </c>
      <c r="Q439" s="71" t="n">
        <v>603951.9</v>
      </c>
      <c r="R439" t="inlineStr">
        <is>
          <t>Antiviral</t>
        </is>
      </c>
      <c r="S439" s="70" t="n">
        <v>810</v>
      </c>
      <c r="T439" s="71" t="n">
        <v>153851.36</v>
      </c>
      <c r="U439" t="inlineStr">
        <is>
          <t>Low</t>
        </is>
      </c>
      <c r="V439">
        <f>IF(AND(OR(Dashboard!$C$6="All",E439=Dashboard!$C$6),OR(Dashboard!$F$6="All",G439=Dashboard!$F$6),OR(Dashboard!$I$6="All",H439=Dashboard!$I$6)),1,0)</f>
        <v/>
      </c>
    </row>
    <row r="440">
      <c r="A440" t="inlineStr">
        <is>
          <t>PF100431</t>
        </is>
      </c>
      <c r="B440" s="68" t="n">
        <v>45707</v>
      </c>
      <c r="C440" s="69" t="n">
        <v>2025</v>
      </c>
      <c r="D440" t="inlineStr">
        <is>
          <t>Feb</t>
        </is>
      </c>
      <c r="E440" t="inlineStr">
        <is>
          <t>International developed</t>
        </is>
      </c>
      <c r="F440" t="inlineStr">
        <is>
          <t>Australia</t>
        </is>
      </c>
      <c r="G440" t="inlineStr">
        <is>
          <t>Prevnar 20</t>
        </is>
      </c>
      <c r="H440" t="inlineStr">
        <is>
          <t>Retail pharmacy</t>
        </is>
      </c>
      <c r="I440" t="inlineStr">
        <is>
          <t>Public payer</t>
        </is>
      </c>
      <c r="J440" t="inlineStr">
        <is>
          <t>Lucas Martin</t>
        </is>
      </c>
      <c r="K440" s="70" t="n">
        <v>770</v>
      </c>
      <c r="L440" s="71" t="n">
        <v>221.79</v>
      </c>
      <c r="M440" s="71" t="n">
        <v>170778.3</v>
      </c>
      <c r="N440" s="71" t="n">
        <v>8538.91</v>
      </c>
      <c r="O440" s="71" t="n">
        <v>162239.39</v>
      </c>
      <c r="P440" s="71" t="n">
        <v>53765.09</v>
      </c>
      <c r="Q440" s="71" t="n">
        <v>108474.3</v>
      </c>
      <c r="R440" t="inlineStr">
        <is>
          <t>Vaccines</t>
        </is>
      </c>
      <c r="S440" s="70" t="n">
        <v>500</v>
      </c>
      <c r="T440" s="71" t="n">
        <v>31010.12</v>
      </c>
      <c r="U440" t="inlineStr">
        <is>
          <t>Low</t>
        </is>
      </c>
      <c r="V440">
        <f>IF(AND(OR(Dashboard!$C$6="All",E440=Dashboard!$C$6),OR(Dashboard!$F$6="All",G440=Dashboard!$F$6),OR(Dashboard!$I$6="All",H440=Dashboard!$I$6)),1,0)</f>
        <v/>
      </c>
    </row>
    <row r="441">
      <c r="A441" t="inlineStr">
        <is>
          <t>PF100432</t>
        </is>
      </c>
      <c r="B441" s="68" t="n">
        <v>45707</v>
      </c>
      <c r="C441" s="69" t="n">
        <v>2025</v>
      </c>
      <c r="D441" t="inlineStr">
        <is>
          <t>Feb</t>
        </is>
      </c>
      <c r="E441" t="inlineStr">
        <is>
          <t>United States</t>
        </is>
      </c>
      <c r="F441" t="inlineStr">
        <is>
          <t>USA</t>
        </is>
      </c>
      <c r="G441" t="inlineStr">
        <is>
          <t>Xeljanz</t>
        </is>
      </c>
      <c r="H441" t="inlineStr">
        <is>
          <t>Retail pharmacy</t>
        </is>
      </c>
      <c r="I441" t="inlineStr">
        <is>
          <t>Private insurer</t>
        </is>
      </c>
      <c r="J441" t="inlineStr">
        <is>
          <t>Priya Nair</t>
        </is>
      </c>
      <c r="K441" s="70" t="n">
        <v>841</v>
      </c>
      <c r="L441" s="71" t="n">
        <v>2054.54</v>
      </c>
      <c r="M441" s="71" t="n">
        <v>1727868.14</v>
      </c>
      <c r="N441" s="71" t="n">
        <v>431967.03</v>
      </c>
      <c r="O441" s="71" t="n">
        <v>1295901.11</v>
      </c>
      <c r="P441" s="71" t="n">
        <v>216508.42</v>
      </c>
      <c r="Q441" s="71" t="n">
        <v>1079392.69</v>
      </c>
      <c r="R441" t="inlineStr">
        <is>
          <t>Inflammation</t>
        </is>
      </c>
      <c r="S441" s="70" t="n">
        <v>527</v>
      </c>
      <c r="T441" s="71" t="n">
        <v>378211.01</v>
      </c>
      <c r="U441" t="inlineStr">
        <is>
          <t>High</t>
        </is>
      </c>
      <c r="V441">
        <f>IF(AND(OR(Dashboard!$C$6="All",E441=Dashboard!$C$6),OR(Dashboard!$F$6="All",G441=Dashboard!$F$6),OR(Dashboard!$I$6="All",H441=Dashboard!$I$6)),1,0)</f>
        <v/>
      </c>
    </row>
    <row r="442">
      <c r="A442" t="inlineStr">
        <is>
          <t>PF100433</t>
        </is>
      </c>
      <c r="B442" s="68" t="n">
        <v>45707</v>
      </c>
      <c r="C442" s="69" t="n">
        <v>2025</v>
      </c>
      <c r="D442" t="inlineStr">
        <is>
          <t>Feb</t>
        </is>
      </c>
      <c r="E442" t="inlineStr">
        <is>
          <t>International developed</t>
        </is>
      </c>
      <c r="F442" t="inlineStr">
        <is>
          <t>Australia</t>
        </is>
      </c>
      <c r="G442" t="inlineStr">
        <is>
          <t>Eliquis</t>
        </is>
      </c>
      <c r="H442" t="inlineStr">
        <is>
          <t>Hospital</t>
        </is>
      </c>
      <c r="I442" t="inlineStr">
        <is>
          <t>Public payer</t>
        </is>
      </c>
      <c r="J442" t="inlineStr">
        <is>
          <t>Liam O'Brien</t>
        </is>
      </c>
      <c r="K442" s="70" t="n">
        <v>2400</v>
      </c>
      <c r="L442" s="71" t="n">
        <v>444.94</v>
      </c>
      <c r="M442" s="71" t="n">
        <v>1067856</v>
      </c>
      <c r="N442" s="71" t="n">
        <v>160178.4</v>
      </c>
      <c r="O442" s="71" t="n">
        <v>907677.6</v>
      </c>
      <c r="P442" s="71" t="n">
        <v>187931.58</v>
      </c>
      <c r="Q442" s="71" t="n">
        <v>719746.02</v>
      </c>
      <c r="R442" t="inlineStr">
        <is>
          <t>Cardiology</t>
        </is>
      </c>
      <c r="S442" s="70" t="n">
        <v>1578</v>
      </c>
      <c r="T442" s="71" t="n">
        <v>155108.9</v>
      </c>
      <c r="U442" t="inlineStr">
        <is>
          <t>High</t>
        </is>
      </c>
      <c r="V442">
        <f>IF(AND(OR(Dashboard!$C$6="All",E442=Dashboard!$C$6),OR(Dashboard!$F$6="All",G442=Dashboard!$F$6),OR(Dashboard!$I$6="All",H442=Dashboard!$I$6)),1,0)</f>
        <v/>
      </c>
    </row>
    <row r="443">
      <c r="A443" t="inlineStr">
        <is>
          <t>PF100434</t>
        </is>
      </c>
      <c r="B443" s="68" t="n">
        <v>45707</v>
      </c>
      <c r="C443" s="69" t="n">
        <v>2025</v>
      </c>
      <c r="D443" t="inlineStr">
        <is>
          <t>Feb</t>
        </is>
      </c>
      <c r="E443" t="inlineStr">
        <is>
          <t>United States</t>
        </is>
      </c>
      <c r="F443" t="inlineStr">
        <is>
          <t>USA</t>
        </is>
      </c>
      <c r="G443" t="inlineStr">
        <is>
          <t>Vyndaqel</t>
        </is>
      </c>
      <c r="H443" t="inlineStr">
        <is>
          <t>Retail pharmacy</t>
        </is>
      </c>
      <c r="I443" t="inlineStr">
        <is>
          <t>Private insurer</t>
        </is>
      </c>
      <c r="J443" t="inlineStr">
        <is>
          <t>Ruhi Shaikh</t>
        </is>
      </c>
      <c r="K443" s="70" t="n">
        <v>2241</v>
      </c>
      <c r="L443" s="71" t="n">
        <v>8219.040000000001</v>
      </c>
      <c r="M443" s="71" t="n">
        <v>18418868.64</v>
      </c>
      <c r="N443" s="71" t="n">
        <v>3683773.73</v>
      </c>
      <c r="O443" s="71" t="n">
        <v>14735094.91</v>
      </c>
      <c r="P443" s="71" t="n">
        <v>1394078.56</v>
      </c>
      <c r="Q443" s="71" t="n">
        <v>13341016.35</v>
      </c>
      <c r="R443" t="inlineStr">
        <is>
          <t>Rare disease</t>
        </is>
      </c>
      <c r="S443" s="70" t="n">
        <v>2166</v>
      </c>
      <c r="T443" s="71" t="n">
        <v>3936092.92</v>
      </c>
      <c r="U443" t="inlineStr">
        <is>
          <t>Medium</t>
        </is>
      </c>
      <c r="V443">
        <f>IF(AND(OR(Dashboard!$C$6="All",E443=Dashboard!$C$6),OR(Dashboard!$F$6="All",G443=Dashboard!$F$6),OR(Dashboard!$I$6="All",H443=Dashboard!$I$6)),1,0)</f>
        <v/>
      </c>
    </row>
    <row r="444">
      <c r="A444" t="inlineStr">
        <is>
          <t>PF100435</t>
        </is>
      </c>
      <c r="B444" s="68" t="n">
        <v>45708</v>
      </c>
      <c r="C444" s="69" t="n">
        <v>2025</v>
      </c>
      <c r="D444" t="inlineStr">
        <is>
          <t>Feb</t>
        </is>
      </c>
      <c r="E444" t="inlineStr">
        <is>
          <t>Europe</t>
        </is>
      </c>
      <c r="F444" t="inlineStr">
        <is>
          <t>France</t>
        </is>
      </c>
      <c r="G444" t="inlineStr">
        <is>
          <t>Abrysvo</t>
        </is>
      </c>
      <c r="H444" t="inlineStr">
        <is>
          <t>Hospital</t>
        </is>
      </c>
      <c r="I444" t="inlineStr">
        <is>
          <t>Public payer</t>
        </is>
      </c>
      <c r="J444" t="inlineStr">
        <is>
          <t>Fatima Al-Saud</t>
        </is>
      </c>
      <c r="K444" s="70" t="n">
        <v>643</v>
      </c>
      <c r="L444" s="71" t="n">
        <v>300.02</v>
      </c>
      <c r="M444" s="71" t="n">
        <v>192912.86</v>
      </c>
      <c r="N444" s="71" t="n">
        <v>38582.57</v>
      </c>
      <c r="O444" s="71" t="n">
        <v>154330.29</v>
      </c>
      <c r="P444" s="71" t="n">
        <v>55255.65</v>
      </c>
      <c r="Q444" s="71" t="n">
        <v>99074.64</v>
      </c>
      <c r="R444" t="inlineStr">
        <is>
          <t>Vaccines</t>
        </is>
      </c>
      <c r="S444" s="70" t="n">
        <v>636</v>
      </c>
      <c r="T444" s="71" t="n">
        <v>37669.78</v>
      </c>
      <c r="U444" t="inlineStr">
        <is>
          <t>Low</t>
        </is>
      </c>
      <c r="V444">
        <f>IF(AND(OR(Dashboard!$C$6="All",E444=Dashboard!$C$6),OR(Dashboard!$F$6="All",G444=Dashboard!$F$6),OR(Dashboard!$I$6="All",H444=Dashboard!$I$6)),1,0)</f>
        <v/>
      </c>
    </row>
    <row r="445">
      <c r="A445" t="inlineStr">
        <is>
          <t>PF100436</t>
        </is>
      </c>
      <c r="B445" s="68" t="n">
        <v>45708</v>
      </c>
      <c r="C445" s="69" t="n">
        <v>2025</v>
      </c>
      <c r="D445" t="inlineStr">
        <is>
          <t>Feb</t>
        </is>
      </c>
      <c r="E445" t="inlineStr">
        <is>
          <t>Europe</t>
        </is>
      </c>
      <c r="F445" t="inlineStr">
        <is>
          <t>Spain</t>
        </is>
      </c>
      <c r="G445" t="inlineStr">
        <is>
          <t>Comirnaty</t>
        </is>
      </c>
      <c r="H445" t="inlineStr">
        <is>
          <t>Hospital</t>
        </is>
      </c>
      <c r="I445" t="inlineStr">
        <is>
          <t>Public payer</t>
        </is>
      </c>
      <c r="J445" t="inlineStr">
        <is>
          <t>Omar Haddad</t>
        </is>
      </c>
      <c r="K445" s="70" t="n">
        <v>429</v>
      </c>
      <c r="L445" s="71" t="n">
        <v>114.46</v>
      </c>
      <c r="M445" s="71" t="n">
        <v>49103.34</v>
      </c>
      <c r="N445" s="71" t="n">
        <v>12275.83</v>
      </c>
      <c r="O445" s="71" t="n">
        <v>36827.51</v>
      </c>
      <c r="P445" s="71" t="n">
        <v>16312.81</v>
      </c>
      <c r="Q445" s="71" t="n">
        <v>20514.7</v>
      </c>
      <c r="R445" t="inlineStr">
        <is>
          <t>Vaccines</t>
        </is>
      </c>
      <c r="S445" s="70" t="n">
        <v>310</v>
      </c>
      <c r="T445" s="71" t="n">
        <v>9898.860000000001</v>
      </c>
      <c r="U445" t="inlineStr">
        <is>
          <t>Low</t>
        </is>
      </c>
      <c r="V445">
        <f>IF(AND(OR(Dashboard!$C$6="All",E445=Dashboard!$C$6),OR(Dashboard!$F$6="All",G445=Dashboard!$F$6),OR(Dashboard!$I$6="All",H445=Dashboard!$I$6)),1,0)</f>
        <v/>
      </c>
    </row>
    <row r="446">
      <c r="A446" t="inlineStr">
        <is>
          <t>PF100437</t>
        </is>
      </c>
      <c r="B446" s="68" t="n">
        <v>45708</v>
      </c>
      <c r="C446" s="69" t="n">
        <v>2025</v>
      </c>
      <c r="D446" t="inlineStr">
        <is>
          <t>Feb</t>
        </is>
      </c>
      <c r="E446" t="inlineStr">
        <is>
          <t>Europe</t>
        </is>
      </c>
      <c r="F446" t="inlineStr">
        <is>
          <t>UK</t>
        </is>
      </c>
      <c r="G446" t="inlineStr">
        <is>
          <t>Vyndaqel</t>
        </is>
      </c>
      <c r="H446" t="inlineStr">
        <is>
          <t>Retail pharmacy</t>
        </is>
      </c>
      <c r="I446" t="inlineStr">
        <is>
          <t>Private insurer</t>
        </is>
      </c>
      <c r="J446" t="inlineStr">
        <is>
          <t>Sophie Müller</t>
        </is>
      </c>
      <c r="K446" s="70" t="n">
        <v>1208</v>
      </c>
      <c r="L446" s="71" t="n">
        <v>5258.5</v>
      </c>
      <c r="M446" s="71" t="n">
        <v>6352268</v>
      </c>
      <c r="N446" s="71" t="n">
        <v>635226.8</v>
      </c>
      <c r="O446" s="71" t="n">
        <v>5717041.2</v>
      </c>
      <c r="P446" s="71" t="n">
        <v>742257.92</v>
      </c>
      <c r="Q446" s="71" t="n">
        <v>4974783.28</v>
      </c>
      <c r="R446" t="inlineStr">
        <is>
          <t>Rare disease</t>
        </is>
      </c>
      <c r="S446" s="70" t="n">
        <v>880</v>
      </c>
      <c r="T446" s="71" t="n">
        <v>1240454.99</v>
      </c>
      <c r="U446" t="inlineStr">
        <is>
          <t>Medium</t>
        </is>
      </c>
      <c r="V446">
        <f>IF(AND(OR(Dashboard!$C$6="All",E446=Dashboard!$C$6),OR(Dashboard!$F$6="All",G446=Dashboard!$F$6),OR(Dashboard!$I$6="All",H446=Dashboard!$I$6)),1,0)</f>
        <v/>
      </c>
    </row>
    <row r="447">
      <c r="A447" t="inlineStr">
        <is>
          <t>PF100438</t>
        </is>
      </c>
      <c r="B447" s="68" t="n">
        <v>45708</v>
      </c>
      <c r="C447" s="69" t="n">
        <v>2025</v>
      </c>
      <c r="D447" t="inlineStr">
        <is>
          <t>Feb</t>
        </is>
      </c>
      <c r="E447" t="inlineStr">
        <is>
          <t>Europe</t>
        </is>
      </c>
      <c r="F447" t="inlineStr">
        <is>
          <t>UK</t>
        </is>
      </c>
      <c r="G447" t="inlineStr">
        <is>
          <t>Ibrance</t>
        </is>
      </c>
      <c r="H447" t="inlineStr">
        <is>
          <t>Retail pharmacy</t>
        </is>
      </c>
      <c r="I447" t="inlineStr">
        <is>
          <t>Public payer</t>
        </is>
      </c>
      <c r="J447" t="inlineStr">
        <is>
          <t>Sophie Müller</t>
        </is>
      </c>
      <c r="K447" s="70" t="n">
        <v>65</v>
      </c>
      <c r="L447" s="71" t="n">
        <v>2819.24</v>
      </c>
      <c r="M447" s="71" t="n">
        <v>183250.6</v>
      </c>
      <c r="N447" s="71" t="n">
        <v>45812.65</v>
      </c>
      <c r="O447" s="71" t="n">
        <v>137437.95</v>
      </c>
      <c r="P447" s="71" t="n">
        <v>27584.11</v>
      </c>
      <c r="Q447" s="71" t="n">
        <v>109853.84</v>
      </c>
      <c r="R447" t="inlineStr">
        <is>
          <t>Oncology</t>
        </is>
      </c>
      <c r="S447" s="70" t="n">
        <v>42</v>
      </c>
      <c r="T447" s="71" t="n">
        <v>35468.31</v>
      </c>
      <c r="U447" t="inlineStr">
        <is>
          <t>High</t>
        </is>
      </c>
      <c r="V447">
        <f>IF(AND(OR(Dashboard!$C$6="All",E447=Dashboard!$C$6),OR(Dashboard!$F$6="All",G447=Dashboard!$F$6),OR(Dashboard!$I$6="All",H447=Dashboard!$I$6)),1,0)</f>
        <v/>
      </c>
    </row>
    <row r="448">
      <c r="A448" t="inlineStr">
        <is>
          <t>PF100439</t>
        </is>
      </c>
      <c r="B448" s="68" t="n">
        <v>45708</v>
      </c>
      <c r="C448" s="69" t="n">
        <v>2025</v>
      </c>
      <c r="D448" t="inlineStr">
        <is>
          <t>Feb</t>
        </is>
      </c>
      <c r="E448" t="inlineStr">
        <is>
          <t>International developed</t>
        </is>
      </c>
      <c r="F448" t="inlineStr">
        <is>
          <t>Canada</t>
        </is>
      </c>
      <c r="G448" t="inlineStr">
        <is>
          <t>Abrysvo</t>
        </is>
      </c>
      <c r="H448" t="inlineStr">
        <is>
          <t>Government / tender</t>
        </is>
      </c>
      <c r="I448" t="inlineStr">
        <is>
          <t>Private insurer</t>
        </is>
      </c>
      <c r="J448" t="inlineStr">
        <is>
          <t>Lucas Martin</t>
        </is>
      </c>
      <c r="K448" s="70" t="n">
        <v>778</v>
      </c>
      <c r="L448" s="71" t="n">
        <v>255.06</v>
      </c>
      <c r="M448" s="71" t="n">
        <v>198436.68</v>
      </c>
      <c r="N448" s="71" t="n">
        <v>19843.67</v>
      </c>
      <c r="O448" s="71" t="n">
        <v>178593.01</v>
      </c>
      <c r="P448" s="71" t="n">
        <v>67779.28</v>
      </c>
      <c r="Q448" s="71" t="n">
        <v>110813.73</v>
      </c>
      <c r="R448" t="inlineStr">
        <is>
          <t>Vaccines</t>
        </is>
      </c>
      <c r="S448" s="70" t="n">
        <v>723</v>
      </c>
      <c r="T448" s="71" t="n">
        <v>31752.33</v>
      </c>
      <c r="U448" t="inlineStr">
        <is>
          <t>Low</t>
        </is>
      </c>
      <c r="V448">
        <f>IF(AND(OR(Dashboard!$C$6="All",E448=Dashboard!$C$6),OR(Dashboard!$F$6="All",G448=Dashboard!$F$6),OR(Dashboard!$I$6="All",H448=Dashboard!$I$6)),1,0)</f>
        <v/>
      </c>
    </row>
    <row r="449">
      <c r="A449" t="inlineStr">
        <is>
          <t>PF100440</t>
        </is>
      </c>
      <c r="B449" s="68" t="n">
        <v>45708</v>
      </c>
      <c r="C449" s="69" t="n">
        <v>2025</v>
      </c>
      <c r="D449" t="inlineStr">
        <is>
          <t>Feb</t>
        </is>
      </c>
      <c r="E449" t="inlineStr">
        <is>
          <t>United States</t>
        </is>
      </c>
      <c r="F449" t="inlineStr">
        <is>
          <t>USA</t>
        </is>
      </c>
      <c r="G449" t="inlineStr">
        <is>
          <t>Prevnar 20</t>
        </is>
      </c>
      <c r="H449" t="inlineStr">
        <is>
          <t>Hospital</t>
        </is>
      </c>
      <c r="I449" t="inlineStr">
        <is>
          <t>Private insurer</t>
        </is>
      </c>
      <c r="J449" t="inlineStr">
        <is>
          <t>Omar Haddad</t>
        </is>
      </c>
      <c r="K449" s="70" t="n">
        <v>1670</v>
      </c>
      <c r="L449" s="71" t="n">
        <v>363.7</v>
      </c>
      <c r="M449" s="71" t="n">
        <v>607379</v>
      </c>
      <c r="N449" s="71" t="n">
        <v>151844.75</v>
      </c>
      <c r="O449" s="71" t="n">
        <v>455534.25</v>
      </c>
      <c r="P449" s="71" t="n">
        <v>110845.05</v>
      </c>
      <c r="Q449" s="71" t="n">
        <v>344689.2</v>
      </c>
      <c r="R449" t="inlineStr">
        <is>
          <t>Vaccines</t>
        </is>
      </c>
      <c r="S449" s="70" t="n">
        <v>1392</v>
      </c>
      <c r="T449" s="71" t="n">
        <v>106043.49</v>
      </c>
      <c r="U449" t="inlineStr">
        <is>
          <t>Low</t>
        </is>
      </c>
      <c r="V449">
        <f>IF(AND(OR(Dashboard!$C$6="All",E449=Dashboard!$C$6),OR(Dashboard!$F$6="All",G449=Dashboard!$F$6),OR(Dashboard!$I$6="All",H449=Dashboard!$I$6)),1,0)</f>
        <v/>
      </c>
    </row>
    <row r="450">
      <c r="A450" t="inlineStr">
        <is>
          <t>PF100441</t>
        </is>
      </c>
      <c r="B450" s="68" t="n">
        <v>45708</v>
      </c>
      <c r="C450" s="69" t="n">
        <v>2025</v>
      </c>
      <c r="D450" t="inlineStr">
        <is>
          <t>Feb</t>
        </is>
      </c>
      <c r="E450" t="inlineStr">
        <is>
          <t>Europe</t>
        </is>
      </c>
      <c r="F450" t="inlineStr">
        <is>
          <t>UK</t>
        </is>
      </c>
      <c r="G450" t="inlineStr">
        <is>
          <t>Paxlovid</t>
        </is>
      </c>
      <c r="H450" t="inlineStr">
        <is>
          <t>Retail pharmacy</t>
        </is>
      </c>
      <c r="I450" t="inlineStr">
        <is>
          <t>Public payer</t>
        </is>
      </c>
      <c r="J450" t="inlineStr">
        <is>
          <t>Fatima Al-Saud</t>
        </is>
      </c>
      <c r="K450" s="70" t="n">
        <v>1885</v>
      </c>
      <c r="L450" s="71" t="n">
        <v>992.5</v>
      </c>
      <c r="M450" s="71" t="n">
        <v>1870862.5</v>
      </c>
      <c r="N450" s="71" t="n">
        <v>374172.5</v>
      </c>
      <c r="O450" s="71" t="n">
        <v>1496690</v>
      </c>
      <c r="P450" s="71" t="n">
        <v>527696.77</v>
      </c>
      <c r="Q450" s="71" t="n">
        <v>968993.23</v>
      </c>
      <c r="R450" t="inlineStr">
        <is>
          <t>Antiviral</t>
        </is>
      </c>
      <c r="S450" s="70" t="n">
        <v>1309</v>
      </c>
      <c r="T450" s="71" t="n">
        <v>399384.09</v>
      </c>
      <c r="U450" t="inlineStr">
        <is>
          <t>Low</t>
        </is>
      </c>
      <c r="V450">
        <f>IF(AND(OR(Dashboard!$C$6="All",E450=Dashboard!$C$6),OR(Dashboard!$F$6="All",G450=Dashboard!$F$6),OR(Dashboard!$I$6="All",H450=Dashboard!$I$6)),1,0)</f>
        <v/>
      </c>
    </row>
    <row r="451">
      <c r="A451" t="inlineStr">
        <is>
          <t>PF100442</t>
        </is>
      </c>
      <c r="B451" s="68" t="n">
        <v>45708</v>
      </c>
      <c r="C451" s="69" t="n">
        <v>2025</v>
      </c>
      <c r="D451" t="inlineStr">
        <is>
          <t>Feb</t>
        </is>
      </c>
      <c r="E451" t="inlineStr">
        <is>
          <t>International developed</t>
        </is>
      </c>
      <c r="F451" t="inlineStr">
        <is>
          <t>Australia</t>
        </is>
      </c>
      <c r="G451" t="inlineStr">
        <is>
          <t>Paxlovid</t>
        </is>
      </c>
      <c r="H451" t="inlineStr">
        <is>
          <t>Retail pharmacy</t>
        </is>
      </c>
      <c r="I451" t="inlineStr">
        <is>
          <t>Private insurer</t>
        </is>
      </c>
      <c r="J451" t="inlineStr">
        <is>
          <t>Ravindra Patil</t>
        </is>
      </c>
      <c r="K451" s="70" t="n">
        <v>1973</v>
      </c>
      <c r="L451" s="71" t="n">
        <v>1017.83</v>
      </c>
      <c r="M451" s="71" t="n">
        <v>2008178.59</v>
      </c>
      <c r="N451" s="71" t="n">
        <v>502044.65</v>
      </c>
      <c r="O451" s="71" t="n">
        <v>1506133.94</v>
      </c>
      <c r="P451" s="71" t="n">
        <v>537654.97</v>
      </c>
      <c r="Q451" s="71" t="n">
        <v>968478.97</v>
      </c>
      <c r="R451" t="inlineStr">
        <is>
          <t>Antiviral</t>
        </is>
      </c>
      <c r="S451" s="70" t="n">
        <v>1651</v>
      </c>
      <c r="T451" s="71" t="n">
        <v>340097.32</v>
      </c>
      <c r="U451" t="inlineStr">
        <is>
          <t>Low</t>
        </is>
      </c>
      <c r="V451">
        <f>IF(AND(OR(Dashboard!$C$6="All",E451=Dashboard!$C$6),OR(Dashboard!$F$6="All",G451=Dashboard!$F$6),OR(Dashboard!$I$6="All",H451=Dashboard!$I$6)),1,0)</f>
        <v/>
      </c>
    </row>
    <row r="452">
      <c r="A452" t="inlineStr">
        <is>
          <t>PF100443</t>
        </is>
      </c>
      <c r="B452" s="68" t="n">
        <v>45708</v>
      </c>
      <c r="C452" s="69" t="n">
        <v>2025</v>
      </c>
      <c r="D452" t="inlineStr">
        <is>
          <t>Feb</t>
        </is>
      </c>
      <c r="E452" t="inlineStr">
        <is>
          <t>International developed</t>
        </is>
      </c>
      <c r="F452" t="inlineStr">
        <is>
          <t>Australia</t>
        </is>
      </c>
      <c r="G452" t="inlineStr">
        <is>
          <t>Paxlovid</t>
        </is>
      </c>
      <c r="H452" t="inlineStr">
        <is>
          <t>Hospital</t>
        </is>
      </c>
      <c r="I452" t="inlineStr">
        <is>
          <t>Self-pay</t>
        </is>
      </c>
      <c r="J452" t="inlineStr">
        <is>
          <t>Arjun Mehta</t>
        </is>
      </c>
      <c r="K452" s="70" t="n">
        <v>2326</v>
      </c>
      <c r="L452" s="71" t="n">
        <v>1060.36</v>
      </c>
      <c r="M452" s="71" t="n">
        <v>2466397.36</v>
      </c>
      <c r="N452" s="71" t="n">
        <v>123319.87</v>
      </c>
      <c r="O452" s="71" t="n">
        <v>2343077.49</v>
      </c>
      <c r="P452" s="71" t="n">
        <v>657421.3199999999</v>
      </c>
      <c r="Q452" s="71" t="n">
        <v>1685656.17</v>
      </c>
      <c r="R452" t="inlineStr">
        <is>
          <t>Antiviral</t>
        </is>
      </c>
      <c r="S452" s="70" t="n">
        <v>1836</v>
      </c>
      <c r="T452" s="71" t="n">
        <v>343710.69</v>
      </c>
      <c r="U452" t="inlineStr">
        <is>
          <t>Low</t>
        </is>
      </c>
      <c r="V452">
        <f>IF(AND(OR(Dashboard!$C$6="All",E452=Dashboard!$C$6),OR(Dashboard!$F$6="All",G452=Dashboard!$F$6),OR(Dashboard!$I$6="All",H452=Dashboard!$I$6)),1,0)</f>
        <v/>
      </c>
    </row>
    <row r="453">
      <c r="A453" t="inlineStr">
        <is>
          <t>PF100444</t>
        </is>
      </c>
      <c r="B453" s="68" t="n">
        <v>45708</v>
      </c>
      <c r="C453" s="69" t="n">
        <v>2025</v>
      </c>
      <c r="D453" t="inlineStr">
        <is>
          <t>Feb</t>
        </is>
      </c>
      <c r="E453" t="inlineStr">
        <is>
          <t>United States</t>
        </is>
      </c>
      <c r="F453" t="inlineStr">
        <is>
          <t>USA</t>
        </is>
      </c>
      <c r="G453" t="inlineStr">
        <is>
          <t>Xeljanz</t>
        </is>
      </c>
      <c r="H453" t="inlineStr">
        <is>
          <t>Retail pharmacy</t>
        </is>
      </c>
      <c r="I453" t="inlineStr">
        <is>
          <t>Private insurer</t>
        </is>
      </c>
      <c r="J453" t="inlineStr">
        <is>
          <t>Emma Clarke</t>
        </is>
      </c>
      <c r="K453" s="70" t="n">
        <v>571</v>
      </c>
      <c r="L453" s="71" t="n">
        <v>2393.95</v>
      </c>
      <c r="M453" s="71" t="n">
        <v>1366945.45</v>
      </c>
      <c r="N453" s="71" t="n">
        <v>273389.09</v>
      </c>
      <c r="O453" s="71" t="n">
        <v>1093556.36</v>
      </c>
      <c r="P453" s="71" t="n">
        <v>145012.18</v>
      </c>
      <c r="Q453" s="71" t="n">
        <v>948544.1800000001</v>
      </c>
      <c r="R453" t="inlineStr">
        <is>
          <t>Inflammation</t>
        </is>
      </c>
      <c r="S453" s="70" t="n">
        <v>525</v>
      </c>
      <c r="T453" s="71" t="n">
        <v>239065.44</v>
      </c>
      <c r="U453" t="inlineStr">
        <is>
          <t>High</t>
        </is>
      </c>
      <c r="V453">
        <f>IF(AND(OR(Dashboard!$C$6="All",E453=Dashboard!$C$6),OR(Dashboard!$F$6="All",G453=Dashboard!$F$6),OR(Dashboard!$I$6="All",H453=Dashboard!$I$6)),1,0)</f>
        <v/>
      </c>
    </row>
    <row r="454">
      <c r="A454" t="inlineStr">
        <is>
          <t>PF100445</t>
        </is>
      </c>
      <c r="B454" s="68" t="n">
        <v>45708</v>
      </c>
      <c r="C454" s="69" t="n">
        <v>2025</v>
      </c>
      <c r="D454" t="inlineStr">
        <is>
          <t>Feb</t>
        </is>
      </c>
      <c r="E454" t="inlineStr">
        <is>
          <t>Europe</t>
        </is>
      </c>
      <c r="F454" t="inlineStr">
        <is>
          <t>UK</t>
        </is>
      </c>
      <c r="G454" t="inlineStr">
        <is>
          <t>Eliquis</t>
        </is>
      </c>
      <c r="H454" t="inlineStr">
        <is>
          <t>Retail pharmacy</t>
        </is>
      </c>
      <c r="I454" t="inlineStr">
        <is>
          <t>Private insurer</t>
        </is>
      </c>
      <c r="J454" t="inlineStr">
        <is>
          <t>Yuki Sato</t>
        </is>
      </c>
      <c r="K454" s="70" t="n">
        <v>562</v>
      </c>
      <c r="L454" s="71" t="n">
        <v>387.89</v>
      </c>
      <c r="M454" s="71" t="n">
        <v>217994.18</v>
      </c>
      <c r="N454" s="71" t="n">
        <v>21799.42</v>
      </c>
      <c r="O454" s="71" t="n">
        <v>196194.76</v>
      </c>
      <c r="P454" s="71" t="n">
        <v>43676.5</v>
      </c>
      <c r="Q454" s="71" t="n">
        <v>152518.26</v>
      </c>
      <c r="R454" t="inlineStr">
        <is>
          <t>Cardiology</t>
        </is>
      </c>
      <c r="S454" s="70" t="n">
        <v>460</v>
      </c>
      <c r="T454" s="71" t="n">
        <v>34818.2</v>
      </c>
      <c r="U454" t="inlineStr">
        <is>
          <t>High</t>
        </is>
      </c>
      <c r="V454">
        <f>IF(AND(OR(Dashboard!$C$6="All",E454=Dashboard!$C$6),OR(Dashboard!$F$6="All",G454=Dashboard!$F$6),OR(Dashboard!$I$6="All",H454=Dashboard!$I$6)),1,0)</f>
        <v/>
      </c>
    </row>
    <row r="455">
      <c r="A455" t="inlineStr">
        <is>
          <t>PF100446</t>
        </is>
      </c>
      <c r="B455" s="68" t="n">
        <v>45708</v>
      </c>
      <c r="C455" s="69" t="n">
        <v>2025</v>
      </c>
      <c r="D455" t="inlineStr">
        <is>
          <t>Feb</t>
        </is>
      </c>
      <c r="E455" t="inlineStr">
        <is>
          <t>United States</t>
        </is>
      </c>
      <c r="F455" t="inlineStr">
        <is>
          <t>USA</t>
        </is>
      </c>
      <c r="G455" t="inlineStr">
        <is>
          <t>Prevnar 20</t>
        </is>
      </c>
      <c r="H455" t="inlineStr">
        <is>
          <t>Hospital</t>
        </is>
      </c>
      <c r="I455" t="inlineStr">
        <is>
          <t>Public payer</t>
        </is>
      </c>
      <c r="J455" t="inlineStr">
        <is>
          <t>Noah Smith</t>
        </is>
      </c>
      <c r="K455" s="70" t="n">
        <v>713</v>
      </c>
      <c r="L455" s="71" t="n">
        <v>399.81</v>
      </c>
      <c r="M455" s="71" t="n">
        <v>285064.53</v>
      </c>
      <c r="N455" s="71" t="n">
        <v>71266.13</v>
      </c>
      <c r="O455" s="71" t="n">
        <v>213798.4</v>
      </c>
      <c r="P455" s="71" t="n">
        <v>50276.83</v>
      </c>
      <c r="Q455" s="71" t="n">
        <v>163521.57</v>
      </c>
      <c r="R455" t="inlineStr">
        <is>
          <t>Vaccines</t>
        </is>
      </c>
      <c r="S455" s="70" t="n">
        <v>549</v>
      </c>
      <c r="T455" s="71" t="n">
        <v>52642.7</v>
      </c>
      <c r="U455" t="inlineStr">
        <is>
          <t>Low</t>
        </is>
      </c>
      <c r="V455">
        <f>IF(AND(OR(Dashboard!$C$6="All",E455=Dashboard!$C$6),OR(Dashboard!$F$6="All",G455=Dashboard!$F$6),OR(Dashboard!$I$6="All",H455=Dashboard!$I$6)),1,0)</f>
        <v/>
      </c>
    </row>
    <row r="456">
      <c r="A456" t="inlineStr">
        <is>
          <t>PF100447</t>
        </is>
      </c>
      <c r="B456" s="68" t="n">
        <v>45708</v>
      </c>
      <c r="C456" s="69" t="n">
        <v>2025</v>
      </c>
      <c r="D456" t="inlineStr">
        <is>
          <t>Feb</t>
        </is>
      </c>
      <c r="E456" t="inlineStr">
        <is>
          <t>United States</t>
        </is>
      </c>
      <c r="F456" t="inlineStr">
        <is>
          <t>USA</t>
        </is>
      </c>
      <c r="G456" t="inlineStr">
        <is>
          <t>Prevnar 20</t>
        </is>
      </c>
      <c r="H456" t="inlineStr">
        <is>
          <t>Hospital</t>
        </is>
      </c>
      <c r="I456" t="inlineStr">
        <is>
          <t>Public payer</t>
        </is>
      </c>
      <c r="J456" t="inlineStr">
        <is>
          <t>Lucas Martin</t>
        </is>
      </c>
      <c r="K456" s="70" t="n">
        <v>1411</v>
      </c>
      <c r="L456" s="71" t="n">
        <v>340.69</v>
      </c>
      <c r="M456" s="71" t="n">
        <v>480713.59</v>
      </c>
      <c r="N456" s="71" t="n">
        <v>72107.03999999999</v>
      </c>
      <c r="O456" s="71" t="n">
        <v>408606.55</v>
      </c>
      <c r="P456" s="71" t="n">
        <v>100416.1</v>
      </c>
      <c r="Q456" s="71" t="n">
        <v>308190.45</v>
      </c>
      <c r="R456" t="inlineStr">
        <is>
          <t>Vaccines</t>
        </is>
      </c>
      <c r="S456" s="70" t="n">
        <v>926</v>
      </c>
      <c r="T456" s="71" t="n">
        <v>79115.25999999999</v>
      </c>
      <c r="U456" t="inlineStr">
        <is>
          <t>Low</t>
        </is>
      </c>
      <c r="V456">
        <f>IF(AND(OR(Dashboard!$C$6="All",E456=Dashboard!$C$6),OR(Dashboard!$F$6="All",G456=Dashboard!$F$6),OR(Dashboard!$I$6="All",H456=Dashboard!$I$6)),1,0)</f>
        <v/>
      </c>
    </row>
    <row r="457">
      <c r="A457" t="inlineStr">
        <is>
          <t>PF100448</t>
        </is>
      </c>
      <c r="B457" s="68" t="n">
        <v>45708</v>
      </c>
      <c r="C457" s="69" t="n">
        <v>2025</v>
      </c>
      <c r="D457" t="inlineStr">
        <is>
          <t>Feb</t>
        </is>
      </c>
      <c r="E457" t="inlineStr">
        <is>
          <t>United States</t>
        </is>
      </c>
      <c r="F457" t="inlineStr">
        <is>
          <t>USA</t>
        </is>
      </c>
      <c r="G457" t="inlineStr">
        <is>
          <t>Paxlovid</t>
        </is>
      </c>
      <c r="H457" t="inlineStr">
        <is>
          <t>Retail pharmacy</t>
        </is>
      </c>
      <c r="I457" t="inlineStr">
        <is>
          <t>Private insurer</t>
        </is>
      </c>
      <c r="J457" t="inlineStr">
        <is>
          <t>Sophie Müller</t>
        </is>
      </c>
      <c r="K457" s="70" t="n">
        <v>1252</v>
      </c>
      <c r="L457" s="71" t="n">
        <v>1747.92</v>
      </c>
      <c r="M457" s="71" t="n">
        <v>2188395.84</v>
      </c>
      <c r="N457" s="71" t="n">
        <v>437679.17</v>
      </c>
      <c r="O457" s="71" t="n">
        <v>1750716.67</v>
      </c>
      <c r="P457" s="71" t="n">
        <v>350559.16</v>
      </c>
      <c r="Q457" s="71" t="n">
        <v>1400157.51</v>
      </c>
      <c r="R457" t="inlineStr">
        <is>
          <t>Antiviral</t>
        </is>
      </c>
      <c r="S457" s="70" t="n">
        <v>934</v>
      </c>
      <c r="T457" s="71" t="n">
        <v>383700.17</v>
      </c>
      <c r="U457" t="inlineStr">
        <is>
          <t>Low</t>
        </is>
      </c>
      <c r="V457">
        <f>IF(AND(OR(Dashboard!$C$6="All",E457=Dashboard!$C$6),OR(Dashboard!$F$6="All",G457=Dashboard!$F$6),OR(Dashboard!$I$6="All",H457=Dashboard!$I$6)),1,0)</f>
        <v/>
      </c>
    </row>
    <row r="458">
      <c r="A458" t="inlineStr">
        <is>
          <t>PF100449</t>
        </is>
      </c>
      <c r="B458" s="68" t="n">
        <v>45708</v>
      </c>
      <c r="C458" s="69" t="n">
        <v>2025</v>
      </c>
      <c r="D458" t="inlineStr">
        <is>
          <t>Feb</t>
        </is>
      </c>
      <c r="E458" t="inlineStr">
        <is>
          <t>International developed</t>
        </is>
      </c>
      <c r="F458" t="inlineStr">
        <is>
          <t>Canada</t>
        </is>
      </c>
      <c r="G458" t="inlineStr">
        <is>
          <t>Eliquis</t>
        </is>
      </c>
      <c r="H458" t="inlineStr">
        <is>
          <t>Retail pharmacy</t>
        </is>
      </c>
      <c r="I458" t="inlineStr">
        <is>
          <t>Private insurer</t>
        </is>
      </c>
      <c r="J458" t="inlineStr">
        <is>
          <t>Kofi Mensah</t>
        </is>
      </c>
      <c r="K458" s="70" t="n">
        <v>2674</v>
      </c>
      <c r="L458" s="71" t="n">
        <v>424.41</v>
      </c>
      <c r="M458" s="71" t="n">
        <v>1134872.34</v>
      </c>
      <c r="N458" s="71" t="n">
        <v>283718.09</v>
      </c>
      <c r="O458" s="71" t="n">
        <v>851154.25</v>
      </c>
      <c r="P458" s="71" t="n">
        <v>204393.89</v>
      </c>
      <c r="Q458" s="71" t="n">
        <v>646760.36</v>
      </c>
      <c r="R458" t="inlineStr">
        <is>
          <t>Cardiology</t>
        </is>
      </c>
      <c r="S458" s="70" t="n">
        <v>2510</v>
      </c>
      <c r="T458" s="71" t="n">
        <v>185967.35</v>
      </c>
      <c r="U458" t="inlineStr">
        <is>
          <t>High</t>
        </is>
      </c>
      <c r="V458">
        <f>IF(AND(OR(Dashboard!$C$6="All",E458=Dashboard!$C$6),OR(Dashboard!$F$6="All",G458=Dashboard!$F$6),OR(Dashboard!$I$6="All",H458=Dashboard!$I$6)),1,0)</f>
        <v/>
      </c>
    </row>
    <row r="459">
      <c r="A459" t="inlineStr">
        <is>
          <t>PF100450</t>
        </is>
      </c>
      <c r="B459" s="68" t="n">
        <v>45709</v>
      </c>
      <c r="C459" s="69" t="n">
        <v>2025</v>
      </c>
      <c r="D459" t="inlineStr">
        <is>
          <t>Feb</t>
        </is>
      </c>
      <c r="E459" t="inlineStr">
        <is>
          <t>United States</t>
        </is>
      </c>
      <c r="F459" t="inlineStr">
        <is>
          <t>USA</t>
        </is>
      </c>
      <c r="G459" t="inlineStr">
        <is>
          <t>Paxlovid</t>
        </is>
      </c>
      <c r="H459" t="inlineStr">
        <is>
          <t>Retail pharmacy</t>
        </is>
      </c>
      <c r="I459" t="inlineStr">
        <is>
          <t>Private insurer</t>
        </is>
      </c>
      <c r="J459" t="inlineStr">
        <is>
          <t>Ravindra Patil</t>
        </is>
      </c>
      <c r="K459" s="70" t="n">
        <v>1622</v>
      </c>
      <c r="L459" s="71" t="n">
        <v>1613.36</v>
      </c>
      <c r="M459" s="71" t="n">
        <v>2616869.92</v>
      </c>
      <c r="N459" s="71" t="n">
        <v>392530.49</v>
      </c>
      <c r="O459" s="71" t="n">
        <v>2224339.43</v>
      </c>
      <c r="P459" s="71" t="n">
        <v>461760.73</v>
      </c>
      <c r="Q459" s="71" t="n">
        <v>1762578.7</v>
      </c>
      <c r="R459" t="inlineStr">
        <is>
          <t>Antiviral</t>
        </is>
      </c>
      <c r="S459" s="70" t="n">
        <v>1263</v>
      </c>
      <c r="T459" s="71" t="n">
        <v>476036.86</v>
      </c>
      <c r="U459" t="inlineStr">
        <is>
          <t>Low</t>
        </is>
      </c>
      <c r="V459">
        <f>IF(AND(OR(Dashboard!$C$6="All",E459=Dashboard!$C$6),OR(Dashboard!$F$6="All",G459=Dashboard!$F$6),OR(Dashboard!$I$6="All",H459=Dashboard!$I$6)),1,0)</f>
        <v/>
      </c>
    </row>
    <row r="460">
      <c r="A460" t="inlineStr">
        <is>
          <t>PF100451</t>
        </is>
      </c>
      <c r="B460" s="68" t="n">
        <v>45709</v>
      </c>
      <c r="C460" s="69" t="n">
        <v>2025</v>
      </c>
      <c r="D460" t="inlineStr">
        <is>
          <t>Feb</t>
        </is>
      </c>
      <c r="E460" t="inlineStr">
        <is>
          <t>Europe</t>
        </is>
      </c>
      <c r="F460" t="inlineStr">
        <is>
          <t>Italy</t>
        </is>
      </c>
      <c r="G460" t="inlineStr">
        <is>
          <t>Eliquis</t>
        </is>
      </c>
      <c r="H460" t="inlineStr">
        <is>
          <t>Retail pharmacy</t>
        </is>
      </c>
      <c r="I460" t="inlineStr">
        <is>
          <t>Private insurer</t>
        </is>
      </c>
      <c r="J460" t="inlineStr">
        <is>
          <t>Noah Smith</t>
        </is>
      </c>
      <c r="K460" s="70" t="n">
        <v>2589</v>
      </c>
      <c r="L460" s="71" t="n">
        <v>395.9</v>
      </c>
      <c r="M460" s="71" t="n">
        <v>1024985.1</v>
      </c>
      <c r="N460" s="71" t="n">
        <v>256246.27</v>
      </c>
      <c r="O460" s="71" t="n">
        <v>768738.83</v>
      </c>
      <c r="P460" s="71" t="n">
        <v>189912.31</v>
      </c>
      <c r="Q460" s="71" t="n">
        <v>578826.52</v>
      </c>
      <c r="R460" t="inlineStr">
        <is>
          <t>Cardiology</t>
        </is>
      </c>
      <c r="S460" s="70" t="n">
        <v>2100</v>
      </c>
      <c r="T460" s="71" t="n">
        <v>135295.24</v>
      </c>
      <c r="U460" t="inlineStr">
        <is>
          <t>High</t>
        </is>
      </c>
      <c r="V460">
        <f>IF(AND(OR(Dashboard!$C$6="All",E460=Dashboard!$C$6),OR(Dashboard!$F$6="All",G460=Dashboard!$F$6),OR(Dashboard!$I$6="All",H460=Dashboard!$I$6)),1,0)</f>
        <v/>
      </c>
    </row>
    <row r="461">
      <c r="A461" t="inlineStr">
        <is>
          <t>PF100452</t>
        </is>
      </c>
      <c r="B461" s="68" t="n">
        <v>45709</v>
      </c>
      <c r="C461" s="69" t="n">
        <v>2025</v>
      </c>
      <c r="D461" t="inlineStr">
        <is>
          <t>Feb</t>
        </is>
      </c>
      <c r="E461" t="inlineStr">
        <is>
          <t>United States</t>
        </is>
      </c>
      <c r="F461" t="inlineStr">
        <is>
          <t>USA</t>
        </is>
      </c>
      <c r="G461" t="inlineStr">
        <is>
          <t>Paxlovid</t>
        </is>
      </c>
      <c r="H461" t="inlineStr">
        <is>
          <t>Retail pharmacy</t>
        </is>
      </c>
      <c r="I461" t="inlineStr">
        <is>
          <t>Private insurer</t>
        </is>
      </c>
      <c r="J461" t="inlineStr">
        <is>
          <t>Emma Clarke</t>
        </is>
      </c>
      <c r="K461" s="70" t="n">
        <v>984</v>
      </c>
      <c r="L461" s="71" t="n">
        <v>1660.51</v>
      </c>
      <c r="M461" s="71" t="n">
        <v>1633941.84</v>
      </c>
      <c r="N461" s="71" t="n">
        <v>490182.55</v>
      </c>
      <c r="O461" s="71" t="n">
        <v>1143759.29</v>
      </c>
      <c r="P461" s="71" t="n">
        <v>270133.95</v>
      </c>
      <c r="Q461" s="71" t="n">
        <v>873625.34</v>
      </c>
      <c r="R461" t="inlineStr">
        <is>
          <t>Antiviral</t>
        </is>
      </c>
      <c r="S461" s="70" t="n">
        <v>852</v>
      </c>
      <c r="T461" s="71" t="n">
        <v>312117.98</v>
      </c>
      <c r="U461" t="inlineStr">
        <is>
          <t>Low</t>
        </is>
      </c>
      <c r="V461">
        <f>IF(AND(OR(Dashboard!$C$6="All",E461=Dashboard!$C$6),OR(Dashboard!$F$6="All",G461=Dashboard!$F$6),OR(Dashboard!$I$6="All",H461=Dashboard!$I$6)),1,0)</f>
        <v/>
      </c>
    </row>
    <row r="462">
      <c r="A462" t="inlineStr">
        <is>
          <t>PF100453</t>
        </is>
      </c>
      <c r="B462" s="68" t="n">
        <v>45709</v>
      </c>
      <c r="C462" s="69" t="n">
        <v>2025</v>
      </c>
      <c r="D462" t="inlineStr">
        <is>
          <t>Feb</t>
        </is>
      </c>
      <c r="E462" t="inlineStr">
        <is>
          <t>United States</t>
        </is>
      </c>
      <c r="F462" t="inlineStr">
        <is>
          <t>USA</t>
        </is>
      </c>
      <c r="G462" t="inlineStr">
        <is>
          <t>Eliquis</t>
        </is>
      </c>
      <c r="H462" t="inlineStr">
        <is>
          <t>Retail pharmacy</t>
        </is>
      </c>
      <c r="I462" t="inlineStr">
        <is>
          <t>Private insurer</t>
        </is>
      </c>
      <c r="J462" t="inlineStr">
        <is>
          <t>Hiroshi Tanaka</t>
        </is>
      </c>
      <c r="K462" s="70" t="n">
        <v>2017</v>
      </c>
      <c r="L462" s="71" t="n">
        <v>657.52</v>
      </c>
      <c r="M462" s="71" t="n">
        <v>1326217.84</v>
      </c>
      <c r="N462" s="71" t="n">
        <v>331554.46</v>
      </c>
      <c r="O462" s="71" t="n">
        <v>994663.38</v>
      </c>
      <c r="P462" s="71" t="n">
        <v>156289.71</v>
      </c>
      <c r="Q462" s="71" t="n">
        <v>838373.67</v>
      </c>
      <c r="R462" t="inlineStr">
        <is>
          <t>Cardiology</t>
        </is>
      </c>
      <c r="S462" s="70" t="n">
        <v>1833</v>
      </c>
      <c r="T462" s="71" t="n">
        <v>268962.98</v>
      </c>
      <c r="U462" t="inlineStr">
        <is>
          <t>High</t>
        </is>
      </c>
      <c r="V462">
        <f>IF(AND(OR(Dashboard!$C$6="All",E462=Dashboard!$C$6),OR(Dashboard!$F$6="All",G462=Dashboard!$F$6),OR(Dashboard!$I$6="All",H462=Dashboard!$I$6)),1,0)</f>
        <v/>
      </c>
    </row>
    <row r="463">
      <c r="A463" t="inlineStr">
        <is>
          <t>PF100454</t>
        </is>
      </c>
      <c r="B463" s="68" t="n">
        <v>45710</v>
      </c>
      <c r="C463" s="69" t="n">
        <v>2025</v>
      </c>
      <c r="D463" t="inlineStr">
        <is>
          <t>Feb</t>
        </is>
      </c>
      <c r="E463" t="inlineStr">
        <is>
          <t>Europe</t>
        </is>
      </c>
      <c r="F463" t="inlineStr">
        <is>
          <t>UK</t>
        </is>
      </c>
      <c r="G463" t="inlineStr">
        <is>
          <t>Vyndaqel</t>
        </is>
      </c>
      <c r="H463" t="inlineStr">
        <is>
          <t>Government / tender</t>
        </is>
      </c>
      <c r="I463" t="inlineStr">
        <is>
          <t>Private insurer</t>
        </is>
      </c>
      <c r="J463" t="inlineStr">
        <is>
          <t>Liam O'Brien</t>
        </is>
      </c>
      <c r="K463" s="70" t="n">
        <v>2576</v>
      </c>
      <c r="L463" s="71" t="n">
        <v>5233.53</v>
      </c>
      <c r="M463" s="71" t="n">
        <v>13481573.28</v>
      </c>
      <c r="N463" s="71" t="n">
        <v>1348157.33</v>
      </c>
      <c r="O463" s="71" t="n">
        <v>12133415.95</v>
      </c>
      <c r="P463" s="71" t="n">
        <v>1668807.11</v>
      </c>
      <c r="Q463" s="71" t="n">
        <v>10464608.84</v>
      </c>
      <c r="R463" t="inlineStr">
        <is>
          <t>Rare disease</t>
        </is>
      </c>
      <c r="S463" s="70" t="n">
        <v>1752</v>
      </c>
      <c r="T463" s="71" t="n">
        <v>2180188.82</v>
      </c>
      <c r="U463" t="inlineStr">
        <is>
          <t>Medium</t>
        </is>
      </c>
      <c r="V463">
        <f>IF(AND(OR(Dashboard!$C$6="All",E463=Dashboard!$C$6),OR(Dashboard!$F$6="All",G463=Dashboard!$F$6),OR(Dashboard!$I$6="All",H463=Dashboard!$I$6)),1,0)</f>
        <v/>
      </c>
    </row>
    <row r="464">
      <c r="A464" t="inlineStr">
        <is>
          <t>PF100455</t>
        </is>
      </c>
      <c r="B464" s="68" t="n">
        <v>45710</v>
      </c>
      <c r="C464" s="69" t="n">
        <v>2025</v>
      </c>
      <c r="D464" t="inlineStr">
        <is>
          <t>Feb</t>
        </is>
      </c>
      <c r="E464" t="inlineStr">
        <is>
          <t>Emerging markets</t>
        </is>
      </c>
      <c r="F464" t="inlineStr">
        <is>
          <t>Mexico</t>
        </is>
      </c>
      <c r="G464" t="inlineStr">
        <is>
          <t>Eliquis</t>
        </is>
      </c>
      <c r="H464" t="inlineStr">
        <is>
          <t>Hospital</t>
        </is>
      </c>
      <c r="I464" t="inlineStr">
        <is>
          <t>Public payer</t>
        </is>
      </c>
      <c r="J464" t="inlineStr">
        <is>
          <t>Ravindra Patil</t>
        </is>
      </c>
      <c r="K464" s="70" t="n">
        <v>1333</v>
      </c>
      <c r="L464" s="71" t="n">
        <v>435.95</v>
      </c>
      <c r="M464" s="71" t="n">
        <v>581121.35</v>
      </c>
      <c r="N464" s="71" t="n">
        <v>145280.34</v>
      </c>
      <c r="O464" s="71" t="n">
        <v>435841.01</v>
      </c>
      <c r="P464" s="71" t="n">
        <v>98676.28</v>
      </c>
      <c r="Q464" s="71" t="n">
        <v>337164.73</v>
      </c>
      <c r="R464" t="inlineStr">
        <is>
          <t>Cardiology</t>
        </is>
      </c>
      <c r="S464" s="70" t="n">
        <v>965</v>
      </c>
      <c r="T464" s="71" t="n">
        <v>89805.59</v>
      </c>
      <c r="U464" t="inlineStr">
        <is>
          <t>High</t>
        </is>
      </c>
      <c r="V464">
        <f>IF(AND(OR(Dashboard!$C$6="All",E464=Dashboard!$C$6),OR(Dashboard!$F$6="All",G464=Dashboard!$F$6),OR(Dashboard!$I$6="All",H464=Dashboard!$I$6)),1,0)</f>
        <v/>
      </c>
    </row>
    <row r="465">
      <c r="A465" t="inlineStr">
        <is>
          <t>PF100456</t>
        </is>
      </c>
      <c r="B465" s="68" t="n">
        <v>45710</v>
      </c>
      <c r="C465" s="69" t="n">
        <v>2025</v>
      </c>
      <c r="D465" t="inlineStr">
        <is>
          <t>Feb</t>
        </is>
      </c>
      <c r="E465" t="inlineStr">
        <is>
          <t>United States</t>
        </is>
      </c>
      <c r="F465" t="inlineStr">
        <is>
          <t>USA</t>
        </is>
      </c>
      <c r="G465" t="inlineStr">
        <is>
          <t>Comirnaty</t>
        </is>
      </c>
      <c r="H465" t="inlineStr">
        <is>
          <t>Government / tender</t>
        </is>
      </c>
      <c r="I465" t="inlineStr">
        <is>
          <t>Private insurer</t>
        </is>
      </c>
      <c r="J465" t="inlineStr">
        <is>
          <t>Omar Haddad</t>
        </is>
      </c>
      <c r="K465" s="70" t="n">
        <v>819</v>
      </c>
      <c r="L465" s="71" t="n">
        <v>173.31</v>
      </c>
      <c r="M465" s="71" t="n">
        <v>141940.89</v>
      </c>
      <c r="N465" s="71" t="n">
        <v>49679.31</v>
      </c>
      <c r="O465" s="71" t="n">
        <v>92261.58</v>
      </c>
      <c r="P465" s="71" t="n">
        <v>30801.44</v>
      </c>
      <c r="Q465" s="71" t="n">
        <v>61460.14</v>
      </c>
      <c r="R465" t="inlineStr">
        <is>
          <t>Vaccines</t>
        </is>
      </c>
      <c r="S465" s="70" t="n">
        <v>640</v>
      </c>
      <c r="T465" s="71" t="n">
        <v>24170.32</v>
      </c>
      <c r="U465" t="inlineStr">
        <is>
          <t>Low</t>
        </is>
      </c>
      <c r="V465">
        <f>IF(AND(OR(Dashboard!$C$6="All",E465=Dashboard!$C$6),OR(Dashboard!$F$6="All",G465=Dashboard!$F$6),OR(Dashboard!$I$6="All",H465=Dashboard!$I$6)),1,0)</f>
        <v/>
      </c>
    </row>
    <row r="466">
      <c r="A466" t="inlineStr">
        <is>
          <t>PF100457</t>
        </is>
      </c>
      <c r="B466" s="68" t="n">
        <v>45710</v>
      </c>
      <c r="C466" s="69" t="n">
        <v>2025</v>
      </c>
      <c r="D466" t="inlineStr">
        <is>
          <t>Feb</t>
        </is>
      </c>
      <c r="E466" t="inlineStr">
        <is>
          <t>United States</t>
        </is>
      </c>
      <c r="F466" t="inlineStr">
        <is>
          <t>USA</t>
        </is>
      </c>
      <c r="G466" t="inlineStr">
        <is>
          <t>Vyndaqel</t>
        </is>
      </c>
      <c r="H466" t="inlineStr">
        <is>
          <t>Government / tender</t>
        </is>
      </c>
      <c r="I466" t="inlineStr">
        <is>
          <t>Public payer</t>
        </is>
      </c>
      <c r="J466" t="inlineStr">
        <is>
          <t>Hiroshi Tanaka</t>
        </is>
      </c>
      <c r="K466" s="70" t="n">
        <v>2364</v>
      </c>
      <c r="L466" s="71" t="n">
        <v>7961.87</v>
      </c>
      <c r="M466" s="71" t="n">
        <v>18821860.68</v>
      </c>
      <c r="N466" s="71" t="n">
        <v>5646558.2</v>
      </c>
      <c r="O466" s="71" t="n">
        <v>13175302.48</v>
      </c>
      <c r="P466" s="71" t="n">
        <v>1441473.6</v>
      </c>
      <c r="Q466" s="71" t="n">
        <v>11733828.88</v>
      </c>
      <c r="R466" t="inlineStr">
        <is>
          <t>Rare disease</t>
        </is>
      </c>
      <c r="S466" s="70" t="n">
        <v>1937</v>
      </c>
      <c r="T466" s="71" t="n">
        <v>2381299.7</v>
      </c>
      <c r="U466" t="inlineStr">
        <is>
          <t>Medium</t>
        </is>
      </c>
      <c r="V466">
        <f>IF(AND(OR(Dashboard!$C$6="All",E466=Dashboard!$C$6),OR(Dashboard!$F$6="All",G466=Dashboard!$F$6),OR(Dashboard!$I$6="All",H466=Dashboard!$I$6)),1,0)</f>
        <v/>
      </c>
    </row>
    <row r="467">
      <c r="A467" t="inlineStr">
        <is>
          <t>PF100458</t>
        </is>
      </c>
      <c r="B467" s="68" t="n">
        <v>45710</v>
      </c>
      <c r="C467" s="69" t="n">
        <v>2025</v>
      </c>
      <c r="D467" t="inlineStr">
        <is>
          <t>Feb</t>
        </is>
      </c>
      <c r="E467" t="inlineStr">
        <is>
          <t>Emerging markets</t>
        </is>
      </c>
      <c r="F467" t="inlineStr">
        <is>
          <t>Mexico</t>
        </is>
      </c>
      <c r="G467" t="inlineStr">
        <is>
          <t>Eliquis</t>
        </is>
      </c>
      <c r="H467" t="inlineStr">
        <is>
          <t>Retail pharmacy</t>
        </is>
      </c>
      <c r="I467" t="inlineStr">
        <is>
          <t>Private insurer</t>
        </is>
      </c>
      <c r="J467" t="inlineStr">
        <is>
          <t>Zoya Ahmed</t>
        </is>
      </c>
      <c r="K467" s="70" t="n">
        <v>2186</v>
      </c>
      <c r="L467" s="71" t="n">
        <v>396.57</v>
      </c>
      <c r="M467" s="71" t="n">
        <v>866902.02</v>
      </c>
      <c r="N467" s="71" t="n">
        <v>173380.4</v>
      </c>
      <c r="O467" s="71" t="n">
        <v>693521.62</v>
      </c>
      <c r="P467" s="71" t="n">
        <v>166744.65</v>
      </c>
      <c r="Q467" s="71" t="n">
        <v>526776.97</v>
      </c>
      <c r="R467" t="inlineStr">
        <is>
          <t>Cardiology</t>
        </is>
      </c>
      <c r="S467" s="70" t="n">
        <v>1662</v>
      </c>
      <c r="T467" s="71" t="n">
        <v>182096.47</v>
      </c>
      <c r="U467" t="inlineStr">
        <is>
          <t>High</t>
        </is>
      </c>
      <c r="V467">
        <f>IF(AND(OR(Dashboard!$C$6="All",E467=Dashboard!$C$6),OR(Dashboard!$F$6="All",G467=Dashboard!$F$6),OR(Dashboard!$I$6="All",H467=Dashboard!$I$6)),1,0)</f>
        <v/>
      </c>
    </row>
    <row r="468">
      <c r="A468" t="inlineStr">
        <is>
          <t>PF100459</t>
        </is>
      </c>
      <c r="B468" s="68" t="n">
        <v>45710</v>
      </c>
      <c r="C468" s="69" t="n">
        <v>2025</v>
      </c>
      <c r="D468" t="inlineStr">
        <is>
          <t>Feb</t>
        </is>
      </c>
      <c r="E468" t="inlineStr">
        <is>
          <t>United States</t>
        </is>
      </c>
      <c r="F468" t="inlineStr">
        <is>
          <t>USA</t>
        </is>
      </c>
      <c r="G468" t="inlineStr">
        <is>
          <t>Vyndaqel</t>
        </is>
      </c>
      <c r="H468" t="inlineStr">
        <is>
          <t>Hospital</t>
        </is>
      </c>
      <c r="I468" t="inlineStr">
        <is>
          <t>Public payer</t>
        </is>
      </c>
      <c r="J468" t="inlineStr">
        <is>
          <t>Sophie Müller</t>
        </is>
      </c>
      <c r="K468" s="70" t="n">
        <v>1035</v>
      </c>
      <c r="L468" s="71" t="n">
        <v>8800.42</v>
      </c>
      <c r="M468" s="71" t="n">
        <v>9108434.699999999</v>
      </c>
      <c r="N468" s="71" t="n">
        <v>2732530.41</v>
      </c>
      <c r="O468" s="71" t="n">
        <v>6375904.29</v>
      </c>
      <c r="P468" s="71" t="n">
        <v>654390.16</v>
      </c>
      <c r="Q468" s="71" t="n">
        <v>5721514.13</v>
      </c>
      <c r="R468" t="inlineStr">
        <is>
          <t>Rare disease</t>
        </is>
      </c>
      <c r="S468" s="70" t="n">
        <v>1028</v>
      </c>
      <c r="T468" s="71" t="n">
        <v>1894334.26</v>
      </c>
      <c r="U468" t="inlineStr">
        <is>
          <t>Medium</t>
        </is>
      </c>
      <c r="V468">
        <f>IF(AND(OR(Dashboard!$C$6="All",E468=Dashboard!$C$6),OR(Dashboard!$F$6="All",G468=Dashboard!$F$6),OR(Dashboard!$I$6="All",H468=Dashboard!$I$6)),1,0)</f>
        <v/>
      </c>
    </row>
    <row r="469">
      <c r="A469" t="inlineStr">
        <is>
          <t>PF100460</t>
        </is>
      </c>
      <c r="B469" s="68" t="n">
        <v>45710</v>
      </c>
      <c r="C469" s="69" t="n">
        <v>2025</v>
      </c>
      <c r="D469" t="inlineStr">
        <is>
          <t>Feb</t>
        </is>
      </c>
      <c r="E469" t="inlineStr">
        <is>
          <t>International developed</t>
        </is>
      </c>
      <c r="F469" t="inlineStr">
        <is>
          <t>Canada</t>
        </is>
      </c>
      <c r="G469" t="inlineStr">
        <is>
          <t>Xeljanz</t>
        </is>
      </c>
      <c r="H469" t="inlineStr">
        <is>
          <t>Retail pharmacy</t>
        </is>
      </c>
      <c r="I469" t="inlineStr">
        <is>
          <t>Public payer</t>
        </is>
      </c>
      <c r="J469" t="inlineStr">
        <is>
          <t>Zoya Ahmed</t>
        </is>
      </c>
      <c r="K469" s="70" t="n">
        <v>1096</v>
      </c>
      <c r="L469" s="71" t="n">
        <v>1443.31</v>
      </c>
      <c r="M469" s="71" t="n">
        <v>1581867.76</v>
      </c>
      <c r="N469" s="71" t="n">
        <v>79093.39</v>
      </c>
      <c r="O469" s="71" t="n">
        <v>1502774.37</v>
      </c>
      <c r="P469" s="71" t="n">
        <v>283662.49</v>
      </c>
      <c r="Q469" s="71" t="n">
        <v>1219111.88</v>
      </c>
      <c r="R469" t="inlineStr">
        <is>
          <t>Inflammation</t>
        </is>
      </c>
      <c r="S469" s="70" t="n">
        <v>696</v>
      </c>
      <c r="T469" s="71" t="n">
        <v>335615.38</v>
      </c>
      <c r="U469" t="inlineStr">
        <is>
          <t>High</t>
        </is>
      </c>
      <c r="V469">
        <f>IF(AND(OR(Dashboard!$C$6="All",E469=Dashboard!$C$6),OR(Dashboard!$F$6="All",G469=Dashboard!$F$6),OR(Dashboard!$I$6="All",H469=Dashboard!$I$6)),1,0)</f>
        <v/>
      </c>
    </row>
    <row r="470">
      <c r="A470" t="inlineStr">
        <is>
          <t>PF100461</t>
        </is>
      </c>
      <c r="B470" s="68" t="n">
        <v>45710</v>
      </c>
      <c r="C470" s="69" t="n">
        <v>2025</v>
      </c>
      <c r="D470" t="inlineStr">
        <is>
          <t>Feb</t>
        </is>
      </c>
      <c r="E470" t="inlineStr">
        <is>
          <t>Emerging markets</t>
        </is>
      </c>
      <c r="F470" t="inlineStr">
        <is>
          <t>Mexico</t>
        </is>
      </c>
      <c r="G470" t="inlineStr">
        <is>
          <t>Xeljanz</t>
        </is>
      </c>
      <c r="H470" t="inlineStr">
        <is>
          <t>Hospital</t>
        </is>
      </c>
      <c r="I470" t="inlineStr">
        <is>
          <t>Self-pay</t>
        </is>
      </c>
      <c r="J470" t="inlineStr">
        <is>
          <t>Sophie Müller</t>
        </is>
      </c>
      <c r="K470" s="70" t="n">
        <v>2503</v>
      </c>
      <c r="L470" s="71" t="n">
        <v>1531.14</v>
      </c>
      <c r="M470" s="71" t="n">
        <v>3832443.42</v>
      </c>
      <c r="N470" s="71" t="n">
        <v>574866.51</v>
      </c>
      <c r="O470" s="71" t="n">
        <v>3257576.91</v>
      </c>
      <c r="P470" s="71" t="n">
        <v>613491.09</v>
      </c>
      <c r="Q470" s="71" t="n">
        <v>2644085.82</v>
      </c>
      <c r="R470" t="inlineStr">
        <is>
          <t>Inflammation</t>
        </is>
      </c>
      <c r="S470" s="70" t="n">
        <v>2071</v>
      </c>
      <c r="T470" s="71" t="n">
        <v>676032.46</v>
      </c>
      <c r="U470" t="inlineStr">
        <is>
          <t>High</t>
        </is>
      </c>
      <c r="V470">
        <f>IF(AND(OR(Dashboard!$C$6="All",E470=Dashboard!$C$6),OR(Dashboard!$F$6="All",G470=Dashboard!$F$6),OR(Dashboard!$I$6="All",H470=Dashboard!$I$6)),1,0)</f>
        <v/>
      </c>
    </row>
    <row r="471">
      <c r="A471" t="inlineStr">
        <is>
          <t>PF100462</t>
        </is>
      </c>
      <c r="B471" s="68" t="n">
        <v>45710</v>
      </c>
      <c r="C471" s="69" t="n">
        <v>2025</v>
      </c>
      <c r="D471" t="inlineStr">
        <is>
          <t>Feb</t>
        </is>
      </c>
      <c r="E471" t="inlineStr">
        <is>
          <t>United States</t>
        </is>
      </c>
      <c r="F471" t="inlineStr">
        <is>
          <t>USA</t>
        </is>
      </c>
      <c r="G471" t="inlineStr">
        <is>
          <t>Comirnaty</t>
        </is>
      </c>
      <c r="H471" t="inlineStr">
        <is>
          <t>Retail pharmacy</t>
        </is>
      </c>
      <c r="I471" t="inlineStr">
        <is>
          <t>Private insurer</t>
        </is>
      </c>
      <c r="J471" t="inlineStr">
        <is>
          <t>Ravindra Patil</t>
        </is>
      </c>
      <c r="K471" s="70" t="n">
        <v>2284</v>
      </c>
      <c r="L471" s="71" t="n">
        <v>172.72</v>
      </c>
      <c r="M471" s="71" t="n">
        <v>394492.48</v>
      </c>
      <c r="N471" s="71" t="n">
        <v>78898.5</v>
      </c>
      <c r="O471" s="71" t="n">
        <v>315593.98</v>
      </c>
      <c r="P471" s="71" t="n">
        <v>88053.92</v>
      </c>
      <c r="Q471" s="71" t="n">
        <v>227540.06</v>
      </c>
      <c r="R471" t="inlineStr">
        <is>
          <t>Vaccines</t>
        </is>
      </c>
      <c r="S471" s="70" t="n">
        <v>2154</v>
      </c>
      <c r="T471" s="71" t="n">
        <v>47894.32</v>
      </c>
      <c r="U471" t="inlineStr">
        <is>
          <t>Low</t>
        </is>
      </c>
      <c r="V471">
        <f>IF(AND(OR(Dashboard!$C$6="All",E471=Dashboard!$C$6),OR(Dashboard!$F$6="All",G471=Dashboard!$F$6),OR(Dashboard!$I$6="All",H471=Dashboard!$I$6)),1,0)</f>
        <v/>
      </c>
    </row>
    <row r="472">
      <c r="A472" t="inlineStr">
        <is>
          <t>PF100463</t>
        </is>
      </c>
      <c r="B472" s="68" t="n">
        <v>45711</v>
      </c>
      <c r="C472" s="69" t="n">
        <v>2025</v>
      </c>
      <c r="D472" t="inlineStr">
        <is>
          <t>Feb</t>
        </is>
      </c>
      <c r="E472" t="inlineStr">
        <is>
          <t>United States</t>
        </is>
      </c>
      <c r="F472" t="inlineStr">
        <is>
          <t>USA</t>
        </is>
      </c>
      <c r="G472" t="inlineStr">
        <is>
          <t>Ibrance</t>
        </is>
      </c>
      <c r="H472" t="inlineStr">
        <is>
          <t>Retail pharmacy</t>
        </is>
      </c>
      <c r="I472" t="inlineStr">
        <is>
          <t>Public payer</t>
        </is>
      </c>
      <c r="J472" t="inlineStr">
        <is>
          <t>Priya Nair</t>
        </is>
      </c>
      <c r="K472" s="70" t="n">
        <v>2407</v>
      </c>
      <c r="L472" s="71" t="n">
        <v>5091.22</v>
      </c>
      <c r="M472" s="71" t="n">
        <v>12254566.54</v>
      </c>
      <c r="N472" s="71" t="n">
        <v>4289098.29</v>
      </c>
      <c r="O472" s="71" t="n">
        <v>7965468.25</v>
      </c>
      <c r="P472" s="71" t="n">
        <v>1039501.58</v>
      </c>
      <c r="Q472" s="71" t="n">
        <v>6925966.67</v>
      </c>
      <c r="R472" t="inlineStr">
        <is>
          <t>Oncology</t>
        </is>
      </c>
      <c r="S472" s="70" t="n">
        <v>1825</v>
      </c>
      <c r="T472" s="71" t="n">
        <v>2032993.91</v>
      </c>
      <c r="U472" t="inlineStr">
        <is>
          <t>High</t>
        </is>
      </c>
      <c r="V472">
        <f>IF(AND(OR(Dashboard!$C$6="All",E472=Dashboard!$C$6),OR(Dashboard!$F$6="All",G472=Dashboard!$F$6),OR(Dashboard!$I$6="All",H472=Dashboard!$I$6)),1,0)</f>
        <v/>
      </c>
    </row>
    <row r="473">
      <c r="A473" t="inlineStr">
        <is>
          <t>PF100464</t>
        </is>
      </c>
      <c r="B473" s="68" t="n">
        <v>45711</v>
      </c>
      <c r="C473" s="69" t="n">
        <v>2025</v>
      </c>
      <c r="D473" t="inlineStr">
        <is>
          <t>Feb</t>
        </is>
      </c>
      <c r="E473" t="inlineStr">
        <is>
          <t>United States</t>
        </is>
      </c>
      <c r="F473" t="inlineStr">
        <is>
          <t>USA</t>
        </is>
      </c>
      <c r="G473" t="inlineStr">
        <is>
          <t>Comirnaty</t>
        </is>
      </c>
      <c r="H473" t="inlineStr">
        <is>
          <t>Hospital</t>
        </is>
      </c>
      <c r="I473" t="inlineStr">
        <is>
          <t>Self-pay</t>
        </is>
      </c>
      <c r="J473" t="inlineStr">
        <is>
          <t>Olivia Brown</t>
        </is>
      </c>
      <c r="K473" s="70" t="n">
        <v>2660</v>
      </c>
      <c r="L473" s="71" t="n">
        <v>186.74</v>
      </c>
      <c r="M473" s="71" t="n">
        <v>496728.4</v>
      </c>
      <c r="N473" s="71" t="n">
        <v>74509.25999999999</v>
      </c>
      <c r="O473" s="71" t="n">
        <v>422219.14</v>
      </c>
      <c r="P473" s="71" t="n">
        <v>106062.71</v>
      </c>
      <c r="Q473" s="71" t="n">
        <v>316156.43</v>
      </c>
      <c r="R473" t="inlineStr">
        <is>
          <t>Vaccines</t>
        </is>
      </c>
      <c r="S473" s="70" t="n">
        <v>2247</v>
      </c>
      <c r="T473" s="71" t="n">
        <v>75615.82000000001</v>
      </c>
      <c r="U473" t="inlineStr">
        <is>
          <t>Low</t>
        </is>
      </c>
      <c r="V473">
        <f>IF(AND(OR(Dashboard!$C$6="All",E473=Dashboard!$C$6),OR(Dashboard!$F$6="All",G473=Dashboard!$F$6),OR(Dashboard!$I$6="All",H473=Dashboard!$I$6)),1,0)</f>
        <v/>
      </c>
    </row>
    <row r="474">
      <c r="A474" t="inlineStr">
        <is>
          <t>PF100465</t>
        </is>
      </c>
      <c r="B474" s="68" t="n">
        <v>45711</v>
      </c>
      <c r="C474" s="69" t="n">
        <v>2025</v>
      </c>
      <c r="D474" t="inlineStr">
        <is>
          <t>Feb</t>
        </is>
      </c>
      <c r="E474" t="inlineStr">
        <is>
          <t>Emerging markets</t>
        </is>
      </c>
      <c r="F474" t="inlineStr">
        <is>
          <t>Mexico</t>
        </is>
      </c>
      <c r="G474" t="inlineStr">
        <is>
          <t>Eliquis</t>
        </is>
      </c>
      <c r="H474" t="inlineStr">
        <is>
          <t>Retail pharmacy</t>
        </is>
      </c>
      <c r="I474" t="inlineStr">
        <is>
          <t>Self-pay</t>
        </is>
      </c>
      <c r="J474" t="inlineStr">
        <is>
          <t>Wei Chen</t>
        </is>
      </c>
      <c r="K474" s="70" t="n">
        <v>1803</v>
      </c>
      <c r="L474" s="71" t="n">
        <v>451.28</v>
      </c>
      <c r="M474" s="71" t="n">
        <v>813657.84</v>
      </c>
      <c r="N474" s="71" t="n">
        <v>203414.46</v>
      </c>
      <c r="O474" s="71" t="n">
        <v>610243.38</v>
      </c>
      <c r="P474" s="71" t="n">
        <v>132665.91</v>
      </c>
      <c r="Q474" s="71" t="n">
        <v>477577.47</v>
      </c>
      <c r="R474" t="inlineStr">
        <is>
          <t>Cardiology</t>
        </is>
      </c>
      <c r="S474" s="70" t="n">
        <v>1223</v>
      </c>
      <c r="T474" s="71" t="n">
        <v>167857.47</v>
      </c>
      <c r="U474" t="inlineStr">
        <is>
          <t>High</t>
        </is>
      </c>
      <c r="V474">
        <f>IF(AND(OR(Dashboard!$C$6="All",E474=Dashboard!$C$6),OR(Dashboard!$F$6="All",G474=Dashboard!$F$6),OR(Dashboard!$I$6="All",H474=Dashboard!$I$6)),1,0)</f>
        <v/>
      </c>
    </row>
    <row r="475">
      <c r="A475" t="inlineStr">
        <is>
          <t>PF100466</t>
        </is>
      </c>
      <c r="B475" s="68" t="n">
        <v>45711</v>
      </c>
      <c r="C475" s="69" t="n">
        <v>2025</v>
      </c>
      <c r="D475" t="inlineStr">
        <is>
          <t>Feb</t>
        </is>
      </c>
      <c r="E475" t="inlineStr">
        <is>
          <t>Emerging markets</t>
        </is>
      </c>
      <c r="F475" t="inlineStr">
        <is>
          <t>India</t>
        </is>
      </c>
      <c r="G475" t="inlineStr">
        <is>
          <t>Eliquis</t>
        </is>
      </c>
      <c r="H475" t="inlineStr">
        <is>
          <t>Hospital</t>
        </is>
      </c>
      <c r="I475" t="inlineStr">
        <is>
          <t>Private insurer</t>
        </is>
      </c>
      <c r="J475" t="inlineStr">
        <is>
          <t>Zoya Ahmed</t>
        </is>
      </c>
      <c r="K475" s="70" t="n">
        <v>793</v>
      </c>
      <c r="L475" s="71" t="n">
        <v>448.5</v>
      </c>
      <c r="M475" s="71" t="n">
        <v>355660.5</v>
      </c>
      <c r="N475" s="71" t="n">
        <v>35566.05</v>
      </c>
      <c r="O475" s="71" t="n">
        <v>320094.45</v>
      </c>
      <c r="P475" s="71" t="n">
        <v>61530.31</v>
      </c>
      <c r="Q475" s="71" t="n">
        <v>258564.14</v>
      </c>
      <c r="R475" t="inlineStr">
        <is>
          <t>Cardiology</t>
        </is>
      </c>
      <c r="S475" s="70" t="n">
        <v>575</v>
      </c>
      <c r="T475" s="71" t="n">
        <v>45855.31</v>
      </c>
      <c r="U475" t="inlineStr">
        <is>
          <t>High</t>
        </is>
      </c>
      <c r="V475">
        <f>IF(AND(OR(Dashboard!$C$6="All",E475=Dashboard!$C$6),OR(Dashboard!$F$6="All",G475=Dashboard!$F$6),OR(Dashboard!$I$6="All",H475=Dashboard!$I$6)),1,0)</f>
        <v/>
      </c>
    </row>
    <row r="476">
      <c r="A476" t="inlineStr">
        <is>
          <t>PF100467</t>
        </is>
      </c>
      <c r="B476" s="68" t="n">
        <v>45711</v>
      </c>
      <c r="C476" s="69" t="n">
        <v>2025</v>
      </c>
      <c r="D476" t="inlineStr">
        <is>
          <t>Feb</t>
        </is>
      </c>
      <c r="E476" t="inlineStr">
        <is>
          <t>United States</t>
        </is>
      </c>
      <c r="F476" t="inlineStr">
        <is>
          <t>USA</t>
        </is>
      </c>
      <c r="G476" t="inlineStr">
        <is>
          <t>Prevnar 20</t>
        </is>
      </c>
      <c r="H476" t="inlineStr">
        <is>
          <t>Retail pharmacy</t>
        </is>
      </c>
      <c r="I476" t="inlineStr">
        <is>
          <t>Private insurer</t>
        </is>
      </c>
      <c r="J476" t="inlineStr">
        <is>
          <t>Priya Nair</t>
        </is>
      </c>
      <c r="K476" s="70" t="n">
        <v>1348</v>
      </c>
      <c r="L476" s="71" t="n">
        <v>375.95</v>
      </c>
      <c r="M476" s="71" t="n">
        <v>506780.6</v>
      </c>
      <c r="N476" s="71" t="n">
        <v>126695.15</v>
      </c>
      <c r="O476" s="71" t="n">
        <v>380085.45</v>
      </c>
      <c r="P476" s="71" t="n">
        <v>96059.58</v>
      </c>
      <c r="Q476" s="71" t="n">
        <v>284025.87</v>
      </c>
      <c r="R476" t="inlineStr">
        <is>
          <t>Vaccines</t>
        </is>
      </c>
      <c r="S476" s="70" t="n">
        <v>1038</v>
      </c>
      <c r="T476" s="71" t="n">
        <v>108330.86</v>
      </c>
      <c r="U476" t="inlineStr">
        <is>
          <t>Low</t>
        </is>
      </c>
      <c r="V476">
        <f>IF(AND(OR(Dashboard!$C$6="All",E476=Dashboard!$C$6),OR(Dashboard!$F$6="All",G476=Dashboard!$F$6),OR(Dashboard!$I$6="All",H476=Dashboard!$I$6)),1,0)</f>
        <v/>
      </c>
    </row>
    <row r="477">
      <c r="A477" t="inlineStr">
        <is>
          <t>PF100468</t>
        </is>
      </c>
      <c r="B477" s="68" t="n">
        <v>45711</v>
      </c>
      <c r="C477" s="69" t="n">
        <v>2025</v>
      </c>
      <c r="D477" t="inlineStr">
        <is>
          <t>Feb</t>
        </is>
      </c>
      <c r="E477" t="inlineStr">
        <is>
          <t>International developed</t>
        </is>
      </c>
      <c r="F477" t="inlineStr">
        <is>
          <t>Australia</t>
        </is>
      </c>
      <c r="G477" t="inlineStr">
        <is>
          <t>Comirnaty</t>
        </is>
      </c>
      <c r="H477" t="inlineStr">
        <is>
          <t>Government / tender</t>
        </is>
      </c>
      <c r="I477" t="inlineStr">
        <is>
          <t>Private insurer</t>
        </is>
      </c>
      <c r="J477" t="inlineStr">
        <is>
          <t>Liam O'Brien</t>
        </is>
      </c>
      <c r="K477" s="70" t="n">
        <v>964</v>
      </c>
      <c r="L477" s="71" t="n">
        <v>116.61</v>
      </c>
      <c r="M477" s="71" t="n">
        <v>112412.04</v>
      </c>
      <c r="N477" s="71" t="n">
        <v>11241.2</v>
      </c>
      <c r="O477" s="71" t="n">
        <v>101170.84</v>
      </c>
      <c r="P477" s="71" t="n">
        <v>37637.41</v>
      </c>
      <c r="Q477" s="71" t="n">
        <v>63533.43</v>
      </c>
      <c r="R477" t="inlineStr">
        <is>
          <t>Vaccines</t>
        </is>
      </c>
      <c r="S477" s="70" t="n">
        <v>760</v>
      </c>
      <c r="T477" s="71" t="n">
        <v>13686.64</v>
      </c>
      <c r="U477" t="inlineStr">
        <is>
          <t>Low</t>
        </is>
      </c>
      <c r="V477">
        <f>IF(AND(OR(Dashboard!$C$6="All",E477=Dashboard!$C$6),OR(Dashboard!$F$6="All",G477=Dashboard!$F$6),OR(Dashboard!$I$6="All",H477=Dashboard!$I$6)),1,0)</f>
        <v/>
      </c>
    </row>
    <row r="478">
      <c r="A478" t="inlineStr">
        <is>
          <t>PF100469</t>
        </is>
      </c>
      <c r="B478" s="68" t="n">
        <v>45711</v>
      </c>
      <c r="C478" s="69" t="n">
        <v>2025</v>
      </c>
      <c r="D478" t="inlineStr">
        <is>
          <t>Feb</t>
        </is>
      </c>
      <c r="E478" t="inlineStr">
        <is>
          <t>Europe</t>
        </is>
      </c>
      <c r="F478" t="inlineStr">
        <is>
          <t>Germany</t>
        </is>
      </c>
      <c r="G478" t="inlineStr">
        <is>
          <t>Comirnaty</t>
        </is>
      </c>
      <c r="H478" t="inlineStr">
        <is>
          <t>Retail pharmacy</t>
        </is>
      </c>
      <c r="I478" t="inlineStr">
        <is>
          <t>Private insurer</t>
        </is>
      </c>
      <c r="J478" t="inlineStr">
        <is>
          <t>Ravindra Patil</t>
        </is>
      </c>
      <c r="K478" s="70" t="n">
        <v>2259</v>
      </c>
      <c r="L478" s="71" t="n">
        <v>114.36</v>
      </c>
      <c r="M478" s="71" t="n">
        <v>258339.24</v>
      </c>
      <c r="N478" s="71" t="n">
        <v>51667.85</v>
      </c>
      <c r="O478" s="71" t="n">
        <v>206671.39</v>
      </c>
      <c r="P478" s="71" t="n">
        <v>84812.25999999999</v>
      </c>
      <c r="Q478" s="71" t="n">
        <v>121859.13</v>
      </c>
      <c r="R478" t="inlineStr">
        <is>
          <t>Vaccines</t>
        </is>
      </c>
      <c r="S478" s="70" t="n">
        <v>2205</v>
      </c>
      <c r="T478" s="71" t="n">
        <v>56135.31</v>
      </c>
      <c r="U478" t="inlineStr">
        <is>
          <t>Low</t>
        </is>
      </c>
      <c r="V478">
        <f>IF(AND(OR(Dashboard!$C$6="All",E478=Dashboard!$C$6),OR(Dashboard!$F$6="All",G478=Dashboard!$F$6),OR(Dashboard!$I$6="All",H478=Dashboard!$I$6)),1,0)</f>
        <v/>
      </c>
    </row>
    <row r="479">
      <c r="A479" t="inlineStr">
        <is>
          <t>PF100470</t>
        </is>
      </c>
      <c r="B479" s="68" t="n">
        <v>45711</v>
      </c>
      <c r="C479" s="69" t="n">
        <v>2025</v>
      </c>
      <c r="D479" t="inlineStr">
        <is>
          <t>Feb</t>
        </is>
      </c>
      <c r="E479" t="inlineStr">
        <is>
          <t>United States</t>
        </is>
      </c>
      <c r="F479" t="inlineStr">
        <is>
          <t>USA</t>
        </is>
      </c>
      <c r="G479" t="inlineStr">
        <is>
          <t>Ibrance</t>
        </is>
      </c>
      <c r="H479" t="inlineStr">
        <is>
          <t>Retail pharmacy</t>
        </is>
      </c>
      <c r="I479" t="inlineStr">
        <is>
          <t>Private insurer</t>
        </is>
      </c>
      <c r="J479" t="inlineStr">
        <is>
          <t>Zoya Ahmed</t>
        </is>
      </c>
      <c r="K479" s="70" t="n">
        <v>1603</v>
      </c>
      <c r="L479" s="71" t="n">
        <v>4229.54</v>
      </c>
      <c r="M479" s="71" t="n">
        <v>6779952.62</v>
      </c>
      <c r="N479" s="71" t="n">
        <v>1355990.52</v>
      </c>
      <c r="O479" s="71" t="n">
        <v>5423962.1</v>
      </c>
      <c r="P479" s="71" t="n">
        <v>698476.34</v>
      </c>
      <c r="Q479" s="71" t="n">
        <v>4725485.76</v>
      </c>
      <c r="R479" t="inlineStr">
        <is>
          <t>Oncology</t>
        </is>
      </c>
      <c r="S479" s="70" t="n">
        <v>1004</v>
      </c>
      <c r="T479" s="71" t="n">
        <v>1484854.23</v>
      </c>
      <c r="U479" t="inlineStr">
        <is>
          <t>High</t>
        </is>
      </c>
      <c r="V479">
        <f>IF(AND(OR(Dashboard!$C$6="All",E479=Dashboard!$C$6),OR(Dashboard!$F$6="All",G479=Dashboard!$F$6),OR(Dashboard!$I$6="All",H479=Dashboard!$I$6)),1,0)</f>
        <v/>
      </c>
    </row>
    <row r="480">
      <c r="A480" t="inlineStr">
        <is>
          <t>PF100471</t>
        </is>
      </c>
      <c r="B480" s="68" t="n">
        <v>45711</v>
      </c>
      <c r="C480" s="69" t="n">
        <v>2025</v>
      </c>
      <c r="D480" t="inlineStr">
        <is>
          <t>Feb</t>
        </is>
      </c>
      <c r="E480" t="inlineStr">
        <is>
          <t>Emerging markets</t>
        </is>
      </c>
      <c r="F480" t="inlineStr">
        <is>
          <t>Brazil</t>
        </is>
      </c>
      <c r="G480" t="inlineStr">
        <is>
          <t>Prevnar 20</t>
        </is>
      </c>
      <c r="H480" t="inlineStr">
        <is>
          <t>Retail pharmacy</t>
        </is>
      </c>
      <c r="I480" t="inlineStr">
        <is>
          <t>Private insurer</t>
        </is>
      </c>
      <c r="J480" t="inlineStr">
        <is>
          <t>Aisha Bello</t>
        </is>
      </c>
      <c r="K480" s="70" t="n">
        <v>943</v>
      </c>
      <c r="L480" s="71" t="n">
        <v>223.77</v>
      </c>
      <c r="M480" s="71" t="n">
        <v>211015.11</v>
      </c>
      <c r="N480" s="71" t="n">
        <v>10550.76</v>
      </c>
      <c r="O480" s="71" t="n">
        <v>200464.35</v>
      </c>
      <c r="P480" s="71" t="n">
        <v>63819.29</v>
      </c>
      <c r="Q480" s="71" t="n">
        <v>136645.06</v>
      </c>
      <c r="R480" t="inlineStr">
        <is>
          <t>Vaccines</t>
        </is>
      </c>
      <c r="S480" s="70" t="n">
        <v>835</v>
      </c>
      <c r="T480" s="71" t="n">
        <v>46091</v>
      </c>
      <c r="U480" t="inlineStr">
        <is>
          <t>Low</t>
        </is>
      </c>
      <c r="V480">
        <f>IF(AND(OR(Dashboard!$C$6="All",E480=Dashboard!$C$6),OR(Dashboard!$F$6="All",G480=Dashboard!$F$6),OR(Dashboard!$I$6="All",H480=Dashboard!$I$6)),1,0)</f>
        <v/>
      </c>
    </row>
    <row r="481">
      <c r="A481" t="inlineStr">
        <is>
          <t>PF100472</t>
        </is>
      </c>
      <c r="B481" s="68" t="n">
        <v>45711</v>
      </c>
      <c r="C481" s="69" t="n">
        <v>2025</v>
      </c>
      <c r="D481" t="inlineStr">
        <is>
          <t>Feb</t>
        </is>
      </c>
      <c r="E481" t="inlineStr">
        <is>
          <t>United States</t>
        </is>
      </c>
      <c r="F481" t="inlineStr">
        <is>
          <t>USA</t>
        </is>
      </c>
      <c r="G481" t="inlineStr">
        <is>
          <t>Prevnar 20</t>
        </is>
      </c>
      <c r="H481" t="inlineStr">
        <is>
          <t>Retail pharmacy</t>
        </is>
      </c>
      <c r="I481" t="inlineStr">
        <is>
          <t>Public payer</t>
        </is>
      </c>
      <c r="J481" t="inlineStr">
        <is>
          <t>Amir Khan</t>
        </is>
      </c>
      <c r="K481" s="70" t="n">
        <v>1665</v>
      </c>
      <c r="L481" s="71" t="n">
        <v>355.57</v>
      </c>
      <c r="M481" s="71" t="n">
        <v>592024.05</v>
      </c>
      <c r="N481" s="71" t="n">
        <v>88803.61</v>
      </c>
      <c r="O481" s="71" t="n">
        <v>503220.44</v>
      </c>
      <c r="P481" s="71" t="n">
        <v>117515.92</v>
      </c>
      <c r="Q481" s="71" t="n">
        <v>385704.52</v>
      </c>
      <c r="R481" t="inlineStr">
        <is>
          <t>Vaccines</t>
        </is>
      </c>
      <c r="S481" s="70" t="n">
        <v>1399</v>
      </c>
      <c r="T481" s="71" t="n">
        <v>110771.16</v>
      </c>
      <c r="U481" t="inlineStr">
        <is>
          <t>Low</t>
        </is>
      </c>
      <c r="V481">
        <f>IF(AND(OR(Dashboard!$C$6="All",E481=Dashboard!$C$6),OR(Dashboard!$F$6="All",G481=Dashboard!$F$6),OR(Dashboard!$I$6="All",H481=Dashboard!$I$6)),1,0)</f>
        <v/>
      </c>
    </row>
    <row r="482">
      <c r="A482" t="inlineStr">
        <is>
          <t>PF100473</t>
        </is>
      </c>
      <c r="B482" s="68" t="n">
        <v>45711</v>
      </c>
      <c r="C482" s="69" t="n">
        <v>2025</v>
      </c>
      <c r="D482" t="inlineStr">
        <is>
          <t>Feb</t>
        </is>
      </c>
      <c r="E482" t="inlineStr">
        <is>
          <t>Europe</t>
        </is>
      </c>
      <c r="F482" t="inlineStr">
        <is>
          <t>Spain</t>
        </is>
      </c>
      <c r="G482" t="inlineStr">
        <is>
          <t>Comirnaty</t>
        </is>
      </c>
      <c r="H482" t="inlineStr">
        <is>
          <t>Retail pharmacy</t>
        </is>
      </c>
      <c r="I482" t="inlineStr">
        <is>
          <t>Public payer</t>
        </is>
      </c>
      <c r="J482" t="inlineStr">
        <is>
          <t>Liam O'Brien</t>
        </is>
      </c>
      <c r="K482" s="70" t="n">
        <v>1017</v>
      </c>
      <c r="L482" s="71" t="n">
        <v>113.98</v>
      </c>
      <c r="M482" s="71" t="n">
        <v>115917.66</v>
      </c>
      <c r="N482" s="71" t="n">
        <v>23183.53</v>
      </c>
      <c r="O482" s="71" t="n">
        <v>92734.13</v>
      </c>
      <c r="P482" s="71" t="n">
        <v>40570.86</v>
      </c>
      <c r="Q482" s="71" t="n">
        <v>52163.27</v>
      </c>
      <c r="R482" t="inlineStr">
        <is>
          <t>Vaccines</t>
        </is>
      </c>
      <c r="S482" s="70" t="n">
        <v>784</v>
      </c>
      <c r="T482" s="71" t="n">
        <v>21120.21</v>
      </c>
      <c r="U482" t="inlineStr">
        <is>
          <t>Low</t>
        </is>
      </c>
      <c r="V482">
        <f>IF(AND(OR(Dashboard!$C$6="All",E482=Dashboard!$C$6),OR(Dashboard!$F$6="All",G482=Dashboard!$F$6),OR(Dashboard!$I$6="All",H482=Dashboard!$I$6)),1,0)</f>
        <v/>
      </c>
    </row>
    <row r="483">
      <c r="A483" t="inlineStr">
        <is>
          <t>PF100474</t>
        </is>
      </c>
      <c r="B483" s="68" t="n">
        <v>45711</v>
      </c>
      <c r="C483" s="69" t="n">
        <v>2025</v>
      </c>
      <c r="D483" t="inlineStr">
        <is>
          <t>Feb</t>
        </is>
      </c>
      <c r="E483" t="inlineStr">
        <is>
          <t>International developed</t>
        </is>
      </c>
      <c r="F483" t="inlineStr">
        <is>
          <t>Japan</t>
        </is>
      </c>
      <c r="G483" t="inlineStr">
        <is>
          <t>Abrysvo</t>
        </is>
      </c>
      <c r="H483" t="inlineStr">
        <is>
          <t>Hospital</t>
        </is>
      </c>
      <c r="I483" t="inlineStr">
        <is>
          <t>Public payer</t>
        </is>
      </c>
      <c r="J483" t="inlineStr">
        <is>
          <t>Omar Haddad</t>
        </is>
      </c>
      <c r="K483" s="70" t="n">
        <v>1375</v>
      </c>
      <c r="L483" s="71" t="n">
        <v>282.69</v>
      </c>
      <c r="M483" s="71" t="n">
        <v>388698.75</v>
      </c>
      <c r="N483" s="71" t="n">
        <v>97174.69</v>
      </c>
      <c r="O483" s="71" t="n">
        <v>291524.06</v>
      </c>
      <c r="P483" s="71" t="n">
        <v>117636.8</v>
      </c>
      <c r="Q483" s="71" t="n">
        <v>173887.26</v>
      </c>
      <c r="R483" t="inlineStr">
        <is>
          <t>Vaccines</t>
        </is>
      </c>
      <c r="S483" s="70" t="n">
        <v>908</v>
      </c>
      <c r="T483" s="71" t="n">
        <v>70986.86</v>
      </c>
      <c r="U483" t="inlineStr">
        <is>
          <t>Low</t>
        </is>
      </c>
      <c r="V483">
        <f>IF(AND(OR(Dashboard!$C$6="All",E483=Dashboard!$C$6),OR(Dashboard!$F$6="All",G483=Dashboard!$F$6),OR(Dashboard!$I$6="All",H483=Dashboard!$I$6)),1,0)</f>
        <v/>
      </c>
    </row>
    <row r="484">
      <c r="A484" t="inlineStr">
        <is>
          <t>PF100475</t>
        </is>
      </c>
      <c r="B484" s="68" t="n">
        <v>45711</v>
      </c>
      <c r="C484" s="69" t="n">
        <v>2025</v>
      </c>
      <c r="D484" t="inlineStr">
        <is>
          <t>Feb</t>
        </is>
      </c>
      <c r="E484" t="inlineStr">
        <is>
          <t>Emerging markets</t>
        </is>
      </c>
      <c r="F484" t="inlineStr">
        <is>
          <t>China</t>
        </is>
      </c>
      <c r="G484" t="inlineStr">
        <is>
          <t>Comirnaty</t>
        </is>
      </c>
      <c r="H484" t="inlineStr">
        <is>
          <t>Hospital</t>
        </is>
      </c>
      <c r="I484" t="inlineStr">
        <is>
          <t>Self-pay</t>
        </is>
      </c>
      <c r="J484" t="inlineStr">
        <is>
          <t>Omar Haddad</t>
        </is>
      </c>
      <c r="K484" s="70" t="n">
        <v>248</v>
      </c>
      <c r="L484" s="71" t="n">
        <v>105.37</v>
      </c>
      <c r="M484" s="71" t="n">
        <v>26131.76</v>
      </c>
      <c r="N484" s="71" t="n">
        <v>6532.94</v>
      </c>
      <c r="O484" s="71" t="n">
        <v>19598.82</v>
      </c>
      <c r="P484" s="71" t="n">
        <v>9366.540000000001</v>
      </c>
      <c r="Q484" s="71" t="n">
        <v>10232.28</v>
      </c>
      <c r="R484" t="inlineStr">
        <is>
          <t>Vaccines</t>
        </is>
      </c>
      <c r="S484" s="70" t="n">
        <v>246</v>
      </c>
      <c r="T484" s="71" t="n">
        <v>3868.91</v>
      </c>
      <c r="U484" t="inlineStr">
        <is>
          <t>Low</t>
        </is>
      </c>
      <c r="V484">
        <f>IF(AND(OR(Dashboard!$C$6="All",E484=Dashboard!$C$6),OR(Dashboard!$F$6="All",G484=Dashboard!$F$6),OR(Dashboard!$I$6="All",H484=Dashboard!$I$6)),1,0)</f>
        <v/>
      </c>
    </row>
    <row r="485">
      <c r="A485" t="inlineStr">
        <is>
          <t>PF100476</t>
        </is>
      </c>
      <c r="B485" s="68" t="n">
        <v>45711</v>
      </c>
      <c r="C485" s="69" t="n">
        <v>2025</v>
      </c>
      <c r="D485" t="inlineStr">
        <is>
          <t>Feb</t>
        </is>
      </c>
      <c r="E485" t="inlineStr">
        <is>
          <t>United States</t>
        </is>
      </c>
      <c r="F485" t="inlineStr">
        <is>
          <t>USA</t>
        </is>
      </c>
      <c r="G485" t="inlineStr">
        <is>
          <t>Vyndaqel</t>
        </is>
      </c>
      <c r="H485" t="inlineStr">
        <is>
          <t>Retail pharmacy</t>
        </is>
      </c>
      <c r="I485" t="inlineStr">
        <is>
          <t>Public payer</t>
        </is>
      </c>
      <c r="J485" t="inlineStr">
        <is>
          <t>Sara Rossi</t>
        </is>
      </c>
      <c r="K485" s="70" t="n">
        <v>2210</v>
      </c>
      <c r="L485" s="71" t="n">
        <v>8245.629999999999</v>
      </c>
      <c r="M485" s="71" t="n">
        <v>18222842.3</v>
      </c>
      <c r="N485" s="71" t="n">
        <v>5466852.69</v>
      </c>
      <c r="O485" s="71" t="n">
        <v>12755989.61</v>
      </c>
      <c r="P485" s="71" t="n">
        <v>1423685.14</v>
      </c>
      <c r="Q485" s="71" t="n">
        <v>11332304.47</v>
      </c>
      <c r="R485" t="inlineStr">
        <is>
          <t>Rare disease</t>
        </is>
      </c>
      <c r="S485" s="70" t="n">
        <v>1390</v>
      </c>
      <c r="T485" s="71" t="n">
        <v>3439482.28</v>
      </c>
      <c r="U485" t="inlineStr">
        <is>
          <t>Medium</t>
        </is>
      </c>
      <c r="V485">
        <f>IF(AND(OR(Dashboard!$C$6="All",E485=Dashboard!$C$6),OR(Dashboard!$F$6="All",G485=Dashboard!$F$6),OR(Dashboard!$I$6="All",H485=Dashboard!$I$6)),1,0)</f>
        <v/>
      </c>
    </row>
    <row r="486">
      <c r="A486" t="inlineStr">
        <is>
          <t>PF100477</t>
        </is>
      </c>
      <c r="B486" s="68" t="n">
        <v>45711</v>
      </c>
      <c r="C486" s="69" t="n">
        <v>2025</v>
      </c>
      <c r="D486" t="inlineStr">
        <is>
          <t>Feb</t>
        </is>
      </c>
      <c r="E486" t="inlineStr">
        <is>
          <t>Emerging markets</t>
        </is>
      </c>
      <c r="F486" t="inlineStr">
        <is>
          <t>China</t>
        </is>
      </c>
      <c r="G486" t="inlineStr">
        <is>
          <t>Abrysvo</t>
        </is>
      </c>
      <c r="H486" t="inlineStr">
        <is>
          <t>Hospital</t>
        </is>
      </c>
      <c r="I486" t="inlineStr">
        <is>
          <t>Public payer</t>
        </is>
      </c>
      <c r="J486" t="inlineStr">
        <is>
          <t>Aisha Bello</t>
        </is>
      </c>
      <c r="K486" s="70" t="n">
        <v>1138</v>
      </c>
      <c r="L486" s="71" t="n">
        <v>262.05</v>
      </c>
      <c r="M486" s="71" t="n">
        <v>298212.9</v>
      </c>
      <c r="N486" s="71" t="n">
        <v>44731.94</v>
      </c>
      <c r="O486" s="71" t="n">
        <v>253480.96</v>
      </c>
      <c r="P486" s="71" t="n">
        <v>96818.74000000001</v>
      </c>
      <c r="Q486" s="71" t="n">
        <v>156662.22</v>
      </c>
      <c r="R486" t="inlineStr">
        <is>
          <t>Vaccines</t>
        </is>
      </c>
      <c r="S486" s="70" t="n">
        <v>753</v>
      </c>
      <c r="T486" s="71" t="n">
        <v>61255.09</v>
      </c>
      <c r="U486" t="inlineStr">
        <is>
          <t>Low</t>
        </is>
      </c>
      <c r="V486">
        <f>IF(AND(OR(Dashboard!$C$6="All",E486=Dashboard!$C$6),OR(Dashboard!$F$6="All",G486=Dashboard!$F$6),OR(Dashboard!$I$6="All",H486=Dashboard!$I$6)),1,0)</f>
        <v/>
      </c>
    </row>
    <row r="487">
      <c r="A487" t="inlineStr">
        <is>
          <t>PF100478</t>
        </is>
      </c>
      <c r="B487" s="68" t="n">
        <v>45712</v>
      </c>
      <c r="C487" s="69" t="n">
        <v>2025</v>
      </c>
      <c r="D487" t="inlineStr">
        <is>
          <t>Feb</t>
        </is>
      </c>
      <c r="E487" t="inlineStr">
        <is>
          <t>Emerging markets</t>
        </is>
      </c>
      <c r="F487" t="inlineStr">
        <is>
          <t>Brazil</t>
        </is>
      </c>
      <c r="G487" t="inlineStr">
        <is>
          <t>Abrysvo</t>
        </is>
      </c>
      <c r="H487" t="inlineStr">
        <is>
          <t>Hospital</t>
        </is>
      </c>
      <c r="I487" t="inlineStr">
        <is>
          <t>Private insurer</t>
        </is>
      </c>
      <c r="J487" t="inlineStr">
        <is>
          <t>Emma Clarke</t>
        </is>
      </c>
      <c r="K487" s="70" t="n">
        <v>1283</v>
      </c>
      <c r="L487" s="71" t="n">
        <v>252.39</v>
      </c>
      <c r="M487" s="71" t="n">
        <v>323816.37</v>
      </c>
      <c r="N487" s="71" t="n">
        <v>64763.27</v>
      </c>
      <c r="O487" s="71" t="n">
        <v>259053.1</v>
      </c>
      <c r="P487" s="71" t="n">
        <v>106256.36</v>
      </c>
      <c r="Q487" s="71" t="n">
        <v>152796.74</v>
      </c>
      <c r="R487" t="inlineStr">
        <is>
          <t>Vaccines</t>
        </is>
      </c>
      <c r="S487" s="70" t="n">
        <v>897</v>
      </c>
      <c r="T487" s="71" t="n">
        <v>47493.03</v>
      </c>
      <c r="U487" t="inlineStr">
        <is>
          <t>Low</t>
        </is>
      </c>
      <c r="V487">
        <f>IF(AND(OR(Dashboard!$C$6="All",E487=Dashboard!$C$6),OR(Dashboard!$F$6="All",G487=Dashboard!$F$6),OR(Dashboard!$I$6="All",H487=Dashboard!$I$6)),1,0)</f>
        <v/>
      </c>
    </row>
    <row r="488">
      <c r="A488" t="inlineStr">
        <is>
          <t>PF100479</t>
        </is>
      </c>
      <c r="B488" s="68" t="n">
        <v>45712</v>
      </c>
      <c r="C488" s="69" t="n">
        <v>2025</v>
      </c>
      <c r="D488" t="inlineStr">
        <is>
          <t>Feb</t>
        </is>
      </c>
      <c r="E488" t="inlineStr">
        <is>
          <t>Europe</t>
        </is>
      </c>
      <c r="F488" t="inlineStr">
        <is>
          <t>France</t>
        </is>
      </c>
      <c r="G488" t="inlineStr">
        <is>
          <t>Prevnar 20</t>
        </is>
      </c>
      <c r="H488" t="inlineStr">
        <is>
          <t>Hospital</t>
        </is>
      </c>
      <c r="I488" t="inlineStr">
        <is>
          <t>Private insurer</t>
        </is>
      </c>
      <c r="J488" t="inlineStr">
        <is>
          <t>Fatima Al-Saud</t>
        </is>
      </c>
      <c r="K488" s="70" t="n">
        <v>2358</v>
      </c>
      <c r="L488" s="71" t="n">
        <v>208.24</v>
      </c>
      <c r="M488" s="71" t="n">
        <v>491029.92</v>
      </c>
      <c r="N488" s="71" t="n">
        <v>24551.5</v>
      </c>
      <c r="O488" s="71" t="n">
        <v>466478.42</v>
      </c>
      <c r="P488" s="71" t="n">
        <v>168900.1</v>
      </c>
      <c r="Q488" s="71" t="n">
        <v>297578.32</v>
      </c>
      <c r="R488" t="inlineStr">
        <is>
          <t>Vaccines</t>
        </is>
      </c>
      <c r="S488" s="70" t="n">
        <v>2171</v>
      </c>
      <c r="T488" s="71" t="n">
        <v>67056.2</v>
      </c>
      <c r="U488" t="inlineStr">
        <is>
          <t>Low</t>
        </is>
      </c>
      <c r="V488">
        <f>IF(AND(OR(Dashboard!$C$6="All",E488=Dashboard!$C$6),OR(Dashboard!$F$6="All",G488=Dashboard!$F$6),OR(Dashboard!$I$6="All",H488=Dashboard!$I$6)),1,0)</f>
        <v/>
      </c>
    </row>
    <row r="489">
      <c r="A489" t="inlineStr">
        <is>
          <t>PF100480</t>
        </is>
      </c>
      <c r="B489" s="68" t="n">
        <v>45712</v>
      </c>
      <c r="C489" s="69" t="n">
        <v>2025</v>
      </c>
      <c r="D489" t="inlineStr">
        <is>
          <t>Feb</t>
        </is>
      </c>
      <c r="E489" t="inlineStr">
        <is>
          <t>Europe</t>
        </is>
      </c>
      <c r="F489" t="inlineStr">
        <is>
          <t>Germany</t>
        </is>
      </c>
      <c r="G489" t="inlineStr">
        <is>
          <t>Abrysvo</t>
        </is>
      </c>
      <c r="H489" t="inlineStr">
        <is>
          <t>Hospital</t>
        </is>
      </c>
      <c r="I489" t="inlineStr">
        <is>
          <t>Public payer</t>
        </is>
      </c>
      <c r="J489" t="inlineStr">
        <is>
          <t>Liam O'Brien</t>
        </is>
      </c>
      <c r="K489" s="70" t="n">
        <v>495</v>
      </c>
      <c r="L489" s="71" t="n">
        <v>292.66</v>
      </c>
      <c r="M489" s="71" t="n">
        <v>144866.7</v>
      </c>
      <c r="N489" s="71" t="n">
        <v>36216.68</v>
      </c>
      <c r="O489" s="71" t="n">
        <v>108650.02</v>
      </c>
      <c r="P489" s="71" t="n">
        <v>40990.02</v>
      </c>
      <c r="Q489" s="71" t="n">
        <v>67660</v>
      </c>
      <c r="R489" t="inlineStr">
        <is>
          <t>Vaccines</t>
        </is>
      </c>
      <c r="S489" s="70" t="n">
        <v>483</v>
      </c>
      <c r="T489" s="71" t="n">
        <v>19880.05</v>
      </c>
      <c r="U489" t="inlineStr">
        <is>
          <t>Low</t>
        </is>
      </c>
      <c r="V489">
        <f>IF(AND(OR(Dashboard!$C$6="All",E489=Dashboard!$C$6),OR(Dashboard!$F$6="All",G489=Dashboard!$F$6),OR(Dashboard!$I$6="All",H489=Dashboard!$I$6)),1,0)</f>
        <v/>
      </c>
    </row>
    <row r="490">
      <c r="A490" t="inlineStr">
        <is>
          <t>PF100481</t>
        </is>
      </c>
      <c r="B490" s="68" t="n">
        <v>45712</v>
      </c>
      <c r="C490" s="69" t="n">
        <v>2025</v>
      </c>
      <c r="D490" t="inlineStr">
        <is>
          <t>Feb</t>
        </is>
      </c>
      <c r="E490" t="inlineStr">
        <is>
          <t>United States</t>
        </is>
      </c>
      <c r="F490" t="inlineStr">
        <is>
          <t>USA</t>
        </is>
      </c>
      <c r="G490" t="inlineStr">
        <is>
          <t>Vyndaqel</t>
        </is>
      </c>
      <c r="H490" t="inlineStr">
        <is>
          <t>Government / tender</t>
        </is>
      </c>
      <c r="I490" t="inlineStr">
        <is>
          <t>Private insurer</t>
        </is>
      </c>
      <c r="J490" t="inlineStr">
        <is>
          <t>Hiroshi Tanaka</t>
        </is>
      </c>
      <c r="K490" s="70" t="n">
        <v>205</v>
      </c>
      <c r="L490" s="71" t="n">
        <v>8113.39</v>
      </c>
      <c r="M490" s="71" t="n">
        <v>1663244.95</v>
      </c>
      <c r="N490" s="71" t="n">
        <v>249486.74</v>
      </c>
      <c r="O490" s="71" t="n">
        <v>1413758.21</v>
      </c>
      <c r="P490" s="71" t="n">
        <v>129824.41</v>
      </c>
      <c r="Q490" s="71" t="n">
        <v>1283933.8</v>
      </c>
      <c r="R490" t="inlineStr">
        <is>
          <t>Rare disease</t>
        </is>
      </c>
      <c r="S490" s="70" t="n">
        <v>149</v>
      </c>
      <c r="T490" s="71" t="n">
        <v>329102.28</v>
      </c>
      <c r="U490" t="inlineStr">
        <is>
          <t>Medium</t>
        </is>
      </c>
      <c r="V490">
        <f>IF(AND(OR(Dashboard!$C$6="All",E490=Dashboard!$C$6),OR(Dashboard!$F$6="All",G490=Dashboard!$F$6),OR(Dashboard!$I$6="All",H490=Dashboard!$I$6)),1,0)</f>
        <v/>
      </c>
    </row>
    <row r="491">
      <c r="A491" t="inlineStr">
        <is>
          <t>PF100482</t>
        </is>
      </c>
      <c r="B491" s="68" t="n">
        <v>45712</v>
      </c>
      <c r="C491" s="69" t="n">
        <v>2025</v>
      </c>
      <c r="D491" t="inlineStr">
        <is>
          <t>Feb</t>
        </is>
      </c>
      <c r="E491" t="inlineStr">
        <is>
          <t>Europe</t>
        </is>
      </c>
      <c r="F491" t="inlineStr">
        <is>
          <t>Germany</t>
        </is>
      </c>
      <c r="G491" t="inlineStr">
        <is>
          <t>Prevnar 20</t>
        </is>
      </c>
      <c r="H491" t="inlineStr">
        <is>
          <t>Retail pharmacy</t>
        </is>
      </c>
      <c r="I491" t="inlineStr">
        <is>
          <t>Private insurer</t>
        </is>
      </c>
      <c r="J491" t="inlineStr">
        <is>
          <t>Shraddha Kulkarni</t>
        </is>
      </c>
      <c r="K491" s="70" t="n">
        <v>2695</v>
      </c>
      <c r="L491" s="71" t="n">
        <v>252.57</v>
      </c>
      <c r="M491" s="71" t="n">
        <v>680676.15</v>
      </c>
      <c r="N491" s="71" t="n">
        <v>102101.42</v>
      </c>
      <c r="O491" s="71" t="n">
        <v>578574.73</v>
      </c>
      <c r="P491" s="71" t="n">
        <v>181489.68</v>
      </c>
      <c r="Q491" s="71" t="n">
        <v>397085.05</v>
      </c>
      <c r="R491" t="inlineStr">
        <is>
          <t>Vaccines</t>
        </is>
      </c>
      <c r="S491" s="70" t="n">
        <v>2492</v>
      </c>
      <c r="T491" s="71" t="n">
        <v>103400.15</v>
      </c>
      <c r="U491" t="inlineStr">
        <is>
          <t>Low</t>
        </is>
      </c>
      <c r="V491">
        <f>IF(AND(OR(Dashboard!$C$6="All",E491=Dashboard!$C$6),OR(Dashboard!$F$6="All",G491=Dashboard!$F$6),OR(Dashboard!$I$6="All",H491=Dashboard!$I$6)),1,0)</f>
        <v/>
      </c>
    </row>
    <row r="492">
      <c r="A492" t="inlineStr">
        <is>
          <t>PF100483</t>
        </is>
      </c>
      <c r="B492" s="68" t="n">
        <v>45712</v>
      </c>
      <c r="C492" s="69" t="n">
        <v>2025</v>
      </c>
      <c r="D492" t="inlineStr">
        <is>
          <t>Feb</t>
        </is>
      </c>
      <c r="E492" t="inlineStr">
        <is>
          <t>Europe</t>
        </is>
      </c>
      <c r="F492" t="inlineStr">
        <is>
          <t>France</t>
        </is>
      </c>
      <c r="G492" t="inlineStr">
        <is>
          <t>Ibrance</t>
        </is>
      </c>
      <c r="H492" t="inlineStr">
        <is>
          <t>Retail pharmacy</t>
        </is>
      </c>
      <c r="I492" t="inlineStr">
        <is>
          <t>Public payer</t>
        </is>
      </c>
      <c r="J492" t="inlineStr">
        <is>
          <t>Mei Lin</t>
        </is>
      </c>
      <c r="K492" s="70" t="n">
        <v>2124</v>
      </c>
      <c r="L492" s="71" t="n">
        <v>3007.95</v>
      </c>
      <c r="M492" s="71" t="n">
        <v>6388885.8</v>
      </c>
      <c r="N492" s="71" t="n">
        <v>958332.87</v>
      </c>
      <c r="O492" s="71" t="n">
        <v>5430552.93</v>
      </c>
      <c r="P492" s="71" t="n">
        <v>903496</v>
      </c>
      <c r="Q492" s="71" t="n">
        <v>4527056.93</v>
      </c>
      <c r="R492" t="inlineStr">
        <is>
          <t>Oncology</t>
        </is>
      </c>
      <c r="S492" s="70" t="n">
        <v>1863</v>
      </c>
      <c r="T492" s="71" t="n">
        <v>1160914.32</v>
      </c>
      <c r="U492" t="inlineStr">
        <is>
          <t>High</t>
        </is>
      </c>
      <c r="V492">
        <f>IF(AND(OR(Dashboard!$C$6="All",E492=Dashboard!$C$6),OR(Dashboard!$F$6="All",G492=Dashboard!$F$6),OR(Dashboard!$I$6="All",H492=Dashboard!$I$6)),1,0)</f>
        <v/>
      </c>
    </row>
    <row r="493">
      <c r="A493" t="inlineStr">
        <is>
          <t>PF100484</t>
        </is>
      </c>
      <c r="B493" s="68" t="n">
        <v>45712</v>
      </c>
      <c r="C493" s="69" t="n">
        <v>2025</v>
      </c>
      <c r="D493" t="inlineStr">
        <is>
          <t>Feb</t>
        </is>
      </c>
      <c r="E493" t="inlineStr">
        <is>
          <t>United States</t>
        </is>
      </c>
      <c r="F493" t="inlineStr">
        <is>
          <t>USA</t>
        </is>
      </c>
      <c r="G493" t="inlineStr">
        <is>
          <t>Abrysvo</t>
        </is>
      </c>
      <c r="H493" t="inlineStr">
        <is>
          <t>Retail pharmacy</t>
        </is>
      </c>
      <c r="I493" t="inlineStr">
        <is>
          <t>Private insurer</t>
        </is>
      </c>
      <c r="J493" t="inlineStr">
        <is>
          <t>Noah Smith</t>
        </is>
      </c>
      <c r="K493" s="70" t="n">
        <v>2098</v>
      </c>
      <c r="L493" s="71" t="n">
        <v>458.66</v>
      </c>
      <c r="M493" s="71" t="n">
        <v>962268.6800000001</v>
      </c>
      <c r="N493" s="71" t="n">
        <v>144340.3</v>
      </c>
      <c r="O493" s="71" t="n">
        <v>817928.38</v>
      </c>
      <c r="P493" s="71" t="n">
        <v>175469.18</v>
      </c>
      <c r="Q493" s="71" t="n">
        <v>642459.2</v>
      </c>
      <c r="R493" t="inlineStr">
        <is>
          <t>Vaccines</t>
        </is>
      </c>
      <c r="S493" s="70" t="n">
        <v>1956</v>
      </c>
      <c r="T493" s="71" t="n">
        <v>124316.98</v>
      </c>
      <c r="U493" t="inlineStr">
        <is>
          <t>Low</t>
        </is>
      </c>
      <c r="V493">
        <f>IF(AND(OR(Dashboard!$C$6="All",E493=Dashboard!$C$6),OR(Dashboard!$F$6="All",G493=Dashboard!$F$6),OR(Dashboard!$I$6="All",H493=Dashboard!$I$6)),1,0)</f>
        <v/>
      </c>
    </row>
    <row r="494">
      <c r="A494" t="inlineStr">
        <is>
          <t>PF100485</t>
        </is>
      </c>
      <c r="B494" s="68" t="n">
        <v>45712</v>
      </c>
      <c r="C494" s="69" t="n">
        <v>2025</v>
      </c>
      <c r="D494" t="inlineStr">
        <is>
          <t>Feb</t>
        </is>
      </c>
      <c r="E494" t="inlineStr">
        <is>
          <t>Emerging markets</t>
        </is>
      </c>
      <c r="F494" t="inlineStr">
        <is>
          <t>Brazil</t>
        </is>
      </c>
      <c r="G494" t="inlineStr">
        <is>
          <t>Comirnaty</t>
        </is>
      </c>
      <c r="H494" t="inlineStr">
        <is>
          <t>Retail pharmacy</t>
        </is>
      </c>
      <c r="I494" t="inlineStr">
        <is>
          <t>Public payer</t>
        </is>
      </c>
      <c r="J494" t="inlineStr">
        <is>
          <t>Zoya Ahmed</t>
        </is>
      </c>
      <c r="K494" s="70" t="n">
        <v>2106</v>
      </c>
      <c r="L494" s="71" t="n">
        <v>111.62</v>
      </c>
      <c r="M494" s="71" t="n">
        <v>235071.72</v>
      </c>
      <c r="N494" s="71" t="n">
        <v>47014.34</v>
      </c>
      <c r="O494" s="71" t="n">
        <v>188057.38</v>
      </c>
      <c r="P494" s="71" t="n">
        <v>79600.37</v>
      </c>
      <c r="Q494" s="71" t="n">
        <v>108457.01</v>
      </c>
      <c r="R494" t="inlineStr">
        <is>
          <t>Vaccines</t>
        </is>
      </c>
      <c r="S494" s="70" t="n">
        <v>1733</v>
      </c>
      <c r="T494" s="71" t="n">
        <v>43336.91</v>
      </c>
      <c r="U494" t="inlineStr">
        <is>
          <t>Low</t>
        </is>
      </c>
      <c r="V494">
        <f>IF(AND(OR(Dashboard!$C$6="All",E494=Dashboard!$C$6),OR(Dashboard!$F$6="All",G494=Dashboard!$F$6),OR(Dashboard!$I$6="All",H494=Dashboard!$I$6)),1,0)</f>
        <v/>
      </c>
    </row>
    <row r="495">
      <c r="A495" t="inlineStr">
        <is>
          <t>PF100486</t>
        </is>
      </c>
      <c r="B495" s="68" t="n">
        <v>45712</v>
      </c>
      <c r="C495" s="69" t="n">
        <v>2025</v>
      </c>
      <c r="D495" t="inlineStr">
        <is>
          <t>Feb</t>
        </is>
      </c>
      <c r="E495" t="inlineStr">
        <is>
          <t>Europe</t>
        </is>
      </c>
      <c r="F495" t="inlineStr">
        <is>
          <t>UK</t>
        </is>
      </c>
      <c r="G495" t="inlineStr">
        <is>
          <t>Vyndaqel</t>
        </is>
      </c>
      <c r="H495" t="inlineStr">
        <is>
          <t>Retail pharmacy</t>
        </is>
      </c>
      <c r="I495" t="inlineStr">
        <is>
          <t>Private insurer</t>
        </is>
      </c>
      <c r="J495" t="inlineStr">
        <is>
          <t>Aisha Bello</t>
        </is>
      </c>
      <c r="K495" s="70" t="n">
        <v>1202</v>
      </c>
      <c r="L495" s="71" t="n">
        <v>4783.36</v>
      </c>
      <c r="M495" s="71" t="n">
        <v>5749598.72</v>
      </c>
      <c r="N495" s="71" t="n">
        <v>1437399.68</v>
      </c>
      <c r="O495" s="71" t="n">
        <v>4312199.04</v>
      </c>
      <c r="P495" s="71" t="n">
        <v>778156.84</v>
      </c>
      <c r="Q495" s="71" t="n">
        <v>3534042.2</v>
      </c>
      <c r="R495" t="inlineStr">
        <is>
          <t>Rare disease</t>
        </is>
      </c>
      <c r="S495" s="70" t="n">
        <v>965</v>
      </c>
      <c r="T495" s="71" t="n">
        <v>709365.77</v>
      </c>
      <c r="U495" t="inlineStr">
        <is>
          <t>Medium</t>
        </is>
      </c>
      <c r="V495">
        <f>IF(AND(OR(Dashboard!$C$6="All",E495=Dashboard!$C$6),OR(Dashboard!$F$6="All",G495=Dashboard!$F$6),OR(Dashboard!$I$6="All",H495=Dashboard!$I$6)),1,0)</f>
        <v/>
      </c>
    </row>
    <row r="496">
      <c r="A496" t="inlineStr">
        <is>
          <t>PF100487</t>
        </is>
      </c>
      <c r="B496" s="68" t="n">
        <v>45712</v>
      </c>
      <c r="C496" s="69" t="n">
        <v>2025</v>
      </c>
      <c r="D496" t="inlineStr">
        <is>
          <t>Feb</t>
        </is>
      </c>
      <c r="E496" t="inlineStr">
        <is>
          <t>Europe</t>
        </is>
      </c>
      <c r="F496" t="inlineStr">
        <is>
          <t>Italy</t>
        </is>
      </c>
      <c r="G496" t="inlineStr">
        <is>
          <t>Prevnar 20</t>
        </is>
      </c>
      <c r="H496" t="inlineStr">
        <is>
          <t>Retail pharmacy</t>
        </is>
      </c>
      <c r="I496" t="inlineStr">
        <is>
          <t>Private insurer</t>
        </is>
      </c>
      <c r="J496" t="inlineStr">
        <is>
          <t>Aisha Bello</t>
        </is>
      </c>
      <c r="K496" s="70" t="n">
        <v>1418</v>
      </c>
      <c r="L496" s="71" t="n">
        <v>244.31</v>
      </c>
      <c r="M496" s="71" t="n">
        <v>346431.58</v>
      </c>
      <c r="N496" s="71" t="n">
        <v>51964.74</v>
      </c>
      <c r="O496" s="71" t="n">
        <v>294466.84</v>
      </c>
      <c r="P496" s="71" t="n">
        <v>100011.14</v>
      </c>
      <c r="Q496" s="71" t="n">
        <v>194455.7</v>
      </c>
      <c r="R496" t="inlineStr">
        <is>
          <t>Vaccines</t>
        </is>
      </c>
      <c r="S496" s="70" t="n">
        <v>1038</v>
      </c>
      <c r="T496" s="71" t="n">
        <v>45034.49</v>
      </c>
      <c r="U496" t="inlineStr">
        <is>
          <t>Low</t>
        </is>
      </c>
      <c r="V496">
        <f>IF(AND(OR(Dashboard!$C$6="All",E496=Dashboard!$C$6),OR(Dashboard!$F$6="All",G496=Dashboard!$F$6),OR(Dashboard!$I$6="All",H496=Dashboard!$I$6)),1,0)</f>
        <v/>
      </c>
    </row>
    <row r="497">
      <c r="A497" t="inlineStr">
        <is>
          <t>PF100488</t>
        </is>
      </c>
      <c r="B497" s="68" t="n">
        <v>45712</v>
      </c>
      <c r="C497" s="69" t="n">
        <v>2025</v>
      </c>
      <c r="D497" t="inlineStr">
        <is>
          <t>Feb</t>
        </is>
      </c>
      <c r="E497" t="inlineStr">
        <is>
          <t>United States</t>
        </is>
      </c>
      <c r="F497" t="inlineStr">
        <is>
          <t>USA</t>
        </is>
      </c>
      <c r="G497" t="inlineStr">
        <is>
          <t>Eliquis</t>
        </is>
      </c>
      <c r="H497" t="inlineStr">
        <is>
          <t>Retail pharmacy</t>
        </is>
      </c>
      <c r="I497" t="inlineStr">
        <is>
          <t>Private insurer</t>
        </is>
      </c>
      <c r="J497" t="inlineStr">
        <is>
          <t>Liam O'Brien</t>
        </is>
      </c>
      <c r="K497" s="70" t="n">
        <v>454</v>
      </c>
      <c r="L497" s="71" t="n">
        <v>691.8200000000001</v>
      </c>
      <c r="M497" s="71" t="n">
        <v>314086.28</v>
      </c>
      <c r="N497" s="71" t="n">
        <v>109930.2</v>
      </c>
      <c r="O497" s="71" t="n">
        <v>204156.08</v>
      </c>
      <c r="P497" s="71" t="n">
        <v>33402.35</v>
      </c>
      <c r="Q497" s="71" t="n">
        <v>170753.73</v>
      </c>
      <c r="R497" t="inlineStr">
        <is>
          <t>Cardiology</t>
        </is>
      </c>
      <c r="S497" s="70" t="n">
        <v>443</v>
      </c>
      <c r="T497" s="71" t="n">
        <v>64512.87</v>
      </c>
      <c r="U497" t="inlineStr">
        <is>
          <t>High</t>
        </is>
      </c>
      <c r="V497">
        <f>IF(AND(OR(Dashboard!$C$6="All",E497=Dashboard!$C$6),OR(Dashboard!$F$6="All",G497=Dashboard!$F$6),OR(Dashboard!$I$6="All",H497=Dashboard!$I$6)),1,0)</f>
        <v/>
      </c>
    </row>
    <row r="498">
      <c r="A498" t="inlineStr">
        <is>
          <t>PF100489</t>
        </is>
      </c>
      <c r="B498" s="68" t="n">
        <v>45712</v>
      </c>
      <c r="C498" s="69" t="n">
        <v>2025</v>
      </c>
      <c r="D498" t="inlineStr">
        <is>
          <t>Feb</t>
        </is>
      </c>
      <c r="E498" t="inlineStr">
        <is>
          <t>Emerging markets</t>
        </is>
      </c>
      <c r="F498" t="inlineStr">
        <is>
          <t>China</t>
        </is>
      </c>
      <c r="G498" t="inlineStr">
        <is>
          <t>Abrysvo</t>
        </is>
      </c>
      <c r="H498" t="inlineStr">
        <is>
          <t>Retail pharmacy</t>
        </is>
      </c>
      <c r="I498" t="inlineStr">
        <is>
          <t>Public payer</t>
        </is>
      </c>
      <c r="J498" t="inlineStr">
        <is>
          <t>Hiroshi Tanaka</t>
        </is>
      </c>
      <c r="K498" s="70" t="n">
        <v>2403</v>
      </c>
      <c r="L498" s="71" t="n">
        <v>264.53</v>
      </c>
      <c r="M498" s="71" t="n">
        <v>635665.59</v>
      </c>
      <c r="N498" s="71" t="n">
        <v>63566.56</v>
      </c>
      <c r="O498" s="71" t="n">
        <v>572099.03</v>
      </c>
      <c r="P498" s="71" t="n">
        <v>194570.65</v>
      </c>
      <c r="Q498" s="71" t="n">
        <v>377528.38</v>
      </c>
      <c r="R498" t="inlineStr">
        <is>
          <t>Vaccines</t>
        </is>
      </c>
      <c r="S498" s="70" t="n">
        <v>2147</v>
      </c>
      <c r="T498" s="71" t="n">
        <v>86420.17999999999</v>
      </c>
      <c r="U498" t="inlineStr">
        <is>
          <t>Low</t>
        </is>
      </c>
      <c r="V498">
        <f>IF(AND(OR(Dashboard!$C$6="All",E498=Dashboard!$C$6),OR(Dashboard!$F$6="All",G498=Dashboard!$F$6),OR(Dashboard!$I$6="All",H498=Dashboard!$I$6)),1,0)</f>
        <v/>
      </c>
    </row>
    <row r="499">
      <c r="A499" t="inlineStr">
        <is>
          <t>PF100490</t>
        </is>
      </c>
      <c r="B499" s="68" t="n">
        <v>45712</v>
      </c>
      <c r="C499" s="69" t="n">
        <v>2025</v>
      </c>
      <c r="D499" t="inlineStr">
        <is>
          <t>Feb</t>
        </is>
      </c>
      <c r="E499" t="inlineStr">
        <is>
          <t>International developed</t>
        </is>
      </c>
      <c r="F499" t="inlineStr">
        <is>
          <t>Australia</t>
        </is>
      </c>
      <c r="G499" t="inlineStr">
        <is>
          <t>Prevnar 20</t>
        </is>
      </c>
      <c r="H499" t="inlineStr">
        <is>
          <t>Government / tender</t>
        </is>
      </c>
      <c r="I499" t="inlineStr">
        <is>
          <t>Private insurer</t>
        </is>
      </c>
      <c r="J499" t="inlineStr">
        <is>
          <t>Zoya Ahmed</t>
        </is>
      </c>
      <c r="K499" s="70" t="n">
        <v>1552</v>
      </c>
      <c r="L499" s="71" t="n">
        <v>212.85</v>
      </c>
      <c r="M499" s="71" t="n">
        <v>330343.2</v>
      </c>
      <c r="N499" s="71" t="n">
        <v>33034.32</v>
      </c>
      <c r="O499" s="71" t="n">
        <v>297308.88</v>
      </c>
      <c r="P499" s="71" t="n">
        <v>107848.19</v>
      </c>
      <c r="Q499" s="71" t="n">
        <v>189460.69</v>
      </c>
      <c r="R499" t="inlineStr">
        <is>
          <t>Vaccines</t>
        </is>
      </c>
      <c r="S499" s="70" t="n">
        <v>1253</v>
      </c>
      <c r="T499" s="71" t="n">
        <v>60773.31</v>
      </c>
      <c r="U499" t="inlineStr">
        <is>
          <t>Low</t>
        </is>
      </c>
      <c r="V499">
        <f>IF(AND(OR(Dashboard!$C$6="All",E499=Dashboard!$C$6),OR(Dashboard!$F$6="All",G499=Dashboard!$F$6),OR(Dashboard!$I$6="All",H499=Dashboard!$I$6)),1,0)</f>
        <v/>
      </c>
    </row>
    <row r="500">
      <c r="A500" t="inlineStr">
        <is>
          <t>PF100491</t>
        </is>
      </c>
      <c r="B500" s="68" t="n">
        <v>45712</v>
      </c>
      <c r="C500" s="69" t="n">
        <v>2025</v>
      </c>
      <c r="D500" t="inlineStr">
        <is>
          <t>Feb</t>
        </is>
      </c>
      <c r="E500" t="inlineStr">
        <is>
          <t>United States</t>
        </is>
      </c>
      <c r="F500" t="inlineStr">
        <is>
          <t>USA</t>
        </is>
      </c>
      <c r="G500" t="inlineStr">
        <is>
          <t>Prevnar 20</t>
        </is>
      </c>
      <c r="H500" t="inlineStr">
        <is>
          <t>Government / tender</t>
        </is>
      </c>
      <c r="I500" t="inlineStr">
        <is>
          <t>Private insurer</t>
        </is>
      </c>
      <c r="J500" t="inlineStr">
        <is>
          <t>Sophie Müller</t>
        </is>
      </c>
      <c r="K500" s="70" t="n">
        <v>904</v>
      </c>
      <c r="L500" s="71" t="n">
        <v>351.49</v>
      </c>
      <c r="M500" s="71" t="n">
        <v>317746.96</v>
      </c>
      <c r="N500" s="71" t="n">
        <v>47662.04</v>
      </c>
      <c r="O500" s="71" t="n">
        <v>270084.92</v>
      </c>
      <c r="P500" s="71" t="n">
        <v>64824.41</v>
      </c>
      <c r="Q500" s="71" t="n">
        <v>205260.51</v>
      </c>
      <c r="R500" t="inlineStr">
        <is>
          <t>Vaccines</t>
        </is>
      </c>
      <c r="S500" s="70" t="n">
        <v>620</v>
      </c>
      <c r="T500" s="71" t="n">
        <v>56994.29</v>
      </c>
      <c r="U500" t="inlineStr">
        <is>
          <t>Low</t>
        </is>
      </c>
      <c r="V500">
        <f>IF(AND(OR(Dashboard!$C$6="All",E500=Dashboard!$C$6),OR(Dashboard!$F$6="All",G500=Dashboard!$F$6),OR(Dashboard!$I$6="All",H500=Dashboard!$I$6)),1,0)</f>
        <v/>
      </c>
    </row>
    <row r="501">
      <c r="A501" t="inlineStr">
        <is>
          <t>PF100492</t>
        </is>
      </c>
      <c r="B501" s="68" t="n">
        <v>45713</v>
      </c>
      <c r="C501" s="69" t="n">
        <v>2025</v>
      </c>
      <c r="D501" t="inlineStr">
        <is>
          <t>Feb</t>
        </is>
      </c>
      <c r="E501" t="inlineStr">
        <is>
          <t>United States</t>
        </is>
      </c>
      <c r="F501" t="inlineStr">
        <is>
          <t>USA</t>
        </is>
      </c>
      <c r="G501" t="inlineStr">
        <is>
          <t>Abrysvo</t>
        </is>
      </c>
      <c r="H501" t="inlineStr">
        <is>
          <t>Retail pharmacy</t>
        </is>
      </c>
      <c r="I501" t="inlineStr">
        <is>
          <t>Private insurer</t>
        </is>
      </c>
      <c r="J501" t="inlineStr">
        <is>
          <t>Shraddha Kulkarni</t>
        </is>
      </c>
      <c r="K501" s="70" t="n">
        <v>2520</v>
      </c>
      <c r="L501" s="71" t="n">
        <v>473.94</v>
      </c>
      <c r="M501" s="71" t="n">
        <v>1194328.8</v>
      </c>
      <c r="N501" s="71" t="n">
        <v>418015.08</v>
      </c>
      <c r="O501" s="71" t="n">
        <v>776313.72</v>
      </c>
      <c r="P501" s="71" t="n">
        <v>218648.83</v>
      </c>
      <c r="Q501" s="71" t="n">
        <v>557664.89</v>
      </c>
      <c r="R501" t="inlineStr">
        <is>
          <t>Vaccines</t>
        </is>
      </c>
      <c r="S501" s="70" t="n">
        <v>1694</v>
      </c>
      <c r="T501" s="71" t="n">
        <v>257962.99</v>
      </c>
      <c r="U501" t="inlineStr">
        <is>
          <t>Low</t>
        </is>
      </c>
      <c r="V501">
        <f>IF(AND(OR(Dashboard!$C$6="All",E501=Dashboard!$C$6),OR(Dashboard!$F$6="All",G501=Dashboard!$F$6),OR(Dashboard!$I$6="All",H501=Dashboard!$I$6)),1,0)</f>
        <v/>
      </c>
    </row>
    <row r="502">
      <c r="A502" t="inlineStr">
        <is>
          <t>PF100493</t>
        </is>
      </c>
      <c r="B502" s="68" t="n">
        <v>45713</v>
      </c>
      <c r="C502" s="69" t="n">
        <v>2025</v>
      </c>
      <c r="D502" t="inlineStr">
        <is>
          <t>Feb</t>
        </is>
      </c>
      <c r="E502" t="inlineStr">
        <is>
          <t>Emerging markets</t>
        </is>
      </c>
      <c r="F502" t="inlineStr">
        <is>
          <t>India</t>
        </is>
      </c>
      <c r="G502" t="inlineStr">
        <is>
          <t>Xeljanz</t>
        </is>
      </c>
      <c r="H502" t="inlineStr">
        <is>
          <t>Retail pharmacy</t>
        </is>
      </c>
      <c r="I502" t="inlineStr">
        <is>
          <t>Private insurer</t>
        </is>
      </c>
      <c r="J502" t="inlineStr">
        <is>
          <t>Olivia Brown</t>
        </is>
      </c>
      <c r="K502" s="70" t="n">
        <v>580</v>
      </c>
      <c r="L502" s="71" t="n">
        <v>1431.56</v>
      </c>
      <c r="M502" s="71" t="n">
        <v>830304.8</v>
      </c>
      <c r="N502" s="71" t="n">
        <v>41515.24</v>
      </c>
      <c r="O502" s="71" t="n">
        <v>788789.5600000001</v>
      </c>
      <c r="P502" s="71" t="n">
        <v>147213.95</v>
      </c>
      <c r="Q502" s="71" t="n">
        <v>641575.61</v>
      </c>
      <c r="R502" t="inlineStr">
        <is>
          <t>Inflammation</t>
        </is>
      </c>
      <c r="S502" s="70" t="n">
        <v>435</v>
      </c>
      <c r="T502" s="71" t="n">
        <v>161748.49</v>
      </c>
      <c r="U502" t="inlineStr">
        <is>
          <t>High</t>
        </is>
      </c>
      <c r="V502">
        <f>IF(AND(OR(Dashboard!$C$6="All",E502=Dashboard!$C$6),OR(Dashboard!$F$6="All",G502=Dashboard!$F$6),OR(Dashboard!$I$6="All",H502=Dashboard!$I$6)),1,0)</f>
        <v/>
      </c>
    </row>
    <row r="503">
      <c r="A503" t="inlineStr">
        <is>
          <t>PF100494</t>
        </is>
      </c>
      <c r="B503" s="68" t="n">
        <v>45713</v>
      </c>
      <c r="C503" s="69" t="n">
        <v>2025</v>
      </c>
      <c r="D503" t="inlineStr">
        <is>
          <t>Feb</t>
        </is>
      </c>
      <c r="E503" t="inlineStr">
        <is>
          <t>Europe</t>
        </is>
      </c>
      <c r="F503" t="inlineStr">
        <is>
          <t>Spain</t>
        </is>
      </c>
      <c r="G503" t="inlineStr">
        <is>
          <t>Prevnar 20</t>
        </is>
      </c>
      <c r="H503" t="inlineStr">
        <is>
          <t>Hospital</t>
        </is>
      </c>
      <c r="I503" t="inlineStr">
        <is>
          <t>Private insurer</t>
        </is>
      </c>
      <c r="J503" t="inlineStr">
        <is>
          <t>Priya Nair</t>
        </is>
      </c>
      <c r="K503" s="70" t="n">
        <v>1818</v>
      </c>
      <c r="L503" s="71" t="n">
        <v>236.26</v>
      </c>
      <c r="M503" s="71" t="n">
        <v>429520.68</v>
      </c>
      <c r="N503" s="71" t="n">
        <v>21476.03</v>
      </c>
      <c r="O503" s="71" t="n">
        <v>408044.65</v>
      </c>
      <c r="P503" s="71" t="n">
        <v>129639.68</v>
      </c>
      <c r="Q503" s="71" t="n">
        <v>278404.97</v>
      </c>
      <c r="R503" t="inlineStr">
        <is>
          <t>Vaccines</t>
        </is>
      </c>
      <c r="S503" s="70" t="n">
        <v>1378</v>
      </c>
      <c r="T503" s="71" t="n">
        <v>66059.10000000001</v>
      </c>
      <c r="U503" t="inlineStr">
        <is>
          <t>Low</t>
        </is>
      </c>
      <c r="V503">
        <f>IF(AND(OR(Dashboard!$C$6="All",E503=Dashboard!$C$6),OR(Dashboard!$F$6="All",G503=Dashboard!$F$6),OR(Dashboard!$I$6="All",H503=Dashboard!$I$6)),1,0)</f>
        <v/>
      </c>
    </row>
    <row r="504">
      <c r="A504" t="inlineStr">
        <is>
          <t>PF100495</t>
        </is>
      </c>
      <c r="B504" s="68" t="n">
        <v>45713</v>
      </c>
      <c r="C504" s="69" t="n">
        <v>2025</v>
      </c>
      <c r="D504" t="inlineStr">
        <is>
          <t>Feb</t>
        </is>
      </c>
      <c r="E504" t="inlineStr">
        <is>
          <t>Europe</t>
        </is>
      </c>
      <c r="F504" t="inlineStr">
        <is>
          <t>UK</t>
        </is>
      </c>
      <c r="G504" t="inlineStr">
        <is>
          <t>Ibrance</t>
        </is>
      </c>
      <c r="H504" t="inlineStr">
        <is>
          <t>Retail pharmacy</t>
        </is>
      </c>
      <c r="I504" t="inlineStr">
        <is>
          <t>Self-pay</t>
        </is>
      </c>
      <c r="J504" t="inlineStr">
        <is>
          <t>Ravindra Patil</t>
        </is>
      </c>
      <c r="K504" s="70" t="n">
        <v>314</v>
      </c>
      <c r="L504" s="71" t="n">
        <v>3136.53</v>
      </c>
      <c r="M504" s="71" t="n">
        <v>984870.42</v>
      </c>
      <c r="N504" s="71" t="n">
        <v>246217.61</v>
      </c>
      <c r="O504" s="71" t="n">
        <v>738652.8100000001</v>
      </c>
      <c r="P504" s="71" t="n">
        <v>133333.06</v>
      </c>
      <c r="Q504" s="71" t="n">
        <v>605319.75</v>
      </c>
      <c r="R504" t="inlineStr">
        <is>
          <t>Oncology</t>
        </is>
      </c>
      <c r="S504" s="70" t="n">
        <v>229</v>
      </c>
      <c r="T504" s="71" t="n">
        <v>124876.75</v>
      </c>
      <c r="U504" t="inlineStr">
        <is>
          <t>High</t>
        </is>
      </c>
      <c r="V504">
        <f>IF(AND(OR(Dashboard!$C$6="All",E504=Dashboard!$C$6),OR(Dashboard!$F$6="All",G504=Dashboard!$F$6),OR(Dashboard!$I$6="All",H504=Dashboard!$I$6)),1,0)</f>
        <v/>
      </c>
    </row>
    <row r="505">
      <c r="A505" t="inlineStr">
        <is>
          <t>PF100496</t>
        </is>
      </c>
      <c r="B505" s="68" t="n">
        <v>45713</v>
      </c>
      <c r="C505" s="69" t="n">
        <v>2025</v>
      </c>
      <c r="D505" t="inlineStr">
        <is>
          <t>Feb</t>
        </is>
      </c>
      <c r="E505" t="inlineStr">
        <is>
          <t>United States</t>
        </is>
      </c>
      <c r="F505" t="inlineStr">
        <is>
          <t>USA</t>
        </is>
      </c>
      <c r="G505" t="inlineStr">
        <is>
          <t>Paxlovid</t>
        </is>
      </c>
      <c r="H505" t="inlineStr">
        <is>
          <t>Hospital</t>
        </is>
      </c>
      <c r="I505" t="inlineStr">
        <is>
          <t>Private insurer</t>
        </is>
      </c>
      <c r="J505" t="inlineStr">
        <is>
          <t>Kofi Mensah</t>
        </is>
      </c>
      <c r="K505" s="70" t="n">
        <v>2139</v>
      </c>
      <c r="L505" s="71" t="n">
        <v>1589.5</v>
      </c>
      <c r="M505" s="71" t="n">
        <v>3399940.5</v>
      </c>
      <c r="N505" s="71" t="n">
        <v>1189979.17</v>
      </c>
      <c r="O505" s="71" t="n">
        <v>2209961.33</v>
      </c>
      <c r="P505" s="71" t="n">
        <v>565859.3</v>
      </c>
      <c r="Q505" s="71" t="n">
        <v>1644102.03</v>
      </c>
      <c r="R505" t="inlineStr">
        <is>
          <t>Antiviral</t>
        </is>
      </c>
      <c r="S505" s="70" t="n">
        <v>2070</v>
      </c>
      <c r="T505" s="71" t="n">
        <v>426687.29</v>
      </c>
      <c r="U505" t="inlineStr">
        <is>
          <t>Low</t>
        </is>
      </c>
      <c r="V505">
        <f>IF(AND(OR(Dashboard!$C$6="All",E505=Dashboard!$C$6),OR(Dashboard!$F$6="All",G505=Dashboard!$F$6),OR(Dashboard!$I$6="All",H505=Dashboard!$I$6)),1,0)</f>
        <v/>
      </c>
    </row>
    <row r="506">
      <c r="A506" t="inlineStr">
        <is>
          <t>PF100497</t>
        </is>
      </c>
      <c r="B506" s="68" t="n">
        <v>45713</v>
      </c>
      <c r="C506" s="69" t="n">
        <v>2025</v>
      </c>
      <c r="D506" t="inlineStr">
        <is>
          <t>Feb</t>
        </is>
      </c>
      <c r="E506" t="inlineStr">
        <is>
          <t>United States</t>
        </is>
      </c>
      <c r="F506" t="inlineStr">
        <is>
          <t>USA</t>
        </is>
      </c>
      <c r="G506" t="inlineStr">
        <is>
          <t>Comirnaty</t>
        </is>
      </c>
      <c r="H506" t="inlineStr">
        <is>
          <t>Hospital</t>
        </is>
      </c>
      <c r="I506" t="inlineStr">
        <is>
          <t>Public payer</t>
        </is>
      </c>
      <c r="J506" t="inlineStr">
        <is>
          <t>Hiroshi Tanaka</t>
        </is>
      </c>
      <c r="K506" s="70" t="n">
        <v>2650</v>
      </c>
      <c r="L506" s="71" t="n">
        <v>165.89</v>
      </c>
      <c r="M506" s="71" t="n">
        <v>439608.5</v>
      </c>
      <c r="N506" s="71" t="n">
        <v>153862.97</v>
      </c>
      <c r="O506" s="71" t="n">
        <v>285745.53</v>
      </c>
      <c r="P506" s="71" t="n">
        <v>99575.63</v>
      </c>
      <c r="Q506" s="71" t="n">
        <v>186169.9</v>
      </c>
      <c r="R506" t="inlineStr">
        <is>
          <t>Vaccines</t>
        </is>
      </c>
      <c r="S506" s="70" t="n">
        <v>2370</v>
      </c>
      <c r="T506" s="71" t="n">
        <v>83001.3</v>
      </c>
      <c r="U506" t="inlineStr">
        <is>
          <t>Low</t>
        </is>
      </c>
      <c r="V506">
        <f>IF(AND(OR(Dashboard!$C$6="All",E506=Dashboard!$C$6),OR(Dashboard!$F$6="All",G506=Dashboard!$F$6),OR(Dashboard!$I$6="All",H506=Dashboard!$I$6)),1,0)</f>
        <v/>
      </c>
    </row>
    <row r="507">
      <c r="A507" t="inlineStr">
        <is>
          <t>PF100498</t>
        </is>
      </c>
      <c r="B507" s="68" t="n">
        <v>45713</v>
      </c>
      <c r="C507" s="69" t="n">
        <v>2025</v>
      </c>
      <c r="D507" t="inlineStr">
        <is>
          <t>Feb</t>
        </is>
      </c>
      <c r="E507" t="inlineStr">
        <is>
          <t>United States</t>
        </is>
      </c>
      <c r="F507" t="inlineStr">
        <is>
          <t>USA</t>
        </is>
      </c>
      <c r="G507" t="inlineStr">
        <is>
          <t>Eliquis</t>
        </is>
      </c>
      <c r="H507" t="inlineStr">
        <is>
          <t>Government / tender</t>
        </is>
      </c>
      <c r="I507" t="inlineStr">
        <is>
          <t>Public payer</t>
        </is>
      </c>
      <c r="J507" t="inlineStr">
        <is>
          <t>Omar Haddad</t>
        </is>
      </c>
      <c r="K507" s="70" t="n">
        <v>1462</v>
      </c>
      <c r="L507" s="71" t="n">
        <v>687.28</v>
      </c>
      <c r="M507" s="71" t="n">
        <v>1004803.36</v>
      </c>
      <c r="N507" s="71" t="n">
        <v>301441.01</v>
      </c>
      <c r="O507" s="71" t="n">
        <v>703362.35</v>
      </c>
      <c r="P507" s="71" t="n">
        <v>107153.09</v>
      </c>
      <c r="Q507" s="71" t="n">
        <v>596209.26</v>
      </c>
      <c r="R507" t="inlineStr">
        <is>
          <t>Cardiology</t>
        </is>
      </c>
      <c r="S507" s="70" t="n">
        <v>1186</v>
      </c>
      <c r="T507" s="71" t="n">
        <v>191402.18</v>
      </c>
      <c r="U507" t="inlineStr">
        <is>
          <t>High</t>
        </is>
      </c>
      <c r="V507">
        <f>IF(AND(OR(Dashboard!$C$6="All",E507=Dashboard!$C$6),OR(Dashboard!$F$6="All",G507=Dashboard!$F$6),OR(Dashboard!$I$6="All",H507=Dashboard!$I$6)),1,0)</f>
        <v/>
      </c>
    </row>
    <row r="508">
      <c r="A508" t="inlineStr">
        <is>
          <t>PF100499</t>
        </is>
      </c>
      <c r="B508" s="68" t="n">
        <v>45714</v>
      </c>
      <c r="C508" s="69" t="n">
        <v>2025</v>
      </c>
      <c r="D508" t="inlineStr">
        <is>
          <t>Feb</t>
        </is>
      </c>
      <c r="E508" t="inlineStr">
        <is>
          <t>Emerging markets</t>
        </is>
      </c>
      <c r="F508" t="inlineStr">
        <is>
          <t>China</t>
        </is>
      </c>
      <c r="G508" t="inlineStr">
        <is>
          <t>Comirnaty</t>
        </is>
      </c>
      <c r="H508" t="inlineStr">
        <is>
          <t>Retail pharmacy</t>
        </is>
      </c>
      <c r="I508" t="inlineStr">
        <is>
          <t>Public payer</t>
        </is>
      </c>
      <c r="J508" t="inlineStr">
        <is>
          <t>Sara Rossi</t>
        </is>
      </c>
      <c r="K508" s="70" t="n">
        <v>1642</v>
      </c>
      <c r="L508" s="71" t="n">
        <v>104.45</v>
      </c>
      <c r="M508" s="71" t="n">
        <v>171506.9</v>
      </c>
      <c r="N508" s="71" t="n">
        <v>34301.38</v>
      </c>
      <c r="O508" s="71" t="n">
        <v>137205.52</v>
      </c>
      <c r="P508" s="71" t="n">
        <v>62544.99</v>
      </c>
      <c r="Q508" s="71" t="n">
        <v>74660.53</v>
      </c>
      <c r="R508" t="inlineStr">
        <is>
          <t>Vaccines</t>
        </is>
      </c>
      <c r="S508" s="70" t="n">
        <v>1124</v>
      </c>
      <c r="T508" s="71" t="n">
        <v>21857.4</v>
      </c>
      <c r="U508" t="inlineStr">
        <is>
          <t>Low</t>
        </is>
      </c>
      <c r="V508">
        <f>IF(AND(OR(Dashboard!$C$6="All",E508=Dashboard!$C$6),OR(Dashboard!$F$6="All",G508=Dashboard!$F$6),OR(Dashboard!$I$6="All",H508=Dashboard!$I$6)),1,0)</f>
        <v/>
      </c>
    </row>
    <row r="509">
      <c r="A509" t="inlineStr">
        <is>
          <t>PF100500</t>
        </is>
      </c>
      <c r="B509" s="68" t="n">
        <v>45714</v>
      </c>
      <c r="C509" s="69" t="n">
        <v>2025</v>
      </c>
      <c r="D509" t="inlineStr">
        <is>
          <t>Feb</t>
        </is>
      </c>
      <c r="E509" t="inlineStr">
        <is>
          <t>United States</t>
        </is>
      </c>
      <c r="F509" t="inlineStr">
        <is>
          <t>USA</t>
        </is>
      </c>
      <c r="G509" t="inlineStr">
        <is>
          <t>Prevnar 20</t>
        </is>
      </c>
      <c r="H509" t="inlineStr">
        <is>
          <t>Hospital</t>
        </is>
      </c>
      <c r="I509" t="inlineStr">
        <is>
          <t>Private insurer</t>
        </is>
      </c>
      <c r="J509" t="inlineStr">
        <is>
          <t>Fatima Al-Saud</t>
        </is>
      </c>
      <c r="K509" s="70" t="n">
        <v>2494</v>
      </c>
      <c r="L509" s="71" t="n">
        <v>355.98</v>
      </c>
      <c r="M509" s="71" t="n">
        <v>887814.12</v>
      </c>
      <c r="N509" s="71" t="n">
        <v>221953.53</v>
      </c>
      <c r="O509" s="71" t="n">
        <v>665860.59</v>
      </c>
      <c r="P509" s="71" t="n">
        <v>168683.86</v>
      </c>
      <c r="Q509" s="71" t="n">
        <v>497176.73</v>
      </c>
      <c r="R509" t="inlineStr">
        <is>
          <t>Vaccines</t>
        </is>
      </c>
      <c r="S509" s="70" t="n">
        <v>1662</v>
      </c>
      <c r="T509" s="71" t="n">
        <v>117745.84</v>
      </c>
      <c r="U509" t="inlineStr">
        <is>
          <t>Low</t>
        </is>
      </c>
      <c r="V509">
        <f>IF(AND(OR(Dashboard!$C$6="All",E509=Dashboard!$C$6),OR(Dashboard!$F$6="All",G509=Dashboard!$F$6),OR(Dashboard!$I$6="All",H509=Dashboard!$I$6)),1,0)</f>
        <v/>
      </c>
    </row>
    <row r="510">
      <c r="A510" t="inlineStr">
        <is>
          <t>PF100501</t>
        </is>
      </c>
      <c r="B510" s="68" t="n">
        <v>45714</v>
      </c>
      <c r="C510" s="69" t="n">
        <v>2025</v>
      </c>
      <c r="D510" t="inlineStr">
        <is>
          <t>Feb</t>
        </is>
      </c>
      <c r="E510" t="inlineStr">
        <is>
          <t>United States</t>
        </is>
      </c>
      <c r="F510" t="inlineStr">
        <is>
          <t>USA</t>
        </is>
      </c>
      <c r="G510" t="inlineStr">
        <is>
          <t>Comirnaty</t>
        </is>
      </c>
      <c r="H510" t="inlineStr">
        <is>
          <t>Retail pharmacy</t>
        </is>
      </c>
      <c r="I510" t="inlineStr">
        <is>
          <t>Public payer</t>
        </is>
      </c>
      <c r="J510" t="inlineStr">
        <is>
          <t>Lucas Martin</t>
        </is>
      </c>
      <c r="K510" s="70" t="n">
        <v>397</v>
      </c>
      <c r="L510" s="71" t="n">
        <v>174.51</v>
      </c>
      <c r="M510" s="71" t="n">
        <v>69280.47</v>
      </c>
      <c r="N510" s="71" t="n">
        <v>20784.14</v>
      </c>
      <c r="O510" s="71" t="n">
        <v>48496.33</v>
      </c>
      <c r="P510" s="71" t="n">
        <v>15762.43</v>
      </c>
      <c r="Q510" s="71" t="n">
        <v>32733.9</v>
      </c>
      <c r="R510" t="inlineStr">
        <is>
          <t>Vaccines</t>
        </is>
      </c>
      <c r="S510" s="70" t="n">
        <v>253</v>
      </c>
      <c r="T510" s="71" t="n">
        <v>14465.82</v>
      </c>
      <c r="U510" t="inlineStr">
        <is>
          <t>Low</t>
        </is>
      </c>
      <c r="V510">
        <f>IF(AND(OR(Dashboard!$C$6="All",E510=Dashboard!$C$6),OR(Dashboard!$F$6="All",G510=Dashboard!$F$6),OR(Dashboard!$I$6="All",H510=Dashboard!$I$6)),1,0)</f>
        <v/>
      </c>
    </row>
    <row r="511">
      <c r="A511" t="inlineStr">
        <is>
          <t>PF100502</t>
        </is>
      </c>
      <c r="B511" s="68" t="n">
        <v>45714</v>
      </c>
      <c r="C511" s="69" t="n">
        <v>2025</v>
      </c>
      <c r="D511" t="inlineStr">
        <is>
          <t>Feb</t>
        </is>
      </c>
      <c r="E511" t="inlineStr">
        <is>
          <t>United States</t>
        </is>
      </c>
      <c r="F511" t="inlineStr">
        <is>
          <t>USA</t>
        </is>
      </c>
      <c r="G511" t="inlineStr">
        <is>
          <t>Ibrance</t>
        </is>
      </c>
      <c r="H511" t="inlineStr">
        <is>
          <t>Retail pharmacy</t>
        </is>
      </c>
      <c r="I511" t="inlineStr">
        <is>
          <t>Private insurer</t>
        </is>
      </c>
      <c r="J511" t="inlineStr">
        <is>
          <t>Sophie Müller</t>
        </is>
      </c>
      <c r="K511" s="70" t="n">
        <v>2510</v>
      </c>
      <c r="L511" s="71" t="n">
        <v>4729.12</v>
      </c>
      <c r="M511" s="71" t="n">
        <v>11870091.2</v>
      </c>
      <c r="N511" s="71" t="n">
        <v>2967522.8</v>
      </c>
      <c r="O511" s="71" t="n">
        <v>8902568.4</v>
      </c>
      <c r="P511" s="71" t="n">
        <v>1074384.36</v>
      </c>
      <c r="Q511" s="71" t="n">
        <v>7828184.04</v>
      </c>
      <c r="R511" t="inlineStr">
        <is>
          <t>Oncology</t>
        </is>
      </c>
      <c r="S511" s="70" t="n">
        <v>2065</v>
      </c>
      <c r="T511" s="71" t="n">
        <v>1473340.6</v>
      </c>
      <c r="U511" t="inlineStr">
        <is>
          <t>High</t>
        </is>
      </c>
      <c r="V511">
        <f>IF(AND(OR(Dashboard!$C$6="All",E511=Dashboard!$C$6),OR(Dashboard!$F$6="All",G511=Dashboard!$F$6),OR(Dashboard!$I$6="All",H511=Dashboard!$I$6)),1,0)</f>
        <v/>
      </c>
    </row>
    <row r="512">
      <c r="A512" t="inlineStr">
        <is>
          <t>PF100503</t>
        </is>
      </c>
      <c r="B512" s="68" t="n">
        <v>45714</v>
      </c>
      <c r="C512" s="69" t="n">
        <v>2025</v>
      </c>
      <c r="D512" t="inlineStr">
        <is>
          <t>Feb</t>
        </is>
      </c>
      <c r="E512" t="inlineStr">
        <is>
          <t>United States</t>
        </is>
      </c>
      <c r="F512" t="inlineStr">
        <is>
          <t>USA</t>
        </is>
      </c>
      <c r="G512" t="inlineStr">
        <is>
          <t>Eliquis</t>
        </is>
      </c>
      <c r="H512" t="inlineStr">
        <is>
          <t>Government / tender</t>
        </is>
      </c>
      <c r="I512" t="inlineStr">
        <is>
          <t>Self-pay</t>
        </is>
      </c>
      <c r="J512" t="inlineStr">
        <is>
          <t>Arjun Mehta</t>
        </is>
      </c>
      <c r="K512" s="70" t="n">
        <v>2182</v>
      </c>
      <c r="L512" s="71" t="n">
        <v>717.86</v>
      </c>
      <c r="M512" s="71" t="n">
        <v>1566370.52</v>
      </c>
      <c r="N512" s="71" t="n">
        <v>548229.6800000001</v>
      </c>
      <c r="O512" s="71" t="n">
        <v>1018140.84</v>
      </c>
      <c r="P512" s="71" t="n">
        <v>164187.98</v>
      </c>
      <c r="Q512" s="71" t="n">
        <v>853952.86</v>
      </c>
      <c r="R512" t="inlineStr">
        <is>
          <t>Cardiology</t>
        </is>
      </c>
      <c r="S512" s="70" t="n">
        <v>1411</v>
      </c>
      <c r="T512" s="71" t="n">
        <v>333702.34</v>
      </c>
      <c r="U512" t="inlineStr">
        <is>
          <t>High</t>
        </is>
      </c>
      <c r="V512">
        <f>IF(AND(OR(Dashboard!$C$6="All",E512=Dashboard!$C$6),OR(Dashboard!$F$6="All",G512=Dashboard!$F$6),OR(Dashboard!$I$6="All",H512=Dashboard!$I$6)),1,0)</f>
        <v/>
      </c>
    </row>
    <row r="513">
      <c r="A513" t="inlineStr">
        <is>
          <t>PF100504</t>
        </is>
      </c>
      <c r="B513" s="68" t="n">
        <v>45714</v>
      </c>
      <c r="C513" s="69" t="n">
        <v>2025</v>
      </c>
      <c r="D513" t="inlineStr">
        <is>
          <t>Feb</t>
        </is>
      </c>
      <c r="E513" t="inlineStr">
        <is>
          <t>Europe</t>
        </is>
      </c>
      <c r="F513" t="inlineStr">
        <is>
          <t>France</t>
        </is>
      </c>
      <c r="G513" t="inlineStr">
        <is>
          <t>Paxlovid</t>
        </is>
      </c>
      <c r="H513" t="inlineStr">
        <is>
          <t>Retail pharmacy</t>
        </is>
      </c>
      <c r="I513" t="inlineStr">
        <is>
          <t>Public payer</t>
        </is>
      </c>
      <c r="J513" t="inlineStr">
        <is>
          <t>Mei Lin</t>
        </is>
      </c>
      <c r="K513" s="70" t="n">
        <v>789</v>
      </c>
      <c r="L513" s="71" t="n">
        <v>1015.77</v>
      </c>
      <c r="M513" s="71" t="n">
        <v>801442.53</v>
      </c>
      <c r="N513" s="71" t="n">
        <v>200360.63</v>
      </c>
      <c r="O513" s="71" t="n">
        <v>601081.9</v>
      </c>
      <c r="P513" s="71" t="n">
        <v>212507.27</v>
      </c>
      <c r="Q513" s="71" t="n">
        <v>388574.63</v>
      </c>
      <c r="R513" t="inlineStr">
        <is>
          <t>Antiviral</t>
        </is>
      </c>
      <c r="S513" s="70" t="n">
        <v>513</v>
      </c>
      <c r="T513" s="71" t="n">
        <v>162721.7</v>
      </c>
      <c r="U513" t="inlineStr">
        <is>
          <t>Low</t>
        </is>
      </c>
      <c r="V513">
        <f>IF(AND(OR(Dashboard!$C$6="All",E513=Dashboard!$C$6),OR(Dashboard!$F$6="All",G513=Dashboard!$F$6),OR(Dashboard!$I$6="All",H513=Dashboard!$I$6)),1,0)</f>
        <v/>
      </c>
    </row>
    <row r="514">
      <c r="A514" t="inlineStr">
        <is>
          <t>PF100505</t>
        </is>
      </c>
      <c r="B514" s="68" t="n">
        <v>45714</v>
      </c>
      <c r="C514" s="69" t="n">
        <v>2025</v>
      </c>
      <c r="D514" t="inlineStr">
        <is>
          <t>Feb</t>
        </is>
      </c>
      <c r="E514" t="inlineStr">
        <is>
          <t>United States</t>
        </is>
      </c>
      <c r="F514" t="inlineStr">
        <is>
          <t>USA</t>
        </is>
      </c>
      <c r="G514" t="inlineStr">
        <is>
          <t>Prevnar 20</t>
        </is>
      </c>
      <c r="H514" t="inlineStr">
        <is>
          <t>Hospital</t>
        </is>
      </c>
      <c r="I514" t="inlineStr">
        <is>
          <t>Private insurer</t>
        </is>
      </c>
      <c r="J514" t="inlineStr">
        <is>
          <t>Lucas Martin</t>
        </is>
      </c>
      <c r="K514" s="70" t="n">
        <v>292</v>
      </c>
      <c r="L514" s="71" t="n">
        <v>347.09</v>
      </c>
      <c r="M514" s="71" t="n">
        <v>101350.28</v>
      </c>
      <c r="N514" s="71" t="n">
        <v>15202.54</v>
      </c>
      <c r="O514" s="71" t="n">
        <v>86147.74000000001</v>
      </c>
      <c r="P514" s="71" t="n">
        <v>19446.07</v>
      </c>
      <c r="Q514" s="71" t="n">
        <v>66701.67</v>
      </c>
      <c r="R514" t="inlineStr">
        <is>
          <t>Vaccines</t>
        </is>
      </c>
      <c r="S514" s="70" t="n">
        <v>197</v>
      </c>
      <c r="T514" s="71" t="n">
        <v>21126.73</v>
      </c>
      <c r="U514" t="inlineStr">
        <is>
          <t>Low</t>
        </is>
      </c>
      <c r="V514">
        <f>IF(AND(OR(Dashboard!$C$6="All",E514=Dashboard!$C$6),OR(Dashboard!$F$6="All",G514=Dashboard!$F$6),OR(Dashboard!$I$6="All",H514=Dashboard!$I$6)),1,0)</f>
        <v/>
      </c>
    </row>
    <row r="515">
      <c r="A515" t="inlineStr">
        <is>
          <t>PF100506</t>
        </is>
      </c>
      <c r="B515" s="68" t="n">
        <v>45714</v>
      </c>
      <c r="C515" s="69" t="n">
        <v>2025</v>
      </c>
      <c r="D515" t="inlineStr">
        <is>
          <t>Feb</t>
        </is>
      </c>
      <c r="E515" t="inlineStr">
        <is>
          <t>United States</t>
        </is>
      </c>
      <c r="F515" t="inlineStr">
        <is>
          <t>USA</t>
        </is>
      </c>
      <c r="G515" t="inlineStr">
        <is>
          <t>Ibrance</t>
        </is>
      </c>
      <c r="H515" t="inlineStr">
        <is>
          <t>Retail pharmacy</t>
        </is>
      </c>
      <c r="I515" t="inlineStr">
        <is>
          <t>Public payer</t>
        </is>
      </c>
      <c r="J515" t="inlineStr">
        <is>
          <t>Noah Smith</t>
        </is>
      </c>
      <c r="K515" s="70" t="n">
        <v>1156</v>
      </c>
      <c r="L515" s="71" t="n">
        <v>4516.58</v>
      </c>
      <c r="M515" s="71" t="n">
        <v>5221166.48</v>
      </c>
      <c r="N515" s="71" t="n">
        <v>783174.97</v>
      </c>
      <c r="O515" s="71" t="n">
        <v>4437991.51</v>
      </c>
      <c r="P515" s="71" t="n">
        <v>505760.59</v>
      </c>
      <c r="Q515" s="71" t="n">
        <v>3932230.92</v>
      </c>
      <c r="R515" t="inlineStr">
        <is>
          <t>Oncology</t>
        </is>
      </c>
      <c r="S515" s="70" t="n">
        <v>791</v>
      </c>
      <c r="T515" s="71" t="n">
        <v>1143507.45</v>
      </c>
      <c r="U515" t="inlineStr">
        <is>
          <t>High</t>
        </is>
      </c>
      <c r="V515">
        <f>IF(AND(OR(Dashboard!$C$6="All",E515=Dashboard!$C$6),OR(Dashboard!$F$6="All",G515=Dashboard!$F$6),OR(Dashboard!$I$6="All",H515=Dashboard!$I$6)),1,0)</f>
        <v/>
      </c>
    </row>
    <row r="516">
      <c r="A516" t="inlineStr">
        <is>
          <t>PF100507</t>
        </is>
      </c>
      <c r="B516" s="68" t="n">
        <v>45715</v>
      </c>
      <c r="C516" s="69" t="n">
        <v>2025</v>
      </c>
      <c r="D516" t="inlineStr">
        <is>
          <t>Feb</t>
        </is>
      </c>
      <c r="E516" t="inlineStr">
        <is>
          <t>Emerging markets</t>
        </is>
      </c>
      <c r="F516" t="inlineStr">
        <is>
          <t>China</t>
        </is>
      </c>
      <c r="G516" t="inlineStr">
        <is>
          <t>Prevnar 20</t>
        </is>
      </c>
      <c r="H516" t="inlineStr">
        <is>
          <t>Government / tender</t>
        </is>
      </c>
      <c r="I516" t="inlineStr">
        <is>
          <t>Self-pay</t>
        </is>
      </c>
      <c r="J516" t="inlineStr">
        <is>
          <t>Priya Nair</t>
        </is>
      </c>
      <c r="K516" s="70" t="n">
        <v>1369</v>
      </c>
      <c r="L516" s="71" t="n">
        <v>245.19</v>
      </c>
      <c r="M516" s="71" t="n">
        <v>335665.11</v>
      </c>
      <c r="N516" s="71" t="n">
        <v>33566.51</v>
      </c>
      <c r="O516" s="71" t="n">
        <v>302098.6</v>
      </c>
      <c r="P516" s="71" t="n">
        <v>94288.73</v>
      </c>
      <c r="Q516" s="71" t="n">
        <v>207809.87</v>
      </c>
      <c r="R516" t="inlineStr">
        <is>
          <t>Vaccines</t>
        </is>
      </c>
      <c r="S516" s="70" t="n">
        <v>1120</v>
      </c>
      <c r="T516" s="71" t="n">
        <v>61761.84</v>
      </c>
      <c r="U516" t="inlineStr">
        <is>
          <t>Low</t>
        </is>
      </c>
      <c r="V516">
        <f>IF(AND(OR(Dashboard!$C$6="All",E516=Dashboard!$C$6),OR(Dashboard!$F$6="All",G516=Dashboard!$F$6),OR(Dashboard!$I$6="All",H516=Dashboard!$I$6)),1,0)</f>
        <v/>
      </c>
    </row>
    <row r="517">
      <c r="A517" t="inlineStr">
        <is>
          <t>PF100508</t>
        </is>
      </c>
      <c r="B517" s="68" t="n">
        <v>45715</v>
      </c>
      <c r="C517" s="69" t="n">
        <v>2025</v>
      </c>
      <c r="D517" t="inlineStr">
        <is>
          <t>Feb</t>
        </is>
      </c>
      <c r="E517" t="inlineStr">
        <is>
          <t>United States</t>
        </is>
      </c>
      <c r="F517" t="inlineStr">
        <is>
          <t>USA</t>
        </is>
      </c>
      <c r="G517" t="inlineStr">
        <is>
          <t>Paxlovid</t>
        </is>
      </c>
      <c r="H517" t="inlineStr">
        <is>
          <t>Retail pharmacy</t>
        </is>
      </c>
      <c r="I517" t="inlineStr">
        <is>
          <t>Public payer</t>
        </is>
      </c>
      <c r="J517" t="inlineStr">
        <is>
          <t>Emma Clarke</t>
        </is>
      </c>
      <c r="K517" s="70" t="n">
        <v>2315</v>
      </c>
      <c r="L517" s="71" t="n">
        <v>1832.14</v>
      </c>
      <c r="M517" s="71" t="n">
        <v>4241404.1</v>
      </c>
      <c r="N517" s="71" t="n">
        <v>1060351.02</v>
      </c>
      <c r="O517" s="71" t="n">
        <v>3181053.08</v>
      </c>
      <c r="P517" s="71" t="n">
        <v>639155.54</v>
      </c>
      <c r="Q517" s="71" t="n">
        <v>2541897.54</v>
      </c>
      <c r="R517" t="inlineStr">
        <is>
          <t>Antiviral</t>
        </is>
      </c>
      <c r="S517" s="70" t="n">
        <v>1587</v>
      </c>
      <c r="T517" s="71" t="n">
        <v>555618.29</v>
      </c>
      <c r="U517" t="inlineStr">
        <is>
          <t>Low</t>
        </is>
      </c>
      <c r="V517">
        <f>IF(AND(OR(Dashboard!$C$6="All",E517=Dashboard!$C$6),OR(Dashboard!$F$6="All",G517=Dashboard!$F$6),OR(Dashboard!$I$6="All",H517=Dashboard!$I$6)),1,0)</f>
        <v/>
      </c>
    </row>
    <row r="518">
      <c r="A518" t="inlineStr">
        <is>
          <t>PF100509</t>
        </is>
      </c>
      <c r="B518" s="68" t="n">
        <v>45715</v>
      </c>
      <c r="C518" s="69" t="n">
        <v>2025</v>
      </c>
      <c r="D518" t="inlineStr">
        <is>
          <t>Feb</t>
        </is>
      </c>
      <c r="E518" t="inlineStr">
        <is>
          <t>United States</t>
        </is>
      </c>
      <c r="F518" t="inlineStr">
        <is>
          <t>USA</t>
        </is>
      </c>
      <c r="G518" t="inlineStr">
        <is>
          <t>Prevnar 20</t>
        </is>
      </c>
      <c r="H518" t="inlineStr">
        <is>
          <t>Government / tender</t>
        </is>
      </c>
      <c r="I518" t="inlineStr">
        <is>
          <t>Public payer</t>
        </is>
      </c>
      <c r="J518" t="inlineStr">
        <is>
          <t>Zoya Ahmed</t>
        </is>
      </c>
      <c r="K518" s="70" t="n">
        <v>856</v>
      </c>
      <c r="L518" s="71" t="n">
        <v>399.33</v>
      </c>
      <c r="M518" s="71" t="n">
        <v>341826.48</v>
      </c>
      <c r="N518" s="71" t="n">
        <v>102547.94</v>
      </c>
      <c r="O518" s="71" t="n">
        <v>239278.54</v>
      </c>
      <c r="P518" s="71" t="n">
        <v>60516.67</v>
      </c>
      <c r="Q518" s="71" t="n">
        <v>178761.87</v>
      </c>
      <c r="R518" t="inlineStr">
        <is>
          <t>Vaccines</t>
        </is>
      </c>
      <c r="S518" s="70" t="n">
        <v>830</v>
      </c>
      <c r="T518" s="71" t="n">
        <v>62383.64</v>
      </c>
      <c r="U518" t="inlineStr">
        <is>
          <t>Low</t>
        </is>
      </c>
      <c r="V518">
        <f>IF(AND(OR(Dashboard!$C$6="All",E518=Dashboard!$C$6),OR(Dashboard!$F$6="All",G518=Dashboard!$F$6),OR(Dashboard!$I$6="All",H518=Dashboard!$I$6)),1,0)</f>
        <v/>
      </c>
    </row>
    <row r="519">
      <c r="A519" t="inlineStr">
        <is>
          <t>PF100510</t>
        </is>
      </c>
      <c r="B519" s="68" t="n">
        <v>45715</v>
      </c>
      <c r="C519" s="69" t="n">
        <v>2025</v>
      </c>
      <c r="D519" t="inlineStr">
        <is>
          <t>Feb</t>
        </is>
      </c>
      <c r="E519" t="inlineStr">
        <is>
          <t>International developed</t>
        </is>
      </c>
      <c r="F519" t="inlineStr">
        <is>
          <t>Canada</t>
        </is>
      </c>
      <c r="G519" t="inlineStr">
        <is>
          <t>Eliquis</t>
        </is>
      </c>
      <c r="H519" t="inlineStr">
        <is>
          <t>Government / tender</t>
        </is>
      </c>
      <c r="I519" t="inlineStr">
        <is>
          <t>Private insurer</t>
        </is>
      </c>
      <c r="J519" t="inlineStr">
        <is>
          <t>Ana Costa</t>
        </is>
      </c>
      <c r="K519" s="70" t="n">
        <v>705</v>
      </c>
      <c r="L519" s="71" t="n">
        <v>452.06</v>
      </c>
      <c r="M519" s="71" t="n">
        <v>318702.3</v>
      </c>
      <c r="N519" s="71" t="n">
        <v>31870.23</v>
      </c>
      <c r="O519" s="71" t="n">
        <v>286832.07</v>
      </c>
      <c r="P519" s="71" t="n">
        <v>51854.57</v>
      </c>
      <c r="Q519" s="71" t="n">
        <v>234977.5</v>
      </c>
      <c r="R519" t="inlineStr">
        <is>
          <t>Cardiology</t>
        </is>
      </c>
      <c r="S519" s="70" t="n">
        <v>647</v>
      </c>
      <c r="T519" s="71" t="n">
        <v>57403.72</v>
      </c>
      <c r="U519" t="inlineStr">
        <is>
          <t>High</t>
        </is>
      </c>
      <c r="V519">
        <f>IF(AND(OR(Dashboard!$C$6="All",E519=Dashboard!$C$6),OR(Dashboard!$F$6="All",G519=Dashboard!$F$6),OR(Dashboard!$I$6="All",H519=Dashboard!$I$6)),1,0)</f>
        <v/>
      </c>
    </row>
    <row r="520">
      <c r="A520" t="inlineStr">
        <is>
          <t>PF100511</t>
        </is>
      </c>
      <c r="B520" s="68" t="n">
        <v>45715</v>
      </c>
      <c r="C520" s="69" t="n">
        <v>2025</v>
      </c>
      <c r="D520" t="inlineStr">
        <is>
          <t>Feb</t>
        </is>
      </c>
      <c r="E520" t="inlineStr">
        <is>
          <t>United States</t>
        </is>
      </c>
      <c r="F520" t="inlineStr">
        <is>
          <t>USA</t>
        </is>
      </c>
      <c r="G520" t="inlineStr">
        <is>
          <t>Ibrance</t>
        </is>
      </c>
      <c r="H520" t="inlineStr">
        <is>
          <t>Hospital</t>
        </is>
      </c>
      <c r="I520" t="inlineStr">
        <is>
          <t>Private insurer</t>
        </is>
      </c>
      <c r="J520" t="inlineStr">
        <is>
          <t>Mei Lin</t>
        </is>
      </c>
      <c r="K520" s="70" t="n">
        <v>734</v>
      </c>
      <c r="L520" s="71" t="n">
        <v>4935.7</v>
      </c>
      <c r="M520" s="71" t="n">
        <v>3622803.8</v>
      </c>
      <c r="N520" s="71" t="n">
        <v>905700.95</v>
      </c>
      <c r="O520" s="71" t="n">
        <v>2717102.85</v>
      </c>
      <c r="P520" s="71" t="n">
        <v>310733</v>
      </c>
      <c r="Q520" s="71" t="n">
        <v>2406369.85</v>
      </c>
      <c r="R520" t="inlineStr">
        <is>
          <t>Oncology</t>
        </is>
      </c>
      <c r="S520" s="70" t="n">
        <v>666</v>
      </c>
      <c r="T520" s="71" t="n">
        <v>647962.22</v>
      </c>
      <c r="U520" t="inlineStr">
        <is>
          <t>High</t>
        </is>
      </c>
      <c r="V520">
        <f>IF(AND(OR(Dashboard!$C$6="All",E520=Dashboard!$C$6),OR(Dashboard!$F$6="All",G520=Dashboard!$F$6),OR(Dashboard!$I$6="All",H520=Dashboard!$I$6)),1,0)</f>
        <v/>
      </c>
    </row>
    <row r="521">
      <c r="A521" t="inlineStr">
        <is>
          <t>PF100512</t>
        </is>
      </c>
      <c r="B521" s="68" t="n">
        <v>45715</v>
      </c>
      <c r="C521" s="69" t="n">
        <v>2025</v>
      </c>
      <c r="D521" t="inlineStr">
        <is>
          <t>Feb</t>
        </is>
      </c>
      <c r="E521" t="inlineStr">
        <is>
          <t>United States</t>
        </is>
      </c>
      <c r="F521" t="inlineStr">
        <is>
          <t>USA</t>
        </is>
      </c>
      <c r="G521" t="inlineStr">
        <is>
          <t>Abrysvo</t>
        </is>
      </c>
      <c r="H521" t="inlineStr">
        <is>
          <t>Retail pharmacy</t>
        </is>
      </c>
      <c r="I521" t="inlineStr">
        <is>
          <t>Private insurer</t>
        </is>
      </c>
      <c r="J521" t="inlineStr">
        <is>
          <t>Fatima Al-Saud</t>
        </is>
      </c>
      <c r="K521" s="70" t="n">
        <v>2651</v>
      </c>
      <c r="L521" s="71" t="n">
        <v>456.06</v>
      </c>
      <c r="M521" s="71" t="n">
        <v>1209015.06</v>
      </c>
      <c r="N521" s="71" t="n">
        <v>181352.26</v>
      </c>
      <c r="O521" s="71" t="n">
        <v>1027662.8</v>
      </c>
      <c r="P521" s="71" t="n">
        <v>224145.4</v>
      </c>
      <c r="Q521" s="71" t="n">
        <v>803517.4</v>
      </c>
      <c r="R521" t="inlineStr">
        <is>
          <t>Vaccines</t>
        </is>
      </c>
      <c r="S521" s="70" t="n">
        <v>2313</v>
      </c>
      <c r="T521" s="71" t="n">
        <v>205756.75</v>
      </c>
      <c r="U521" t="inlineStr">
        <is>
          <t>Low</t>
        </is>
      </c>
      <c r="V521">
        <f>IF(AND(OR(Dashboard!$C$6="All",E521=Dashboard!$C$6),OR(Dashboard!$F$6="All",G521=Dashboard!$F$6),OR(Dashboard!$I$6="All",H521=Dashboard!$I$6)),1,0)</f>
        <v/>
      </c>
    </row>
    <row r="522">
      <c r="A522" t="inlineStr">
        <is>
          <t>PF100513</t>
        </is>
      </c>
      <c r="B522" s="68" t="n">
        <v>45715</v>
      </c>
      <c r="C522" s="69" t="n">
        <v>2025</v>
      </c>
      <c r="D522" t="inlineStr">
        <is>
          <t>Feb</t>
        </is>
      </c>
      <c r="E522" t="inlineStr">
        <is>
          <t>Emerging markets</t>
        </is>
      </c>
      <c r="F522" t="inlineStr">
        <is>
          <t>Brazil</t>
        </is>
      </c>
      <c r="G522" t="inlineStr">
        <is>
          <t>Vyndaqel</t>
        </is>
      </c>
      <c r="H522" t="inlineStr">
        <is>
          <t>Retail pharmacy</t>
        </is>
      </c>
      <c r="I522" t="inlineStr">
        <is>
          <t>Private insurer</t>
        </is>
      </c>
      <c r="J522" t="inlineStr">
        <is>
          <t>Arjun Mehta</t>
        </is>
      </c>
      <c r="K522" s="70" t="n">
        <v>1661</v>
      </c>
      <c r="L522" s="71" t="n">
        <v>4692.29</v>
      </c>
      <c r="M522" s="71" t="n">
        <v>7793893.69</v>
      </c>
      <c r="N522" s="71" t="n">
        <v>1558778.74</v>
      </c>
      <c r="O522" s="71" t="n">
        <v>6235114.95</v>
      </c>
      <c r="P522" s="71" t="n">
        <v>1041046.57</v>
      </c>
      <c r="Q522" s="71" t="n">
        <v>5194068.38</v>
      </c>
      <c r="R522" t="inlineStr">
        <is>
          <t>Rare disease</t>
        </is>
      </c>
      <c r="S522" s="70" t="n">
        <v>1136</v>
      </c>
      <c r="T522" s="71" t="n">
        <v>1134871.29</v>
      </c>
      <c r="U522" t="inlineStr">
        <is>
          <t>Medium</t>
        </is>
      </c>
      <c r="V522">
        <f>IF(AND(OR(Dashboard!$C$6="All",E522=Dashboard!$C$6),OR(Dashboard!$F$6="All",G522=Dashboard!$F$6),OR(Dashboard!$I$6="All",H522=Dashboard!$I$6)),1,0)</f>
        <v/>
      </c>
    </row>
    <row r="523">
      <c r="A523" t="inlineStr">
        <is>
          <t>PF100514</t>
        </is>
      </c>
      <c r="B523" s="68" t="n">
        <v>45715</v>
      </c>
      <c r="C523" s="69" t="n">
        <v>2025</v>
      </c>
      <c r="D523" t="inlineStr">
        <is>
          <t>Feb</t>
        </is>
      </c>
      <c r="E523" t="inlineStr">
        <is>
          <t>United States</t>
        </is>
      </c>
      <c r="F523" t="inlineStr">
        <is>
          <t>USA</t>
        </is>
      </c>
      <c r="G523" t="inlineStr">
        <is>
          <t>Eliquis</t>
        </is>
      </c>
      <c r="H523" t="inlineStr">
        <is>
          <t>Hospital</t>
        </is>
      </c>
      <c r="I523" t="inlineStr">
        <is>
          <t>Public payer</t>
        </is>
      </c>
      <c r="J523" t="inlineStr">
        <is>
          <t>Wei Chen</t>
        </is>
      </c>
      <c r="K523" s="70" t="n">
        <v>1031</v>
      </c>
      <c r="L523" s="71" t="n">
        <v>637.8099999999999</v>
      </c>
      <c r="M523" s="71" t="n">
        <v>657582.11</v>
      </c>
      <c r="N523" s="71" t="n">
        <v>230153.74</v>
      </c>
      <c r="O523" s="71" t="n">
        <v>427428.37</v>
      </c>
      <c r="P523" s="71" t="n">
        <v>75810.38</v>
      </c>
      <c r="Q523" s="71" t="n">
        <v>351617.99</v>
      </c>
      <c r="R523" t="inlineStr">
        <is>
          <t>Cardiology</t>
        </is>
      </c>
      <c r="S523" s="70" t="n">
        <v>674</v>
      </c>
      <c r="T523" s="71" t="n">
        <v>144479.48</v>
      </c>
      <c r="U523" t="inlineStr">
        <is>
          <t>High</t>
        </is>
      </c>
      <c r="V523">
        <f>IF(AND(OR(Dashboard!$C$6="All",E523=Dashboard!$C$6),OR(Dashboard!$F$6="All",G523=Dashboard!$F$6),OR(Dashboard!$I$6="All",H523=Dashboard!$I$6)),1,0)</f>
        <v/>
      </c>
    </row>
    <row r="524">
      <c r="A524" t="inlineStr">
        <is>
          <t>PF100515</t>
        </is>
      </c>
      <c r="B524" s="68" t="n">
        <v>45716</v>
      </c>
      <c r="C524" s="69" t="n">
        <v>2025</v>
      </c>
      <c r="D524" t="inlineStr">
        <is>
          <t>Feb</t>
        </is>
      </c>
      <c r="E524" t="inlineStr">
        <is>
          <t>United States</t>
        </is>
      </c>
      <c r="F524" t="inlineStr">
        <is>
          <t>USA</t>
        </is>
      </c>
      <c r="G524" t="inlineStr">
        <is>
          <t>Xeljanz</t>
        </is>
      </c>
      <c r="H524" t="inlineStr">
        <is>
          <t>Retail pharmacy</t>
        </is>
      </c>
      <c r="I524" t="inlineStr">
        <is>
          <t>Public payer</t>
        </is>
      </c>
      <c r="J524" t="inlineStr">
        <is>
          <t>Carlos Silva</t>
        </is>
      </c>
      <c r="K524" s="70" t="n">
        <v>2603</v>
      </c>
      <c r="L524" s="71" t="n">
        <v>2217.79</v>
      </c>
      <c r="M524" s="71" t="n">
        <v>5772907.37</v>
      </c>
      <c r="N524" s="71" t="n">
        <v>1443226.84</v>
      </c>
      <c r="O524" s="71" t="n">
        <v>4329680.53</v>
      </c>
      <c r="P524" s="71" t="n">
        <v>646415.9300000001</v>
      </c>
      <c r="Q524" s="71" t="n">
        <v>3683264.6</v>
      </c>
      <c r="R524" t="inlineStr">
        <is>
          <t>Inflammation</t>
        </is>
      </c>
      <c r="S524" s="70" t="n">
        <v>2283</v>
      </c>
      <c r="T524" s="71" t="n">
        <v>1211599.37</v>
      </c>
      <c r="U524" t="inlineStr">
        <is>
          <t>High</t>
        </is>
      </c>
      <c r="V524">
        <f>IF(AND(OR(Dashboard!$C$6="All",E524=Dashboard!$C$6),OR(Dashboard!$F$6="All",G524=Dashboard!$F$6),OR(Dashboard!$I$6="All",H524=Dashboard!$I$6)),1,0)</f>
        <v/>
      </c>
    </row>
    <row r="525">
      <c r="A525" t="inlineStr">
        <is>
          <t>PF100516</t>
        </is>
      </c>
      <c r="B525" s="68" t="n">
        <v>45716</v>
      </c>
      <c r="C525" s="69" t="n">
        <v>2025</v>
      </c>
      <c r="D525" t="inlineStr">
        <is>
          <t>Feb</t>
        </is>
      </c>
      <c r="E525" t="inlineStr">
        <is>
          <t>Emerging markets</t>
        </is>
      </c>
      <c r="F525" t="inlineStr">
        <is>
          <t>Mexico</t>
        </is>
      </c>
      <c r="G525" t="inlineStr">
        <is>
          <t>Ibrance</t>
        </is>
      </c>
      <c r="H525" t="inlineStr">
        <is>
          <t>Hospital</t>
        </is>
      </c>
      <c r="I525" t="inlineStr">
        <is>
          <t>Public payer</t>
        </is>
      </c>
      <c r="J525" t="inlineStr">
        <is>
          <t>Emma Clarke</t>
        </is>
      </c>
      <c r="K525" s="70" t="n">
        <v>1560</v>
      </c>
      <c r="L525" s="71" t="n">
        <v>2635.11</v>
      </c>
      <c r="M525" s="71" t="n">
        <v>4110771.6</v>
      </c>
      <c r="N525" s="71" t="n">
        <v>1027692.9</v>
      </c>
      <c r="O525" s="71" t="n">
        <v>3083078.7</v>
      </c>
      <c r="P525" s="71" t="n">
        <v>687297.98</v>
      </c>
      <c r="Q525" s="71" t="n">
        <v>2395780.72</v>
      </c>
      <c r="R525" t="inlineStr">
        <is>
          <t>Oncology</t>
        </is>
      </c>
      <c r="S525" s="70" t="n">
        <v>1281</v>
      </c>
      <c r="T525" s="71" t="n">
        <v>715833.46</v>
      </c>
      <c r="U525" t="inlineStr">
        <is>
          <t>High</t>
        </is>
      </c>
      <c r="V525">
        <f>IF(AND(OR(Dashboard!$C$6="All",E525=Dashboard!$C$6),OR(Dashboard!$F$6="All",G525=Dashboard!$F$6),OR(Dashboard!$I$6="All",H525=Dashboard!$I$6)),1,0)</f>
        <v/>
      </c>
    </row>
    <row r="526">
      <c r="A526" t="inlineStr">
        <is>
          <t>PF100517</t>
        </is>
      </c>
      <c r="B526" s="68" t="n">
        <v>45716</v>
      </c>
      <c r="C526" s="69" t="n">
        <v>2025</v>
      </c>
      <c r="D526" t="inlineStr">
        <is>
          <t>Feb</t>
        </is>
      </c>
      <c r="E526" t="inlineStr">
        <is>
          <t>International developed</t>
        </is>
      </c>
      <c r="F526" t="inlineStr">
        <is>
          <t>Australia</t>
        </is>
      </c>
      <c r="G526" t="inlineStr">
        <is>
          <t>Vyndaqel</t>
        </is>
      </c>
      <c r="H526" t="inlineStr">
        <is>
          <t>Government / tender</t>
        </is>
      </c>
      <c r="I526" t="inlineStr">
        <is>
          <t>Private insurer</t>
        </is>
      </c>
      <c r="J526" t="inlineStr">
        <is>
          <t>Sophie Müller</t>
        </is>
      </c>
      <c r="K526" s="70" t="n">
        <v>2280</v>
      </c>
      <c r="L526" s="71" t="n">
        <v>4926.83</v>
      </c>
      <c r="M526" s="71" t="n">
        <v>11233172.4</v>
      </c>
      <c r="N526" s="71" t="n">
        <v>2246634.48</v>
      </c>
      <c r="O526" s="71" t="n">
        <v>8986537.92</v>
      </c>
      <c r="P526" s="71" t="n">
        <v>1457018.55</v>
      </c>
      <c r="Q526" s="71" t="n">
        <v>7529519.37</v>
      </c>
      <c r="R526" t="inlineStr">
        <is>
          <t>Rare disease</t>
        </is>
      </c>
      <c r="S526" s="70" t="n">
        <v>1794</v>
      </c>
      <c r="T526" s="71" t="n">
        <v>1377167.47</v>
      </c>
      <c r="U526" t="inlineStr">
        <is>
          <t>Medium</t>
        </is>
      </c>
      <c r="V526">
        <f>IF(AND(OR(Dashboard!$C$6="All",E526=Dashboard!$C$6),OR(Dashboard!$F$6="All",G526=Dashboard!$F$6),OR(Dashboard!$I$6="All",H526=Dashboard!$I$6)),1,0)</f>
        <v/>
      </c>
    </row>
    <row r="527">
      <c r="A527" t="inlineStr">
        <is>
          <t>PF100518</t>
        </is>
      </c>
      <c r="B527" s="68" t="n">
        <v>45716</v>
      </c>
      <c r="C527" s="69" t="n">
        <v>2025</v>
      </c>
      <c r="D527" t="inlineStr">
        <is>
          <t>Feb</t>
        </is>
      </c>
      <c r="E527" t="inlineStr">
        <is>
          <t>Emerging markets</t>
        </is>
      </c>
      <c r="F527" t="inlineStr">
        <is>
          <t>China</t>
        </is>
      </c>
      <c r="G527" t="inlineStr">
        <is>
          <t>Abrysvo</t>
        </is>
      </c>
      <c r="H527" t="inlineStr">
        <is>
          <t>Retail pharmacy</t>
        </is>
      </c>
      <c r="I527" t="inlineStr">
        <is>
          <t>Public payer</t>
        </is>
      </c>
      <c r="J527" t="inlineStr">
        <is>
          <t>Lucas Martin</t>
        </is>
      </c>
      <c r="K527" s="70" t="n">
        <v>1760</v>
      </c>
      <c r="L527" s="71" t="n">
        <v>268.56</v>
      </c>
      <c r="M527" s="71" t="n">
        <v>472665.6</v>
      </c>
      <c r="N527" s="71" t="n">
        <v>70899.84</v>
      </c>
      <c r="O527" s="71" t="n">
        <v>401765.76</v>
      </c>
      <c r="P527" s="71" t="n">
        <v>151020.22</v>
      </c>
      <c r="Q527" s="71" t="n">
        <v>250745.54</v>
      </c>
      <c r="R527" t="inlineStr">
        <is>
          <t>Vaccines</t>
        </is>
      </c>
      <c r="S527" s="70" t="n">
        <v>1555</v>
      </c>
      <c r="T527" s="71" t="n">
        <v>90874.89999999999</v>
      </c>
      <c r="U527" t="inlineStr">
        <is>
          <t>Low</t>
        </is>
      </c>
      <c r="V527">
        <f>IF(AND(OR(Dashboard!$C$6="All",E527=Dashboard!$C$6),OR(Dashboard!$F$6="All",G527=Dashboard!$F$6),OR(Dashboard!$I$6="All",H527=Dashboard!$I$6)),1,0)</f>
        <v/>
      </c>
    </row>
    <row r="528">
      <c r="A528" t="inlineStr">
        <is>
          <t>PF100519</t>
        </is>
      </c>
      <c r="B528" s="68" t="n">
        <v>45716</v>
      </c>
      <c r="C528" s="69" t="n">
        <v>2025</v>
      </c>
      <c r="D528" t="inlineStr">
        <is>
          <t>Feb</t>
        </is>
      </c>
      <c r="E528" t="inlineStr">
        <is>
          <t>Europe</t>
        </is>
      </c>
      <c r="F528" t="inlineStr">
        <is>
          <t>Italy</t>
        </is>
      </c>
      <c r="G528" t="inlineStr">
        <is>
          <t>Comirnaty</t>
        </is>
      </c>
      <c r="H528" t="inlineStr">
        <is>
          <t>Retail pharmacy</t>
        </is>
      </c>
      <c r="I528" t="inlineStr">
        <is>
          <t>Public payer</t>
        </is>
      </c>
      <c r="J528" t="inlineStr">
        <is>
          <t>Fatima Al-Saud</t>
        </is>
      </c>
      <c r="K528" s="70" t="n">
        <v>452</v>
      </c>
      <c r="L528" s="71" t="n">
        <v>100.57</v>
      </c>
      <c r="M528" s="71" t="n">
        <v>45457.64</v>
      </c>
      <c r="N528" s="71" t="n">
        <v>9091.530000000001</v>
      </c>
      <c r="O528" s="71" t="n">
        <v>36366.11</v>
      </c>
      <c r="P528" s="71" t="n">
        <v>16793.3</v>
      </c>
      <c r="Q528" s="71" t="n">
        <v>19572.81</v>
      </c>
      <c r="R528" t="inlineStr">
        <is>
          <t>Vaccines</t>
        </is>
      </c>
      <c r="S528" s="70" t="n">
        <v>407</v>
      </c>
      <c r="T528" s="71" t="n">
        <v>8628.4</v>
      </c>
      <c r="U528" t="inlineStr">
        <is>
          <t>Low</t>
        </is>
      </c>
      <c r="V528">
        <f>IF(AND(OR(Dashboard!$C$6="All",E528=Dashboard!$C$6),OR(Dashboard!$F$6="All",G528=Dashboard!$F$6),OR(Dashboard!$I$6="All",H528=Dashboard!$I$6)),1,0)</f>
        <v/>
      </c>
    </row>
    <row r="529">
      <c r="A529" t="inlineStr">
        <is>
          <t>PF100520</t>
        </is>
      </c>
      <c r="B529" s="68" t="n">
        <v>45716</v>
      </c>
      <c r="C529" s="69" t="n">
        <v>2025</v>
      </c>
      <c r="D529" t="inlineStr">
        <is>
          <t>Feb</t>
        </is>
      </c>
      <c r="E529" t="inlineStr">
        <is>
          <t>International developed</t>
        </is>
      </c>
      <c r="F529" t="inlineStr">
        <is>
          <t>Canada</t>
        </is>
      </c>
      <c r="G529" t="inlineStr">
        <is>
          <t>Prevnar 20</t>
        </is>
      </c>
      <c r="H529" t="inlineStr">
        <is>
          <t>Retail pharmacy</t>
        </is>
      </c>
      <c r="I529" t="inlineStr">
        <is>
          <t>Public payer</t>
        </is>
      </c>
      <c r="J529" t="inlineStr">
        <is>
          <t>Noah Smith</t>
        </is>
      </c>
      <c r="K529" s="70" t="n">
        <v>1136</v>
      </c>
      <c r="L529" s="71" t="n">
        <v>211.41</v>
      </c>
      <c r="M529" s="71" t="n">
        <v>240161.76</v>
      </c>
      <c r="N529" s="71" t="n">
        <v>24016.18</v>
      </c>
      <c r="O529" s="71" t="n">
        <v>216145.58</v>
      </c>
      <c r="P529" s="71" t="n">
        <v>76772.64999999999</v>
      </c>
      <c r="Q529" s="71" t="n">
        <v>139372.93</v>
      </c>
      <c r="R529" t="inlineStr">
        <is>
          <t>Vaccines</t>
        </is>
      </c>
      <c r="S529" s="70" t="n">
        <v>782</v>
      </c>
      <c r="T529" s="71" t="n">
        <v>52415.95</v>
      </c>
      <c r="U529" t="inlineStr">
        <is>
          <t>Low</t>
        </is>
      </c>
      <c r="V529">
        <f>IF(AND(OR(Dashboard!$C$6="All",E529=Dashboard!$C$6),OR(Dashboard!$F$6="All",G529=Dashboard!$F$6),OR(Dashboard!$I$6="All",H529=Dashboard!$I$6)),1,0)</f>
        <v/>
      </c>
    </row>
    <row r="530">
      <c r="A530" t="inlineStr">
        <is>
          <t>PF100521</t>
        </is>
      </c>
      <c r="B530" s="68" t="n">
        <v>45716</v>
      </c>
      <c r="C530" s="69" t="n">
        <v>2025</v>
      </c>
      <c r="D530" t="inlineStr">
        <is>
          <t>Feb</t>
        </is>
      </c>
      <c r="E530" t="inlineStr">
        <is>
          <t>United States</t>
        </is>
      </c>
      <c r="F530" t="inlineStr">
        <is>
          <t>USA</t>
        </is>
      </c>
      <c r="G530" t="inlineStr">
        <is>
          <t>Comirnaty</t>
        </is>
      </c>
      <c r="H530" t="inlineStr">
        <is>
          <t>Retail pharmacy</t>
        </is>
      </c>
      <c r="I530" t="inlineStr">
        <is>
          <t>Private insurer</t>
        </is>
      </c>
      <c r="J530" t="inlineStr">
        <is>
          <t>Aisha Bello</t>
        </is>
      </c>
      <c r="K530" s="70" t="n">
        <v>1985</v>
      </c>
      <c r="L530" s="71" t="n">
        <v>187.12</v>
      </c>
      <c r="M530" s="71" t="n">
        <v>371433.2</v>
      </c>
      <c r="N530" s="71" t="n">
        <v>111429.96</v>
      </c>
      <c r="O530" s="71" t="n">
        <v>260003.24</v>
      </c>
      <c r="P530" s="71" t="n">
        <v>76307.63</v>
      </c>
      <c r="Q530" s="71" t="n">
        <v>183695.61</v>
      </c>
      <c r="R530" t="inlineStr">
        <is>
          <t>Vaccines</t>
        </is>
      </c>
      <c r="S530" s="70" t="n">
        <v>1241</v>
      </c>
      <c r="T530" s="71" t="n">
        <v>57616.78</v>
      </c>
      <c r="U530" t="inlineStr">
        <is>
          <t>Low</t>
        </is>
      </c>
      <c r="V530">
        <f>IF(AND(OR(Dashboard!$C$6="All",E530=Dashboard!$C$6),OR(Dashboard!$F$6="All",G530=Dashboard!$F$6),OR(Dashboard!$I$6="All",H530=Dashboard!$I$6)),1,0)</f>
        <v/>
      </c>
    </row>
    <row r="531">
      <c r="A531" t="inlineStr">
        <is>
          <t>PF100522</t>
        </is>
      </c>
      <c r="B531" s="68" t="n">
        <v>45716</v>
      </c>
      <c r="C531" s="69" t="n">
        <v>2025</v>
      </c>
      <c r="D531" t="inlineStr">
        <is>
          <t>Feb</t>
        </is>
      </c>
      <c r="E531" t="inlineStr">
        <is>
          <t>Emerging markets</t>
        </is>
      </c>
      <c r="F531" t="inlineStr">
        <is>
          <t>Mexico</t>
        </is>
      </c>
      <c r="G531" t="inlineStr">
        <is>
          <t>Paxlovid</t>
        </is>
      </c>
      <c r="H531" t="inlineStr">
        <is>
          <t>Hospital</t>
        </is>
      </c>
      <c r="I531" t="inlineStr">
        <is>
          <t>Self-pay</t>
        </is>
      </c>
      <c r="J531" t="inlineStr">
        <is>
          <t>Mei Lin</t>
        </is>
      </c>
      <c r="K531" s="70" t="n">
        <v>1504</v>
      </c>
      <c r="L531" s="71" t="n">
        <v>1008.35</v>
      </c>
      <c r="M531" s="71" t="n">
        <v>1516558.4</v>
      </c>
      <c r="N531" s="71" t="n">
        <v>303311.68</v>
      </c>
      <c r="O531" s="71" t="n">
        <v>1213246.72</v>
      </c>
      <c r="P531" s="71" t="n">
        <v>402926.79</v>
      </c>
      <c r="Q531" s="71" t="n">
        <v>810319.9300000001</v>
      </c>
      <c r="R531" t="inlineStr">
        <is>
          <t>Antiviral</t>
        </is>
      </c>
      <c r="S531" s="70" t="n">
        <v>1249</v>
      </c>
      <c r="T531" s="71" t="n">
        <v>223467.65</v>
      </c>
      <c r="U531" t="inlineStr">
        <is>
          <t>Low</t>
        </is>
      </c>
      <c r="V531">
        <f>IF(AND(OR(Dashboard!$C$6="All",E531=Dashboard!$C$6),OR(Dashboard!$F$6="All",G531=Dashboard!$F$6),OR(Dashboard!$I$6="All",H531=Dashboard!$I$6)),1,0)</f>
        <v/>
      </c>
    </row>
    <row r="532">
      <c r="A532" t="inlineStr">
        <is>
          <t>PF100523</t>
        </is>
      </c>
      <c r="B532" s="68" t="n">
        <v>45716</v>
      </c>
      <c r="C532" s="69" t="n">
        <v>2025</v>
      </c>
      <c r="D532" t="inlineStr">
        <is>
          <t>Feb</t>
        </is>
      </c>
      <c r="E532" t="inlineStr">
        <is>
          <t>United States</t>
        </is>
      </c>
      <c r="F532" t="inlineStr">
        <is>
          <t>USA</t>
        </is>
      </c>
      <c r="G532" t="inlineStr">
        <is>
          <t>Comirnaty</t>
        </is>
      </c>
      <c r="H532" t="inlineStr">
        <is>
          <t>Retail pharmacy</t>
        </is>
      </c>
      <c r="I532" t="inlineStr">
        <is>
          <t>Self-pay</t>
        </is>
      </c>
      <c r="J532" t="inlineStr">
        <is>
          <t>Noah Smith</t>
        </is>
      </c>
      <c r="K532" s="70" t="n">
        <v>930</v>
      </c>
      <c r="L532" s="71" t="n">
        <v>188.62</v>
      </c>
      <c r="M532" s="71" t="n">
        <v>175416.6</v>
      </c>
      <c r="N532" s="71" t="n">
        <v>61395.81</v>
      </c>
      <c r="O532" s="71" t="n">
        <v>114020.79</v>
      </c>
      <c r="P532" s="71" t="n">
        <v>34501.37</v>
      </c>
      <c r="Q532" s="71" t="n">
        <v>79519.42</v>
      </c>
      <c r="R532" t="inlineStr">
        <is>
          <t>Vaccines</t>
        </is>
      </c>
      <c r="S532" s="70" t="n">
        <v>796</v>
      </c>
      <c r="T532" s="71" t="n">
        <v>30814.56</v>
      </c>
      <c r="U532" t="inlineStr">
        <is>
          <t>Low</t>
        </is>
      </c>
      <c r="V532">
        <f>IF(AND(OR(Dashboard!$C$6="All",E532=Dashboard!$C$6),OR(Dashboard!$F$6="All",G532=Dashboard!$F$6),OR(Dashboard!$I$6="All",H532=Dashboard!$I$6)),1,0)</f>
        <v/>
      </c>
    </row>
    <row r="533">
      <c r="A533" t="inlineStr">
        <is>
          <t>PF100524</t>
        </is>
      </c>
      <c r="B533" s="68" t="n">
        <v>45716</v>
      </c>
      <c r="C533" s="69" t="n">
        <v>2025</v>
      </c>
      <c r="D533" t="inlineStr">
        <is>
          <t>Feb</t>
        </is>
      </c>
      <c r="E533" t="inlineStr">
        <is>
          <t>United States</t>
        </is>
      </c>
      <c r="F533" t="inlineStr">
        <is>
          <t>USA</t>
        </is>
      </c>
      <c r="G533" t="inlineStr">
        <is>
          <t>Comirnaty</t>
        </is>
      </c>
      <c r="H533" t="inlineStr">
        <is>
          <t>Retail pharmacy</t>
        </is>
      </c>
      <c r="I533" t="inlineStr">
        <is>
          <t>Private insurer</t>
        </is>
      </c>
      <c r="J533" t="inlineStr">
        <is>
          <t>Ruhi Shaikh</t>
        </is>
      </c>
      <c r="K533" s="70" t="n">
        <v>585</v>
      </c>
      <c r="L533" s="71" t="n">
        <v>179.49</v>
      </c>
      <c r="M533" s="71" t="n">
        <v>105001.65</v>
      </c>
      <c r="N533" s="71" t="n">
        <v>21000.33</v>
      </c>
      <c r="O533" s="71" t="n">
        <v>84001.32000000001</v>
      </c>
      <c r="P533" s="71" t="n">
        <v>22522.92</v>
      </c>
      <c r="Q533" s="71" t="n">
        <v>61478.4</v>
      </c>
      <c r="R533" t="inlineStr">
        <is>
          <t>Vaccines</t>
        </is>
      </c>
      <c r="S533" s="70" t="n">
        <v>454</v>
      </c>
      <c r="T533" s="71" t="n">
        <v>18141.61</v>
      </c>
      <c r="U533" t="inlineStr">
        <is>
          <t>Low</t>
        </is>
      </c>
      <c r="V533">
        <f>IF(AND(OR(Dashboard!$C$6="All",E533=Dashboard!$C$6),OR(Dashboard!$F$6="All",G533=Dashboard!$F$6),OR(Dashboard!$I$6="All",H533=Dashboard!$I$6)),1,0)</f>
        <v/>
      </c>
    </row>
    <row r="534">
      <c r="A534" t="inlineStr">
        <is>
          <t>PF100525</t>
        </is>
      </c>
      <c r="B534" s="68" t="n">
        <v>45716</v>
      </c>
      <c r="C534" s="69" t="n">
        <v>2025</v>
      </c>
      <c r="D534" t="inlineStr">
        <is>
          <t>Feb</t>
        </is>
      </c>
      <c r="E534" t="inlineStr">
        <is>
          <t>United States</t>
        </is>
      </c>
      <c r="F534" t="inlineStr">
        <is>
          <t>USA</t>
        </is>
      </c>
      <c r="G534" t="inlineStr">
        <is>
          <t>Comirnaty</t>
        </is>
      </c>
      <c r="H534" t="inlineStr">
        <is>
          <t>Hospital</t>
        </is>
      </c>
      <c r="I534" t="inlineStr">
        <is>
          <t>Private insurer</t>
        </is>
      </c>
      <c r="J534" t="inlineStr">
        <is>
          <t>Omar Haddad</t>
        </is>
      </c>
      <c r="K534" s="70" t="n">
        <v>1980</v>
      </c>
      <c r="L534" s="71" t="n">
        <v>177.95</v>
      </c>
      <c r="M534" s="71" t="n">
        <v>352341</v>
      </c>
      <c r="N534" s="71" t="n">
        <v>105702.3</v>
      </c>
      <c r="O534" s="71" t="n">
        <v>246638.7</v>
      </c>
      <c r="P534" s="71" t="n">
        <v>76101.02</v>
      </c>
      <c r="Q534" s="71" t="n">
        <v>170537.68</v>
      </c>
      <c r="R534" t="inlineStr">
        <is>
          <t>Vaccines</t>
        </is>
      </c>
      <c r="S534" s="70" t="n">
        <v>1249</v>
      </c>
      <c r="T534" s="71" t="n">
        <v>49771.48</v>
      </c>
      <c r="U534" t="inlineStr">
        <is>
          <t>Low</t>
        </is>
      </c>
      <c r="V534">
        <f>IF(AND(OR(Dashboard!$C$6="All",E534=Dashboard!$C$6),OR(Dashboard!$F$6="All",G534=Dashboard!$F$6),OR(Dashboard!$I$6="All",H534=Dashboard!$I$6)),1,0)</f>
        <v/>
      </c>
    </row>
    <row r="535">
      <c r="A535" t="inlineStr">
        <is>
          <t>PF100526</t>
        </is>
      </c>
      <c r="B535" s="68" t="n">
        <v>45716</v>
      </c>
      <c r="C535" s="69" t="n">
        <v>2025</v>
      </c>
      <c r="D535" t="inlineStr">
        <is>
          <t>Feb</t>
        </is>
      </c>
      <c r="E535" t="inlineStr">
        <is>
          <t>Europe</t>
        </is>
      </c>
      <c r="F535" t="inlineStr">
        <is>
          <t>France</t>
        </is>
      </c>
      <c r="G535" t="inlineStr">
        <is>
          <t>Eliquis</t>
        </is>
      </c>
      <c r="H535" t="inlineStr">
        <is>
          <t>Government / tender</t>
        </is>
      </c>
      <c r="I535" t="inlineStr">
        <is>
          <t>Private insurer</t>
        </is>
      </c>
      <c r="J535" t="inlineStr">
        <is>
          <t>Aisha Bello</t>
        </is>
      </c>
      <c r="K535" s="70" t="n">
        <v>1055</v>
      </c>
      <c r="L535" s="71" t="n">
        <v>448.29</v>
      </c>
      <c r="M535" s="71" t="n">
        <v>472945.95</v>
      </c>
      <c r="N535" s="71" t="n">
        <v>23647.3</v>
      </c>
      <c r="O535" s="71" t="n">
        <v>449298.65</v>
      </c>
      <c r="P535" s="71" t="n">
        <v>80232.39</v>
      </c>
      <c r="Q535" s="71" t="n">
        <v>369066.26</v>
      </c>
      <c r="R535" t="inlineStr">
        <is>
          <t>Cardiology</t>
        </is>
      </c>
      <c r="S535" s="70" t="n">
        <v>748</v>
      </c>
      <c r="T535" s="71" t="n">
        <v>92505.53999999999</v>
      </c>
      <c r="U535" t="inlineStr">
        <is>
          <t>High</t>
        </is>
      </c>
      <c r="V535">
        <f>IF(AND(OR(Dashboard!$C$6="All",E535=Dashboard!$C$6),OR(Dashboard!$F$6="All",G535=Dashboard!$F$6),OR(Dashboard!$I$6="All",H535=Dashboard!$I$6)),1,0)</f>
        <v/>
      </c>
    </row>
    <row r="536">
      <c r="A536" t="inlineStr">
        <is>
          <t>PF100527</t>
        </is>
      </c>
      <c r="B536" s="68" t="n">
        <v>45717</v>
      </c>
      <c r="C536" s="69" t="n">
        <v>2025</v>
      </c>
      <c r="D536" t="inlineStr">
        <is>
          <t>Mar</t>
        </is>
      </c>
      <c r="E536" t="inlineStr">
        <is>
          <t>Europe</t>
        </is>
      </c>
      <c r="F536" t="inlineStr">
        <is>
          <t>France</t>
        </is>
      </c>
      <c r="G536" t="inlineStr">
        <is>
          <t>Vyndaqel</t>
        </is>
      </c>
      <c r="H536" t="inlineStr">
        <is>
          <t>Government / tender</t>
        </is>
      </c>
      <c r="I536" t="inlineStr">
        <is>
          <t>Private insurer</t>
        </is>
      </c>
      <c r="J536" t="inlineStr">
        <is>
          <t>Sophie Müller</t>
        </is>
      </c>
      <c r="K536" s="70" t="n">
        <v>2771</v>
      </c>
      <c r="L536" s="71" t="n">
        <v>5405.79</v>
      </c>
      <c r="M536" s="71" t="n">
        <v>14979444.09</v>
      </c>
      <c r="N536" s="71" t="n">
        <v>2246916.61</v>
      </c>
      <c r="O536" s="71" t="n">
        <v>12732527.48</v>
      </c>
      <c r="P536" s="71" t="n">
        <v>1699349.42</v>
      </c>
      <c r="Q536" s="71" t="n">
        <v>11033178.06</v>
      </c>
      <c r="R536" t="inlineStr">
        <is>
          <t>Rare disease</t>
        </is>
      </c>
      <c r="S536" s="70" t="n">
        <v>1751</v>
      </c>
      <c r="T536" s="71" t="n">
        <v>2294987.98</v>
      </c>
      <c r="U536" t="inlineStr">
        <is>
          <t>Medium</t>
        </is>
      </c>
      <c r="V536">
        <f>IF(AND(OR(Dashboard!$C$6="All",E536=Dashboard!$C$6),OR(Dashboard!$F$6="All",G536=Dashboard!$F$6),OR(Dashboard!$I$6="All",H536=Dashboard!$I$6)),1,0)</f>
        <v/>
      </c>
    </row>
    <row r="537">
      <c r="A537" t="inlineStr">
        <is>
          <t>PF100528</t>
        </is>
      </c>
      <c r="B537" s="68" t="n">
        <v>45717</v>
      </c>
      <c r="C537" s="69" t="n">
        <v>2025</v>
      </c>
      <c r="D537" t="inlineStr">
        <is>
          <t>Mar</t>
        </is>
      </c>
      <c r="E537" t="inlineStr">
        <is>
          <t>United States</t>
        </is>
      </c>
      <c r="F537" t="inlineStr">
        <is>
          <t>USA</t>
        </is>
      </c>
      <c r="G537" t="inlineStr">
        <is>
          <t>Abrysvo</t>
        </is>
      </c>
      <c r="H537" t="inlineStr">
        <is>
          <t>Retail pharmacy</t>
        </is>
      </c>
      <c r="I537" t="inlineStr">
        <is>
          <t>Self-pay</t>
        </is>
      </c>
      <c r="J537" t="inlineStr">
        <is>
          <t>Amir Khan</t>
        </is>
      </c>
      <c r="K537" s="70" t="n">
        <v>1075</v>
      </c>
      <c r="L537" s="71" t="n">
        <v>490.27</v>
      </c>
      <c r="M537" s="71" t="n">
        <v>527040.25</v>
      </c>
      <c r="N537" s="71" t="n">
        <v>158112.08</v>
      </c>
      <c r="O537" s="71" t="n">
        <v>368928.17</v>
      </c>
      <c r="P537" s="71" t="n">
        <v>88406.00999999999</v>
      </c>
      <c r="Q537" s="71" t="n">
        <v>280522.16</v>
      </c>
      <c r="R537" t="inlineStr">
        <is>
          <t>Vaccines</t>
        </is>
      </c>
      <c r="S537" s="70" t="n">
        <v>754</v>
      </c>
      <c r="T537" s="71" t="n">
        <v>98147.82000000001</v>
      </c>
      <c r="U537" t="inlineStr">
        <is>
          <t>Low</t>
        </is>
      </c>
      <c r="V537">
        <f>IF(AND(OR(Dashboard!$C$6="All",E537=Dashboard!$C$6),OR(Dashboard!$F$6="All",G537=Dashboard!$F$6),OR(Dashboard!$I$6="All",H537=Dashboard!$I$6)),1,0)</f>
        <v/>
      </c>
    </row>
    <row r="538">
      <c r="A538" t="inlineStr">
        <is>
          <t>PF100529</t>
        </is>
      </c>
      <c r="B538" s="68" t="n">
        <v>45717</v>
      </c>
      <c r="C538" s="69" t="n">
        <v>2025</v>
      </c>
      <c r="D538" t="inlineStr">
        <is>
          <t>Mar</t>
        </is>
      </c>
      <c r="E538" t="inlineStr">
        <is>
          <t>United States</t>
        </is>
      </c>
      <c r="F538" t="inlineStr">
        <is>
          <t>USA</t>
        </is>
      </c>
      <c r="G538" t="inlineStr">
        <is>
          <t>Eliquis</t>
        </is>
      </c>
      <c r="H538" t="inlineStr">
        <is>
          <t>Hospital</t>
        </is>
      </c>
      <c r="I538" t="inlineStr">
        <is>
          <t>Private insurer</t>
        </is>
      </c>
      <c r="J538" t="inlineStr">
        <is>
          <t>Ana Costa</t>
        </is>
      </c>
      <c r="K538" s="70" t="n">
        <v>1646</v>
      </c>
      <c r="L538" s="71" t="n">
        <v>723.39</v>
      </c>
      <c r="M538" s="71" t="n">
        <v>1190699.94</v>
      </c>
      <c r="N538" s="71" t="n">
        <v>238139.99</v>
      </c>
      <c r="O538" s="71" t="n">
        <v>952559.95</v>
      </c>
      <c r="P538" s="71" t="n">
        <v>122127.74</v>
      </c>
      <c r="Q538" s="71" t="n">
        <v>830432.21</v>
      </c>
      <c r="R538" t="inlineStr">
        <is>
          <t>Cardiology</t>
        </is>
      </c>
      <c r="S538" s="70" t="n">
        <v>1410</v>
      </c>
      <c r="T538" s="71" t="n">
        <v>231671.89</v>
      </c>
      <c r="U538" t="inlineStr">
        <is>
          <t>High</t>
        </is>
      </c>
      <c r="V538">
        <f>IF(AND(OR(Dashboard!$C$6="All",E538=Dashboard!$C$6),OR(Dashboard!$F$6="All",G538=Dashboard!$F$6),OR(Dashboard!$I$6="All",H538=Dashboard!$I$6)),1,0)</f>
        <v/>
      </c>
    </row>
    <row r="539">
      <c r="A539" t="inlineStr">
        <is>
          <t>PF100530</t>
        </is>
      </c>
      <c r="B539" s="68" t="n">
        <v>45717</v>
      </c>
      <c r="C539" s="69" t="n">
        <v>2025</v>
      </c>
      <c r="D539" t="inlineStr">
        <is>
          <t>Mar</t>
        </is>
      </c>
      <c r="E539" t="inlineStr">
        <is>
          <t>International developed</t>
        </is>
      </c>
      <c r="F539" t="inlineStr">
        <is>
          <t>Canada</t>
        </is>
      </c>
      <c r="G539" t="inlineStr">
        <is>
          <t>Abrysvo</t>
        </is>
      </c>
      <c r="H539" t="inlineStr">
        <is>
          <t>Retail pharmacy</t>
        </is>
      </c>
      <c r="I539" t="inlineStr">
        <is>
          <t>Self-pay</t>
        </is>
      </c>
      <c r="J539" t="inlineStr">
        <is>
          <t>Kofi Mensah</t>
        </is>
      </c>
      <c r="K539" s="70" t="n">
        <v>343</v>
      </c>
      <c r="L539" s="71" t="n">
        <v>266.92</v>
      </c>
      <c r="M539" s="71" t="n">
        <v>91553.56</v>
      </c>
      <c r="N539" s="71" t="n">
        <v>4577.68</v>
      </c>
      <c r="O539" s="71" t="n">
        <v>86975.88</v>
      </c>
      <c r="P539" s="71" t="n">
        <v>28728.94</v>
      </c>
      <c r="Q539" s="71" t="n">
        <v>58246.94</v>
      </c>
      <c r="R539" t="inlineStr">
        <is>
          <t>Vaccines</t>
        </is>
      </c>
      <c r="S539" s="70" t="n">
        <v>261</v>
      </c>
      <c r="T539" s="71" t="n">
        <v>17679.77</v>
      </c>
      <c r="U539" t="inlineStr">
        <is>
          <t>Low</t>
        </is>
      </c>
      <c r="V539">
        <f>IF(AND(OR(Dashboard!$C$6="All",E539=Dashboard!$C$6),OR(Dashboard!$F$6="All",G539=Dashboard!$F$6),OR(Dashboard!$I$6="All",H539=Dashboard!$I$6)),1,0)</f>
        <v/>
      </c>
    </row>
    <row r="540">
      <c r="A540" t="inlineStr">
        <is>
          <t>PF100531</t>
        </is>
      </c>
      <c r="B540" s="68" t="n">
        <v>45717</v>
      </c>
      <c r="C540" s="69" t="n">
        <v>2025</v>
      </c>
      <c r="D540" t="inlineStr">
        <is>
          <t>Mar</t>
        </is>
      </c>
      <c r="E540" t="inlineStr">
        <is>
          <t>United States</t>
        </is>
      </c>
      <c r="F540" t="inlineStr">
        <is>
          <t>USA</t>
        </is>
      </c>
      <c r="G540" t="inlineStr">
        <is>
          <t>Eliquis</t>
        </is>
      </c>
      <c r="H540" t="inlineStr">
        <is>
          <t>Government / tender</t>
        </is>
      </c>
      <c r="I540" t="inlineStr">
        <is>
          <t>Public payer</t>
        </is>
      </c>
      <c r="J540" t="inlineStr">
        <is>
          <t>Amir Khan</t>
        </is>
      </c>
      <c r="K540" s="70" t="n">
        <v>268</v>
      </c>
      <c r="L540" s="71" t="n">
        <v>650.96</v>
      </c>
      <c r="M540" s="71" t="n">
        <v>174457.28</v>
      </c>
      <c r="N540" s="71" t="n">
        <v>26168.59</v>
      </c>
      <c r="O540" s="71" t="n">
        <v>148288.69</v>
      </c>
      <c r="P540" s="71" t="n">
        <v>20949.79</v>
      </c>
      <c r="Q540" s="71" t="n">
        <v>127338.9</v>
      </c>
      <c r="R540" t="inlineStr">
        <is>
          <t>Cardiology</t>
        </is>
      </c>
      <c r="S540" s="70" t="n">
        <v>246</v>
      </c>
      <c r="T540" s="71" t="n">
        <v>25219.99</v>
      </c>
      <c r="U540" t="inlineStr">
        <is>
          <t>High</t>
        </is>
      </c>
      <c r="V540">
        <f>IF(AND(OR(Dashboard!$C$6="All",E540=Dashboard!$C$6),OR(Dashboard!$F$6="All",G540=Dashboard!$F$6),OR(Dashboard!$I$6="All",H540=Dashboard!$I$6)),1,0)</f>
        <v/>
      </c>
    </row>
    <row r="541">
      <c r="A541" t="inlineStr">
        <is>
          <t>PF100532</t>
        </is>
      </c>
      <c r="B541" s="68" t="n">
        <v>45717</v>
      </c>
      <c r="C541" s="69" t="n">
        <v>2025</v>
      </c>
      <c r="D541" t="inlineStr">
        <is>
          <t>Mar</t>
        </is>
      </c>
      <c r="E541" t="inlineStr">
        <is>
          <t>United States</t>
        </is>
      </c>
      <c r="F541" t="inlineStr">
        <is>
          <t>USA</t>
        </is>
      </c>
      <c r="G541" t="inlineStr">
        <is>
          <t>Comirnaty</t>
        </is>
      </c>
      <c r="H541" t="inlineStr">
        <is>
          <t>Hospital</t>
        </is>
      </c>
      <c r="I541" t="inlineStr">
        <is>
          <t>Private insurer</t>
        </is>
      </c>
      <c r="J541" t="inlineStr">
        <is>
          <t>Shraddha Kulkarni</t>
        </is>
      </c>
      <c r="K541" s="70" t="n">
        <v>1108</v>
      </c>
      <c r="L541" s="71" t="n">
        <v>163.46</v>
      </c>
      <c r="M541" s="71" t="n">
        <v>181113.68</v>
      </c>
      <c r="N541" s="71" t="n">
        <v>63389.79</v>
      </c>
      <c r="O541" s="71" t="n">
        <v>117723.89</v>
      </c>
      <c r="P541" s="71" t="n">
        <v>42843.3</v>
      </c>
      <c r="Q541" s="71" t="n">
        <v>74880.59</v>
      </c>
      <c r="R541" t="inlineStr">
        <is>
          <t>Vaccines</t>
        </is>
      </c>
      <c r="S541" s="70" t="n">
        <v>789</v>
      </c>
      <c r="T541" s="71" t="n">
        <v>26267.8</v>
      </c>
      <c r="U541" t="inlineStr">
        <is>
          <t>Low</t>
        </is>
      </c>
      <c r="V541">
        <f>IF(AND(OR(Dashboard!$C$6="All",E541=Dashboard!$C$6),OR(Dashboard!$F$6="All",G541=Dashboard!$F$6),OR(Dashboard!$I$6="All",H541=Dashboard!$I$6)),1,0)</f>
        <v/>
      </c>
    </row>
    <row r="542">
      <c r="A542" t="inlineStr">
        <is>
          <t>PF100533</t>
        </is>
      </c>
      <c r="B542" s="68" t="n">
        <v>45718</v>
      </c>
      <c r="C542" s="69" t="n">
        <v>2025</v>
      </c>
      <c r="D542" t="inlineStr">
        <is>
          <t>Mar</t>
        </is>
      </c>
      <c r="E542" t="inlineStr">
        <is>
          <t>Europe</t>
        </is>
      </c>
      <c r="F542" t="inlineStr">
        <is>
          <t>Spain</t>
        </is>
      </c>
      <c r="G542" t="inlineStr">
        <is>
          <t>Prevnar 20</t>
        </is>
      </c>
      <c r="H542" t="inlineStr">
        <is>
          <t>Hospital</t>
        </is>
      </c>
      <c r="I542" t="inlineStr">
        <is>
          <t>Self-pay</t>
        </is>
      </c>
      <c r="J542" t="inlineStr">
        <is>
          <t>Omar Haddad</t>
        </is>
      </c>
      <c r="K542" s="70" t="n">
        <v>1708</v>
      </c>
      <c r="L542" s="71" t="n">
        <v>215.79</v>
      </c>
      <c r="M542" s="71" t="n">
        <v>368569.32</v>
      </c>
      <c r="N542" s="71" t="n">
        <v>18428.47</v>
      </c>
      <c r="O542" s="71" t="n">
        <v>350140.85</v>
      </c>
      <c r="P542" s="71" t="n">
        <v>119457.21</v>
      </c>
      <c r="Q542" s="71" t="n">
        <v>230683.64</v>
      </c>
      <c r="R542" t="inlineStr">
        <is>
          <t>Vaccines</t>
        </is>
      </c>
      <c r="S542" s="70" t="n">
        <v>1322</v>
      </c>
      <c r="T542" s="71" t="n">
        <v>80216.49000000001</v>
      </c>
      <c r="U542" t="inlineStr">
        <is>
          <t>Low</t>
        </is>
      </c>
      <c r="V542">
        <f>IF(AND(OR(Dashboard!$C$6="All",E542=Dashboard!$C$6),OR(Dashboard!$F$6="All",G542=Dashboard!$F$6),OR(Dashboard!$I$6="All",H542=Dashboard!$I$6)),1,0)</f>
        <v/>
      </c>
    </row>
    <row r="543">
      <c r="A543" t="inlineStr">
        <is>
          <t>PF100534</t>
        </is>
      </c>
      <c r="B543" s="68" t="n">
        <v>45718</v>
      </c>
      <c r="C543" s="69" t="n">
        <v>2025</v>
      </c>
      <c r="D543" t="inlineStr">
        <is>
          <t>Mar</t>
        </is>
      </c>
      <c r="E543" t="inlineStr">
        <is>
          <t>International developed</t>
        </is>
      </c>
      <c r="F543" t="inlineStr">
        <is>
          <t>Canada</t>
        </is>
      </c>
      <c r="G543" t="inlineStr">
        <is>
          <t>Comirnaty</t>
        </is>
      </c>
      <c r="H543" t="inlineStr">
        <is>
          <t>Retail pharmacy</t>
        </is>
      </c>
      <c r="I543" t="inlineStr">
        <is>
          <t>Private insurer</t>
        </is>
      </c>
      <c r="J543" t="inlineStr">
        <is>
          <t>Shraddha Kulkarni</t>
        </is>
      </c>
      <c r="K543" s="70" t="n">
        <v>76</v>
      </c>
      <c r="L543" s="71" t="n">
        <v>104.35</v>
      </c>
      <c r="M543" s="71" t="n">
        <v>7930.6</v>
      </c>
      <c r="N543" s="71" t="n">
        <v>1982.65</v>
      </c>
      <c r="O543" s="71" t="n">
        <v>5947.95</v>
      </c>
      <c r="P543" s="71" t="n">
        <v>2896.38</v>
      </c>
      <c r="Q543" s="71" t="n">
        <v>3051.57</v>
      </c>
      <c r="R543" t="inlineStr">
        <is>
          <t>Vaccines</t>
        </is>
      </c>
      <c r="S543" s="70" t="n">
        <v>58</v>
      </c>
      <c r="T543" s="71" t="n">
        <v>1562.6</v>
      </c>
      <c r="U543" t="inlineStr">
        <is>
          <t>Low</t>
        </is>
      </c>
      <c r="V543">
        <f>IF(AND(OR(Dashboard!$C$6="All",E543=Dashboard!$C$6),OR(Dashboard!$F$6="All",G543=Dashboard!$F$6),OR(Dashboard!$I$6="All",H543=Dashboard!$I$6)),1,0)</f>
        <v/>
      </c>
    </row>
    <row r="544">
      <c r="A544" t="inlineStr">
        <is>
          <t>PF100535</t>
        </is>
      </c>
      <c r="B544" s="68" t="n">
        <v>45718</v>
      </c>
      <c r="C544" s="69" t="n">
        <v>2025</v>
      </c>
      <c r="D544" t="inlineStr">
        <is>
          <t>Mar</t>
        </is>
      </c>
      <c r="E544" t="inlineStr">
        <is>
          <t>United States</t>
        </is>
      </c>
      <c r="F544" t="inlineStr">
        <is>
          <t>USA</t>
        </is>
      </c>
      <c r="G544" t="inlineStr">
        <is>
          <t>Vyndaqel</t>
        </is>
      </c>
      <c r="H544" t="inlineStr">
        <is>
          <t>Hospital</t>
        </is>
      </c>
      <c r="I544" t="inlineStr">
        <is>
          <t>Private insurer</t>
        </is>
      </c>
      <c r="J544" t="inlineStr">
        <is>
          <t>Sara Rossi</t>
        </is>
      </c>
      <c r="K544" s="70" t="n">
        <v>1290</v>
      </c>
      <c r="L544" s="71" t="n">
        <v>8022.7</v>
      </c>
      <c r="M544" s="71" t="n">
        <v>10349283</v>
      </c>
      <c r="N544" s="71" t="n">
        <v>1552392.45</v>
      </c>
      <c r="O544" s="71" t="n">
        <v>8796890.550000001</v>
      </c>
      <c r="P544" s="71" t="n">
        <v>773964.86</v>
      </c>
      <c r="Q544" s="71" t="n">
        <v>8022925.69</v>
      </c>
      <c r="R544" t="inlineStr">
        <is>
          <t>Rare disease</t>
        </is>
      </c>
      <c r="S544" s="70" t="n">
        <v>975</v>
      </c>
      <c r="T544" s="71" t="n">
        <v>1396708.21</v>
      </c>
      <c r="U544" t="inlineStr">
        <is>
          <t>Medium</t>
        </is>
      </c>
      <c r="V544">
        <f>IF(AND(OR(Dashboard!$C$6="All",E544=Dashboard!$C$6),OR(Dashboard!$F$6="All",G544=Dashboard!$F$6),OR(Dashboard!$I$6="All",H544=Dashboard!$I$6)),1,0)</f>
        <v/>
      </c>
    </row>
    <row r="545">
      <c r="A545" t="inlineStr">
        <is>
          <t>PF100536</t>
        </is>
      </c>
      <c r="B545" s="68" t="n">
        <v>45718</v>
      </c>
      <c r="C545" s="69" t="n">
        <v>2025</v>
      </c>
      <c r="D545" t="inlineStr">
        <is>
          <t>Mar</t>
        </is>
      </c>
      <c r="E545" t="inlineStr">
        <is>
          <t>United States</t>
        </is>
      </c>
      <c r="F545" t="inlineStr">
        <is>
          <t>USA</t>
        </is>
      </c>
      <c r="G545" t="inlineStr">
        <is>
          <t>Eliquis</t>
        </is>
      </c>
      <c r="H545" t="inlineStr">
        <is>
          <t>Hospital</t>
        </is>
      </c>
      <c r="I545" t="inlineStr">
        <is>
          <t>Public payer</t>
        </is>
      </c>
      <c r="J545" t="inlineStr">
        <is>
          <t>Shraddha Kulkarni</t>
        </is>
      </c>
      <c r="K545" s="70" t="n">
        <v>90</v>
      </c>
      <c r="L545" s="71" t="n">
        <v>737.28</v>
      </c>
      <c r="M545" s="71" t="n">
        <v>66355.2</v>
      </c>
      <c r="N545" s="71" t="n">
        <v>16588.8</v>
      </c>
      <c r="O545" s="71" t="n">
        <v>49766.4</v>
      </c>
      <c r="P545" s="71" t="n">
        <v>6884.02</v>
      </c>
      <c r="Q545" s="71" t="n">
        <v>42882.38</v>
      </c>
      <c r="R545" t="inlineStr">
        <is>
          <t>Cardiology</t>
        </is>
      </c>
      <c r="S545" s="70" t="n">
        <v>70</v>
      </c>
      <c r="T545" s="71" t="n">
        <v>10606.54</v>
      </c>
      <c r="U545" t="inlineStr">
        <is>
          <t>High</t>
        </is>
      </c>
      <c r="V545">
        <f>IF(AND(OR(Dashboard!$C$6="All",E545=Dashboard!$C$6),OR(Dashboard!$F$6="All",G545=Dashboard!$F$6),OR(Dashboard!$I$6="All",H545=Dashboard!$I$6)),1,0)</f>
        <v/>
      </c>
    </row>
    <row r="546">
      <c r="A546" t="inlineStr">
        <is>
          <t>PF100537</t>
        </is>
      </c>
      <c r="B546" s="68" t="n">
        <v>45718</v>
      </c>
      <c r="C546" s="69" t="n">
        <v>2025</v>
      </c>
      <c r="D546" t="inlineStr">
        <is>
          <t>Mar</t>
        </is>
      </c>
      <c r="E546" t="inlineStr">
        <is>
          <t>Europe</t>
        </is>
      </c>
      <c r="F546" t="inlineStr">
        <is>
          <t>Germany</t>
        </is>
      </c>
      <c r="G546" t="inlineStr">
        <is>
          <t>Comirnaty</t>
        </is>
      </c>
      <c r="H546" t="inlineStr">
        <is>
          <t>Retail pharmacy</t>
        </is>
      </c>
      <c r="I546" t="inlineStr">
        <is>
          <t>Public payer</t>
        </is>
      </c>
      <c r="J546" t="inlineStr">
        <is>
          <t>Aisha Bello</t>
        </is>
      </c>
      <c r="K546" s="70" t="n">
        <v>261</v>
      </c>
      <c r="L546" s="71" t="n">
        <v>116.2</v>
      </c>
      <c r="M546" s="71" t="n">
        <v>30328.2</v>
      </c>
      <c r="N546" s="71" t="n">
        <v>4549.23</v>
      </c>
      <c r="O546" s="71" t="n">
        <v>25778.97</v>
      </c>
      <c r="P546" s="71" t="n">
        <v>9650.219999999999</v>
      </c>
      <c r="Q546" s="71" t="n">
        <v>16128.75</v>
      </c>
      <c r="R546" t="inlineStr">
        <is>
          <t>Vaccines</t>
        </is>
      </c>
      <c r="S546" s="70" t="n">
        <v>187</v>
      </c>
      <c r="T546" s="71" t="n">
        <v>5038.6</v>
      </c>
      <c r="U546" t="inlineStr">
        <is>
          <t>Low</t>
        </is>
      </c>
      <c r="V546">
        <f>IF(AND(OR(Dashboard!$C$6="All",E546=Dashboard!$C$6),OR(Dashboard!$F$6="All",G546=Dashboard!$F$6),OR(Dashboard!$I$6="All",H546=Dashboard!$I$6)),1,0)</f>
        <v/>
      </c>
    </row>
    <row r="547">
      <c r="A547" t="inlineStr">
        <is>
          <t>PF100538</t>
        </is>
      </c>
      <c r="B547" s="68" t="n">
        <v>45718</v>
      </c>
      <c r="C547" s="69" t="n">
        <v>2025</v>
      </c>
      <c r="D547" t="inlineStr">
        <is>
          <t>Mar</t>
        </is>
      </c>
      <c r="E547" t="inlineStr">
        <is>
          <t>International developed</t>
        </is>
      </c>
      <c r="F547" t="inlineStr">
        <is>
          <t>Canada</t>
        </is>
      </c>
      <c r="G547" t="inlineStr">
        <is>
          <t>Vyndaqel</t>
        </is>
      </c>
      <c r="H547" t="inlineStr">
        <is>
          <t>Hospital</t>
        </is>
      </c>
      <c r="I547" t="inlineStr">
        <is>
          <t>Public payer</t>
        </is>
      </c>
      <c r="J547" t="inlineStr">
        <is>
          <t>Yuki Sato</t>
        </is>
      </c>
      <c r="K547" s="70" t="n">
        <v>1438</v>
      </c>
      <c r="L547" s="71" t="n">
        <v>4721.24</v>
      </c>
      <c r="M547" s="71" t="n">
        <v>6789143.12</v>
      </c>
      <c r="N547" s="71" t="n">
        <v>1357828.62</v>
      </c>
      <c r="O547" s="71" t="n">
        <v>5431314.5</v>
      </c>
      <c r="P547" s="71" t="n">
        <v>916649.47</v>
      </c>
      <c r="Q547" s="71" t="n">
        <v>4514665.03</v>
      </c>
      <c r="R547" t="inlineStr">
        <is>
          <t>Rare disease</t>
        </is>
      </c>
      <c r="S547" s="70" t="n">
        <v>1066</v>
      </c>
      <c r="T547" s="71" t="n">
        <v>1340522.51</v>
      </c>
      <c r="U547" t="inlineStr">
        <is>
          <t>Medium</t>
        </is>
      </c>
      <c r="V547">
        <f>IF(AND(OR(Dashboard!$C$6="All",E547=Dashboard!$C$6),OR(Dashboard!$F$6="All",G547=Dashboard!$F$6),OR(Dashboard!$I$6="All",H547=Dashboard!$I$6)),1,0)</f>
        <v/>
      </c>
    </row>
    <row r="548">
      <c r="A548" t="inlineStr">
        <is>
          <t>PF100539</t>
        </is>
      </c>
      <c r="B548" s="68" t="n">
        <v>45718</v>
      </c>
      <c r="C548" s="69" t="n">
        <v>2025</v>
      </c>
      <c r="D548" t="inlineStr">
        <is>
          <t>Mar</t>
        </is>
      </c>
      <c r="E548" t="inlineStr">
        <is>
          <t>Europe</t>
        </is>
      </c>
      <c r="F548" t="inlineStr">
        <is>
          <t>France</t>
        </is>
      </c>
      <c r="G548" t="inlineStr">
        <is>
          <t>Prevnar 20</t>
        </is>
      </c>
      <c r="H548" t="inlineStr">
        <is>
          <t>Retail pharmacy</t>
        </is>
      </c>
      <c r="I548" t="inlineStr">
        <is>
          <t>Private insurer</t>
        </is>
      </c>
      <c r="J548" t="inlineStr">
        <is>
          <t>Noah Smith</t>
        </is>
      </c>
      <c r="K548" s="70" t="n">
        <v>2113</v>
      </c>
      <c r="L548" s="71" t="n">
        <v>238.17</v>
      </c>
      <c r="M548" s="71" t="n">
        <v>503253.21</v>
      </c>
      <c r="N548" s="71" t="n">
        <v>125813.3</v>
      </c>
      <c r="O548" s="71" t="n">
        <v>377439.91</v>
      </c>
      <c r="P548" s="71" t="n">
        <v>144228.29</v>
      </c>
      <c r="Q548" s="71" t="n">
        <v>233211.62</v>
      </c>
      <c r="R548" t="inlineStr">
        <is>
          <t>Vaccines</t>
        </is>
      </c>
      <c r="S548" s="70" t="n">
        <v>1336</v>
      </c>
      <c r="T548" s="71" t="n">
        <v>61020.73</v>
      </c>
      <c r="U548" t="inlineStr">
        <is>
          <t>Low</t>
        </is>
      </c>
      <c r="V548">
        <f>IF(AND(OR(Dashboard!$C$6="All",E548=Dashboard!$C$6),OR(Dashboard!$F$6="All",G548=Dashboard!$F$6),OR(Dashboard!$I$6="All",H548=Dashboard!$I$6)),1,0)</f>
        <v/>
      </c>
    </row>
    <row r="549">
      <c r="A549" t="inlineStr">
        <is>
          <t>PF100540</t>
        </is>
      </c>
      <c r="B549" s="68" t="n">
        <v>45718</v>
      </c>
      <c r="C549" s="69" t="n">
        <v>2025</v>
      </c>
      <c r="D549" t="inlineStr">
        <is>
          <t>Mar</t>
        </is>
      </c>
      <c r="E549" t="inlineStr">
        <is>
          <t>Emerging markets</t>
        </is>
      </c>
      <c r="F549" t="inlineStr">
        <is>
          <t>China</t>
        </is>
      </c>
      <c r="G549" t="inlineStr">
        <is>
          <t>Eliquis</t>
        </is>
      </c>
      <c r="H549" t="inlineStr">
        <is>
          <t>Retail pharmacy</t>
        </is>
      </c>
      <c r="I549" t="inlineStr">
        <is>
          <t>Public payer</t>
        </is>
      </c>
      <c r="J549" t="inlineStr">
        <is>
          <t>Shraddha Kulkarni</t>
        </is>
      </c>
      <c r="K549" s="70" t="n">
        <v>190</v>
      </c>
      <c r="L549" s="71" t="n">
        <v>433.57</v>
      </c>
      <c r="M549" s="71" t="n">
        <v>82378.3</v>
      </c>
      <c r="N549" s="71" t="n">
        <v>20594.58</v>
      </c>
      <c r="O549" s="71" t="n">
        <v>61783.72</v>
      </c>
      <c r="P549" s="71" t="n">
        <v>14476.39</v>
      </c>
      <c r="Q549" s="71" t="n">
        <v>47307.33</v>
      </c>
      <c r="R549" t="inlineStr">
        <is>
          <t>Cardiology</t>
        </is>
      </c>
      <c r="S549" s="70" t="n">
        <v>157</v>
      </c>
      <c r="T549" s="71" t="n">
        <v>9934.030000000001</v>
      </c>
      <c r="U549" t="inlineStr">
        <is>
          <t>High</t>
        </is>
      </c>
      <c r="V549">
        <f>IF(AND(OR(Dashboard!$C$6="All",E549=Dashboard!$C$6),OR(Dashboard!$F$6="All",G549=Dashboard!$F$6),OR(Dashboard!$I$6="All",H549=Dashboard!$I$6)),1,0)</f>
        <v/>
      </c>
    </row>
    <row r="550">
      <c r="A550" t="inlineStr">
        <is>
          <t>PF100541</t>
        </is>
      </c>
      <c r="B550" s="68" t="n">
        <v>45718</v>
      </c>
      <c r="C550" s="69" t="n">
        <v>2025</v>
      </c>
      <c r="D550" t="inlineStr">
        <is>
          <t>Mar</t>
        </is>
      </c>
      <c r="E550" t="inlineStr">
        <is>
          <t>Europe</t>
        </is>
      </c>
      <c r="F550" t="inlineStr">
        <is>
          <t>Germany</t>
        </is>
      </c>
      <c r="G550" t="inlineStr">
        <is>
          <t>Comirnaty</t>
        </is>
      </c>
      <c r="H550" t="inlineStr">
        <is>
          <t>Retail pharmacy</t>
        </is>
      </c>
      <c r="I550" t="inlineStr">
        <is>
          <t>Public payer</t>
        </is>
      </c>
      <c r="J550" t="inlineStr">
        <is>
          <t>Amir Khan</t>
        </is>
      </c>
      <c r="K550" s="70" t="n">
        <v>1886</v>
      </c>
      <c r="L550" s="71" t="n">
        <v>111.12</v>
      </c>
      <c r="M550" s="71" t="n">
        <v>209572.32</v>
      </c>
      <c r="N550" s="71" t="n">
        <v>52393.08</v>
      </c>
      <c r="O550" s="71" t="n">
        <v>157179.24</v>
      </c>
      <c r="P550" s="71" t="n">
        <v>72161.03</v>
      </c>
      <c r="Q550" s="71" t="n">
        <v>85018.21000000001</v>
      </c>
      <c r="R550" t="inlineStr">
        <is>
          <t>Vaccines</t>
        </is>
      </c>
      <c r="S550" s="70" t="n">
        <v>1468</v>
      </c>
      <c r="T550" s="71" t="n">
        <v>46063.68</v>
      </c>
      <c r="U550" t="inlineStr">
        <is>
          <t>Low</t>
        </is>
      </c>
      <c r="V550">
        <f>IF(AND(OR(Dashboard!$C$6="All",E550=Dashboard!$C$6),OR(Dashboard!$F$6="All",G550=Dashboard!$F$6),OR(Dashboard!$I$6="All",H550=Dashboard!$I$6)),1,0)</f>
        <v/>
      </c>
    </row>
    <row r="551">
      <c r="A551" t="inlineStr">
        <is>
          <t>PF100542</t>
        </is>
      </c>
      <c r="B551" s="68" t="n">
        <v>45718</v>
      </c>
      <c r="C551" s="69" t="n">
        <v>2025</v>
      </c>
      <c r="D551" t="inlineStr">
        <is>
          <t>Mar</t>
        </is>
      </c>
      <c r="E551" t="inlineStr">
        <is>
          <t>United States</t>
        </is>
      </c>
      <c r="F551" t="inlineStr">
        <is>
          <t>USA</t>
        </is>
      </c>
      <c r="G551" t="inlineStr">
        <is>
          <t>Vyndaqel</t>
        </is>
      </c>
      <c r="H551" t="inlineStr">
        <is>
          <t>Retail pharmacy</t>
        </is>
      </c>
      <c r="I551" t="inlineStr">
        <is>
          <t>Private insurer</t>
        </is>
      </c>
      <c r="J551" t="inlineStr">
        <is>
          <t>Lucas Martin</t>
        </is>
      </c>
      <c r="K551" s="70" t="n">
        <v>766</v>
      </c>
      <c r="L551" s="71" t="n">
        <v>8404.610000000001</v>
      </c>
      <c r="M551" s="71" t="n">
        <v>6437931.26</v>
      </c>
      <c r="N551" s="71" t="n">
        <v>1609482.81</v>
      </c>
      <c r="O551" s="71" t="n">
        <v>4828448.45</v>
      </c>
      <c r="P551" s="71" t="n">
        <v>490361.67</v>
      </c>
      <c r="Q551" s="71" t="n">
        <v>4338086.78</v>
      </c>
      <c r="R551" t="inlineStr">
        <is>
          <t>Rare disease</t>
        </is>
      </c>
      <c r="S551" s="70" t="n">
        <v>719</v>
      </c>
      <c r="T551" s="71" t="n">
        <v>1198125.56</v>
      </c>
      <c r="U551" t="inlineStr">
        <is>
          <t>Medium</t>
        </is>
      </c>
      <c r="V551">
        <f>IF(AND(OR(Dashboard!$C$6="All",E551=Dashboard!$C$6),OR(Dashboard!$F$6="All",G551=Dashboard!$F$6),OR(Dashboard!$I$6="All",H551=Dashboard!$I$6)),1,0)</f>
        <v/>
      </c>
    </row>
    <row r="552">
      <c r="A552" t="inlineStr">
        <is>
          <t>PF100543</t>
        </is>
      </c>
      <c r="B552" s="68" t="n">
        <v>45718</v>
      </c>
      <c r="C552" s="69" t="n">
        <v>2025</v>
      </c>
      <c r="D552" t="inlineStr">
        <is>
          <t>Mar</t>
        </is>
      </c>
      <c r="E552" t="inlineStr">
        <is>
          <t>United States</t>
        </is>
      </c>
      <c r="F552" t="inlineStr">
        <is>
          <t>USA</t>
        </is>
      </c>
      <c r="G552" t="inlineStr">
        <is>
          <t>Comirnaty</t>
        </is>
      </c>
      <c r="H552" t="inlineStr">
        <is>
          <t>Government / tender</t>
        </is>
      </c>
      <c r="I552" t="inlineStr">
        <is>
          <t>Private insurer</t>
        </is>
      </c>
      <c r="J552" t="inlineStr">
        <is>
          <t>Sophie Müller</t>
        </is>
      </c>
      <c r="K552" s="70" t="n">
        <v>1614</v>
      </c>
      <c r="L552" s="71" t="n">
        <v>162.72</v>
      </c>
      <c r="M552" s="71" t="n">
        <v>262630.08</v>
      </c>
      <c r="N552" s="71" t="n">
        <v>65657.52</v>
      </c>
      <c r="O552" s="71" t="n">
        <v>196972.56</v>
      </c>
      <c r="P552" s="71" t="n">
        <v>62057.04</v>
      </c>
      <c r="Q552" s="71" t="n">
        <v>134915.52</v>
      </c>
      <c r="R552" t="inlineStr">
        <is>
          <t>Vaccines</t>
        </is>
      </c>
      <c r="S552" s="70" t="n">
        <v>1233</v>
      </c>
      <c r="T552" s="71" t="n">
        <v>50038.93</v>
      </c>
      <c r="U552" t="inlineStr">
        <is>
          <t>Low</t>
        </is>
      </c>
      <c r="V552">
        <f>IF(AND(OR(Dashboard!$C$6="All",E552=Dashboard!$C$6),OR(Dashboard!$F$6="All",G552=Dashboard!$F$6),OR(Dashboard!$I$6="All",H552=Dashboard!$I$6)),1,0)</f>
        <v/>
      </c>
    </row>
    <row r="553">
      <c r="A553" t="inlineStr">
        <is>
          <t>PF100544</t>
        </is>
      </c>
      <c r="B553" s="68" t="n">
        <v>45719</v>
      </c>
      <c r="C553" s="69" t="n">
        <v>2025</v>
      </c>
      <c r="D553" t="inlineStr">
        <is>
          <t>Mar</t>
        </is>
      </c>
      <c r="E553" t="inlineStr">
        <is>
          <t>United States</t>
        </is>
      </c>
      <c r="F553" t="inlineStr">
        <is>
          <t>USA</t>
        </is>
      </c>
      <c r="G553" t="inlineStr">
        <is>
          <t>Prevnar 20</t>
        </is>
      </c>
      <c r="H553" t="inlineStr">
        <is>
          <t>Hospital</t>
        </is>
      </c>
      <c r="I553" t="inlineStr">
        <is>
          <t>Private insurer</t>
        </is>
      </c>
      <c r="J553" t="inlineStr">
        <is>
          <t>Yuki Sato</t>
        </is>
      </c>
      <c r="K553" s="70" t="n">
        <v>718</v>
      </c>
      <c r="L553" s="71" t="n">
        <v>350.46</v>
      </c>
      <c r="M553" s="71" t="n">
        <v>251630.28</v>
      </c>
      <c r="N553" s="71" t="n">
        <v>88070.60000000001</v>
      </c>
      <c r="O553" s="71" t="n">
        <v>163559.68</v>
      </c>
      <c r="P553" s="71" t="n">
        <v>50435.33</v>
      </c>
      <c r="Q553" s="71" t="n">
        <v>113124.35</v>
      </c>
      <c r="R553" t="inlineStr">
        <is>
          <t>Vaccines</t>
        </is>
      </c>
      <c r="S553" s="70" t="n">
        <v>561</v>
      </c>
      <c r="T553" s="71" t="n">
        <v>42142.31</v>
      </c>
      <c r="U553" t="inlineStr">
        <is>
          <t>Low</t>
        </is>
      </c>
      <c r="V553">
        <f>IF(AND(OR(Dashboard!$C$6="All",E553=Dashboard!$C$6),OR(Dashboard!$F$6="All",G553=Dashboard!$F$6),OR(Dashboard!$I$6="All",H553=Dashboard!$I$6)),1,0)</f>
        <v/>
      </c>
    </row>
    <row r="554">
      <c r="A554" t="inlineStr">
        <is>
          <t>PF100545</t>
        </is>
      </c>
      <c r="B554" s="68" t="n">
        <v>45719</v>
      </c>
      <c r="C554" s="69" t="n">
        <v>2025</v>
      </c>
      <c r="D554" t="inlineStr">
        <is>
          <t>Mar</t>
        </is>
      </c>
      <c r="E554" t="inlineStr">
        <is>
          <t>International developed</t>
        </is>
      </c>
      <c r="F554" t="inlineStr">
        <is>
          <t>Japan</t>
        </is>
      </c>
      <c r="G554" t="inlineStr">
        <is>
          <t>Prevnar 20</t>
        </is>
      </c>
      <c r="H554" t="inlineStr">
        <is>
          <t>Retail pharmacy</t>
        </is>
      </c>
      <c r="I554" t="inlineStr">
        <is>
          <t>Public payer</t>
        </is>
      </c>
      <c r="J554" t="inlineStr">
        <is>
          <t>Yuki Sato</t>
        </is>
      </c>
      <c r="K554" s="70" t="n">
        <v>2054</v>
      </c>
      <c r="L554" s="71" t="n">
        <v>216.47</v>
      </c>
      <c r="M554" s="71" t="n">
        <v>444629.38</v>
      </c>
      <c r="N554" s="71" t="n">
        <v>111157.35</v>
      </c>
      <c r="O554" s="71" t="n">
        <v>333472.03</v>
      </c>
      <c r="P554" s="71" t="n">
        <v>136707.96</v>
      </c>
      <c r="Q554" s="71" t="n">
        <v>196764.07</v>
      </c>
      <c r="R554" t="inlineStr">
        <is>
          <t>Vaccines</t>
        </is>
      </c>
      <c r="S554" s="70" t="n">
        <v>1557</v>
      </c>
      <c r="T554" s="71" t="n">
        <v>74261.99000000001</v>
      </c>
      <c r="U554" t="inlineStr">
        <is>
          <t>Low</t>
        </is>
      </c>
      <c r="V554">
        <f>IF(AND(OR(Dashboard!$C$6="All",E554=Dashboard!$C$6),OR(Dashboard!$F$6="All",G554=Dashboard!$F$6),OR(Dashboard!$I$6="All",H554=Dashboard!$I$6)),1,0)</f>
        <v/>
      </c>
    </row>
    <row r="555">
      <c r="A555" t="inlineStr">
        <is>
          <t>PF100546</t>
        </is>
      </c>
      <c r="B555" s="68" t="n">
        <v>45719</v>
      </c>
      <c r="C555" s="69" t="n">
        <v>2025</v>
      </c>
      <c r="D555" t="inlineStr">
        <is>
          <t>Mar</t>
        </is>
      </c>
      <c r="E555" t="inlineStr">
        <is>
          <t>International developed</t>
        </is>
      </c>
      <c r="F555" t="inlineStr">
        <is>
          <t>Japan</t>
        </is>
      </c>
      <c r="G555" t="inlineStr">
        <is>
          <t>Vyndaqel</t>
        </is>
      </c>
      <c r="H555" t="inlineStr">
        <is>
          <t>Hospital</t>
        </is>
      </c>
      <c r="I555" t="inlineStr">
        <is>
          <t>Self-pay</t>
        </is>
      </c>
      <c r="J555" t="inlineStr">
        <is>
          <t>Shraddha Kulkarni</t>
        </is>
      </c>
      <c r="K555" s="70" t="n">
        <v>1403</v>
      </c>
      <c r="L555" s="71" t="n">
        <v>4719.9</v>
      </c>
      <c r="M555" s="71" t="n">
        <v>6622019.7</v>
      </c>
      <c r="N555" s="71" t="n">
        <v>331100.99</v>
      </c>
      <c r="O555" s="71" t="n">
        <v>6290918.71</v>
      </c>
      <c r="P555" s="71" t="n">
        <v>879258.8100000001</v>
      </c>
      <c r="Q555" s="71" t="n">
        <v>5411659.9</v>
      </c>
      <c r="R555" t="inlineStr">
        <is>
          <t>Rare disease</t>
        </is>
      </c>
      <c r="S555" s="70" t="n">
        <v>1118</v>
      </c>
      <c r="T555" s="71" t="n">
        <v>1005778.75</v>
      </c>
      <c r="U555" t="inlineStr">
        <is>
          <t>Medium</t>
        </is>
      </c>
      <c r="V555">
        <f>IF(AND(OR(Dashboard!$C$6="All",E555=Dashboard!$C$6),OR(Dashboard!$F$6="All",G555=Dashboard!$F$6),OR(Dashboard!$I$6="All",H555=Dashboard!$I$6)),1,0)</f>
        <v/>
      </c>
    </row>
    <row r="556">
      <c r="A556" t="inlineStr">
        <is>
          <t>PF100547</t>
        </is>
      </c>
      <c r="B556" s="68" t="n">
        <v>45719</v>
      </c>
      <c r="C556" s="69" t="n">
        <v>2025</v>
      </c>
      <c r="D556" t="inlineStr">
        <is>
          <t>Mar</t>
        </is>
      </c>
      <c r="E556" t="inlineStr">
        <is>
          <t>Europe</t>
        </is>
      </c>
      <c r="F556" t="inlineStr">
        <is>
          <t>Italy</t>
        </is>
      </c>
      <c r="G556" t="inlineStr">
        <is>
          <t>Eliquis</t>
        </is>
      </c>
      <c r="H556" t="inlineStr">
        <is>
          <t>Hospital</t>
        </is>
      </c>
      <c r="I556" t="inlineStr">
        <is>
          <t>Public payer</t>
        </is>
      </c>
      <c r="J556" t="inlineStr">
        <is>
          <t>Olivia Brown</t>
        </is>
      </c>
      <c r="K556" s="70" t="n">
        <v>654</v>
      </c>
      <c r="L556" s="71" t="n">
        <v>434.97</v>
      </c>
      <c r="M556" s="71" t="n">
        <v>284470.38</v>
      </c>
      <c r="N556" s="71" t="n">
        <v>71117.60000000001</v>
      </c>
      <c r="O556" s="71" t="n">
        <v>213352.78</v>
      </c>
      <c r="P556" s="71" t="n">
        <v>47887.33</v>
      </c>
      <c r="Q556" s="71" t="n">
        <v>165465.45</v>
      </c>
      <c r="R556" t="inlineStr">
        <is>
          <t>Cardiology</t>
        </is>
      </c>
      <c r="S556" s="70" t="n">
        <v>565</v>
      </c>
      <c r="T556" s="71" t="n">
        <v>39308.68</v>
      </c>
      <c r="U556" t="inlineStr">
        <is>
          <t>High</t>
        </is>
      </c>
      <c r="V556">
        <f>IF(AND(OR(Dashboard!$C$6="All",E556=Dashboard!$C$6),OR(Dashboard!$F$6="All",G556=Dashboard!$F$6),OR(Dashboard!$I$6="All",H556=Dashboard!$I$6)),1,0)</f>
        <v/>
      </c>
    </row>
    <row r="557">
      <c r="A557" t="inlineStr">
        <is>
          <t>PF100548</t>
        </is>
      </c>
      <c r="B557" s="68" t="n">
        <v>45719</v>
      </c>
      <c r="C557" s="69" t="n">
        <v>2025</v>
      </c>
      <c r="D557" t="inlineStr">
        <is>
          <t>Mar</t>
        </is>
      </c>
      <c r="E557" t="inlineStr">
        <is>
          <t>Emerging markets</t>
        </is>
      </c>
      <c r="F557" t="inlineStr">
        <is>
          <t>China</t>
        </is>
      </c>
      <c r="G557" t="inlineStr">
        <is>
          <t>Prevnar 20</t>
        </is>
      </c>
      <c r="H557" t="inlineStr">
        <is>
          <t>Retail pharmacy</t>
        </is>
      </c>
      <c r="I557" t="inlineStr">
        <is>
          <t>Private insurer</t>
        </is>
      </c>
      <c r="J557" t="inlineStr">
        <is>
          <t>Ravindra Patil</t>
        </is>
      </c>
      <c r="K557" s="70" t="n">
        <v>1631</v>
      </c>
      <c r="L557" s="71" t="n">
        <v>208.76</v>
      </c>
      <c r="M557" s="71" t="n">
        <v>340487.56</v>
      </c>
      <c r="N557" s="71" t="n">
        <v>85121.89</v>
      </c>
      <c r="O557" s="71" t="n">
        <v>255365.67</v>
      </c>
      <c r="P557" s="71" t="n">
        <v>113437.85</v>
      </c>
      <c r="Q557" s="71" t="n">
        <v>141927.82</v>
      </c>
      <c r="R557" t="inlineStr">
        <is>
          <t>Vaccines</t>
        </is>
      </c>
      <c r="S557" s="70" t="n">
        <v>1417</v>
      </c>
      <c r="T557" s="71" t="n">
        <v>72445.46000000001</v>
      </c>
      <c r="U557" t="inlineStr">
        <is>
          <t>Low</t>
        </is>
      </c>
      <c r="V557">
        <f>IF(AND(OR(Dashboard!$C$6="All",E557=Dashboard!$C$6),OR(Dashboard!$F$6="All",G557=Dashboard!$F$6),OR(Dashboard!$I$6="All",H557=Dashboard!$I$6)),1,0)</f>
        <v/>
      </c>
    </row>
    <row r="558">
      <c r="A558" t="inlineStr">
        <is>
          <t>PF100549</t>
        </is>
      </c>
      <c r="B558" s="68" t="n">
        <v>45719</v>
      </c>
      <c r="C558" s="69" t="n">
        <v>2025</v>
      </c>
      <c r="D558" t="inlineStr">
        <is>
          <t>Mar</t>
        </is>
      </c>
      <c r="E558" t="inlineStr">
        <is>
          <t>United States</t>
        </is>
      </c>
      <c r="F558" t="inlineStr">
        <is>
          <t>USA</t>
        </is>
      </c>
      <c r="G558" t="inlineStr">
        <is>
          <t>Prevnar 20</t>
        </is>
      </c>
      <c r="H558" t="inlineStr">
        <is>
          <t>Retail pharmacy</t>
        </is>
      </c>
      <c r="I558" t="inlineStr">
        <is>
          <t>Public payer</t>
        </is>
      </c>
      <c r="J558" t="inlineStr">
        <is>
          <t>Yuki Sato</t>
        </is>
      </c>
      <c r="K558" s="70" t="n">
        <v>1738</v>
      </c>
      <c r="L558" s="71" t="n">
        <v>387.17</v>
      </c>
      <c r="M558" s="71" t="n">
        <v>672901.46</v>
      </c>
      <c r="N558" s="71" t="n">
        <v>201870.44</v>
      </c>
      <c r="O558" s="71" t="n">
        <v>471031.02</v>
      </c>
      <c r="P558" s="71" t="n">
        <v>121363.07</v>
      </c>
      <c r="Q558" s="71" t="n">
        <v>349667.95</v>
      </c>
      <c r="R558" t="inlineStr">
        <is>
          <t>Vaccines</t>
        </is>
      </c>
      <c r="S558" s="70" t="n">
        <v>1531</v>
      </c>
      <c r="T558" s="71" t="n">
        <v>135065.76</v>
      </c>
      <c r="U558" t="inlineStr">
        <is>
          <t>Low</t>
        </is>
      </c>
      <c r="V558">
        <f>IF(AND(OR(Dashboard!$C$6="All",E558=Dashboard!$C$6),OR(Dashboard!$F$6="All",G558=Dashboard!$F$6),OR(Dashboard!$I$6="All",H558=Dashboard!$I$6)),1,0)</f>
        <v/>
      </c>
    </row>
    <row r="559">
      <c r="A559" t="inlineStr">
        <is>
          <t>PF100550</t>
        </is>
      </c>
      <c r="B559" s="68" t="n">
        <v>45719</v>
      </c>
      <c r="C559" s="69" t="n">
        <v>2025</v>
      </c>
      <c r="D559" t="inlineStr">
        <is>
          <t>Mar</t>
        </is>
      </c>
      <c r="E559" t="inlineStr">
        <is>
          <t>Europe</t>
        </is>
      </c>
      <c r="F559" t="inlineStr">
        <is>
          <t>Germany</t>
        </is>
      </c>
      <c r="G559" t="inlineStr">
        <is>
          <t>Paxlovid</t>
        </is>
      </c>
      <c r="H559" t="inlineStr">
        <is>
          <t>Retail pharmacy</t>
        </is>
      </c>
      <c r="I559" t="inlineStr">
        <is>
          <t>Private insurer</t>
        </is>
      </c>
      <c r="J559" t="inlineStr">
        <is>
          <t>Lucas Martin</t>
        </is>
      </c>
      <c r="K559" s="70" t="n">
        <v>2697</v>
      </c>
      <c r="L559" s="71" t="n">
        <v>1055.41</v>
      </c>
      <c r="M559" s="71" t="n">
        <v>2846440.77</v>
      </c>
      <c r="N559" s="71" t="n">
        <v>142322.04</v>
      </c>
      <c r="O559" s="71" t="n">
        <v>2704118.73</v>
      </c>
      <c r="P559" s="71" t="n">
        <v>717606.6800000001</v>
      </c>
      <c r="Q559" s="71" t="n">
        <v>1986512.05</v>
      </c>
      <c r="R559" t="inlineStr">
        <is>
          <t>Antiviral</t>
        </is>
      </c>
      <c r="S559" s="70" t="n">
        <v>2064</v>
      </c>
      <c r="T559" s="71" t="n">
        <v>548473.54</v>
      </c>
      <c r="U559" t="inlineStr">
        <is>
          <t>Low</t>
        </is>
      </c>
      <c r="V559">
        <f>IF(AND(OR(Dashboard!$C$6="All",E559=Dashboard!$C$6),OR(Dashboard!$F$6="All",G559=Dashboard!$F$6),OR(Dashboard!$I$6="All",H559=Dashboard!$I$6)),1,0)</f>
        <v/>
      </c>
    </row>
    <row r="560">
      <c r="A560" t="inlineStr">
        <is>
          <t>PF100551</t>
        </is>
      </c>
      <c r="B560" s="68" t="n">
        <v>45719</v>
      </c>
      <c r="C560" s="69" t="n">
        <v>2025</v>
      </c>
      <c r="D560" t="inlineStr">
        <is>
          <t>Mar</t>
        </is>
      </c>
      <c r="E560" t="inlineStr">
        <is>
          <t>International developed</t>
        </is>
      </c>
      <c r="F560" t="inlineStr">
        <is>
          <t>Canada</t>
        </is>
      </c>
      <c r="G560" t="inlineStr">
        <is>
          <t>Eliquis</t>
        </is>
      </c>
      <c r="H560" t="inlineStr">
        <is>
          <t>Hospital</t>
        </is>
      </c>
      <c r="I560" t="inlineStr">
        <is>
          <t>Private insurer</t>
        </is>
      </c>
      <c r="J560" t="inlineStr">
        <is>
          <t>Arjun Mehta</t>
        </is>
      </c>
      <c r="K560" s="70" t="n">
        <v>2514</v>
      </c>
      <c r="L560" s="71" t="n">
        <v>426.24</v>
      </c>
      <c r="M560" s="71" t="n">
        <v>1071567.36</v>
      </c>
      <c r="N560" s="71" t="n">
        <v>53578.37</v>
      </c>
      <c r="O560" s="71" t="n">
        <v>1017988.99</v>
      </c>
      <c r="P560" s="71" t="n">
        <v>184443.04</v>
      </c>
      <c r="Q560" s="71" t="n">
        <v>833545.95</v>
      </c>
      <c r="R560" t="inlineStr">
        <is>
          <t>Cardiology</t>
        </is>
      </c>
      <c r="S560" s="70" t="n">
        <v>1728</v>
      </c>
      <c r="T560" s="71" t="n">
        <v>148016.58</v>
      </c>
      <c r="U560" t="inlineStr">
        <is>
          <t>High</t>
        </is>
      </c>
      <c r="V560">
        <f>IF(AND(OR(Dashboard!$C$6="All",E560=Dashboard!$C$6),OR(Dashboard!$F$6="All",G560=Dashboard!$F$6),OR(Dashboard!$I$6="All",H560=Dashboard!$I$6)),1,0)</f>
        <v/>
      </c>
    </row>
    <row r="561">
      <c r="A561" t="inlineStr">
        <is>
          <t>PF100552</t>
        </is>
      </c>
      <c r="B561" s="68" t="n">
        <v>45719</v>
      </c>
      <c r="C561" s="69" t="n">
        <v>2025</v>
      </c>
      <c r="D561" t="inlineStr">
        <is>
          <t>Mar</t>
        </is>
      </c>
      <c r="E561" t="inlineStr">
        <is>
          <t>United States</t>
        </is>
      </c>
      <c r="F561" t="inlineStr">
        <is>
          <t>USA</t>
        </is>
      </c>
      <c r="G561" t="inlineStr">
        <is>
          <t>Paxlovid</t>
        </is>
      </c>
      <c r="H561" t="inlineStr">
        <is>
          <t>Hospital</t>
        </is>
      </c>
      <c r="I561" t="inlineStr">
        <is>
          <t>Private insurer</t>
        </is>
      </c>
      <c r="J561" t="inlineStr">
        <is>
          <t>Carlos Silva</t>
        </is>
      </c>
      <c r="K561" s="70" t="n">
        <v>2521</v>
      </c>
      <c r="L561" s="71" t="n">
        <v>1855.17</v>
      </c>
      <c r="M561" s="71" t="n">
        <v>4676883.57</v>
      </c>
      <c r="N561" s="71" t="n">
        <v>1403065.07</v>
      </c>
      <c r="O561" s="71" t="n">
        <v>3273818.5</v>
      </c>
      <c r="P561" s="71" t="n">
        <v>684887.5699999999</v>
      </c>
      <c r="Q561" s="71" t="n">
        <v>2588930.93</v>
      </c>
      <c r="R561" t="inlineStr">
        <is>
          <t>Antiviral</t>
        </is>
      </c>
      <c r="S561" s="70" t="n">
        <v>2002</v>
      </c>
      <c r="T561" s="71" t="n">
        <v>844467.35</v>
      </c>
      <c r="U561" t="inlineStr">
        <is>
          <t>Low</t>
        </is>
      </c>
      <c r="V561">
        <f>IF(AND(OR(Dashboard!$C$6="All",E561=Dashboard!$C$6),OR(Dashboard!$F$6="All",G561=Dashboard!$F$6),OR(Dashboard!$I$6="All",H561=Dashboard!$I$6)),1,0)</f>
        <v/>
      </c>
    </row>
    <row r="562">
      <c r="A562" t="inlineStr">
        <is>
          <t>PF100553</t>
        </is>
      </c>
      <c r="B562" s="68" t="n">
        <v>45719</v>
      </c>
      <c r="C562" s="69" t="n">
        <v>2025</v>
      </c>
      <c r="D562" t="inlineStr">
        <is>
          <t>Mar</t>
        </is>
      </c>
      <c r="E562" t="inlineStr">
        <is>
          <t>United States</t>
        </is>
      </c>
      <c r="F562" t="inlineStr">
        <is>
          <t>USA</t>
        </is>
      </c>
      <c r="G562" t="inlineStr">
        <is>
          <t>Comirnaty</t>
        </is>
      </c>
      <c r="H562" t="inlineStr">
        <is>
          <t>Hospital</t>
        </is>
      </c>
      <c r="I562" t="inlineStr">
        <is>
          <t>Private insurer</t>
        </is>
      </c>
      <c r="J562" t="inlineStr">
        <is>
          <t>Liam O'Brien</t>
        </is>
      </c>
      <c r="K562" s="70" t="n">
        <v>1085</v>
      </c>
      <c r="L562" s="71" t="n">
        <v>172.96</v>
      </c>
      <c r="M562" s="71" t="n">
        <v>187661.6</v>
      </c>
      <c r="N562" s="71" t="n">
        <v>28149.24</v>
      </c>
      <c r="O562" s="71" t="n">
        <v>159512.36</v>
      </c>
      <c r="P562" s="71" t="n">
        <v>40930.15</v>
      </c>
      <c r="Q562" s="71" t="n">
        <v>118582.21</v>
      </c>
      <c r="R562" t="inlineStr">
        <is>
          <t>Vaccines</t>
        </is>
      </c>
      <c r="S562" s="70" t="n">
        <v>1041</v>
      </c>
      <c r="T562" s="71" t="n">
        <v>38711.02</v>
      </c>
      <c r="U562" t="inlineStr">
        <is>
          <t>Low</t>
        </is>
      </c>
      <c r="V562">
        <f>IF(AND(OR(Dashboard!$C$6="All",E562=Dashboard!$C$6),OR(Dashboard!$F$6="All",G562=Dashboard!$F$6),OR(Dashboard!$I$6="All",H562=Dashboard!$I$6)),1,0)</f>
        <v/>
      </c>
    </row>
    <row r="563">
      <c r="A563" t="inlineStr">
        <is>
          <t>PF100554</t>
        </is>
      </c>
      <c r="B563" s="68" t="n">
        <v>45719</v>
      </c>
      <c r="C563" s="69" t="n">
        <v>2025</v>
      </c>
      <c r="D563" t="inlineStr">
        <is>
          <t>Mar</t>
        </is>
      </c>
      <c r="E563" t="inlineStr">
        <is>
          <t>Emerging markets</t>
        </is>
      </c>
      <c r="F563" t="inlineStr">
        <is>
          <t>India</t>
        </is>
      </c>
      <c r="G563" t="inlineStr">
        <is>
          <t>Abrysvo</t>
        </is>
      </c>
      <c r="H563" t="inlineStr">
        <is>
          <t>Government / tender</t>
        </is>
      </c>
      <c r="I563" t="inlineStr">
        <is>
          <t>Private insurer</t>
        </is>
      </c>
      <c r="J563" t="inlineStr">
        <is>
          <t>Mei Lin</t>
        </is>
      </c>
      <c r="K563" s="70" t="n">
        <v>2606</v>
      </c>
      <c r="L563" s="71" t="n">
        <v>277.54</v>
      </c>
      <c r="M563" s="71" t="n">
        <v>723269.24</v>
      </c>
      <c r="N563" s="71" t="n">
        <v>36163.46</v>
      </c>
      <c r="O563" s="71" t="n">
        <v>687105.78</v>
      </c>
      <c r="P563" s="71" t="n">
        <v>216880.55</v>
      </c>
      <c r="Q563" s="71" t="n">
        <v>470225.23</v>
      </c>
      <c r="R563" t="inlineStr">
        <is>
          <t>Vaccines</t>
        </is>
      </c>
      <c r="S563" s="70" t="n">
        <v>1823</v>
      </c>
      <c r="T563" s="71" t="n">
        <v>144413.34</v>
      </c>
      <c r="U563" t="inlineStr">
        <is>
          <t>Low</t>
        </is>
      </c>
      <c r="V563">
        <f>IF(AND(OR(Dashboard!$C$6="All",E563=Dashboard!$C$6),OR(Dashboard!$F$6="All",G563=Dashboard!$F$6),OR(Dashboard!$I$6="All",H563=Dashboard!$I$6)),1,0)</f>
        <v/>
      </c>
    </row>
    <row r="564">
      <c r="A564" t="inlineStr">
        <is>
          <t>PF100555</t>
        </is>
      </c>
      <c r="B564" s="68" t="n">
        <v>45719</v>
      </c>
      <c r="C564" s="69" t="n">
        <v>2025</v>
      </c>
      <c r="D564" t="inlineStr">
        <is>
          <t>Mar</t>
        </is>
      </c>
      <c r="E564" t="inlineStr">
        <is>
          <t>Emerging markets</t>
        </is>
      </c>
      <c r="F564" t="inlineStr">
        <is>
          <t>China</t>
        </is>
      </c>
      <c r="G564" t="inlineStr">
        <is>
          <t>Xeljanz</t>
        </is>
      </c>
      <c r="H564" t="inlineStr">
        <is>
          <t>Retail pharmacy</t>
        </is>
      </c>
      <c r="I564" t="inlineStr">
        <is>
          <t>Private insurer</t>
        </is>
      </c>
      <c r="J564" t="inlineStr">
        <is>
          <t>Priya Nair</t>
        </is>
      </c>
      <c r="K564" s="70" t="n">
        <v>582</v>
      </c>
      <c r="L564" s="71" t="n">
        <v>1459.17</v>
      </c>
      <c r="M564" s="71" t="n">
        <v>849236.9399999999</v>
      </c>
      <c r="N564" s="71" t="n">
        <v>42461.85</v>
      </c>
      <c r="O564" s="71" t="n">
        <v>806775.09</v>
      </c>
      <c r="P564" s="71" t="n">
        <v>147204.07</v>
      </c>
      <c r="Q564" s="71" t="n">
        <v>659571.02</v>
      </c>
      <c r="R564" t="inlineStr">
        <is>
          <t>Inflammation</t>
        </is>
      </c>
      <c r="S564" s="70" t="n">
        <v>564</v>
      </c>
      <c r="T564" s="71" t="n">
        <v>160709.73</v>
      </c>
      <c r="U564" t="inlineStr">
        <is>
          <t>High</t>
        </is>
      </c>
      <c r="V564">
        <f>IF(AND(OR(Dashboard!$C$6="All",E564=Dashboard!$C$6),OR(Dashboard!$F$6="All",G564=Dashboard!$F$6),OR(Dashboard!$I$6="All",H564=Dashboard!$I$6)),1,0)</f>
        <v/>
      </c>
    </row>
    <row r="565">
      <c r="A565" t="inlineStr">
        <is>
          <t>PF100556</t>
        </is>
      </c>
      <c r="B565" s="68" t="n">
        <v>45719</v>
      </c>
      <c r="C565" s="69" t="n">
        <v>2025</v>
      </c>
      <c r="D565" t="inlineStr">
        <is>
          <t>Mar</t>
        </is>
      </c>
      <c r="E565" t="inlineStr">
        <is>
          <t>United States</t>
        </is>
      </c>
      <c r="F565" t="inlineStr">
        <is>
          <t>USA</t>
        </is>
      </c>
      <c r="G565" t="inlineStr">
        <is>
          <t>Vyndaqel</t>
        </is>
      </c>
      <c r="H565" t="inlineStr">
        <is>
          <t>Retail pharmacy</t>
        </is>
      </c>
      <c r="I565" t="inlineStr">
        <is>
          <t>Public payer</t>
        </is>
      </c>
      <c r="J565" t="inlineStr">
        <is>
          <t>Ana Costa</t>
        </is>
      </c>
      <c r="K565" s="70" t="n">
        <v>1736</v>
      </c>
      <c r="L565" s="71" t="n">
        <v>7613.47</v>
      </c>
      <c r="M565" s="71" t="n">
        <v>13216983.92</v>
      </c>
      <c r="N565" s="71" t="n">
        <v>2643396.78</v>
      </c>
      <c r="O565" s="71" t="n">
        <v>10573587.14</v>
      </c>
      <c r="P565" s="71" t="n">
        <v>1090205.41</v>
      </c>
      <c r="Q565" s="71" t="n">
        <v>9483381.73</v>
      </c>
      <c r="R565" t="inlineStr">
        <is>
          <t>Rare disease</t>
        </is>
      </c>
      <c r="S565" s="70" t="n">
        <v>1340</v>
      </c>
      <c r="T565" s="71" t="n">
        <v>2465426.53</v>
      </c>
      <c r="U565" t="inlineStr">
        <is>
          <t>Medium</t>
        </is>
      </c>
      <c r="V565">
        <f>IF(AND(OR(Dashboard!$C$6="All",E565=Dashboard!$C$6),OR(Dashboard!$F$6="All",G565=Dashboard!$F$6),OR(Dashboard!$I$6="All",H565=Dashboard!$I$6)),1,0)</f>
        <v/>
      </c>
    </row>
    <row r="566">
      <c r="A566" t="inlineStr">
        <is>
          <t>PF100557</t>
        </is>
      </c>
      <c r="B566" s="68" t="n">
        <v>45719</v>
      </c>
      <c r="C566" s="69" t="n">
        <v>2025</v>
      </c>
      <c r="D566" t="inlineStr">
        <is>
          <t>Mar</t>
        </is>
      </c>
      <c r="E566" t="inlineStr">
        <is>
          <t>Emerging markets</t>
        </is>
      </c>
      <c r="F566" t="inlineStr">
        <is>
          <t>China</t>
        </is>
      </c>
      <c r="G566" t="inlineStr">
        <is>
          <t>Abrysvo</t>
        </is>
      </c>
      <c r="H566" t="inlineStr">
        <is>
          <t>Government / tender</t>
        </is>
      </c>
      <c r="I566" t="inlineStr">
        <is>
          <t>Self-pay</t>
        </is>
      </c>
      <c r="J566" t="inlineStr">
        <is>
          <t>Yuki Sato</t>
        </is>
      </c>
      <c r="K566" s="70" t="n">
        <v>1535</v>
      </c>
      <c r="L566" s="71" t="n">
        <v>298.43</v>
      </c>
      <c r="M566" s="71" t="n">
        <v>458090.05</v>
      </c>
      <c r="N566" s="71" t="n">
        <v>68713.50999999999</v>
      </c>
      <c r="O566" s="71" t="n">
        <v>389376.54</v>
      </c>
      <c r="P566" s="71" t="n">
        <v>132179.5</v>
      </c>
      <c r="Q566" s="71" t="n">
        <v>257197.04</v>
      </c>
      <c r="R566" t="inlineStr">
        <is>
          <t>Vaccines</t>
        </is>
      </c>
      <c r="S566" s="70" t="n">
        <v>1075</v>
      </c>
      <c r="T566" s="71" t="n">
        <v>77870.27</v>
      </c>
      <c r="U566" t="inlineStr">
        <is>
          <t>Low</t>
        </is>
      </c>
      <c r="V566">
        <f>IF(AND(OR(Dashboard!$C$6="All",E566=Dashboard!$C$6),OR(Dashboard!$F$6="All",G566=Dashboard!$F$6),OR(Dashboard!$I$6="All",H566=Dashboard!$I$6)),1,0)</f>
        <v/>
      </c>
    </row>
    <row r="567">
      <c r="A567" t="inlineStr">
        <is>
          <t>PF100558</t>
        </is>
      </c>
      <c r="B567" s="68" t="n">
        <v>45720</v>
      </c>
      <c r="C567" s="69" t="n">
        <v>2025</v>
      </c>
      <c r="D567" t="inlineStr">
        <is>
          <t>Mar</t>
        </is>
      </c>
      <c r="E567" t="inlineStr">
        <is>
          <t>Emerging markets</t>
        </is>
      </c>
      <c r="F567" t="inlineStr">
        <is>
          <t>Brazil</t>
        </is>
      </c>
      <c r="G567" t="inlineStr">
        <is>
          <t>Paxlovid</t>
        </is>
      </c>
      <c r="H567" t="inlineStr">
        <is>
          <t>Retail pharmacy</t>
        </is>
      </c>
      <c r="I567" t="inlineStr">
        <is>
          <t>Private insurer</t>
        </is>
      </c>
      <c r="J567" t="inlineStr">
        <is>
          <t>Fatima Al-Saud</t>
        </is>
      </c>
      <c r="K567" s="70" t="n">
        <v>2729</v>
      </c>
      <c r="L567" s="71" t="n">
        <v>1194.1</v>
      </c>
      <c r="M567" s="71" t="n">
        <v>3258698.9</v>
      </c>
      <c r="N567" s="71" t="n">
        <v>162934.95</v>
      </c>
      <c r="O567" s="71" t="n">
        <v>3095763.95</v>
      </c>
      <c r="P567" s="71" t="n">
        <v>771795.23</v>
      </c>
      <c r="Q567" s="71" t="n">
        <v>2323968.72</v>
      </c>
      <c r="R567" t="inlineStr">
        <is>
          <t>Antiviral</t>
        </is>
      </c>
      <c r="S567" s="70" t="n">
        <v>2488</v>
      </c>
      <c r="T567" s="71" t="n">
        <v>618156.45</v>
      </c>
      <c r="U567" t="inlineStr">
        <is>
          <t>Low</t>
        </is>
      </c>
      <c r="V567">
        <f>IF(AND(OR(Dashboard!$C$6="All",E567=Dashboard!$C$6),OR(Dashboard!$F$6="All",G567=Dashboard!$F$6),OR(Dashboard!$I$6="All",H567=Dashboard!$I$6)),1,0)</f>
        <v/>
      </c>
    </row>
    <row r="568">
      <c r="A568" t="inlineStr">
        <is>
          <t>PF100559</t>
        </is>
      </c>
      <c r="B568" s="68" t="n">
        <v>45720</v>
      </c>
      <c r="C568" s="69" t="n">
        <v>2025</v>
      </c>
      <c r="D568" t="inlineStr">
        <is>
          <t>Mar</t>
        </is>
      </c>
      <c r="E568" t="inlineStr">
        <is>
          <t>Europe</t>
        </is>
      </c>
      <c r="F568" t="inlineStr">
        <is>
          <t>UK</t>
        </is>
      </c>
      <c r="G568" t="inlineStr">
        <is>
          <t>Comirnaty</t>
        </is>
      </c>
      <c r="H568" t="inlineStr">
        <is>
          <t>Hospital</t>
        </is>
      </c>
      <c r="I568" t="inlineStr">
        <is>
          <t>Public payer</t>
        </is>
      </c>
      <c r="J568" t="inlineStr">
        <is>
          <t>Emma Clarke</t>
        </is>
      </c>
      <c r="K568" s="70" t="n">
        <v>1740</v>
      </c>
      <c r="L568" s="71" t="n">
        <v>111.92</v>
      </c>
      <c r="M568" s="71" t="n">
        <v>194740.8</v>
      </c>
      <c r="N568" s="71" t="n">
        <v>29211.12</v>
      </c>
      <c r="O568" s="71" t="n">
        <v>165529.68</v>
      </c>
      <c r="P568" s="71" t="n">
        <v>68575.64999999999</v>
      </c>
      <c r="Q568" s="71" t="n">
        <v>96954.03</v>
      </c>
      <c r="R568" t="inlineStr">
        <is>
          <t>Vaccines</t>
        </is>
      </c>
      <c r="S568" s="70" t="n">
        <v>1104</v>
      </c>
      <c r="T568" s="71" t="n">
        <v>38503.54</v>
      </c>
      <c r="U568" t="inlineStr">
        <is>
          <t>Low</t>
        </is>
      </c>
      <c r="V568">
        <f>IF(AND(OR(Dashboard!$C$6="All",E568=Dashboard!$C$6),OR(Dashboard!$F$6="All",G568=Dashboard!$F$6),OR(Dashboard!$I$6="All",H568=Dashboard!$I$6)),1,0)</f>
        <v/>
      </c>
    </row>
    <row r="569">
      <c r="A569" t="inlineStr">
        <is>
          <t>PF100560</t>
        </is>
      </c>
      <c r="B569" s="68" t="n">
        <v>45720</v>
      </c>
      <c r="C569" s="69" t="n">
        <v>2025</v>
      </c>
      <c r="D569" t="inlineStr">
        <is>
          <t>Mar</t>
        </is>
      </c>
      <c r="E569" t="inlineStr">
        <is>
          <t>International developed</t>
        </is>
      </c>
      <c r="F569" t="inlineStr">
        <is>
          <t>Australia</t>
        </is>
      </c>
      <c r="G569" t="inlineStr">
        <is>
          <t>Abrysvo</t>
        </is>
      </c>
      <c r="H569" t="inlineStr">
        <is>
          <t>Hospital</t>
        </is>
      </c>
      <c r="I569" t="inlineStr">
        <is>
          <t>Private insurer</t>
        </is>
      </c>
      <c r="J569" t="inlineStr">
        <is>
          <t>Priya Nair</t>
        </is>
      </c>
      <c r="K569" s="70" t="n">
        <v>1651</v>
      </c>
      <c r="L569" s="71" t="n">
        <v>271.85</v>
      </c>
      <c r="M569" s="71" t="n">
        <v>448824.35</v>
      </c>
      <c r="N569" s="71" t="n">
        <v>67323.64999999999</v>
      </c>
      <c r="O569" s="71" t="n">
        <v>381500.7</v>
      </c>
      <c r="P569" s="71" t="n">
        <v>136745.76</v>
      </c>
      <c r="Q569" s="71" t="n">
        <v>244754.94</v>
      </c>
      <c r="R569" t="inlineStr">
        <is>
          <t>Vaccines</t>
        </is>
      </c>
      <c r="S569" s="70" t="n">
        <v>1138</v>
      </c>
      <c r="T569" s="71" t="n">
        <v>66528.74000000001</v>
      </c>
      <c r="U569" t="inlineStr">
        <is>
          <t>Low</t>
        </is>
      </c>
      <c r="V569">
        <f>IF(AND(OR(Dashboard!$C$6="All",E569=Dashboard!$C$6),OR(Dashboard!$F$6="All",G569=Dashboard!$F$6),OR(Dashboard!$I$6="All",H569=Dashboard!$I$6)),1,0)</f>
        <v/>
      </c>
    </row>
    <row r="570">
      <c r="A570" t="inlineStr">
        <is>
          <t>PF100561</t>
        </is>
      </c>
      <c r="B570" s="68" t="n">
        <v>45720</v>
      </c>
      <c r="C570" s="69" t="n">
        <v>2025</v>
      </c>
      <c r="D570" t="inlineStr">
        <is>
          <t>Mar</t>
        </is>
      </c>
      <c r="E570" t="inlineStr">
        <is>
          <t>Emerging markets</t>
        </is>
      </c>
      <c r="F570" t="inlineStr">
        <is>
          <t>India</t>
        </is>
      </c>
      <c r="G570" t="inlineStr">
        <is>
          <t>Xeljanz</t>
        </is>
      </c>
      <c r="H570" t="inlineStr">
        <is>
          <t>Hospital</t>
        </is>
      </c>
      <c r="I570" t="inlineStr">
        <is>
          <t>Private insurer</t>
        </is>
      </c>
      <c r="J570" t="inlineStr">
        <is>
          <t>Omar Haddad</t>
        </is>
      </c>
      <c r="K570" s="70" t="n">
        <v>1081</v>
      </c>
      <c r="L570" s="71" t="n">
        <v>1322.13</v>
      </c>
      <c r="M570" s="71" t="n">
        <v>1429222.53</v>
      </c>
      <c r="N570" s="71" t="n">
        <v>142922.25</v>
      </c>
      <c r="O570" s="71" t="n">
        <v>1286300.28</v>
      </c>
      <c r="P570" s="71" t="n">
        <v>266557.09</v>
      </c>
      <c r="Q570" s="71" t="n">
        <v>1019743.19</v>
      </c>
      <c r="R570" t="inlineStr">
        <is>
          <t>Inflammation</t>
        </is>
      </c>
      <c r="S570" s="70" t="n">
        <v>1006</v>
      </c>
      <c r="T570" s="71" t="n">
        <v>280886.23</v>
      </c>
      <c r="U570" t="inlineStr">
        <is>
          <t>High</t>
        </is>
      </c>
      <c r="V570">
        <f>IF(AND(OR(Dashboard!$C$6="All",E570=Dashboard!$C$6),OR(Dashboard!$F$6="All",G570=Dashboard!$F$6),OR(Dashboard!$I$6="All",H570=Dashboard!$I$6)),1,0)</f>
        <v/>
      </c>
    </row>
    <row r="571">
      <c r="A571" t="inlineStr">
        <is>
          <t>PF100562</t>
        </is>
      </c>
      <c r="B571" s="68" t="n">
        <v>45720</v>
      </c>
      <c r="C571" s="69" t="n">
        <v>2025</v>
      </c>
      <c r="D571" t="inlineStr">
        <is>
          <t>Mar</t>
        </is>
      </c>
      <c r="E571" t="inlineStr">
        <is>
          <t>Emerging markets</t>
        </is>
      </c>
      <c r="F571" t="inlineStr">
        <is>
          <t>Mexico</t>
        </is>
      </c>
      <c r="G571" t="inlineStr">
        <is>
          <t>Vyndaqel</t>
        </is>
      </c>
      <c r="H571" t="inlineStr">
        <is>
          <t>Hospital</t>
        </is>
      </c>
      <c r="I571" t="inlineStr">
        <is>
          <t>Private insurer</t>
        </is>
      </c>
      <c r="J571" t="inlineStr">
        <is>
          <t>Priya Nair</t>
        </is>
      </c>
      <c r="K571" s="70" t="n">
        <v>2240</v>
      </c>
      <c r="L571" s="71" t="n">
        <v>4925.78</v>
      </c>
      <c r="M571" s="71" t="n">
        <v>11033747.2</v>
      </c>
      <c r="N571" s="71" t="n">
        <v>551687.36</v>
      </c>
      <c r="O571" s="71" t="n">
        <v>10482059.84</v>
      </c>
      <c r="P571" s="71" t="n">
        <v>1396316.55</v>
      </c>
      <c r="Q571" s="71" t="n">
        <v>9085743.289999999</v>
      </c>
      <c r="R571" t="inlineStr">
        <is>
          <t>Rare disease</t>
        </is>
      </c>
      <c r="S571" s="70" t="n">
        <v>1539</v>
      </c>
      <c r="T571" s="71" t="n">
        <v>1524915.73</v>
      </c>
      <c r="U571" t="inlineStr">
        <is>
          <t>Medium</t>
        </is>
      </c>
      <c r="V571">
        <f>IF(AND(OR(Dashboard!$C$6="All",E571=Dashboard!$C$6),OR(Dashboard!$F$6="All",G571=Dashboard!$F$6),OR(Dashboard!$I$6="All",H571=Dashboard!$I$6)),1,0)</f>
        <v/>
      </c>
    </row>
    <row r="572">
      <c r="A572" t="inlineStr">
        <is>
          <t>PF100563</t>
        </is>
      </c>
      <c r="B572" s="68" t="n">
        <v>45720</v>
      </c>
      <c r="C572" s="69" t="n">
        <v>2025</v>
      </c>
      <c r="D572" t="inlineStr">
        <is>
          <t>Mar</t>
        </is>
      </c>
      <c r="E572" t="inlineStr">
        <is>
          <t>Emerging markets</t>
        </is>
      </c>
      <c r="F572" t="inlineStr">
        <is>
          <t>Brazil</t>
        </is>
      </c>
      <c r="G572" t="inlineStr">
        <is>
          <t>Eliquis</t>
        </is>
      </c>
      <c r="H572" t="inlineStr">
        <is>
          <t>Hospital</t>
        </is>
      </c>
      <c r="I572" t="inlineStr">
        <is>
          <t>Public payer</t>
        </is>
      </c>
      <c r="J572" t="inlineStr">
        <is>
          <t>Liam O'Brien</t>
        </is>
      </c>
      <c r="K572" s="70" t="n">
        <v>580</v>
      </c>
      <c r="L572" s="71" t="n">
        <v>412.21</v>
      </c>
      <c r="M572" s="71" t="n">
        <v>239081.8</v>
      </c>
      <c r="N572" s="71" t="n">
        <v>59770.45</v>
      </c>
      <c r="O572" s="71" t="n">
        <v>179311.35</v>
      </c>
      <c r="P572" s="71" t="n">
        <v>43696.66</v>
      </c>
      <c r="Q572" s="71" t="n">
        <v>135614.69</v>
      </c>
      <c r="R572" t="inlineStr">
        <is>
          <t>Cardiology</t>
        </is>
      </c>
      <c r="S572" s="70" t="n">
        <v>552</v>
      </c>
      <c r="T572" s="71" t="n">
        <v>48008.37</v>
      </c>
      <c r="U572" t="inlineStr">
        <is>
          <t>High</t>
        </is>
      </c>
      <c r="V572">
        <f>IF(AND(OR(Dashboard!$C$6="All",E572=Dashboard!$C$6),OR(Dashboard!$F$6="All",G572=Dashboard!$F$6),OR(Dashboard!$I$6="All",H572=Dashboard!$I$6)),1,0)</f>
        <v/>
      </c>
    </row>
    <row r="573">
      <c r="A573" t="inlineStr">
        <is>
          <t>PF100564</t>
        </is>
      </c>
      <c r="B573" s="68" t="n">
        <v>45721</v>
      </c>
      <c r="C573" s="69" t="n">
        <v>2025</v>
      </c>
      <c r="D573" t="inlineStr">
        <is>
          <t>Mar</t>
        </is>
      </c>
      <c r="E573" t="inlineStr">
        <is>
          <t>Emerging markets</t>
        </is>
      </c>
      <c r="F573" t="inlineStr">
        <is>
          <t>Mexico</t>
        </is>
      </c>
      <c r="G573" t="inlineStr">
        <is>
          <t>Paxlovid</t>
        </is>
      </c>
      <c r="H573" t="inlineStr">
        <is>
          <t>Hospital</t>
        </is>
      </c>
      <c r="I573" t="inlineStr">
        <is>
          <t>Private insurer</t>
        </is>
      </c>
      <c r="J573" t="inlineStr">
        <is>
          <t>Zoya Ahmed</t>
        </is>
      </c>
      <c r="K573" s="70" t="n">
        <v>507</v>
      </c>
      <c r="L573" s="71" t="n">
        <v>1181.91</v>
      </c>
      <c r="M573" s="71" t="n">
        <v>599228.37</v>
      </c>
      <c r="N573" s="71" t="n">
        <v>59922.84</v>
      </c>
      <c r="O573" s="71" t="n">
        <v>539305.53</v>
      </c>
      <c r="P573" s="71" t="n">
        <v>142768.66</v>
      </c>
      <c r="Q573" s="71" t="n">
        <v>396536.87</v>
      </c>
      <c r="R573" t="inlineStr">
        <is>
          <t>Antiviral</t>
        </is>
      </c>
      <c r="S573" s="70" t="n">
        <v>478</v>
      </c>
      <c r="T573" s="71" t="n">
        <v>116966.31</v>
      </c>
      <c r="U573" t="inlineStr">
        <is>
          <t>Low</t>
        </is>
      </c>
      <c r="V573">
        <f>IF(AND(OR(Dashboard!$C$6="All",E573=Dashboard!$C$6),OR(Dashboard!$F$6="All",G573=Dashboard!$F$6),OR(Dashboard!$I$6="All",H573=Dashboard!$I$6)),1,0)</f>
        <v/>
      </c>
    </row>
    <row r="574">
      <c r="A574" t="inlineStr">
        <is>
          <t>PF100565</t>
        </is>
      </c>
      <c r="B574" s="68" t="n">
        <v>45721</v>
      </c>
      <c r="C574" s="69" t="n">
        <v>2025</v>
      </c>
      <c r="D574" t="inlineStr">
        <is>
          <t>Mar</t>
        </is>
      </c>
      <c r="E574" t="inlineStr">
        <is>
          <t>United States</t>
        </is>
      </c>
      <c r="F574" t="inlineStr">
        <is>
          <t>USA</t>
        </is>
      </c>
      <c r="G574" t="inlineStr">
        <is>
          <t>Ibrance</t>
        </is>
      </c>
      <c r="H574" t="inlineStr">
        <is>
          <t>Hospital</t>
        </is>
      </c>
      <c r="I574" t="inlineStr">
        <is>
          <t>Private insurer</t>
        </is>
      </c>
      <c r="J574" t="inlineStr">
        <is>
          <t>Ravindra Patil</t>
        </is>
      </c>
      <c r="K574" s="70" t="n">
        <v>306</v>
      </c>
      <c r="L574" s="71" t="n">
        <v>4290.58</v>
      </c>
      <c r="M574" s="71" t="n">
        <v>1312917.48</v>
      </c>
      <c r="N574" s="71" t="n">
        <v>459521.12</v>
      </c>
      <c r="O574" s="71" t="n">
        <v>853396.36</v>
      </c>
      <c r="P574" s="71" t="n">
        <v>136751.74</v>
      </c>
      <c r="Q574" s="71" t="n">
        <v>716644.62</v>
      </c>
      <c r="R574" t="inlineStr">
        <is>
          <t>Oncology</t>
        </is>
      </c>
      <c r="S574" s="70" t="n">
        <v>286</v>
      </c>
      <c r="T574" s="71" t="n">
        <v>230052.09</v>
      </c>
      <c r="U574" t="inlineStr">
        <is>
          <t>High</t>
        </is>
      </c>
      <c r="V574">
        <f>IF(AND(OR(Dashboard!$C$6="All",E574=Dashboard!$C$6),OR(Dashboard!$F$6="All",G574=Dashboard!$F$6),OR(Dashboard!$I$6="All",H574=Dashboard!$I$6)),1,0)</f>
        <v/>
      </c>
    </row>
    <row r="575">
      <c r="A575" t="inlineStr">
        <is>
          <t>PF100566</t>
        </is>
      </c>
      <c r="B575" s="68" t="n">
        <v>45721</v>
      </c>
      <c r="C575" s="69" t="n">
        <v>2025</v>
      </c>
      <c r="D575" t="inlineStr">
        <is>
          <t>Mar</t>
        </is>
      </c>
      <c r="E575" t="inlineStr">
        <is>
          <t>United States</t>
        </is>
      </c>
      <c r="F575" t="inlineStr">
        <is>
          <t>USA</t>
        </is>
      </c>
      <c r="G575" t="inlineStr">
        <is>
          <t>Xeljanz</t>
        </is>
      </c>
      <c r="H575" t="inlineStr">
        <is>
          <t>Government / tender</t>
        </is>
      </c>
      <c r="I575" t="inlineStr">
        <is>
          <t>Private insurer</t>
        </is>
      </c>
      <c r="J575" t="inlineStr">
        <is>
          <t>Mei Lin</t>
        </is>
      </c>
      <c r="K575" s="70" t="n">
        <v>2790</v>
      </c>
      <c r="L575" s="71" t="n">
        <v>2320.43</v>
      </c>
      <c r="M575" s="71" t="n">
        <v>6473999.7</v>
      </c>
      <c r="N575" s="71" t="n">
        <v>2265899.9</v>
      </c>
      <c r="O575" s="71" t="n">
        <v>4208099.8</v>
      </c>
      <c r="P575" s="71" t="n">
        <v>695127.33</v>
      </c>
      <c r="Q575" s="71" t="n">
        <v>3512972.47</v>
      </c>
      <c r="R575" t="inlineStr">
        <is>
          <t>Inflammation</t>
        </is>
      </c>
      <c r="S575" s="70" t="n">
        <v>2325</v>
      </c>
      <c r="T575" s="71" t="n">
        <v>1208552.99</v>
      </c>
      <c r="U575" t="inlineStr">
        <is>
          <t>High</t>
        </is>
      </c>
      <c r="V575">
        <f>IF(AND(OR(Dashboard!$C$6="All",E575=Dashboard!$C$6),OR(Dashboard!$F$6="All",G575=Dashboard!$F$6),OR(Dashboard!$I$6="All",H575=Dashboard!$I$6)),1,0)</f>
        <v/>
      </c>
    </row>
    <row r="576">
      <c r="A576" t="inlineStr">
        <is>
          <t>PF100567</t>
        </is>
      </c>
      <c r="B576" s="68" t="n">
        <v>45721</v>
      </c>
      <c r="C576" s="69" t="n">
        <v>2025</v>
      </c>
      <c r="D576" t="inlineStr">
        <is>
          <t>Mar</t>
        </is>
      </c>
      <c r="E576" t="inlineStr">
        <is>
          <t>United States</t>
        </is>
      </c>
      <c r="F576" t="inlineStr">
        <is>
          <t>USA</t>
        </is>
      </c>
      <c r="G576" t="inlineStr">
        <is>
          <t>Paxlovid</t>
        </is>
      </c>
      <c r="H576" t="inlineStr">
        <is>
          <t>Retail pharmacy</t>
        </is>
      </c>
      <c r="I576" t="inlineStr">
        <is>
          <t>Private insurer</t>
        </is>
      </c>
      <c r="J576" t="inlineStr">
        <is>
          <t>Priya Nair</t>
        </is>
      </c>
      <c r="K576" s="70" t="n">
        <v>1719</v>
      </c>
      <c r="L576" s="71" t="n">
        <v>1637.33</v>
      </c>
      <c r="M576" s="71" t="n">
        <v>2814570.27</v>
      </c>
      <c r="N576" s="71" t="n">
        <v>985099.59</v>
      </c>
      <c r="O576" s="71" t="n">
        <v>1829470.68</v>
      </c>
      <c r="P576" s="71" t="n">
        <v>453927.2</v>
      </c>
      <c r="Q576" s="71" t="n">
        <v>1375543.48</v>
      </c>
      <c r="R576" t="inlineStr">
        <is>
          <t>Antiviral</t>
        </is>
      </c>
      <c r="S576" s="70" t="n">
        <v>1148</v>
      </c>
      <c r="T576" s="71" t="n">
        <v>461934.05</v>
      </c>
      <c r="U576" t="inlineStr">
        <is>
          <t>Low</t>
        </is>
      </c>
      <c r="V576">
        <f>IF(AND(OR(Dashboard!$C$6="All",E576=Dashboard!$C$6),OR(Dashboard!$F$6="All",G576=Dashboard!$F$6),OR(Dashboard!$I$6="All",H576=Dashboard!$I$6)),1,0)</f>
        <v/>
      </c>
    </row>
    <row r="577">
      <c r="A577" t="inlineStr">
        <is>
          <t>PF100568</t>
        </is>
      </c>
      <c r="B577" s="68" t="n">
        <v>45721</v>
      </c>
      <c r="C577" s="69" t="n">
        <v>2025</v>
      </c>
      <c r="D577" t="inlineStr">
        <is>
          <t>Mar</t>
        </is>
      </c>
      <c r="E577" t="inlineStr">
        <is>
          <t>United States</t>
        </is>
      </c>
      <c r="F577" t="inlineStr">
        <is>
          <t>USA</t>
        </is>
      </c>
      <c r="G577" t="inlineStr">
        <is>
          <t>Prevnar 20</t>
        </is>
      </c>
      <c r="H577" t="inlineStr">
        <is>
          <t>Government / tender</t>
        </is>
      </c>
      <c r="I577" t="inlineStr">
        <is>
          <t>Private insurer</t>
        </is>
      </c>
      <c r="J577" t="inlineStr">
        <is>
          <t>Sara Rossi</t>
        </is>
      </c>
      <c r="K577" s="70" t="n">
        <v>2143</v>
      </c>
      <c r="L577" s="71" t="n">
        <v>365.98</v>
      </c>
      <c r="M577" s="71" t="n">
        <v>784295.14</v>
      </c>
      <c r="N577" s="71" t="n">
        <v>117644.27</v>
      </c>
      <c r="O577" s="71" t="n">
        <v>666650.87</v>
      </c>
      <c r="P577" s="71" t="n">
        <v>148284.42</v>
      </c>
      <c r="Q577" s="71" t="n">
        <v>518366.45</v>
      </c>
      <c r="R577" t="inlineStr">
        <is>
          <t>Vaccines</t>
        </is>
      </c>
      <c r="S577" s="70" t="n">
        <v>1592</v>
      </c>
      <c r="T577" s="71" t="n">
        <v>162682.25</v>
      </c>
      <c r="U577" t="inlineStr">
        <is>
          <t>Low</t>
        </is>
      </c>
      <c r="V577">
        <f>IF(AND(OR(Dashboard!$C$6="All",E577=Dashboard!$C$6),OR(Dashboard!$F$6="All",G577=Dashboard!$F$6),OR(Dashboard!$I$6="All",H577=Dashboard!$I$6)),1,0)</f>
        <v/>
      </c>
    </row>
    <row r="578">
      <c r="A578" t="inlineStr">
        <is>
          <t>PF100569</t>
        </is>
      </c>
      <c r="B578" s="68" t="n">
        <v>45721</v>
      </c>
      <c r="C578" s="69" t="n">
        <v>2025</v>
      </c>
      <c r="D578" t="inlineStr">
        <is>
          <t>Mar</t>
        </is>
      </c>
      <c r="E578" t="inlineStr">
        <is>
          <t>Europe</t>
        </is>
      </c>
      <c r="F578" t="inlineStr">
        <is>
          <t>Spain</t>
        </is>
      </c>
      <c r="G578" t="inlineStr">
        <is>
          <t>Ibrance</t>
        </is>
      </c>
      <c r="H578" t="inlineStr">
        <is>
          <t>Hospital</t>
        </is>
      </c>
      <c r="I578" t="inlineStr">
        <is>
          <t>Public payer</t>
        </is>
      </c>
      <c r="J578" t="inlineStr">
        <is>
          <t>Ravindra Patil</t>
        </is>
      </c>
      <c r="K578" s="70" t="n">
        <v>2062</v>
      </c>
      <c r="L578" s="71" t="n">
        <v>3144.33</v>
      </c>
      <c r="M578" s="71" t="n">
        <v>6483608.46</v>
      </c>
      <c r="N578" s="71" t="n">
        <v>648360.85</v>
      </c>
      <c r="O578" s="71" t="n">
        <v>5835247.61</v>
      </c>
      <c r="P578" s="71" t="n">
        <v>901162.9300000001</v>
      </c>
      <c r="Q578" s="71" t="n">
        <v>4934084.68</v>
      </c>
      <c r="R578" t="inlineStr">
        <is>
          <t>Oncology</t>
        </is>
      </c>
      <c r="S578" s="70" t="n">
        <v>1463</v>
      </c>
      <c r="T578" s="71" t="n">
        <v>1302055.71</v>
      </c>
      <c r="U578" t="inlineStr">
        <is>
          <t>High</t>
        </is>
      </c>
      <c r="V578">
        <f>IF(AND(OR(Dashboard!$C$6="All",E578=Dashboard!$C$6),OR(Dashboard!$F$6="All",G578=Dashboard!$F$6),OR(Dashboard!$I$6="All",H578=Dashboard!$I$6)),1,0)</f>
        <v/>
      </c>
    </row>
    <row r="579">
      <c r="A579" t="inlineStr">
        <is>
          <t>PF100570</t>
        </is>
      </c>
      <c r="B579" s="68" t="n">
        <v>45721</v>
      </c>
      <c r="C579" s="69" t="n">
        <v>2025</v>
      </c>
      <c r="D579" t="inlineStr">
        <is>
          <t>Mar</t>
        </is>
      </c>
      <c r="E579" t="inlineStr">
        <is>
          <t>Emerging markets</t>
        </is>
      </c>
      <c r="F579" t="inlineStr">
        <is>
          <t>China</t>
        </is>
      </c>
      <c r="G579" t="inlineStr">
        <is>
          <t>Comirnaty</t>
        </is>
      </c>
      <c r="H579" t="inlineStr">
        <is>
          <t>Hospital</t>
        </is>
      </c>
      <c r="I579" t="inlineStr">
        <is>
          <t>Public payer</t>
        </is>
      </c>
      <c r="J579" t="inlineStr">
        <is>
          <t>Omar Haddad</t>
        </is>
      </c>
      <c r="K579" s="70" t="n">
        <v>388</v>
      </c>
      <c r="L579" s="71" t="n">
        <v>100.59</v>
      </c>
      <c r="M579" s="71" t="n">
        <v>39028.92</v>
      </c>
      <c r="N579" s="71" t="n">
        <v>7805.78</v>
      </c>
      <c r="O579" s="71" t="n">
        <v>31223.14</v>
      </c>
      <c r="P579" s="71" t="n">
        <v>14514.98</v>
      </c>
      <c r="Q579" s="71" t="n">
        <v>16708.16</v>
      </c>
      <c r="R579" t="inlineStr">
        <is>
          <t>Vaccines</t>
        </is>
      </c>
      <c r="S579" s="70" t="n">
        <v>254</v>
      </c>
      <c r="T579" s="71" t="n">
        <v>7230.49</v>
      </c>
      <c r="U579" t="inlineStr">
        <is>
          <t>Low</t>
        </is>
      </c>
      <c r="V579">
        <f>IF(AND(OR(Dashboard!$C$6="All",E579=Dashboard!$C$6),OR(Dashboard!$F$6="All",G579=Dashboard!$F$6),OR(Dashboard!$I$6="All",H579=Dashboard!$I$6)),1,0)</f>
        <v/>
      </c>
    </row>
    <row r="580">
      <c r="A580" t="inlineStr">
        <is>
          <t>PF100571</t>
        </is>
      </c>
      <c r="B580" s="68" t="n">
        <v>45721</v>
      </c>
      <c r="C580" s="69" t="n">
        <v>2025</v>
      </c>
      <c r="D580" t="inlineStr">
        <is>
          <t>Mar</t>
        </is>
      </c>
      <c r="E580" t="inlineStr">
        <is>
          <t>Europe</t>
        </is>
      </c>
      <c r="F580" t="inlineStr">
        <is>
          <t>Spain</t>
        </is>
      </c>
      <c r="G580" t="inlineStr">
        <is>
          <t>Eliquis</t>
        </is>
      </c>
      <c r="H580" t="inlineStr">
        <is>
          <t>Government / tender</t>
        </is>
      </c>
      <c r="I580" t="inlineStr">
        <is>
          <t>Private insurer</t>
        </is>
      </c>
      <c r="J580" t="inlineStr">
        <is>
          <t>Noah Smith</t>
        </is>
      </c>
      <c r="K580" s="70" t="n">
        <v>53</v>
      </c>
      <c r="L580" s="71" t="n">
        <v>387.11</v>
      </c>
      <c r="M580" s="71" t="n">
        <v>20516.83</v>
      </c>
      <c r="N580" s="71" t="n">
        <v>4103.37</v>
      </c>
      <c r="O580" s="71" t="n">
        <v>16413.46</v>
      </c>
      <c r="P580" s="71" t="n">
        <v>3901.25</v>
      </c>
      <c r="Q580" s="71" t="n">
        <v>12512.21</v>
      </c>
      <c r="R580" t="inlineStr">
        <is>
          <t>Cardiology</t>
        </is>
      </c>
      <c r="S580" s="70" t="n">
        <v>43</v>
      </c>
      <c r="T580" s="71" t="n">
        <v>3882.02</v>
      </c>
      <c r="U580" t="inlineStr">
        <is>
          <t>High</t>
        </is>
      </c>
      <c r="V580">
        <f>IF(AND(OR(Dashboard!$C$6="All",E580=Dashboard!$C$6),OR(Dashboard!$F$6="All",G580=Dashboard!$F$6),OR(Dashboard!$I$6="All",H580=Dashboard!$I$6)),1,0)</f>
        <v/>
      </c>
    </row>
    <row r="581">
      <c r="A581" t="inlineStr">
        <is>
          <t>PF100572</t>
        </is>
      </c>
      <c r="B581" s="68" t="n">
        <v>45722</v>
      </c>
      <c r="C581" s="69" t="n">
        <v>2025</v>
      </c>
      <c r="D581" t="inlineStr">
        <is>
          <t>Mar</t>
        </is>
      </c>
      <c r="E581" t="inlineStr">
        <is>
          <t>United States</t>
        </is>
      </c>
      <c r="F581" t="inlineStr">
        <is>
          <t>USA</t>
        </is>
      </c>
      <c r="G581" t="inlineStr">
        <is>
          <t>Xeljanz</t>
        </is>
      </c>
      <c r="H581" t="inlineStr">
        <is>
          <t>Retail pharmacy</t>
        </is>
      </c>
      <c r="I581" t="inlineStr">
        <is>
          <t>Private insurer</t>
        </is>
      </c>
      <c r="J581" t="inlineStr">
        <is>
          <t>Omar Haddad</t>
        </is>
      </c>
      <c r="K581" s="70" t="n">
        <v>1526</v>
      </c>
      <c r="L581" s="71" t="n">
        <v>2270.32</v>
      </c>
      <c r="M581" s="71" t="n">
        <v>3464508.32</v>
      </c>
      <c r="N581" s="71" t="n">
        <v>519676.25</v>
      </c>
      <c r="O581" s="71" t="n">
        <v>2944832.07</v>
      </c>
      <c r="P581" s="71" t="n">
        <v>382268.48</v>
      </c>
      <c r="Q581" s="71" t="n">
        <v>2562563.59</v>
      </c>
      <c r="R581" t="inlineStr">
        <is>
          <t>Inflammation</t>
        </is>
      </c>
      <c r="S581" s="70" t="n">
        <v>1435</v>
      </c>
      <c r="T581" s="71" t="n">
        <v>598167.97</v>
      </c>
      <c r="U581" t="inlineStr">
        <is>
          <t>High</t>
        </is>
      </c>
      <c r="V581">
        <f>IF(AND(OR(Dashboard!$C$6="All",E581=Dashboard!$C$6),OR(Dashboard!$F$6="All",G581=Dashboard!$F$6),OR(Dashboard!$I$6="All",H581=Dashboard!$I$6)),1,0)</f>
        <v/>
      </c>
    </row>
    <row r="582">
      <c r="A582" t="inlineStr">
        <is>
          <t>PF100573</t>
        </is>
      </c>
      <c r="B582" s="68" t="n">
        <v>45722</v>
      </c>
      <c r="C582" s="69" t="n">
        <v>2025</v>
      </c>
      <c r="D582" t="inlineStr">
        <is>
          <t>Mar</t>
        </is>
      </c>
      <c r="E582" t="inlineStr">
        <is>
          <t>Europe</t>
        </is>
      </c>
      <c r="F582" t="inlineStr">
        <is>
          <t>Germany</t>
        </is>
      </c>
      <c r="G582" t="inlineStr">
        <is>
          <t>Eliquis</t>
        </is>
      </c>
      <c r="H582" t="inlineStr">
        <is>
          <t>Government / tender</t>
        </is>
      </c>
      <c r="I582" t="inlineStr">
        <is>
          <t>Private insurer</t>
        </is>
      </c>
      <c r="J582" t="inlineStr">
        <is>
          <t>Olivia Brown</t>
        </is>
      </c>
      <c r="K582" s="70" t="n">
        <v>973</v>
      </c>
      <c r="L582" s="71" t="n">
        <v>381.95</v>
      </c>
      <c r="M582" s="71" t="n">
        <v>371637.35</v>
      </c>
      <c r="N582" s="71" t="n">
        <v>55745.6</v>
      </c>
      <c r="O582" s="71" t="n">
        <v>315891.75</v>
      </c>
      <c r="P582" s="71" t="n">
        <v>75548.34</v>
      </c>
      <c r="Q582" s="71" t="n">
        <v>240343.41</v>
      </c>
      <c r="R582" t="inlineStr">
        <is>
          <t>Cardiology</t>
        </is>
      </c>
      <c r="S582" s="70" t="n">
        <v>844</v>
      </c>
      <c r="T582" s="71" t="n">
        <v>57458.18</v>
      </c>
      <c r="U582" t="inlineStr">
        <is>
          <t>High</t>
        </is>
      </c>
      <c r="V582">
        <f>IF(AND(OR(Dashboard!$C$6="All",E582=Dashboard!$C$6),OR(Dashboard!$F$6="All",G582=Dashboard!$F$6),OR(Dashboard!$I$6="All",H582=Dashboard!$I$6)),1,0)</f>
        <v/>
      </c>
    </row>
    <row r="583">
      <c r="A583" t="inlineStr">
        <is>
          <t>PF100574</t>
        </is>
      </c>
      <c r="B583" s="68" t="n">
        <v>45722</v>
      </c>
      <c r="C583" s="69" t="n">
        <v>2025</v>
      </c>
      <c r="D583" t="inlineStr">
        <is>
          <t>Mar</t>
        </is>
      </c>
      <c r="E583" t="inlineStr">
        <is>
          <t>United States</t>
        </is>
      </c>
      <c r="F583" t="inlineStr">
        <is>
          <t>USA</t>
        </is>
      </c>
      <c r="G583" t="inlineStr">
        <is>
          <t>Comirnaty</t>
        </is>
      </c>
      <c r="H583" t="inlineStr">
        <is>
          <t>Government / tender</t>
        </is>
      </c>
      <c r="I583" t="inlineStr">
        <is>
          <t>Public payer</t>
        </is>
      </c>
      <c r="J583" t="inlineStr">
        <is>
          <t>Amir Khan</t>
        </is>
      </c>
      <c r="K583" s="70" t="n">
        <v>1394</v>
      </c>
      <c r="L583" s="71" t="n">
        <v>178.26</v>
      </c>
      <c r="M583" s="71" t="n">
        <v>248494.44</v>
      </c>
      <c r="N583" s="71" t="n">
        <v>37274.17</v>
      </c>
      <c r="O583" s="71" t="n">
        <v>211220.27</v>
      </c>
      <c r="P583" s="71" t="n">
        <v>53748.8</v>
      </c>
      <c r="Q583" s="71" t="n">
        <v>157471.47</v>
      </c>
      <c r="R583" t="inlineStr">
        <is>
          <t>Vaccines</t>
        </is>
      </c>
      <c r="S583" s="70" t="n">
        <v>941</v>
      </c>
      <c r="T583" s="71" t="n">
        <v>36034.58</v>
      </c>
      <c r="U583" t="inlineStr">
        <is>
          <t>Low</t>
        </is>
      </c>
      <c r="V583">
        <f>IF(AND(OR(Dashboard!$C$6="All",E583=Dashboard!$C$6),OR(Dashboard!$F$6="All",G583=Dashboard!$F$6),OR(Dashboard!$I$6="All",H583=Dashboard!$I$6)),1,0)</f>
        <v/>
      </c>
    </row>
    <row r="584">
      <c r="A584" t="inlineStr">
        <is>
          <t>PF100575</t>
        </is>
      </c>
      <c r="B584" s="68" t="n">
        <v>45722</v>
      </c>
      <c r="C584" s="69" t="n">
        <v>2025</v>
      </c>
      <c r="D584" t="inlineStr">
        <is>
          <t>Mar</t>
        </is>
      </c>
      <c r="E584" t="inlineStr">
        <is>
          <t>Europe</t>
        </is>
      </c>
      <c r="F584" t="inlineStr">
        <is>
          <t>Germany</t>
        </is>
      </c>
      <c r="G584" t="inlineStr">
        <is>
          <t>Eliquis</t>
        </is>
      </c>
      <c r="H584" t="inlineStr">
        <is>
          <t>Retail pharmacy</t>
        </is>
      </c>
      <c r="I584" t="inlineStr">
        <is>
          <t>Public payer</t>
        </is>
      </c>
      <c r="J584" t="inlineStr">
        <is>
          <t>Ruhi Shaikh</t>
        </is>
      </c>
      <c r="K584" s="70" t="n">
        <v>450</v>
      </c>
      <c r="L584" s="71" t="n">
        <v>448.13</v>
      </c>
      <c r="M584" s="71" t="n">
        <v>201658.5</v>
      </c>
      <c r="N584" s="71" t="n">
        <v>50414.62</v>
      </c>
      <c r="O584" s="71" t="n">
        <v>151243.88</v>
      </c>
      <c r="P584" s="71" t="n">
        <v>35288.94</v>
      </c>
      <c r="Q584" s="71" t="n">
        <v>115954.94</v>
      </c>
      <c r="R584" t="inlineStr">
        <is>
          <t>Cardiology</t>
        </is>
      </c>
      <c r="S584" s="70" t="n">
        <v>370</v>
      </c>
      <c r="T584" s="71" t="n">
        <v>42562.72</v>
      </c>
      <c r="U584" t="inlineStr">
        <is>
          <t>High</t>
        </is>
      </c>
      <c r="V584">
        <f>IF(AND(OR(Dashboard!$C$6="All",E584=Dashboard!$C$6),OR(Dashboard!$F$6="All",G584=Dashboard!$F$6),OR(Dashboard!$I$6="All",H584=Dashboard!$I$6)),1,0)</f>
        <v/>
      </c>
    </row>
    <row r="585">
      <c r="A585" t="inlineStr">
        <is>
          <t>PF100576</t>
        </is>
      </c>
      <c r="B585" s="68" t="n">
        <v>45722</v>
      </c>
      <c r="C585" s="69" t="n">
        <v>2025</v>
      </c>
      <c r="D585" t="inlineStr">
        <is>
          <t>Mar</t>
        </is>
      </c>
      <c r="E585" t="inlineStr">
        <is>
          <t>Emerging markets</t>
        </is>
      </c>
      <c r="F585" t="inlineStr">
        <is>
          <t>Brazil</t>
        </is>
      </c>
      <c r="G585" t="inlineStr">
        <is>
          <t>Comirnaty</t>
        </is>
      </c>
      <c r="H585" t="inlineStr">
        <is>
          <t>Government / tender</t>
        </is>
      </c>
      <c r="I585" t="inlineStr">
        <is>
          <t>Private insurer</t>
        </is>
      </c>
      <c r="J585" t="inlineStr">
        <is>
          <t>Sara Rossi</t>
        </is>
      </c>
      <c r="K585" s="70" t="n">
        <v>1215</v>
      </c>
      <c r="L585" s="71" t="n">
        <v>108.08</v>
      </c>
      <c r="M585" s="71" t="n">
        <v>131317.2</v>
      </c>
      <c r="N585" s="71" t="n">
        <v>13131.72</v>
      </c>
      <c r="O585" s="71" t="n">
        <v>118185.48</v>
      </c>
      <c r="P585" s="71" t="n">
        <v>45368.34</v>
      </c>
      <c r="Q585" s="71" t="n">
        <v>72817.14</v>
      </c>
      <c r="R585" t="inlineStr">
        <is>
          <t>Vaccines</t>
        </is>
      </c>
      <c r="S585" s="70" t="n">
        <v>771</v>
      </c>
      <c r="T585" s="71" t="n">
        <v>27054.11</v>
      </c>
      <c r="U585" t="inlineStr">
        <is>
          <t>Low</t>
        </is>
      </c>
      <c r="V585">
        <f>IF(AND(OR(Dashboard!$C$6="All",E585=Dashboard!$C$6),OR(Dashboard!$F$6="All",G585=Dashboard!$F$6),OR(Dashboard!$I$6="All",H585=Dashboard!$I$6)),1,0)</f>
        <v/>
      </c>
    </row>
    <row r="586">
      <c r="A586" t="inlineStr">
        <is>
          <t>PF100577</t>
        </is>
      </c>
      <c r="B586" s="68" t="n">
        <v>45722</v>
      </c>
      <c r="C586" s="69" t="n">
        <v>2025</v>
      </c>
      <c r="D586" t="inlineStr">
        <is>
          <t>Mar</t>
        </is>
      </c>
      <c r="E586" t="inlineStr">
        <is>
          <t>Europe</t>
        </is>
      </c>
      <c r="F586" t="inlineStr">
        <is>
          <t>Italy</t>
        </is>
      </c>
      <c r="G586" t="inlineStr">
        <is>
          <t>Prevnar 20</t>
        </is>
      </c>
      <c r="H586" t="inlineStr">
        <is>
          <t>Government / tender</t>
        </is>
      </c>
      <c r="I586" t="inlineStr">
        <is>
          <t>Private insurer</t>
        </is>
      </c>
      <c r="J586" t="inlineStr">
        <is>
          <t>Fatima Al-Saud</t>
        </is>
      </c>
      <c r="K586" s="70" t="n">
        <v>881</v>
      </c>
      <c r="L586" s="71" t="n">
        <v>247.95</v>
      </c>
      <c r="M586" s="71" t="n">
        <v>218443.95</v>
      </c>
      <c r="N586" s="71" t="n">
        <v>10922.2</v>
      </c>
      <c r="O586" s="71" t="n">
        <v>207521.75</v>
      </c>
      <c r="P586" s="71" t="n">
        <v>61507.62</v>
      </c>
      <c r="Q586" s="71" t="n">
        <v>146014.13</v>
      </c>
      <c r="R586" t="inlineStr">
        <is>
          <t>Vaccines</t>
        </is>
      </c>
      <c r="S586" s="70" t="n">
        <v>684</v>
      </c>
      <c r="T586" s="71" t="n">
        <v>40818.3</v>
      </c>
      <c r="U586" t="inlineStr">
        <is>
          <t>Low</t>
        </is>
      </c>
      <c r="V586">
        <f>IF(AND(OR(Dashboard!$C$6="All",E586=Dashboard!$C$6),OR(Dashboard!$F$6="All",G586=Dashboard!$F$6),OR(Dashboard!$I$6="All",H586=Dashboard!$I$6)),1,0)</f>
        <v/>
      </c>
    </row>
    <row r="587">
      <c r="A587" t="inlineStr">
        <is>
          <t>PF100578</t>
        </is>
      </c>
      <c r="B587" s="68" t="n">
        <v>45722</v>
      </c>
      <c r="C587" s="69" t="n">
        <v>2025</v>
      </c>
      <c r="D587" t="inlineStr">
        <is>
          <t>Mar</t>
        </is>
      </c>
      <c r="E587" t="inlineStr">
        <is>
          <t>United States</t>
        </is>
      </c>
      <c r="F587" t="inlineStr">
        <is>
          <t>USA</t>
        </is>
      </c>
      <c r="G587" t="inlineStr">
        <is>
          <t>Eliquis</t>
        </is>
      </c>
      <c r="H587" t="inlineStr">
        <is>
          <t>Retail pharmacy</t>
        </is>
      </c>
      <c r="I587" t="inlineStr">
        <is>
          <t>Public payer</t>
        </is>
      </c>
      <c r="J587" t="inlineStr">
        <is>
          <t>Amir Khan</t>
        </is>
      </c>
      <c r="K587" s="70" t="n">
        <v>1916</v>
      </c>
      <c r="L587" s="71" t="n">
        <v>687.76</v>
      </c>
      <c r="M587" s="71" t="n">
        <v>1317748.16</v>
      </c>
      <c r="N587" s="71" t="n">
        <v>461211.86</v>
      </c>
      <c r="O587" s="71" t="n">
        <v>856536.3</v>
      </c>
      <c r="P587" s="71" t="n">
        <v>148958.05</v>
      </c>
      <c r="Q587" s="71" t="n">
        <v>707578.25</v>
      </c>
      <c r="R587" t="inlineStr">
        <is>
          <t>Cardiology</t>
        </is>
      </c>
      <c r="S587" s="70" t="n">
        <v>1234</v>
      </c>
      <c r="T587" s="71" t="n">
        <v>217843.56</v>
      </c>
      <c r="U587" t="inlineStr">
        <is>
          <t>High</t>
        </is>
      </c>
      <c r="V587">
        <f>IF(AND(OR(Dashboard!$C$6="All",E587=Dashboard!$C$6),OR(Dashboard!$F$6="All",G587=Dashboard!$F$6),OR(Dashboard!$I$6="All",H587=Dashboard!$I$6)),1,0)</f>
        <v/>
      </c>
    </row>
    <row r="588">
      <c r="A588" t="inlineStr">
        <is>
          <t>PF100579</t>
        </is>
      </c>
      <c r="B588" s="68" t="n">
        <v>45722</v>
      </c>
      <c r="C588" s="69" t="n">
        <v>2025</v>
      </c>
      <c r="D588" t="inlineStr">
        <is>
          <t>Mar</t>
        </is>
      </c>
      <c r="E588" t="inlineStr">
        <is>
          <t>United States</t>
        </is>
      </c>
      <c r="F588" t="inlineStr">
        <is>
          <t>USA</t>
        </is>
      </c>
      <c r="G588" t="inlineStr">
        <is>
          <t>Prevnar 20</t>
        </is>
      </c>
      <c r="H588" t="inlineStr">
        <is>
          <t>Retail pharmacy</t>
        </is>
      </c>
      <c r="I588" t="inlineStr">
        <is>
          <t>Private insurer</t>
        </is>
      </c>
      <c r="J588" t="inlineStr">
        <is>
          <t>Ana Costa</t>
        </is>
      </c>
      <c r="K588" s="70" t="n">
        <v>2777</v>
      </c>
      <c r="L588" s="71" t="n">
        <v>337.82</v>
      </c>
      <c r="M588" s="71" t="n">
        <v>938126.14</v>
      </c>
      <c r="N588" s="71" t="n">
        <v>187625.23</v>
      </c>
      <c r="O588" s="71" t="n">
        <v>750500.91</v>
      </c>
      <c r="P588" s="71" t="n">
        <v>194556.07</v>
      </c>
      <c r="Q588" s="71" t="n">
        <v>555944.84</v>
      </c>
      <c r="R588" t="inlineStr">
        <is>
          <t>Vaccines</t>
        </is>
      </c>
      <c r="S588" s="70" t="n">
        <v>2738</v>
      </c>
      <c r="T588" s="71" t="n">
        <v>186912.77</v>
      </c>
      <c r="U588" t="inlineStr">
        <is>
          <t>Low</t>
        </is>
      </c>
      <c r="V588">
        <f>IF(AND(OR(Dashboard!$C$6="All",E588=Dashboard!$C$6),OR(Dashboard!$F$6="All",G588=Dashboard!$F$6),OR(Dashboard!$I$6="All",H588=Dashboard!$I$6)),1,0)</f>
        <v/>
      </c>
    </row>
    <row r="589">
      <c r="A589" t="inlineStr">
        <is>
          <t>PF100580</t>
        </is>
      </c>
      <c r="B589" s="68" t="n">
        <v>45722</v>
      </c>
      <c r="C589" s="69" t="n">
        <v>2025</v>
      </c>
      <c r="D589" t="inlineStr">
        <is>
          <t>Mar</t>
        </is>
      </c>
      <c r="E589" t="inlineStr">
        <is>
          <t>Europe</t>
        </is>
      </c>
      <c r="F589" t="inlineStr">
        <is>
          <t>UK</t>
        </is>
      </c>
      <c r="G589" t="inlineStr">
        <is>
          <t>Comirnaty</t>
        </is>
      </c>
      <c r="H589" t="inlineStr">
        <is>
          <t>Government / tender</t>
        </is>
      </c>
      <c r="I589" t="inlineStr">
        <is>
          <t>Private insurer</t>
        </is>
      </c>
      <c r="J589" t="inlineStr">
        <is>
          <t>Liam O'Brien</t>
        </is>
      </c>
      <c r="K589" s="70" t="n">
        <v>1762</v>
      </c>
      <c r="L589" s="71" t="n">
        <v>102.86</v>
      </c>
      <c r="M589" s="71" t="n">
        <v>181239.32</v>
      </c>
      <c r="N589" s="71" t="n">
        <v>45309.83</v>
      </c>
      <c r="O589" s="71" t="n">
        <v>135929.49</v>
      </c>
      <c r="P589" s="71" t="n">
        <v>68595.95</v>
      </c>
      <c r="Q589" s="71" t="n">
        <v>67333.53999999999</v>
      </c>
      <c r="R589" t="inlineStr">
        <is>
          <t>Vaccines</t>
        </is>
      </c>
      <c r="S589" s="70" t="n">
        <v>1290</v>
      </c>
      <c r="T589" s="71" t="n">
        <v>27749.81</v>
      </c>
      <c r="U589" t="inlineStr">
        <is>
          <t>Low</t>
        </is>
      </c>
      <c r="V589">
        <f>IF(AND(OR(Dashboard!$C$6="All",E589=Dashboard!$C$6),OR(Dashboard!$F$6="All",G589=Dashboard!$F$6),OR(Dashboard!$I$6="All",H589=Dashboard!$I$6)),1,0)</f>
        <v/>
      </c>
    </row>
    <row r="590">
      <c r="A590" t="inlineStr">
        <is>
          <t>PF100581</t>
        </is>
      </c>
      <c r="B590" s="68" t="n">
        <v>45722</v>
      </c>
      <c r="C590" s="69" t="n">
        <v>2025</v>
      </c>
      <c r="D590" t="inlineStr">
        <is>
          <t>Mar</t>
        </is>
      </c>
      <c r="E590" t="inlineStr">
        <is>
          <t>United States</t>
        </is>
      </c>
      <c r="F590" t="inlineStr">
        <is>
          <t>USA</t>
        </is>
      </c>
      <c r="G590" t="inlineStr">
        <is>
          <t>Vyndaqel</t>
        </is>
      </c>
      <c r="H590" t="inlineStr">
        <is>
          <t>Government / tender</t>
        </is>
      </c>
      <c r="I590" t="inlineStr">
        <is>
          <t>Public payer</t>
        </is>
      </c>
      <c r="J590" t="inlineStr">
        <is>
          <t>Shraddha Kulkarni</t>
        </is>
      </c>
      <c r="K590" s="70" t="n">
        <v>1701</v>
      </c>
      <c r="L590" s="71" t="n">
        <v>7899.94</v>
      </c>
      <c r="M590" s="71" t="n">
        <v>13437797.94</v>
      </c>
      <c r="N590" s="71" t="n">
        <v>2015669.69</v>
      </c>
      <c r="O590" s="71" t="n">
        <v>11422128.25</v>
      </c>
      <c r="P590" s="71" t="n">
        <v>1063920.6</v>
      </c>
      <c r="Q590" s="71" t="n">
        <v>10358207.65</v>
      </c>
      <c r="R590" t="inlineStr">
        <is>
          <t>Rare disease</t>
        </is>
      </c>
      <c r="S590" s="70" t="n">
        <v>1528</v>
      </c>
      <c r="T590" s="71" t="n">
        <v>1844136.84</v>
      </c>
      <c r="U590" t="inlineStr">
        <is>
          <t>Medium</t>
        </is>
      </c>
      <c r="V590">
        <f>IF(AND(OR(Dashboard!$C$6="All",E590=Dashboard!$C$6),OR(Dashboard!$F$6="All",G590=Dashboard!$F$6),OR(Dashboard!$I$6="All",H590=Dashboard!$I$6)),1,0)</f>
        <v/>
      </c>
    </row>
    <row r="591">
      <c r="A591" t="inlineStr">
        <is>
          <t>PF100582</t>
        </is>
      </c>
      <c r="B591" s="68" t="n">
        <v>45722</v>
      </c>
      <c r="C591" s="69" t="n">
        <v>2025</v>
      </c>
      <c r="D591" t="inlineStr">
        <is>
          <t>Mar</t>
        </is>
      </c>
      <c r="E591" t="inlineStr">
        <is>
          <t>Emerging markets</t>
        </is>
      </c>
      <c r="F591" t="inlineStr">
        <is>
          <t>Mexico</t>
        </is>
      </c>
      <c r="G591" t="inlineStr">
        <is>
          <t>Vyndaqel</t>
        </is>
      </c>
      <c r="H591" t="inlineStr">
        <is>
          <t>Government / tender</t>
        </is>
      </c>
      <c r="I591" t="inlineStr">
        <is>
          <t>Private insurer</t>
        </is>
      </c>
      <c r="J591" t="inlineStr">
        <is>
          <t>Yuki Sato</t>
        </is>
      </c>
      <c r="K591" s="70" t="n">
        <v>1177</v>
      </c>
      <c r="L591" s="71" t="n">
        <v>5137.38</v>
      </c>
      <c r="M591" s="71" t="n">
        <v>6046696.26</v>
      </c>
      <c r="N591" s="71" t="n">
        <v>302334.81</v>
      </c>
      <c r="O591" s="71" t="n">
        <v>5744361.45</v>
      </c>
      <c r="P591" s="71" t="n">
        <v>742844.89</v>
      </c>
      <c r="Q591" s="71" t="n">
        <v>5001516.56</v>
      </c>
      <c r="R591" t="inlineStr">
        <is>
          <t>Rare disease</t>
        </is>
      </c>
      <c r="S591" s="70" t="n">
        <v>770</v>
      </c>
      <c r="T591" s="71" t="n">
        <v>1229933.54</v>
      </c>
      <c r="U591" t="inlineStr">
        <is>
          <t>Medium</t>
        </is>
      </c>
      <c r="V591">
        <f>IF(AND(OR(Dashboard!$C$6="All",E591=Dashboard!$C$6),OR(Dashboard!$F$6="All",G591=Dashboard!$F$6),OR(Dashboard!$I$6="All",H591=Dashboard!$I$6)),1,0)</f>
        <v/>
      </c>
    </row>
    <row r="592">
      <c r="A592" t="inlineStr">
        <is>
          <t>PF100583</t>
        </is>
      </c>
      <c r="B592" s="68" t="n">
        <v>45722</v>
      </c>
      <c r="C592" s="69" t="n">
        <v>2025</v>
      </c>
      <c r="D592" t="inlineStr">
        <is>
          <t>Mar</t>
        </is>
      </c>
      <c r="E592" t="inlineStr">
        <is>
          <t>Emerging markets</t>
        </is>
      </c>
      <c r="F592" t="inlineStr">
        <is>
          <t>China</t>
        </is>
      </c>
      <c r="G592" t="inlineStr">
        <is>
          <t>Eliquis</t>
        </is>
      </c>
      <c r="H592" t="inlineStr">
        <is>
          <t>Hospital</t>
        </is>
      </c>
      <c r="I592" t="inlineStr">
        <is>
          <t>Public payer</t>
        </is>
      </c>
      <c r="J592" t="inlineStr">
        <is>
          <t>Wei Chen</t>
        </is>
      </c>
      <c r="K592" s="70" t="n">
        <v>1718</v>
      </c>
      <c r="L592" s="71" t="n">
        <v>447.22</v>
      </c>
      <c r="M592" s="71" t="n">
        <v>768323.96</v>
      </c>
      <c r="N592" s="71" t="n">
        <v>38416.2</v>
      </c>
      <c r="O592" s="71" t="n">
        <v>729907.76</v>
      </c>
      <c r="P592" s="71" t="n">
        <v>129278.92</v>
      </c>
      <c r="Q592" s="71" t="n">
        <v>600628.84</v>
      </c>
      <c r="R592" t="inlineStr">
        <is>
          <t>Cardiology</t>
        </is>
      </c>
      <c r="S592" s="70" t="n">
        <v>1492</v>
      </c>
      <c r="T592" s="71" t="n">
        <v>153331.98</v>
      </c>
      <c r="U592" t="inlineStr">
        <is>
          <t>High</t>
        </is>
      </c>
      <c r="V592">
        <f>IF(AND(OR(Dashboard!$C$6="All",E592=Dashboard!$C$6),OR(Dashboard!$F$6="All",G592=Dashboard!$F$6),OR(Dashboard!$I$6="All",H592=Dashboard!$I$6)),1,0)</f>
        <v/>
      </c>
    </row>
    <row r="593">
      <c r="A593" t="inlineStr">
        <is>
          <t>PF100584</t>
        </is>
      </c>
      <c r="B593" s="68" t="n">
        <v>45722</v>
      </c>
      <c r="C593" s="69" t="n">
        <v>2025</v>
      </c>
      <c r="D593" t="inlineStr">
        <is>
          <t>Mar</t>
        </is>
      </c>
      <c r="E593" t="inlineStr">
        <is>
          <t>United States</t>
        </is>
      </c>
      <c r="F593" t="inlineStr">
        <is>
          <t>USA</t>
        </is>
      </c>
      <c r="G593" t="inlineStr">
        <is>
          <t>Vyndaqel</t>
        </is>
      </c>
      <c r="H593" t="inlineStr">
        <is>
          <t>Retail pharmacy</t>
        </is>
      </c>
      <c r="I593" t="inlineStr">
        <is>
          <t>Public payer</t>
        </is>
      </c>
      <c r="J593" t="inlineStr">
        <is>
          <t>Amir Khan</t>
        </is>
      </c>
      <c r="K593" s="70" t="n">
        <v>1291</v>
      </c>
      <c r="L593" s="71" t="n">
        <v>7588.83</v>
      </c>
      <c r="M593" s="71" t="n">
        <v>9797179.529999999</v>
      </c>
      <c r="N593" s="71" t="n">
        <v>1959435.91</v>
      </c>
      <c r="O593" s="71" t="n">
        <v>7837743.62</v>
      </c>
      <c r="P593" s="71" t="n">
        <v>810084.08</v>
      </c>
      <c r="Q593" s="71" t="n">
        <v>7027659.54</v>
      </c>
      <c r="R593" t="inlineStr">
        <is>
          <t>Rare disease</t>
        </is>
      </c>
      <c r="S593" s="70" t="n">
        <v>903</v>
      </c>
      <c r="T593" s="71" t="n">
        <v>1985090.65</v>
      </c>
      <c r="U593" t="inlineStr">
        <is>
          <t>Medium</t>
        </is>
      </c>
      <c r="V593">
        <f>IF(AND(OR(Dashboard!$C$6="All",E593=Dashboard!$C$6),OR(Dashboard!$F$6="All",G593=Dashboard!$F$6),OR(Dashboard!$I$6="All",H593=Dashboard!$I$6)),1,0)</f>
        <v/>
      </c>
    </row>
    <row r="594">
      <c r="A594" t="inlineStr">
        <is>
          <t>PF100585</t>
        </is>
      </c>
      <c r="B594" s="68" t="n">
        <v>45723</v>
      </c>
      <c r="C594" s="69" t="n">
        <v>2025</v>
      </c>
      <c r="D594" t="inlineStr">
        <is>
          <t>Mar</t>
        </is>
      </c>
      <c r="E594" t="inlineStr">
        <is>
          <t>Europe</t>
        </is>
      </c>
      <c r="F594" t="inlineStr">
        <is>
          <t>UK</t>
        </is>
      </c>
      <c r="G594" t="inlineStr">
        <is>
          <t>Abrysvo</t>
        </is>
      </c>
      <c r="H594" t="inlineStr">
        <is>
          <t>Retail pharmacy</t>
        </is>
      </c>
      <c r="I594" t="inlineStr">
        <is>
          <t>Private insurer</t>
        </is>
      </c>
      <c r="J594" t="inlineStr">
        <is>
          <t>Zoya Ahmed</t>
        </is>
      </c>
      <c r="K594" s="70" t="n">
        <v>1966</v>
      </c>
      <c r="L594" s="71" t="n">
        <v>282.61</v>
      </c>
      <c r="M594" s="71" t="n">
        <v>555611.26</v>
      </c>
      <c r="N594" s="71" t="n">
        <v>111122.25</v>
      </c>
      <c r="O594" s="71" t="n">
        <v>444489.01</v>
      </c>
      <c r="P594" s="71" t="n">
        <v>163777.57</v>
      </c>
      <c r="Q594" s="71" t="n">
        <v>280711.44</v>
      </c>
      <c r="R594" t="inlineStr">
        <is>
          <t>Vaccines</t>
        </is>
      </c>
      <c r="S594" s="70" t="n">
        <v>1229</v>
      </c>
      <c r="T594" s="71" t="n">
        <v>68567.14</v>
      </c>
      <c r="U594" t="inlineStr">
        <is>
          <t>Low</t>
        </is>
      </c>
      <c r="V594">
        <f>IF(AND(OR(Dashboard!$C$6="All",E594=Dashboard!$C$6),OR(Dashboard!$F$6="All",G594=Dashboard!$F$6),OR(Dashboard!$I$6="All",H594=Dashboard!$I$6)),1,0)</f>
        <v/>
      </c>
    </row>
    <row r="595">
      <c r="A595" t="inlineStr">
        <is>
          <t>PF100586</t>
        </is>
      </c>
      <c r="B595" s="68" t="n">
        <v>45723</v>
      </c>
      <c r="C595" s="69" t="n">
        <v>2025</v>
      </c>
      <c r="D595" t="inlineStr">
        <is>
          <t>Mar</t>
        </is>
      </c>
      <c r="E595" t="inlineStr">
        <is>
          <t>Emerging markets</t>
        </is>
      </c>
      <c r="F595" t="inlineStr">
        <is>
          <t>Brazil</t>
        </is>
      </c>
      <c r="G595" t="inlineStr">
        <is>
          <t>Vyndaqel</t>
        </is>
      </c>
      <c r="H595" t="inlineStr">
        <is>
          <t>Hospital</t>
        </is>
      </c>
      <c r="I595" t="inlineStr">
        <is>
          <t>Private insurer</t>
        </is>
      </c>
      <c r="J595" t="inlineStr">
        <is>
          <t>Olivia Brown</t>
        </is>
      </c>
      <c r="K595" s="70" t="n">
        <v>461</v>
      </c>
      <c r="L595" s="71" t="n">
        <v>4683.66</v>
      </c>
      <c r="M595" s="71" t="n">
        <v>2159167.26</v>
      </c>
      <c r="N595" s="71" t="n">
        <v>107958.36</v>
      </c>
      <c r="O595" s="71" t="n">
        <v>2051208.9</v>
      </c>
      <c r="P595" s="71" t="n">
        <v>291525.31</v>
      </c>
      <c r="Q595" s="71" t="n">
        <v>1759683.59</v>
      </c>
      <c r="R595" t="inlineStr">
        <is>
          <t>Rare disease</t>
        </is>
      </c>
      <c r="S595" s="70" t="n">
        <v>386</v>
      </c>
      <c r="T595" s="71" t="n">
        <v>357522.46</v>
      </c>
      <c r="U595" t="inlineStr">
        <is>
          <t>Medium</t>
        </is>
      </c>
      <c r="V595">
        <f>IF(AND(OR(Dashboard!$C$6="All",E595=Dashboard!$C$6),OR(Dashboard!$F$6="All",G595=Dashboard!$F$6),OR(Dashboard!$I$6="All",H595=Dashboard!$I$6)),1,0)</f>
        <v/>
      </c>
    </row>
    <row r="596">
      <c r="A596" t="inlineStr">
        <is>
          <t>PF100587</t>
        </is>
      </c>
      <c r="B596" s="68" t="n">
        <v>45723</v>
      </c>
      <c r="C596" s="69" t="n">
        <v>2025</v>
      </c>
      <c r="D596" t="inlineStr">
        <is>
          <t>Mar</t>
        </is>
      </c>
      <c r="E596" t="inlineStr">
        <is>
          <t>Europe</t>
        </is>
      </c>
      <c r="F596" t="inlineStr">
        <is>
          <t>Germany</t>
        </is>
      </c>
      <c r="G596" t="inlineStr">
        <is>
          <t>Comirnaty</t>
        </is>
      </c>
      <c r="H596" t="inlineStr">
        <is>
          <t>Government / tender</t>
        </is>
      </c>
      <c r="I596" t="inlineStr">
        <is>
          <t>Private insurer</t>
        </is>
      </c>
      <c r="J596" t="inlineStr">
        <is>
          <t>Carlos Silva</t>
        </is>
      </c>
      <c r="K596" s="70" t="n">
        <v>236</v>
      </c>
      <c r="L596" s="71" t="n">
        <v>116.46</v>
      </c>
      <c r="M596" s="71" t="n">
        <v>27484.56</v>
      </c>
      <c r="N596" s="71" t="n">
        <v>2748.46</v>
      </c>
      <c r="O596" s="71" t="n">
        <v>24736.1</v>
      </c>
      <c r="P596" s="71" t="n">
        <v>8953.32</v>
      </c>
      <c r="Q596" s="71" t="n">
        <v>15782.78</v>
      </c>
      <c r="R596" t="inlineStr">
        <is>
          <t>Vaccines</t>
        </is>
      </c>
      <c r="S596" s="70" t="n">
        <v>180</v>
      </c>
      <c r="T596" s="71" t="n">
        <v>5817.23</v>
      </c>
      <c r="U596" t="inlineStr">
        <is>
          <t>Low</t>
        </is>
      </c>
      <c r="V596">
        <f>IF(AND(OR(Dashboard!$C$6="All",E596=Dashboard!$C$6),OR(Dashboard!$F$6="All",G596=Dashboard!$F$6),OR(Dashboard!$I$6="All",H596=Dashboard!$I$6)),1,0)</f>
        <v/>
      </c>
    </row>
    <row r="597">
      <c r="A597" t="inlineStr">
        <is>
          <t>PF100588</t>
        </is>
      </c>
      <c r="B597" s="68" t="n">
        <v>45723</v>
      </c>
      <c r="C597" s="69" t="n">
        <v>2025</v>
      </c>
      <c r="D597" t="inlineStr">
        <is>
          <t>Mar</t>
        </is>
      </c>
      <c r="E597" t="inlineStr">
        <is>
          <t>International developed</t>
        </is>
      </c>
      <c r="F597" t="inlineStr">
        <is>
          <t>Australia</t>
        </is>
      </c>
      <c r="G597" t="inlineStr">
        <is>
          <t>Comirnaty</t>
        </is>
      </c>
      <c r="H597" t="inlineStr">
        <is>
          <t>Government / tender</t>
        </is>
      </c>
      <c r="I597" t="inlineStr">
        <is>
          <t>Private insurer</t>
        </is>
      </c>
      <c r="J597" t="inlineStr">
        <is>
          <t>Priya Nair</t>
        </is>
      </c>
      <c r="K597" s="70" t="n">
        <v>556</v>
      </c>
      <c r="L597" s="71" t="n">
        <v>107.61</v>
      </c>
      <c r="M597" s="71" t="n">
        <v>59831.16</v>
      </c>
      <c r="N597" s="71" t="n">
        <v>5983.12</v>
      </c>
      <c r="O597" s="71" t="n">
        <v>53848.04</v>
      </c>
      <c r="P597" s="71" t="n">
        <v>20961.93</v>
      </c>
      <c r="Q597" s="71" t="n">
        <v>32886.11</v>
      </c>
      <c r="R597" t="inlineStr">
        <is>
          <t>Vaccines</t>
        </is>
      </c>
      <c r="S597" s="70" t="n">
        <v>513</v>
      </c>
      <c r="T597" s="71" t="n">
        <v>11524.11</v>
      </c>
      <c r="U597" t="inlineStr">
        <is>
          <t>Low</t>
        </is>
      </c>
      <c r="V597">
        <f>IF(AND(OR(Dashboard!$C$6="All",E597=Dashboard!$C$6),OR(Dashboard!$F$6="All",G597=Dashboard!$F$6),OR(Dashboard!$I$6="All",H597=Dashboard!$I$6)),1,0)</f>
        <v/>
      </c>
    </row>
    <row r="598">
      <c r="A598" t="inlineStr">
        <is>
          <t>PF100589</t>
        </is>
      </c>
      <c r="B598" s="68" t="n">
        <v>45723</v>
      </c>
      <c r="C598" s="69" t="n">
        <v>2025</v>
      </c>
      <c r="D598" t="inlineStr">
        <is>
          <t>Mar</t>
        </is>
      </c>
      <c r="E598" t="inlineStr">
        <is>
          <t>United States</t>
        </is>
      </c>
      <c r="F598" t="inlineStr">
        <is>
          <t>USA</t>
        </is>
      </c>
      <c r="G598" t="inlineStr">
        <is>
          <t>Xeljanz</t>
        </is>
      </c>
      <c r="H598" t="inlineStr">
        <is>
          <t>Retail pharmacy</t>
        </is>
      </c>
      <c r="I598" t="inlineStr">
        <is>
          <t>Private insurer</t>
        </is>
      </c>
      <c r="J598" t="inlineStr">
        <is>
          <t>Lucas Martin</t>
        </is>
      </c>
      <c r="K598" s="70" t="n">
        <v>1079</v>
      </c>
      <c r="L598" s="71" t="n">
        <v>2125.86</v>
      </c>
      <c r="M598" s="71" t="n">
        <v>2293802.94</v>
      </c>
      <c r="N598" s="71" t="n">
        <v>802831.03</v>
      </c>
      <c r="O598" s="71" t="n">
        <v>1490971.91</v>
      </c>
      <c r="P598" s="71" t="n">
        <v>277637.12</v>
      </c>
      <c r="Q598" s="71" t="n">
        <v>1213334.79</v>
      </c>
      <c r="R598" t="inlineStr">
        <is>
          <t>Inflammation</t>
        </is>
      </c>
      <c r="S598" s="70" t="n">
        <v>780</v>
      </c>
      <c r="T598" s="71" t="n">
        <v>412671.79</v>
      </c>
      <c r="U598" t="inlineStr">
        <is>
          <t>High</t>
        </is>
      </c>
      <c r="V598">
        <f>IF(AND(OR(Dashboard!$C$6="All",E598=Dashboard!$C$6),OR(Dashboard!$F$6="All",G598=Dashboard!$F$6),OR(Dashboard!$I$6="All",H598=Dashboard!$I$6)),1,0)</f>
        <v/>
      </c>
    </row>
    <row r="599">
      <c r="A599" t="inlineStr">
        <is>
          <t>PF100590</t>
        </is>
      </c>
      <c r="B599" s="68" t="n">
        <v>45723</v>
      </c>
      <c r="C599" s="69" t="n">
        <v>2025</v>
      </c>
      <c r="D599" t="inlineStr">
        <is>
          <t>Mar</t>
        </is>
      </c>
      <c r="E599" t="inlineStr">
        <is>
          <t>United States</t>
        </is>
      </c>
      <c r="F599" t="inlineStr">
        <is>
          <t>USA</t>
        </is>
      </c>
      <c r="G599" t="inlineStr">
        <is>
          <t>Prevnar 20</t>
        </is>
      </c>
      <c r="H599" t="inlineStr">
        <is>
          <t>Hospital</t>
        </is>
      </c>
      <c r="I599" t="inlineStr">
        <is>
          <t>Public payer</t>
        </is>
      </c>
      <c r="J599" t="inlineStr">
        <is>
          <t>Fatima Al-Saud</t>
        </is>
      </c>
      <c r="K599" s="70" t="n">
        <v>2865</v>
      </c>
      <c r="L599" s="71" t="n">
        <v>334.18</v>
      </c>
      <c r="M599" s="71" t="n">
        <v>957425.7</v>
      </c>
      <c r="N599" s="71" t="n">
        <v>335098.99</v>
      </c>
      <c r="O599" s="71" t="n">
        <v>622326.71</v>
      </c>
      <c r="P599" s="71" t="n">
        <v>194803.66</v>
      </c>
      <c r="Q599" s="71" t="n">
        <v>427523.05</v>
      </c>
      <c r="R599" t="inlineStr">
        <is>
          <t>Vaccines</t>
        </is>
      </c>
      <c r="S599" s="70" t="n">
        <v>2338</v>
      </c>
      <c r="T599" s="71" t="n">
        <v>175411.95</v>
      </c>
      <c r="U599" t="inlineStr">
        <is>
          <t>Low</t>
        </is>
      </c>
      <c r="V599">
        <f>IF(AND(OR(Dashboard!$C$6="All",E599=Dashboard!$C$6),OR(Dashboard!$F$6="All",G599=Dashboard!$F$6),OR(Dashboard!$I$6="All",H599=Dashboard!$I$6)),1,0)</f>
        <v/>
      </c>
    </row>
    <row r="600">
      <c r="A600" t="inlineStr">
        <is>
          <t>PF100591</t>
        </is>
      </c>
      <c r="B600" s="68" t="n">
        <v>45723</v>
      </c>
      <c r="C600" s="69" t="n">
        <v>2025</v>
      </c>
      <c r="D600" t="inlineStr">
        <is>
          <t>Mar</t>
        </is>
      </c>
      <c r="E600" t="inlineStr">
        <is>
          <t>Europe</t>
        </is>
      </c>
      <c r="F600" t="inlineStr">
        <is>
          <t>Germany</t>
        </is>
      </c>
      <c r="G600" t="inlineStr">
        <is>
          <t>Paxlovid</t>
        </is>
      </c>
      <c r="H600" t="inlineStr">
        <is>
          <t>Retail pharmacy</t>
        </is>
      </c>
      <c r="I600" t="inlineStr">
        <is>
          <t>Public payer</t>
        </is>
      </c>
      <c r="J600" t="inlineStr">
        <is>
          <t>Arjun Mehta</t>
        </is>
      </c>
      <c r="K600" s="70" t="n">
        <v>2116</v>
      </c>
      <c r="L600" s="71" t="n">
        <v>1116.6</v>
      </c>
      <c r="M600" s="71" t="n">
        <v>2362725.6</v>
      </c>
      <c r="N600" s="71" t="n">
        <v>472545.12</v>
      </c>
      <c r="O600" s="71" t="n">
        <v>1890180.48</v>
      </c>
      <c r="P600" s="71" t="n">
        <v>567655.12</v>
      </c>
      <c r="Q600" s="71" t="n">
        <v>1322525.36</v>
      </c>
      <c r="R600" t="inlineStr">
        <is>
          <t>Antiviral</t>
        </is>
      </c>
      <c r="S600" s="70" t="n">
        <v>1542</v>
      </c>
      <c r="T600" s="71" t="n">
        <v>429048.21</v>
      </c>
      <c r="U600" t="inlineStr">
        <is>
          <t>Low</t>
        </is>
      </c>
      <c r="V600">
        <f>IF(AND(OR(Dashboard!$C$6="All",E600=Dashboard!$C$6),OR(Dashboard!$F$6="All",G600=Dashboard!$F$6),OR(Dashboard!$I$6="All",H600=Dashboard!$I$6)),1,0)</f>
        <v/>
      </c>
    </row>
    <row r="601">
      <c r="A601" t="inlineStr">
        <is>
          <t>PF100592</t>
        </is>
      </c>
      <c r="B601" s="68" t="n">
        <v>45724</v>
      </c>
      <c r="C601" s="69" t="n">
        <v>2025</v>
      </c>
      <c r="D601" t="inlineStr">
        <is>
          <t>Mar</t>
        </is>
      </c>
      <c r="E601" t="inlineStr">
        <is>
          <t>United States</t>
        </is>
      </c>
      <c r="F601" t="inlineStr">
        <is>
          <t>USA</t>
        </is>
      </c>
      <c r="G601" t="inlineStr">
        <is>
          <t>Xeljanz</t>
        </is>
      </c>
      <c r="H601" t="inlineStr">
        <is>
          <t>Hospital</t>
        </is>
      </c>
      <c r="I601" t="inlineStr">
        <is>
          <t>Public payer</t>
        </is>
      </c>
      <c r="J601" t="inlineStr">
        <is>
          <t>Arjun Mehta</t>
        </is>
      </c>
      <c r="K601" s="70" t="n">
        <v>2518</v>
      </c>
      <c r="L601" s="71" t="n">
        <v>2084.94</v>
      </c>
      <c r="M601" s="71" t="n">
        <v>5249878.92</v>
      </c>
      <c r="N601" s="71" t="n">
        <v>1312469.73</v>
      </c>
      <c r="O601" s="71" t="n">
        <v>3937409.19</v>
      </c>
      <c r="P601" s="71" t="n">
        <v>651204.25</v>
      </c>
      <c r="Q601" s="71" t="n">
        <v>3286204.94</v>
      </c>
      <c r="R601" t="inlineStr">
        <is>
          <t>Inflammation</t>
        </is>
      </c>
      <c r="S601" s="70" t="n">
        <v>1709</v>
      </c>
      <c r="T601" s="71" t="n">
        <v>807678.48</v>
      </c>
      <c r="U601" t="inlineStr">
        <is>
          <t>High</t>
        </is>
      </c>
      <c r="V601">
        <f>IF(AND(OR(Dashboard!$C$6="All",E601=Dashboard!$C$6),OR(Dashboard!$F$6="All",G601=Dashboard!$F$6),OR(Dashboard!$I$6="All",H601=Dashboard!$I$6)),1,0)</f>
        <v/>
      </c>
    </row>
    <row r="602">
      <c r="A602" t="inlineStr">
        <is>
          <t>PF100593</t>
        </is>
      </c>
      <c r="B602" s="68" t="n">
        <v>45724</v>
      </c>
      <c r="C602" s="69" t="n">
        <v>2025</v>
      </c>
      <c r="D602" t="inlineStr">
        <is>
          <t>Mar</t>
        </is>
      </c>
      <c r="E602" t="inlineStr">
        <is>
          <t>Europe</t>
        </is>
      </c>
      <c r="F602" t="inlineStr">
        <is>
          <t>France</t>
        </is>
      </c>
      <c r="G602" t="inlineStr">
        <is>
          <t>Eliquis</t>
        </is>
      </c>
      <c r="H602" t="inlineStr">
        <is>
          <t>Retail pharmacy</t>
        </is>
      </c>
      <c r="I602" t="inlineStr">
        <is>
          <t>Public payer</t>
        </is>
      </c>
      <c r="J602" t="inlineStr">
        <is>
          <t>Emma Clarke</t>
        </is>
      </c>
      <c r="K602" s="70" t="n">
        <v>1163</v>
      </c>
      <c r="L602" s="71" t="n">
        <v>381.88</v>
      </c>
      <c r="M602" s="71" t="n">
        <v>444126.44</v>
      </c>
      <c r="N602" s="71" t="n">
        <v>44412.64</v>
      </c>
      <c r="O602" s="71" t="n">
        <v>399713.8</v>
      </c>
      <c r="P602" s="71" t="n">
        <v>87194.63</v>
      </c>
      <c r="Q602" s="71" t="n">
        <v>312519.17</v>
      </c>
      <c r="R602" t="inlineStr">
        <is>
          <t>Cardiology</t>
        </is>
      </c>
      <c r="S602" s="70" t="n">
        <v>1104</v>
      </c>
      <c r="T602" s="71" t="n">
        <v>55599.95</v>
      </c>
      <c r="U602" t="inlineStr">
        <is>
          <t>High</t>
        </is>
      </c>
      <c r="V602">
        <f>IF(AND(OR(Dashboard!$C$6="All",E602=Dashboard!$C$6),OR(Dashboard!$F$6="All",G602=Dashboard!$F$6),OR(Dashboard!$I$6="All",H602=Dashboard!$I$6)),1,0)</f>
        <v/>
      </c>
    </row>
    <row r="603">
      <c r="A603" t="inlineStr">
        <is>
          <t>PF100594</t>
        </is>
      </c>
      <c r="B603" s="68" t="n">
        <v>45724</v>
      </c>
      <c r="C603" s="69" t="n">
        <v>2025</v>
      </c>
      <c r="D603" t="inlineStr">
        <is>
          <t>Mar</t>
        </is>
      </c>
      <c r="E603" t="inlineStr">
        <is>
          <t>Emerging markets</t>
        </is>
      </c>
      <c r="F603" t="inlineStr">
        <is>
          <t>China</t>
        </is>
      </c>
      <c r="G603" t="inlineStr">
        <is>
          <t>Eliquis</t>
        </is>
      </c>
      <c r="H603" t="inlineStr">
        <is>
          <t>Retail pharmacy</t>
        </is>
      </c>
      <c r="I603" t="inlineStr">
        <is>
          <t>Private insurer</t>
        </is>
      </c>
      <c r="J603" t="inlineStr">
        <is>
          <t>Fatima Al-Saud</t>
        </is>
      </c>
      <c r="K603" s="70" t="n">
        <v>2045</v>
      </c>
      <c r="L603" s="71" t="n">
        <v>417.39</v>
      </c>
      <c r="M603" s="71" t="n">
        <v>853562.55</v>
      </c>
      <c r="N603" s="71" t="n">
        <v>170712.51</v>
      </c>
      <c r="O603" s="71" t="n">
        <v>682850.04</v>
      </c>
      <c r="P603" s="71" t="n">
        <v>151374.68</v>
      </c>
      <c r="Q603" s="71" t="n">
        <v>531475.36</v>
      </c>
      <c r="R603" t="inlineStr">
        <is>
          <t>Cardiology</t>
        </is>
      </c>
      <c r="S603" s="70" t="n">
        <v>1728</v>
      </c>
      <c r="T603" s="71" t="n">
        <v>144244.69</v>
      </c>
      <c r="U603" t="inlineStr">
        <is>
          <t>High</t>
        </is>
      </c>
      <c r="V603">
        <f>IF(AND(OR(Dashboard!$C$6="All",E603=Dashboard!$C$6),OR(Dashboard!$F$6="All",G603=Dashboard!$F$6),OR(Dashboard!$I$6="All",H603=Dashboard!$I$6)),1,0)</f>
        <v/>
      </c>
    </row>
    <row r="604">
      <c r="A604" t="inlineStr">
        <is>
          <t>PF100595</t>
        </is>
      </c>
      <c r="B604" s="68" t="n">
        <v>45724</v>
      </c>
      <c r="C604" s="69" t="n">
        <v>2025</v>
      </c>
      <c r="D604" t="inlineStr">
        <is>
          <t>Mar</t>
        </is>
      </c>
      <c r="E604" t="inlineStr">
        <is>
          <t>United States</t>
        </is>
      </c>
      <c r="F604" t="inlineStr">
        <is>
          <t>USA</t>
        </is>
      </c>
      <c r="G604" t="inlineStr">
        <is>
          <t>Abrysvo</t>
        </is>
      </c>
      <c r="H604" t="inlineStr">
        <is>
          <t>Government / tender</t>
        </is>
      </c>
      <c r="I604" t="inlineStr">
        <is>
          <t>Private insurer</t>
        </is>
      </c>
      <c r="J604" t="inlineStr">
        <is>
          <t>Arjun Mehta</t>
        </is>
      </c>
      <c r="K604" s="70" t="n">
        <v>2777</v>
      </c>
      <c r="L604" s="71" t="n">
        <v>446.35</v>
      </c>
      <c r="M604" s="71" t="n">
        <v>1239513.95</v>
      </c>
      <c r="N604" s="71" t="n">
        <v>433829.88</v>
      </c>
      <c r="O604" s="71" t="n">
        <v>805684.0699999999</v>
      </c>
      <c r="P604" s="71" t="n">
        <v>234991.19</v>
      </c>
      <c r="Q604" s="71" t="n">
        <v>570692.88</v>
      </c>
      <c r="R604" t="inlineStr">
        <is>
          <t>Vaccines</t>
        </is>
      </c>
      <c r="S604" s="70" t="n">
        <v>2106</v>
      </c>
      <c r="T604" s="71" t="n">
        <v>216356.13</v>
      </c>
      <c r="U604" t="inlineStr">
        <is>
          <t>Low</t>
        </is>
      </c>
      <c r="V604">
        <f>IF(AND(OR(Dashboard!$C$6="All",E604=Dashboard!$C$6),OR(Dashboard!$F$6="All",G604=Dashboard!$F$6),OR(Dashboard!$I$6="All",H604=Dashboard!$I$6)),1,0)</f>
        <v/>
      </c>
    </row>
    <row r="605">
      <c r="A605" t="inlineStr">
        <is>
          <t>PF100596</t>
        </is>
      </c>
      <c r="B605" s="68" t="n">
        <v>45724</v>
      </c>
      <c r="C605" s="69" t="n">
        <v>2025</v>
      </c>
      <c r="D605" t="inlineStr">
        <is>
          <t>Mar</t>
        </is>
      </c>
      <c r="E605" t="inlineStr">
        <is>
          <t>International developed</t>
        </is>
      </c>
      <c r="F605" t="inlineStr">
        <is>
          <t>Japan</t>
        </is>
      </c>
      <c r="G605" t="inlineStr">
        <is>
          <t>Eliquis</t>
        </is>
      </c>
      <c r="H605" t="inlineStr">
        <is>
          <t>Retail pharmacy</t>
        </is>
      </c>
      <c r="I605" t="inlineStr">
        <is>
          <t>Public payer</t>
        </is>
      </c>
      <c r="J605" t="inlineStr">
        <is>
          <t>Carlos Silva</t>
        </is>
      </c>
      <c r="K605" s="70" t="n">
        <v>475</v>
      </c>
      <c r="L605" s="71" t="n">
        <v>419.15</v>
      </c>
      <c r="M605" s="71" t="n">
        <v>199096.25</v>
      </c>
      <c r="N605" s="71" t="n">
        <v>49774.06</v>
      </c>
      <c r="O605" s="71" t="n">
        <v>149322.19</v>
      </c>
      <c r="P605" s="71" t="n">
        <v>36086.78</v>
      </c>
      <c r="Q605" s="71" t="n">
        <v>113235.41</v>
      </c>
      <c r="R605" t="inlineStr">
        <is>
          <t>Cardiology</t>
        </is>
      </c>
      <c r="S605" s="70" t="n">
        <v>435</v>
      </c>
      <c r="T605" s="71" t="n">
        <v>41400.12</v>
      </c>
      <c r="U605" t="inlineStr">
        <is>
          <t>High</t>
        </is>
      </c>
      <c r="V605">
        <f>IF(AND(OR(Dashboard!$C$6="All",E605=Dashboard!$C$6),OR(Dashboard!$F$6="All",G605=Dashboard!$F$6),OR(Dashboard!$I$6="All",H605=Dashboard!$I$6)),1,0)</f>
        <v/>
      </c>
    </row>
    <row r="606">
      <c r="A606" t="inlineStr">
        <is>
          <t>PF100597</t>
        </is>
      </c>
      <c r="B606" s="68" t="n">
        <v>45725</v>
      </c>
      <c r="C606" s="69" t="n">
        <v>2025</v>
      </c>
      <c r="D606" t="inlineStr">
        <is>
          <t>Mar</t>
        </is>
      </c>
      <c r="E606" t="inlineStr">
        <is>
          <t>United States</t>
        </is>
      </c>
      <c r="F606" t="inlineStr">
        <is>
          <t>USA</t>
        </is>
      </c>
      <c r="G606" t="inlineStr">
        <is>
          <t>Prevnar 20</t>
        </is>
      </c>
      <c r="H606" t="inlineStr">
        <is>
          <t>Hospital</t>
        </is>
      </c>
      <c r="I606" t="inlineStr">
        <is>
          <t>Public payer</t>
        </is>
      </c>
      <c r="J606" t="inlineStr">
        <is>
          <t>Noah Smith</t>
        </is>
      </c>
      <c r="K606" s="70" t="n">
        <v>2922</v>
      </c>
      <c r="L606" s="71" t="n">
        <v>367.2</v>
      </c>
      <c r="M606" s="71" t="n">
        <v>1072958.4</v>
      </c>
      <c r="N606" s="71" t="n">
        <v>321887.52</v>
      </c>
      <c r="O606" s="71" t="n">
        <v>751070.88</v>
      </c>
      <c r="P606" s="71" t="n">
        <v>208951.59</v>
      </c>
      <c r="Q606" s="71" t="n">
        <v>542119.29</v>
      </c>
      <c r="R606" t="inlineStr">
        <is>
          <t>Vaccines</t>
        </is>
      </c>
      <c r="S606" s="70" t="n">
        <v>2394</v>
      </c>
      <c r="T606" s="71" t="n">
        <v>157313.42</v>
      </c>
      <c r="U606" t="inlineStr">
        <is>
          <t>Low</t>
        </is>
      </c>
      <c r="V606">
        <f>IF(AND(OR(Dashboard!$C$6="All",E606=Dashboard!$C$6),OR(Dashboard!$F$6="All",G606=Dashboard!$F$6),OR(Dashboard!$I$6="All",H606=Dashboard!$I$6)),1,0)</f>
        <v/>
      </c>
    </row>
    <row r="607">
      <c r="A607" t="inlineStr">
        <is>
          <t>PF100598</t>
        </is>
      </c>
      <c r="B607" s="68" t="n">
        <v>45725</v>
      </c>
      <c r="C607" s="69" t="n">
        <v>2025</v>
      </c>
      <c r="D607" t="inlineStr">
        <is>
          <t>Mar</t>
        </is>
      </c>
      <c r="E607" t="inlineStr">
        <is>
          <t>Europe</t>
        </is>
      </c>
      <c r="F607" t="inlineStr">
        <is>
          <t>Germany</t>
        </is>
      </c>
      <c r="G607" t="inlineStr">
        <is>
          <t>Ibrance</t>
        </is>
      </c>
      <c r="H607" t="inlineStr">
        <is>
          <t>Government / tender</t>
        </is>
      </c>
      <c r="I607" t="inlineStr">
        <is>
          <t>Private insurer</t>
        </is>
      </c>
      <c r="J607" t="inlineStr">
        <is>
          <t>Emma Clarke</t>
        </is>
      </c>
      <c r="K607" s="70" t="n">
        <v>2336</v>
      </c>
      <c r="L607" s="71" t="n">
        <v>2688.59</v>
      </c>
      <c r="M607" s="71" t="n">
        <v>6280546.24</v>
      </c>
      <c r="N607" s="71" t="n">
        <v>628054.62</v>
      </c>
      <c r="O607" s="71" t="n">
        <v>5652491.62</v>
      </c>
      <c r="P607" s="71" t="n">
        <v>1047910.16</v>
      </c>
      <c r="Q607" s="71" t="n">
        <v>4604581.46</v>
      </c>
      <c r="R607" t="inlineStr">
        <is>
          <t>Oncology</t>
        </is>
      </c>
      <c r="S607" s="70" t="n">
        <v>1598</v>
      </c>
      <c r="T607" s="71" t="n">
        <v>919333.55</v>
      </c>
      <c r="U607" t="inlineStr">
        <is>
          <t>High</t>
        </is>
      </c>
      <c r="V607">
        <f>IF(AND(OR(Dashboard!$C$6="All",E607=Dashboard!$C$6),OR(Dashboard!$F$6="All",G607=Dashboard!$F$6),OR(Dashboard!$I$6="All",H607=Dashboard!$I$6)),1,0)</f>
        <v/>
      </c>
    </row>
    <row r="608">
      <c r="A608" t="inlineStr">
        <is>
          <t>PF100599</t>
        </is>
      </c>
      <c r="B608" s="68" t="n">
        <v>45725</v>
      </c>
      <c r="C608" s="69" t="n">
        <v>2025</v>
      </c>
      <c r="D608" t="inlineStr">
        <is>
          <t>Mar</t>
        </is>
      </c>
      <c r="E608" t="inlineStr">
        <is>
          <t>Emerging markets</t>
        </is>
      </c>
      <c r="F608" t="inlineStr">
        <is>
          <t>Mexico</t>
        </is>
      </c>
      <c r="G608" t="inlineStr">
        <is>
          <t>Xeljanz</t>
        </is>
      </c>
      <c r="H608" t="inlineStr">
        <is>
          <t>Hospital</t>
        </is>
      </c>
      <c r="I608" t="inlineStr">
        <is>
          <t>Private insurer</t>
        </is>
      </c>
      <c r="J608" t="inlineStr">
        <is>
          <t>Wei Chen</t>
        </is>
      </c>
      <c r="K608" s="70" t="n">
        <v>2219</v>
      </c>
      <c r="L608" s="71" t="n">
        <v>1470.16</v>
      </c>
      <c r="M608" s="71" t="n">
        <v>3262285.04</v>
      </c>
      <c r="N608" s="71" t="n">
        <v>163114.25</v>
      </c>
      <c r="O608" s="71" t="n">
        <v>3099170.79</v>
      </c>
      <c r="P608" s="71" t="n">
        <v>576509.6</v>
      </c>
      <c r="Q608" s="71" t="n">
        <v>2522661.19</v>
      </c>
      <c r="R608" t="inlineStr">
        <is>
          <t>Inflammation</t>
        </is>
      </c>
      <c r="S608" s="70" t="n">
        <v>1888</v>
      </c>
      <c r="T608" s="71" t="n">
        <v>488511.31</v>
      </c>
      <c r="U608" t="inlineStr">
        <is>
          <t>High</t>
        </is>
      </c>
      <c r="V608">
        <f>IF(AND(OR(Dashboard!$C$6="All",E608=Dashboard!$C$6),OR(Dashboard!$F$6="All",G608=Dashboard!$F$6),OR(Dashboard!$I$6="All",H608=Dashboard!$I$6)),1,0)</f>
        <v/>
      </c>
    </row>
    <row r="609">
      <c r="A609" t="inlineStr">
        <is>
          <t>PF100600</t>
        </is>
      </c>
      <c r="B609" s="68" t="n">
        <v>45725</v>
      </c>
      <c r="C609" s="69" t="n">
        <v>2025</v>
      </c>
      <c r="D609" t="inlineStr">
        <is>
          <t>Mar</t>
        </is>
      </c>
      <c r="E609" t="inlineStr">
        <is>
          <t>Emerging markets</t>
        </is>
      </c>
      <c r="F609" t="inlineStr">
        <is>
          <t>Brazil</t>
        </is>
      </c>
      <c r="G609" t="inlineStr">
        <is>
          <t>Comirnaty</t>
        </is>
      </c>
      <c r="H609" t="inlineStr">
        <is>
          <t>Hospital</t>
        </is>
      </c>
      <c r="I609" t="inlineStr">
        <is>
          <t>Public payer</t>
        </is>
      </c>
      <c r="J609" t="inlineStr">
        <is>
          <t>Sophie Müller</t>
        </is>
      </c>
      <c r="K609" s="70" t="n">
        <v>2593</v>
      </c>
      <c r="L609" s="71" t="n">
        <v>105.14</v>
      </c>
      <c r="M609" s="71" t="n">
        <v>272628.02</v>
      </c>
      <c r="N609" s="71" t="n">
        <v>13631.4</v>
      </c>
      <c r="O609" s="71" t="n">
        <v>258996.62</v>
      </c>
      <c r="P609" s="71" t="n">
        <v>96941.81</v>
      </c>
      <c r="Q609" s="71" t="n">
        <v>162054.81</v>
      </c>
      <c r="R609" t="inlineStr">
        <is>
          <t>Vaccines</t>
        </is>
      </c>
      <c r="S609" s="70" t="n">
        <v>1830</v>
      </c>
      <c r="T609" s="71" t="n">
        <v>58991.14</v>
      </c>
      <c r="U609" t="inlineStr">
        <is>
          <t>Low</t>
        </is>
      </c>
      <c r="V609">
        <f>IF(AND(OR(Dashboard!$C$6="All",E609=Dashboard!$C$6),OR(Dashboard!$F$6="All",G609=Dashboard!$F$6),OR(Dashboard!$I$6="All",H609=Dashboard!$I$6)),1,0)</f>
        <v/>
      </c>
    </row>
    <row r="610">
      <c r="A610" t="inlineStr">
        <is>
          <t>PF100601</t>
        </is>
      </c>
      <c r="B610" s="68" t="n">
        <v>45725</v>
      </c>
      <c r="C610" s="69" t="n">
        <v>2025</v>
      </c>
      <c r="D610" t="inlineStr">
        <is>
          <t>Mar</t>
        </is>
      </c>
      <c r="E610" t="inlineStr">
        <is>
          <t>Emerging markets</t>
        </is>
      </c>
      <c r="F610" t="inlineStr">
        <is>
          <t>Brazil</t>
        </is>
      </c>
      <c r="G610" t="inlineStr">
        <is>
          <t>Eliquis</t>
        </is>
      </c>
      <c r="H610" t="inlineStr">
        <is>
          <t>Hospital</t>
        </is>
      </c>
      <c r="I610" t="inlineStr">
        <is>
          <t>Public payer</t>
        </is>
      </c>
      <c r="J610" t="inlineStr">
        <is>
          <t>Ruhi Shaikh</t>
        </is>
      </c>
      <c r="K610" s="70" t="n">
        <v>963</v>
      </c>
      <c r="L610" s="71" t="n">
        <v>407.46</v>
      </c>
      <c r="M610" s="71" t="n">
        <v>392383.98</v>
      </c>
      <c r="N610" s="71" t="n">
        <v>19619.2</v>
      </c>
      <c r="O610" s="71" t="n">
        <v>372764.78</v>
      </c>
      <c r="P610" s="71" t="n">
        <v>73192.16</v>
      </c>
      <c r="Q610" s="71" t="n">
        <v>299572.62</v>
      </c>
      <c r="R610" t="inlineStr">
        <is>
          <t>Cardiology</t>
        </is>
      </c>
      <c r="S610" s="70" t="n">
        <v>910</v>
      </c>
      <c r="T610" s="71" t="n">
        <v>48737.53</v>
      </c>
      <c r="U610" t="inlineStr">
        <is>
          <t>High</t>
        </is>
      </c>
      <c r="V610">
        <f>IF(AND(OR(Dashboard!$C$6="All",E610=Dashboard!$C$6),OR(Dashboard!$F$6="All",G610=Dashboard!$F$6),OR(Dashboard!$I$6="All",H610=Dashboard!$I$6)),1,0)</f>
        <v/>
      </c>
    </row>
    <row r="611">
      <c r="A611" t="inlineStr">
        <is>
          <t>PF100602</t>
        </is>
      </c>
      <c r="B611" s="68" t="n">
        <v>45725</v>
      </c>
      <c r="C611" s="69" t="n">
        <v>2025</v>
      </c>
      <c r="D611" t="inlineStr">
        <is>
          <t>Mar</t>
        </is>
      </c>
      <c r="E611" t="inlineStr">
        <is>
          <t>Europe</t>
        </is>
      </c>
      <c r="F611" t="inlineStr">
        <is>
          <t>France</t>
        </is>
      </c>
      <c r="G611" t="inlineStr">
        <is>
          <t>Eliquis</t>
        </is>
      </c>
      <c r="H611" t="inlineStr">
        <is>
          <t>Hospital</t>
        </is>
      </c>
      <c r="I611" t="inlineStr">
        <is>
          <t>Private insurer</t>
        </is>
      </c>
      <c r="J611" t="inlineStr">
        <is>
          <t>Omar Haddad</t>
        </is>
      </c>
      <c r="K611" s="70" t="n">
        <v>1295</v>
      </c>
      <c r="L611" s="71" t="n">
        <v>423.42</v>
      </c>
      <c r="M611" s="71" t="n">
        <v>548328.9</v>
      </c>
      <c r="N611" s="71" t="n">
        <v>54832.89</v>
      </c>
      <c r="O611" s="71" t="n">
        <v>493496.01</v>
      </c>
      <c r="P611" s="71" t="n">
        <v>101376.27</v>
      </c>
      <c r="Q611" s="71" t="n">
        <v>392119.74</v>
      </c>
      <c r="R611" t="inlineStr">
        <is>
          <t>Cardiology</t>
        </is>
      </c>
      <c r="S611" s="70" t="n">
        <v>1023</v>
      </c>
      <c r="T611" s="71" t="n">
        <v>67321.32000000001</v>
      </c>
      <c r="U611" t="inlineStr">
        <is>
          <t>High</t>
        </is>
      </c>
      <c r="V611">
        <f>IF(AND(OR(Dashboard!$C$6="All",E611=Dashboard!$C$6),OR(Dashboard!$F$6="All",G611=Dashboard!$F$6),OR(Dashboard!$I$6="All",H611=Dashboard!$I$6)),1,0)</f>
        <v/>
      </c>
    </row>
    <row r="612">
      <c r="A612" t="inlineStr">
        <is>
          <t>PF100603</t>
        </is>
      </c>
      <c r="B612" s="68" t="n">
        <v>45725</v>
      </c>
      <c r="C612" s="69" t="n">
        <v>2025</v>
      </c>
      <c r="D612" t="inlineStr">
        <is>
          <t>Mar</t>
        </is>
      </c>
      <c r="E612" t="inlineStr">
        <is>
          <t>United States</t>
        </is>
      </c>
      <c r="F612" t="inlineStr">
        <is>
          <t>USA</t>
        </is>
      </c>
      <c r="G612" t="inlineStr">
        <is>
          <t>Ibrance</t>
        </is>
      </c>
      <c r="H612" t="inlineStr">
        <is>
          <t>Retail pharmacy</t>
        </is>
      </c>
      <c r="I612" t="inlineStr">
        <is>
          <t>Public payer</t>
        </is>
      </c>
      <c r="J612" t="inlineStr">
        <is>
          <t>Fatima Al-Saud</t>
        </is>
      </c>
      <c r="K612" s="70" t="n">
        <v>707</v>
      </c>
      <c r="L612" s="71" t="n">
        <v>4330.72</v>
      </c>
      <c r="M612" s="71" t="n">
        <v>3061819.04</v>
      </c>
      <c r="N612" s="71" t="n">
        <v>765454.76</v>
      </c>
      <c r="O612" s="71" t="n">
        <v>2296364.28</v>
      </c>
      <c r="P612" s="71" t="n">
        <v>297925.89</v>
      </c>
      <c r="Q612" s="71" t="n">
        <v>1998438.39</v>
      </c>
      <c r="R612" t="inlineStr">
        <is>
          <t>Oncology</t>
        </is>
      </c>
      <c r="S612" s="70" t="n">
        <v>484</v>
      </c>
      <c r="T612" s="71" t="n">
        <v>504887.21</v>
      </c>
      <c r="U612" t="inlineStr">
        <is>
          <t>High</t>
        </is>
      </c>
      <c r="V612">
        <f>IF(AND(OR(Dashboard!$C$6="All",E612=Dashboard!$C$6),OR(Dashboard!$F$6="All",G612=Dashboard!$F$6),OR(Dashboard!$I$6="All",H612=Dashboard!$I$6)),1,0)</f>
        <v/>
      </c>
    </row>
    <row r="613">
      <c r="A613" t="inlineStr">
        <is>
          <t>PF100604</t>
        </is>
      </c>
      <c r="B613" s="68" t="n">
        <v>45725</v>
      </c>
      <c r="C613" s="69" t="n">
        <v>2025</v>
      </c>
      <c r="D613" t="inlineStr">
        <is>
          <t>Mar</t>
        </is>
      </c>
      <c r="E613" t="inlineStr">
        <is>
          <t>Emerging markets</t>
        </is>
      </c>
      <c r="F613" t="inlineStr">
        <is>
          <t>Mexico</t>
        </is>
      </c>
      <c r="G613" t="inlineStr">
        <is>
          <t>Paxlovid</t>
        </is>
      </c>
      <c r="H613" t="inlineStr">
        <is>
          <t>Retail pharmacy</t>
        </is>
      </c>
      <c r="I613" t="inlineStr">
        <is>
          <t>Private insurer</t>
        </is>
      </c>
      <c r="J613" t="inlineStr">
        <is>
          <t>Liam O'Brien</t>
        </is>
      </c>
      <c r="K613" s="70" t="n">
        <v>318</v>
      </c>
      <c r="L613" s="71" t="n">
        <v>1018.06</v>
      </c>
      <c r="M613" s="71" t="n">
        <v>323743.08</v>
      </c>
      <c r="N613" s="71" t="n">
        <v>64748.62</v>
      </c>
      <c r="O613" s="71" t="n">
        <v>258994.46</v>
      </c>
      <c r="P613" s="71" t="n">
        <v>90692.53</v>
      </c>
      <c r="Q613" s="71" t="n">
        <v>168301.93</v>
      </c>
      <c r="R613" t="inlineStr">
        <is>
          <t>Antiviral</t>
        </is>
      </c>
      <c r="S613" s="70" t="n">
        <v>262</v>
      </c>
      <c r="T613" s="71" t="n">
        <v>49434.18</v>
      </c>
      <c r="U613" t="inlineStr">
        <is>
          <t>Low</t>
        </is>
      </c>
      <c r="V613">
        <f>IF(AND(OR(Dashboard!$C$6="All",E613=Dashboard!$C$6),OR(Dashboard!$F$6="All",G613=Dashboard!$F$6),OR(Dashboard!$I$6="All",H613=Dashboard!$I$6)),1,0)</f>
        <v/>
      </c>
    </row>
    <row r="614">
      <c r="A614" t="inlineStr">
        <is>
          <t>PF100605</t>
        </is>
      </c>
      <c r="B614" s="68" t="n">
        <v>45725</v>
      </c>
      <c r="C614" s="69" t="n">
        <v>2025</v>
      </c>
      <c r="D614" t="inlineStr">
        <is>
          <t>Mar</t>
        </is>
      </c>
      <c r="E614" t="inlineStr">
        <is>
          <t>Europe</t>
        </is>
      </c>
      <c r="F614" t="inlineStr">
        <is>
          <t>Germany</t>
        </is>
      </c>
      <c r="G614" t="inlineStr">
        <is>
          <t>Vyndaqel</t>
        </is>
      </c>
      <c r="H614" t="inlineStr">
        <is>
          <t>Hospital</t>
        </is>
      </c>
      <c r="I614" t="inlineStr">
        <is>
          <t>Private insurer</t>
        </is>
      </c>
      <c r="J614" t="inlineStr">
        <is>
          <t>Sara Rossi</t>
        </is>
      </c>
      <c r="K614" s="70" t="n">
        <v>2897</v>
      </c>
      <c r="L614" s="71" t="n">
        <v>5251.87</v>
      </c>
      <c r="M614" s="71" t="n">
        <v>15214667.39</v>
      </c>
      <c r="N614" s="71" t="n">
        <v>3803666.85</v>
      </c>
      <c r="O614" s="71" t="n">
        <v>11411000.54</v>
      </c>
      <c r="P614" s="71" t="n">
        <v>1822560.53</v>
      </c>
      <c r="Q614" s="71" t="n">
        <v>9588440.01</v>
      </c>
      <c r="R614" t="inlineStr">
        <is>
          <t>Rare disease</t>
        </is>
      </c>
      <c r="S614" s="70" t="n">
        <v>2324</v>
      </c>
      <c r="T614" s="71" t="n">
        <v>1921969.25</v>
      </c>
      <c r="U614" t="inlineStr">
        <is>
          <t>Medium</t>
        </is>
      </c>
      <c r="V614">
        <f>IF(AND(OR(Dashboard!$C$6="All",E614=Dashboard!$C$6),OR(Dashboard!$F$6="All",G614=Dashboard!$F$6),OR(Dashboard!$I$6="All",H614=Dashboard!$I$6)),1,0)</f>
        <v/>
      </c>
    </row>
    <row r="615">
      <c r="A615" t="inlineStr">
        <is>
          <t>PF100606</t>
        </is>
      </c>
      <c r="B615" s="68" t="n">
        <v>45726</v>
      </c>
      <c r="C615" s="69" t="n">
        <v>2025</v>
      </c>
      <c r="D615" t="inlineStr">
        <is>
          <t>Mar</t>
        </is>
      </c>
      <c r="E615" t="inlineStr">
        <is>
          <t>International developed</t>
        </is>
      </c>
      <c r="F615" t="inlineStr">
        <is>
          <t>Australia</t>
        </is>
      </c>
      <c r="G615" t="inlineStr">
        <is>
          <t>Eliquis</t>
        </is>
      </c>
      <c r="H615" t="inlineStr">
        <is>
          <t>Retail pharmacy</t>
        </is>
      </c>
      <c r="I615" t="inlineStr">
        <is>
          <t>Public payer</t>
        </is>
      </c>
      <c r="J615" t="inlineStr">
        <is>
          <t>Ana Costa</t>
        </is>
      </c>
      <c r="K615" s="70" t="n">
        <v>314</v>
      </c>
      <c r="L615" s="71" t="n">
        <v>394.63</v>
      </c>
      <c r="M615" s="71" t="n">
        <v>123913.82</v>
      </c>
      <c r="N615" s="71" t="n">
        <v>6195.69</v>
      </c>
      <c r="O615" s="71" t="n">
        <v>117718.13</v>
      </c>
      <c r="P615" s="71" t="n">
        <v>23582.63</v>
      </c>
      <c r="Q615" s="71" t="n">
        <v>94135.5</v>
      </c>
      <c r="R615" t="inlineStr">
        <is>
          <t>Cardiology</t>
        </is>
      </c>
      <c r="S615" s="70" t="n">
        <v>274</v>
      </c>
      <c r="T615" s="71" t="n">
        <v>23508.16</v>
      </c>
      <c r="U615" t="inlineStr">
        <is>
          <t>High</t>
        </is>
      </c>
      <c r="V615">
        <f>IF(AND(OR(Dashboard!$C$6="All",E615=Dashboard!$C$6),OR(Dashboard!$F$6="All",G615=Dashboard!$F$6),OR(Dashboard!$I$6="All",H615=Dashboard!$I$6)),1,0)</f>
        <v/>
      </c>
    </row>
    <row r="616">
      <c r="A616" t="inlineStr">
        <is>
          <t>PF100607</t>
        </is>
      </c>
      <c r="B616" s="68" t="n">
        <v>45726</v>
      </c>
      <c r="C616" s="69" t="n">
        <v>2025</v>
      </c>
      <c r="D616" t="inlineStr">
        <is>
          <t>Mar</t>
        </is>
      </c>
      <c r="E616" t="inlineStr">
        <is>
          <t>United States</t>
        </is>
      </c>
      <c r="F616" t="inlineStr">
        <is>
          <t>USA</t>
        </is>
      </c>
      <c r="G616" t="inlineStr">
        <is>
          <t>Comirnaty</t>
        </is>
      </c>
      <c r="H616" t="inlineStr">
        <is>
          <t>Retail pharmacy</t>
        </is>
      </c>
      <c r="I616" t="inlineStr">
        <is>
          <t>Public payer</t>
        </is>
      </c>
      <c r="J616" t="inlineStr">
        <is>
          <t>Lucas Martin</t>
        </is>
      </c>
      <c r="K616" s="70" t="n">
        <v>1829</v>
      </c>
      <c r="L616" s="71" t="n">
        <v>176.51</v>
      </c>
      <c r="M616" s="71" t="n">
        <v>322836.79</v>
      </c>
      <c r="N616" s="71" t="n">
        <v>96851.03999999999</v>
      </c>
      <c r="O616" s="71" t="n">
        <v>225985.75</v>
      </c>
      <c r="P616" s="71" t="n">
        <v>67773.08</v>
      </c>
      <c r="Q616" s="71" t="n">
        <v>158212.67</v>
      </c>
      <c r="R616" t="inlineStr">
        <is>
          <t>Vaccines</t>
        </is>
      </c>
      <c r="S616" s="70" t="n">
        <v>1607</v>
      </c>
      <c r="T616" s="71" t="n">
        <v>45332.47</v>
      </c>
      <c r="U616" t="inlineStr">
        <is>
          <t>Low</t>
        </is>
      </c>
      <c r="V616">
        <f>IF(AND(OR(Dashboard!$C$6="All",E616=Dashboard!$C$6),OR(Dashboard!$F$6="All",G616=Dashboard!$F$6),OR(Dashboard!$I$6="All",H616=Dashboard!$I$6)),1,0)</f>
        <v/>
      </c>
    </row>
    <row r="617">
      <c r="A617" t="inlineStr">
        <is>
          <t>PF100608</t>
        </is>
      </c>
      <c r="B617" s="68" t="n">
        <v>45726</v>
      </c>
      <c r="C617" s="69" t="n">
        <v>2025</v>
      </c>
      <c r="D617" t="inlineStr">
        <is>
          <t>Mar</t>
        </is>
      </c>
      <c r="E617" t="inlineStr">
        <is>
          <t>United States</t>
        </is>
      </c>
      <c r="F617" t="inlineStr">
        <is>
          <t>USA</t>
        </is>
      </c>
      <c r="G617" t="inlineStr">
        <is>
          <t>Prevnar 20</t>
        </is>
      </c>
      <c r="H617" t="inlineStr">
        <is>
          <t>Hospital</t>
        </is>
      </c>
      <c r="I617" t="inlineStr">
        <is>
          <t>Private insurer</t>
        </is>
      </c>
      <c r="J617" t="inlineStr">
        <is>
          <t>Priya Nair</t>
        </is>
      </c>
      <c r="K617" s="70" t="n">
        <v>1194</v>
      </c>
      <c r="L617" s="71" t="n">
        <v>357.63</v>
      </c>
      <c r="M617" s="71" t="n">
        <v>427010.22</v>
      </c>
      <c r="N617" s="71" t="n">
        <v>106752.55</v>
      </c>
      <c r="O617" s="71" t="n">
        <v>320257.67</v>
      </c>
      <c r="P617" s="71" t="n">
        <v>82602.39</v>
      </c>
      <c r="Q617" s="71" t="n">
        <v>237655.28</v>
      </c>
      <c r="R617" t="inlineStr">
        <is>
          <t>Vaccines</t>
        </is>
      </c>
      <c r="S617" s="70" t="n">
        <v>1042</v>
      </c>
      <c r="T617" s="71" t="n">
        <v>76385.92</v>
      </c>
      <c r="U617" t="inlineStr">
        <is>
          <t>Low</t>
        </is>
      </c>
      <c r="V617">
        <f>IF(AND(OR(Dashboard!$C$6="All",E617=Dashboard!$C$6),OR(Dashboard!$F$6="All",G617=Dashboard!$F$6),OR(Dashboard!$I$6="All",H617=Dashboard!$I$6)),1,0)</f>
        <v/>
      </c>
    </row>
    <row r="618">
      <c r="A618" t="inlineStr">
        <is>
          <t>PF100609</t>
        </is>
      </c>
      <c r="B618" s="68" t="n">
        <v>45726</v>
      </c>
      <c r="C618" s="69" t="n">
        <v>2025</v>
      </c>
      <c r="D618" t="inlineStr">
        <is>
          <t>Mar</t>
        </is>
      </c>
      <c r="E618" t="inlineStr">
        <is>
          <t>United States</t>
        </is>
      </c>
      <c r="F618" t="inlineStr">
        <is>
          <t>USA</t>
        </is>
      </c>
      <c r="G618" t="inlineStr">
        <is>
          <t>Paxlovid</t>
        </is>
      </c>
      <c r="H618" t="inlineStr">
        <is>
          <t>Retail pharmacy</t>
        </is>
      </c>
      <c r="I618" t="inlineStr">
        <is>
          <t>Public payer</t>
        </is>
      </c>
      <c r="J618" t="inlineStr">
        <is>
          <t>Liam O'Brien</t>
        </is>
      </c>
      <c r="K618" s="70" t="n">
        <v>1066</v>
      </c>
      <c r="L618" s="71" t="n">
        <v>1803.26</v>
      </c>
      <c r="M618" s="71" t="n">
        <v>1922275.16</v>
      </c>
      <c r="N618" s="71" t="n">
        <v>576682.55</v>
      </c>
      <c r="O618" s="71" t="n">
        <v>1345592.61</v>
      </c>
      <c r="P618" s="71" t="n">
        <v>291797.96</v>
      </c>
      <c r="Q618" s="71" t="n">
        <v>1053794.65</v>
      </c>
      <c r="R618" t="inlineStr">
        <is>
          <t>Antiviral</t>
        </is>
      </c>
      <c r="S618" s="70" t="n">
        <v>707</v>
      </c>
      <c r="T618" s="71" t="n">
        <v>340712.8</v>
      </c>
      <c r="U618" t="inlineStr">
        <is>
          <t>Low</t>
        </is>
      </c>
      <c r="V618">
        <f>IF(AND(OR(Dashboard!$C$6="All",E618=Dashboard!$C$6),OR(Dashboard!$F$6="All",G618=Dashboard!$F$6),OR(Dashboard!$I$6="All",H618=Dashboard!$I$6)),1,0)</f>
        <v/>
      </c>
    </row>
    <row r="619">
      <c r="A619" t="inlineStr">
        <is>
          <t>PF100610</t>
        </is>
      </c>
      <c r="B619" s="68" t="n">
        <v>45726</v>
      </c>
      <c r="C619" s="69" t="n">
        <v>2025</v>
      </c>
      <c r="D619" t="inlineStr">
        <is>
          <t>Mar</t>
        </is>
      </c>
      <c r="E619" t="inlineStr">
        <is>
          <t>United States</t>
        </is>
      </c>
      <c r="F619" t="inlineStr">
        <is>
          <t>USA</t>
        </is>
      </c>
      <c r="G619" t="inlineStr">
        <is>
          <t>Comirnaty</t>
        </is>
      </c>
      <c r="H619" t="inlineStr">
        <is>
          <t>Government / tender</t>
        </is>
      </c>
      <c r="I619" t="inlineStr">
        <is>
          <t>Public payer</t>
        </is>
      </c>
      <c r="J619" t="inlineStr">
        <is>
          <t>Aisha Bello</t>
        </is>
      </c>
      <c r="K619" s="70" t="n">
        <v>140</v>
      </c>
      <c r="L619" s="71" t="n">
        <v>187.78</v>
      </c>
      <c r="M619" s="71" t="n">
        <v>26289.2</v>
      </c>
      <c r="N619" s="71" t="n">
        <v>6572.3</v>
      </c>
      <c r="O619" s="71" t="n">
        <v>19716.9</v>
      </c>
      <c r="P619" s="71" t="n">
        <v>5376.18</v>
      </c>
      <c r="Q619" s="71" t="n">
        <v>14340.72</v>
      </c>
      <c r="R619" t="inlineStr">
        <is>
          <t>Vaccines</t>
        </is>
      </c>
      <c r="S619" s="70" t="n">
        <v>100</v>
      </c>
      <c r="T619" s="71" t="n">
        <v>4835.91</v>
      </c>
      <c r="U619" t="inlineStr">
        <is>
          <t>Low</t>
        </is>
      </c>
      <c r="V619">
        <f>IF(AND(OR(Dashboard!$C$6="All",E619=Dashboard!$C$6),OR(Dashboard!$F$6="All",G619=Dashboard!$F$6),OR(Dashboard!$I$6="All",H619=Dashboard!$I$6)),1,0)</f>
        <v/>
      </c>
    </row>
    <row r="620">
      <c r="A620" t="inlineStr">
        <is>
          <t>PF100611</t>
        </is>
      </c>
      <c r="B620" s="68" t="n">
        <v>45726</v>
      </c>
      <c r="C620" s="69" t="n">
        <v>2025</v>
      </c>
      <c r="D620" t="inlineStr">
        <is>
          <t>Mar</t>
        </is>
      </c>
      <c r="E620" t="inlineStr">
        <is>
          <t>Europe</t>
        </is>
      </c>
      <c r="F620" t="inlineStr">
        <is>
          <t>UK</t>
        </is>
      </c>
      <c r="G620" t="inlineStr">
        <is>
          <t>Comirnaty</t>
        </is>
      </c>
      <c r="H620" t="inlineStr">
        <is>
          <t>Hospital</t>
        </is>
      </c>
      <c r="I620" t="inlineStr">
        <is>
          <t>Self-pay</t>
        </is>
      </c>
      <c r="J620" t="inlineStr">
        <is>
          <t>Ruhi Shaikh</t>
        </is>
      </c>
      <c r="K620" s="70" t="n">
        <v>1839</v>
      </c>
      <c r="L620" s="71" t="n">
        <v>112.33</v>
      </c>
      <c r="M620" s="71" t="n">
        <v>206574.87</v>
      </c>
      <c r="N620" s="71" t="n">
        <v>41314.97</v>
      </c>
      <c r="O620" s="71" t="n">
        <v>165259.9</v>
      </c>
      <c r="P620" s="71" t="n">
        <v>71261.10000000001</v>
      </c>
      <c r="Q620" s="71" t="n">
        <v>93998.8</v>
      </c>
      <c r="R620" t="inlineStr">
        <is>
          <t>Vaccines</t>
        </is>
      </c>
      <c r="S620" s="70" t="n">
        <v>1151</v>
      </c>
      <c r="T620" s="71" t="n">
        <v>27405.27</v>
      </c>
      <c r="U620" t="inlineStr">
        <is>
          <t>Low</t>
        </is>
      </c>
      <c r="V620">
        <f>IF(AND(OR(Dashboard!$C$6="All",E620=Dashboard!$C$6),OR(Dashboard!$F$6="All",G620=Dashboard!$F$6),OR(Dashboard!$I$6="All",H620=Dashboard!$I$6)),1,0)</f>
        <v/>
      </c>
    </row>
    <row r="621">
      <c r="A621" t="inlineStr">
        <is>
          <t>PF100612</t>
        </is>
      </c>
      <c r="B621" s="68" t="n">
        <v>45726</v>
      </c>
      <c r="C621" s="69" t="n">
        <v>2025</v>
      </c>
      <c r="D621" t="inlineStr">
        <is>
          <t>Mar</t>
        </is>
      </c>
      <c r="E621" t="inlineStr">
        <is>
          <t>Europe</t>
        </is>
      </c>
      <c r="F621" t="inlineStr">
        <is>
          <t>Germany</t>
        </is>
      </c>
      <c r="G621" t="inlineStr">
        <is>
          <t>Abrysvo</t>
        </is>
      </c>
      <c r="H621" t="inlineStr">
        <is>
          <t>Hospital</t>
        </is>
      </c>
      <c r="I621" t="inlineStr">
        <is>
          <t>Public payer</t>
        </is>
      </c>
      <c r="J621" t="inlineStr">
        <is>
          <t>Hiroshi Tanaka</t>
        </is>
      </c>
      <c r="K621" s="70" t="n">
        <v>708</v>
      </c>
      <c r="L621" s="71" t="n">
        <v>303.79</v>
      </c>
      <c r="M621" s="71" t="n">
        <v>215083.32</v>
      </c>
      <c r="N621" s="71" t="n">
        <v>53770.83</v>
      </c>
      <c r="O621" s="71" t="n">
        <v>161312.49</v>
      </c>
      <c r="P621" s="71" t="n">
        <v>59440.44</v>
      </c>
      <c r="Q621" s="71" t="n">
        <v>101872.05</v>
      </c>
      <c r="R621" t="inlineStr">
        <is>
          <t>Vaccines</t>
        </is>
      </c>
      <c r="S621" s="70" t="n">
        <v>452</v>
      </c>
      <c r="T621" s="71" t="n">
        <v>42916.45</v>
      </c>
      <c r="U621" t="inlineStr">
        <is>
          <t>Low</t>
        </is>
      </c>
      <c r="V621">
        <f>IF(AND(OR(Dashboard!$C$6="All",E621=Dashboard!$C$6),OR(Dashboard!$F$6="All",G621=Dashboard!$F$6),OR(Dashboard!$I$6="All",H621=Dashboard!$I$6)),1,0)</f>
        <v/>
      </c>
    </row>
    <row r="622">
      <c r="A622" t="inlineStr">
        <is>
          <t>PF100613</t>
        </is>
      </c>
      <c r="B622" s="68" t="n">
        <v>45727</v>
      </c>
      <c r="C622" s="69" t="n">
        <v>2025</v>
      </c>
      <c r="D622" t="inlineStr">
        <is>
          <t>Mar</t>
        </is>
      </c>
      <c r="E622" t="inlineStr">
        <is>
          <t>United States</t>
        </is>
      </c>
      <c r="F622" t="inlineStr">
        <is>
          <t>USA</t>
        </is>
      </c>
      <c r="G622" t="inlineStr">
        <is>
          <t>Prevnar 20</t>
        </is>
      </c>
      <c r="H622" t="inlineStr">
        <is>
          <t>Government / tender</t>
        </is>
      </c>
      <c r="I622" t="inlineStr">
        <is>
          <t>Self-pay</t>
        </is>
      </c>
      <c r="J622" t="inlineStr">
        <is>
          <t>Mei Lin</t>
        </is>
      </c>
      <c r="K622" s="70" t="n">
        <v>83</v>
      </c>
      <c r="L622" s="71" t="n">
        <v>338.69</v>
      </c>
      <c r="M622" s="71" t="n">
        <v>28111.27</v>
      </c>
      <c r="N622" s="71" t="n">
        <v>5622.25</v>
      </c>
      <c r="O622" s="71" t="n">
        <v>22489.02</v>
      </c>
      <c r="P622" s="71" t="n">
        <v>5620.13</v>
      </c>
      <c r="Q622" s="71" t="n">
        <v>16868.89</v>
      </c>
      <c r="R622" t="inlineStr">
        <is>
          <t>Vaccines</t>
        </is>
      </c>
      <c r="S622" s="70" t="n">
        <v>74</v>
      </c>
      <c r="T622" s="71" t="n">
        <v>6034.87</v>
      </c>
      <c r="U622" t="inlineStr">
        <is>
          <t>Low</t>
        </is>
      </c>
      <c r="V622">
        <f>IF(AND(OR(Dashboard!$C$6="All",E622=Dashboard!$C$6),OR(Dashboard!$F$6="All",G622=Dashboard!$F$6),OR(Dashboard!$I$6="All",H622=Dashboard!$I$6)),1,0)</f>
        <v/>
      </c>
    </row>
    <row r="623">
      <c r="A623" t="inlineStr">
        <is>
          <t>PF100614</t>
        </is>
      </c>
      <c r="B623" s="68" t="n">
        <v>45727</v>
      </c>
      <c r="C623" s="69" t="n">
        <v>2025</v>
      </c>
      <c r="D623" t="inlineStr">
        <is>
          <t>Mar</t>
        </is>
      </c>
      <c r="E623" t="inlineStr">
        <is>
          <t>Emerging markets</t>
        </is>
      </c>
      <c r="F623" t="inlineStr">
        <is>
          <t>China</t>
        </is>
      </c>
      <c r="G623" t="inlineStr">
        <is>
          <t>Prevnar 20</t>
        </is>
      </c>
      <c r="H623" t="inlineStr">
        <is>
          <t>Retail pharmacy</t>
        </is>
      </c>
      <c r="I623" t="inlineStr">
        <is>
          <t>Private insurer</t>
        </is>
      </c>
      <c r="J623" t="inlineStr">
        <is>
          <t>Carlos Silva</t>
        </is>
      </c>
      <c r="K623" s="70" t="n">
        <v>1904</v>
      </c>
      <c r="L623" s="71" t="n">
        <v>218.44</v>
      </c>
      <c r="M623" s="71" t="n">
        <v>415909.76</v>
      </c>
      <c r="N623" s="71" t="n">
        <v>41590.98</v>
      </c>
      <c r="O623" s="71" t="n">
        <v>374318.78</v>
      </c>
      <c r="P623" s="71" t="n">
        <v>126634.8</v>
      </c>
      <c r="Q623" s="71" t="n">
        <v>247683.98</v>
      </c>
      <c r="R623" t="inlineStr">
        <is>
          <t>Vaccines</t>
        </is>
      </c>
      <c r="S623" s="70" t="n">
        <v>1409</v>
      </c>
      <c r="T623" s="71" t="n">
        <v>58825.97</v>
      </c>
      <c r="U623" t="inlineStr">
        <is>
          <t>Low</t>
        </is>
      </c>
      <c r="V623">
        <f>IF(AND(OR(Dashboard!$C$6="All",E623=Dashboard!$C$6),OR(Dashboard!$F$6="All",G623=Dashboard!$F$6),OR(Dashboard!$I$6="All",H623=Dashboard!$I$6)),1,0)</f>
        <v/>
      </c>
    </row>
    <row r="624">
      <c r="A624" t="inlineStr">
        <is>
          <t>PF100615</t>
        </is>
      </c>
      <c r="B624" s="68" t="n">
        <v>45727</v>
      </c>
      <c r="C624" s="69" t="n">
        <v>2025</v>
      </c>
      <c r="D624" t="inlineStr">
        <is>
          <t>Mar</t>
        </is>
      </c>
      <c r="E624" t="inlineStr">
        <is>
          <t>Emerging markets</t>
        </is>
      </c>
      <c r="F624" t="inlineStr">
        <is>
          <t>Brazil</t>
        </is>
      </c>
      <c r="G624" t="inlineStr">
        <is>
          <t>Xeljanz</t>
        </is>
      </c>
      <c r="H624" t="inlineStr">
        <is>
          <t>Retail pharmacy</t>
        </is>
      </c>
      <c r="I624" t="inlineStr">
        <is>
          <t>Public payer</t>
        </is>
      </c>
      <c r="J624" t="inlineStr">
        <is>
          <t>Shraddha Kulkarni</t>
        </is>
      </c>
      <c r="K624" s="70" t="n">
        <v>2818</v>
      </c>
      <c r="L624" s="71" t="n">
        <v>1409.76</v>
      </c>
      <c r="M624" s="71" t="n">
        <v>3972703.68</v>
      </c>
      <c r="N624" s="71" t="n">
        <v>198635.18</v>
      </c>
      <c r="O624" s="71" t="n">
        <v>3774068.5</v>
      </c>
      <c r="P624" s="71" t="n">
        <v>737617.25</v>
      </c>
      <c r="Q624" s="71" t="n">
        <v>3036451.25</v>
      </c>
      <c r="R624" t="inlineStr">
        <is>
          <t>Inflammation</t>
        </is>
      </c>
      <c r="S624" s="70" t="n">
        <v>2023</v>
      </c>
      <c r="T624" s="71" t="n">
        <v>741090.3100000001</v>
      </c>
      <c r="U624" t="inlineStr">
        <is>
          <t>High</t>
        </is>
      </c>
      <c r="V624">
        <f>IF(AND(OR(Dashboard!$C$6="All",E624=Dashboard!$C$6),OR(Dashboard!$F$6="All",G624=Dashboard!$F$6),OR(Dashboard!$I$6="All",H624=Dashboard!$I$6)),1,0)</f>
        <v/>
      </c>
    </row>
    <row r="625">
      <c r="A625" t="inlineStr">
        <is>
          <t>PF100616</t>
        </is>
      </c>
      <c r="B625" s="68" t="n">
        <v>45727</v>
      </c>
      <c r="C625" s="69" t="n">
        <v>2025</v>
      </c>
      <c r="D625" t="inlineStr">
        <is>
          <t>Mar</t>
        </is>
      </c>
      <c r="E625" t="inlineStr">
        <is>
          <t>United States</t>
        </is>
      </c>
      <c r="F625" t="inlineStr">
        <is>
          <t>USA</t>
        </is>
      </c>
      <c r="G625" t="inlineStr">
        <is>
          <t>Abrysvo</t>
        </is>
      </c>
      <c r="H625" t="inlineStr">
        <is>
          <t>Hospital</t>
        </is>
      </c>
      <c r="I625" t="inlineStr">
        <is>
          <t>Private insurer</t>
        </is>
      </c>
      <c r="J625" t="inlineStr">
        <is>
          <t>Wei Chen</t>
        </is>
      </c>
      <c r="K625" s="70" t="n">
        <v>2232</v>
      </c>
      <c r="L625" s="71" t="n">
        <v>463.89</v>
      </c>
      <c r="M625" s="71" t="n">
        <v>1035402.48</v>
      </c>
      <c r="N625" s="71" t="n">
        <v>362390.87</v>
      </c>
      <c r="O625" s="71" t="n">
        <v>673011.61</v>
      </c>
      <c r="P625" s="71" t="n">
        <v>190356.32</v>
      </c>
      <c r="Q625" s="71" t="n">
        <v>482655.29</v>
      </c>
      <c r="R625" t="inlineStr">
        <is>
          <t>Vaccines</t>
        </is>
      </c>
      <c r="S625" s="70" t="n">
        <v>1555</v>
      </c>
      <c r="T625" s="71" t="n">
        <v>173605.3</v>
      </c>
      <c r="U625" t="inlineStr">
        <is>
          <t>Low</t>
        </is>
      </c>
      <c r="V625">
        <f>IF(AND(OR(Dashboard!$C$6="All",E625=Dashboard!$C$6),OR(Dashboard!$F$6="All",G625=Dashboard!$F$6),OR(Dashboard!$I$6="All",H625=Dashboard!$I$6)),1,0)</f>
        <v/>
      </c>
    </row>
    <row r="626">
      <c r="A626" t="inlineStr">
        <is>
          <t>PF100617</t>
        </is>
      </c>
      <c r="B626" s="68" t="n">
        <v>45727</v>
      </c>
      <c r="C626" s="69" t="n">
        <v>2025</v>
      </c>
      <c r="D626" t="inlineStr">
        <is>
          <t>Mar</t>
        </is>
      </c>
      <c r="E626" t="inlineStr">
        <is>
          <t>United States</t>
        </is>
      </c>
      <c r="F626" t="inlineStr">
        <is>
          <t>USA</t>
        </is>
      </c>
      <c r="G626" t="inlineStr">
        <is>
          <t>Abrysvo</t>
        </is>
      </c>
      <c r="H626" t="inlineStr">
        <is>
          <t>Hospital</t>
        </is>
      </c>
      <c r="I626" t="inlineStr">
        <is>
          <t>Public payer</t>
        </is>
      </c>
      <c r="J626" t="inlineStr">
        <is>
          <t>Emma Clarke</t>
        </is>
      </c>
      <c r="K626" s="70" t="n">
        <v>597</v>
      </c>
      <c r="L626" s="71" t="n">
        <v>408.51</v>
      </c>
      <c r="M626" s="71" t="n">
        <v>243880.47</v>
      </c>
      <c r="N626" s="71" t="n">
        <v>60970.12</v>
      </c>
      <c r="O626" s="71" t="n">
        <v>182910.35</v>
      </c>
      <c r="P626" s="71" t="n">
        <v>51047.21</v>
      </c>
      <c r="Q626" s="71" t="n">
        <v>131863.14</v>
      </c>
      <c r="R626" t="inlineStr">
        <is>
          <t>Vaccines</t>
        </is>
      </c>
      <c r="S626" s="70" t="n">
        <v>468</v>
      </c>
      <c r="T626" s="71" t="n">
        <v>42705.89</v>
      </c>
      <c r="U626" t="inlineStr">
        <is>
          <t>Low</t>
        </is>
      </c>
      <c r="V626">
        <f>IF(AND(OR(Dashboard!$C$6="All",E626=Dashboard!$C$6),OR(Dashboard!$F$6="All",G626=Dashboard!$F$6),OR(Dashboard!$I$6="All",H626=Dashboard!$I$6)),1,0)</f>
        <v/>
      </c>
    </row>
    <row r="627">
      <c r="A627" t="inlineStr">
        <is>
          <t>PF100618</t>
        </is>
      </c>
      <c r="B627" s="68" t="n">
        <v>45727</v>
      </c>
      <c r="C627" s="69" t="n">
        <v>2025</v>
      </c>
      <c r="D627" t="inlineStr">
        <is>
          <t>Mar</t>
        </is>
      </c>
      <c r="E627" t="inlineStr">
        <is>
          <t>International developed</t>
        </is>
      </c>
      <c r="F627" t="inlineStr">
        <is>
          <t>Japan</t>
        </is>
      </c>
      <c r="G627" t="inlineStr">
        <is>
          <t>Comirnaty</t>
        </is>
      </c>
      <c r="H627" t="inlineStr">
        <is>
          <t>Retail pharmacy</t>
        </is>
      </c>
      <c r="I627" t="inlineStr">
        <is>
          <t>Public payer</t>
        </is>
      </c>
      <c r="J627" t="inlineStr">
        <is>
          <t>Sara Rossi</t>
        </is>
      </c>
      <c r="K627" s="70" t="n">
        <v>2682</v>
      </c>
      <c r="L627" s="71" t="n">
        <v>111.83</v>
      </c>
      <c r="M627" s="71" t="n">
        <v>299928.06</v>
      </c>
      <c r="N627" s="71" t="n">
        <v>29992.81</v>
      </c>
      <c r="O627" s="71" t="n">
        <v>269935.25</v>
      </c>
      <c r="P627" s="71" t="n">
        <v>103499.84</v>
      </c>
      <c r="Q627" s="71" t="n">
        <v>166435.41</v>
      </c>
      <c r="R627" t="inlineStr">
        <is>
          <t>Vaccines</t>
        </is>
      </c>
      <c r="S627" s="70" t="n">
        <v>2679</v>
      </c>
      <c r="T627" s="71" t="n">
        <v>45606.22</v>
      </c>
      <c r="U627" t="inlineStr">
        <is>
          <t>Low</t>
        </is>
      </c>
      <c r="V627">
        <f>IF(AND(OR(Dashboard!$C$6="All",E627=Dashboard!$C$6),OR(Dashboard!$F$6="All",G627=Dashboard!$F$6),OR(Dashboard!$I$6="All",H627=Dashboard!$I$6)),1,0)</f>
        <v/>
      </c>
    </row>
    <row r="628">
      <c r="A628" t="inlineStr">
        <is>
          <t>PF100619</t>
        </is>
      </c>
      <c r="B628" s="68" t="n">
        <v>45727</v>
      </c>
      <c r="C628" s="69" t="n">
        <v>2025</v>
      </c>
      <c r="D628" t="inlineStr">
        <is>
          <t>Mar</t>
        </is>
      </c>
      <c r="E628" t="inlineStr">
        <is>
          <t>United States</t>
        </is>
      </c>
      <c r="F628" t="inlineStr">
        <is>
          <t>USA</t>
        </is>
      </c>
      <c r="G628" t="inlineStr">
        <is>
          <t>Comirnaty</t>
        </is>
      </c>
      <c r="H628" t="inlineStr">
        <is>
          <t>Government / tender</t>
        </is>
      </c>
      <c r="I628" t="inlineStr">
        <is>
          <t>Private insurer</t>
        </is>
      </c>
      <c r="J628" t="inlineStr">
        <is>
          <t>Amir Khan</t>
        </is>
      </c>
      <c r="K628" s="70" t="n">
        <v>507</v>
      </c>
      <c r="L628" s="71" t="n">
        <v>180.03</v>
      </c>
      <c r="M628" s="71" t="n">
        <v>91275.21000000001</v>
      </c>
      <c r="N628" s="71" t="n">
        <v>18255.04</v>
      </c>
      <c r="O628" s="71" t="n">
        <v>73020.17</v>
      </c>
      <c r="P628" s="71" t="n">
        <v>19359.32</v>
      </c>
      <c r="Q628" s="71" t="n">
        <v>53660.85</v>
      </c>
      <c r="R628" t="inlineStr">
        <is>
          <t>Vaccines</t>
        </is>
      </c>
      <c r="S628" s="70" t="n">
        <v>485</v>
      </c>
      <c r="T628" s="71" t="n">
        <v>12578.31</v>
      </c>
      <c r="U628" t="inlineStr">
        <is>
          <t>Low</t>
        </is>
      </c>
      <c r="V628">
        <f>IF(AND(OR(Dashboard!$C$6="All",E628=Dashboard!$C$6),OR(Dashboard!$F$6="All",G628=Dashboard!$F$6),OR(Dashboard!$I$6="All",H628=Dashboard!$I$6)),1,0)</f>
        <v/>
      </c>
    </row>
    <row r="629">
      <c r="A629" t="inlineStr">
        <is>
          <t>PF100620</t>
        </is>
      </c>
      <c r="B629" s="68" t="n">
        <v>45727</v>
      </c>
      <c r="C629" s="69" t="n">
        <v>2025</v>
      </c>
      <c r="D629" t="inlineStr">
        <is>
          <t>Mar</t>
        </is>
      </c>
      <c r="E629" t="inlineStr">
        <is>
          <t>United States</t>
        </is>
      </c>
      <c r="F629" t="inlineStr">
        <is>
          <t>USA</t>
        </is>
      </c>
      <c r="G629" t="inlineStr">
        <is>
          <t>Xeljanz</t>
        </is>
      </c>
      <c r="H629" t="inlineStr">
        <is>
          <t>Government / tender</t>
        </is>
      </c>
      <c r="I629" t="inlineStr">
        <is>
          <t>Private insurer</t>
        </is>
      </c>
      <c r="J629" t="inlineStr">
        <is>
          <t>Fatima Al-Saud</t>
        </is>
      </c>
      <c r="K629" s="70" t="n">
        <v>905</v>
      </c>
      <c r="L629" s="71" t="n">
        <v>2131.15</v>
      </c>
      <c r="M629" s="71" t="n">
        <v>1928690.75</v>
      </c>
      <c r="N629" s="71" t="n">
        <v>578607.23</v>
      </c>
      <c r="O629" s="71" t="n">
        <v>1350083.52</v>
      </c>
      <c r="P629" s="71" t="n">
        <v>221907.87</v>
      </c>
      <c r="Q629" s="71" t="n">
        <v>1128175.65</v>
      </c>
      <c r="R629" t="inlineStr">
        <is>
          <t>Inflammation</t>
        </is>
      </c>
      <c r="S629" s="70" t="n">
        <v>592</v>
      </c>
      <c r="T629" s="71" t="n">
        <v>404116.71</v>
      </c>
      <c r="U629" t="inlineStr">
        <is>
          <t>High</t>
        </is>
      </c>
      <c r="V629">
        <f>IF(AND(OR(Dashboard!$C$6="All",E629=Dashboard!$C$6),OR(Dashboard!$F$6="All",G629=Dashboard!$F$6),OR(Dashboard!$I$6="All",H629=Dashboard!$I$6)),1,0)</f>
        <v/>
      </c>
    </row>
    <row r="630">
      <c r="A630" t="inlineStr">
        <is>
          <t>PF100621</t>
        </is>
      </c>
      <c r="B630" s="68" t="n">
        <v>45727</v>
      </c>
      <c r="C630" s="69" t="n">
        <v>2025</v>
      </c>
      <c r="D630" t="inlineStr">
        <is>
          <t>Mar</t>
        </is>
      </c>
      <c r="E630" t="inlineStr">
        <is>
          <t>International developed</t>
        </is>
      </c>
      <c r="F630" t="inlineStr">
        <is>
          <t>Australia</t>
        </is>
      </c>
      <c r="G630" t="inlineStr">
        <is>
          <t>Eliquis</t>
        </is>
      </c>
      <c r="H630" t="inlineStr">
        <is>
          <t>Hospital</t>
        </is>
      </c>
      <c r="I630" t="inlineStr">
        <is>
          <t>Public payer</t>
        </is>
      </c>
      <c r="J630" t="inlineStr">
        <is>
          <t>Ravindra Patil</t>
        </is>
      </c>
      <c r="K630" s="70" t="n">
        <v>2861</v>
      </c>
      <c r="L630" s="71" t="n">
        <v>415.53</v>
      </c>
      <c r="M630" s="71" t="n">
        <v>1188831.33</v>
      </c>
      <c r="N630" s="71" t="n">
        <v>237766.27</v>
      </c>
      <c r="O630" s="71" t="n">
        <v>951065.0600000001</v>
      </c>
      <c r="P630" s="71" t="n">
        <v>221762.06</v>
      </c>
      <c r="Q630" s="71" t="n">
        <v>729303</v>
      </c>
      <c r="R630" t="inlineStr">
        <is>
          <t>Cardiology</t>
        </is>
      </c>
      <c r="S630" s="70" t="n">
        <v>2105</v>
      </c>
      <c r="T630" s="71" t="n">
        <v>220192.22</v>
      </c>
      <c r="U630" t="inlineStr">
        <is>
          <t>High</t>
        </is>
      </c>
      <c r="V630">
        <f>IF(AND(OR(Dashboard!$C$6="All",E630=Dashboard!$C$6),OR(Dashboard!$F$6="All",G630=Dashboard!$F$6),OR(Dashboard!$I$6="All",H630=Dashboard!$I$6)),1,0)</f>
        <v/>
      </c>
    </row>
    <row r="631">
      <c r="A631" t="inlineStr">
        <is>
          <t>PF100622</t>
        </is>
      </c>
      <c r="B631" s="68" t="n">
        <v>45727</v>
      </c>
      <c r="C631" s="69" t="n">
        <v>2025</v>
      </c>
      <c r="D631" t="inlineStr">
        <is>
          <t>Mar</t>
        </is>
      </c>
      <c r="E631" t="inlineStr">
        <is>
          <t>Emerging markets</t>
        </is>
      </c>
      <c r="F631" t="inlineStr">
        <is>
          <t>India</t>
        </is>
      </c>
      <c r="G631" t="inlineStr">
        <is>
          <t>Prevnar 20</t>
        </is>
      </c>
      <c r="H631" t="inlineStr">
        <is>
          <t>Retail pharmacy</t>
        </is>
      </c>
      <c r="I631" t="inlineStr">
        <is>
          <t>Private insurer</t>
        </is>
      </c>
      <c r="J631" t="inlineStr">
        <is>
          <t>Ruhi Shaikh</t>
        </is>
      </c>
      <c r="K631" s="70" t="n">
        <v>2527</v>
      </c>
      <c r="L631" s="71" t="n">
        <v>231.42</v>
      </c>
      <c r="M631" s="71" t="n">
        <v>584798.34</v>
      </c>
      <c r="N631" s="71" t="n">
        <v>29239.92</v>
      </c>
      <c r="O631" s="71" t="n">
        <v>555558.42</v>
      </c>
      <c r="P631" s="71" t="n">
        <v>170821.58</v>
      </c>
      <c r="Q631" s="71" t="n">
        <v>384736.84</v>
      </c>
      <c r="R631" t="inlineStr">
        <is>
          <t>Vaccines</t>
        </is>
      </c>
      <c r="S631" s="70" t="n">
        <v>1924</v>
      </c>
      <c r="T631" s="71" t="n">
        <v>100763.83</v>
      </c>
      <c r="U631" t="inlineStr">
        <is>
          <t>Low</t>
        </is>
      </c>
      <c r="V631">
        <f>IF(AND(OR(Dashboard!$C$6="All",E631=Dashboard!$C$6),OR(Dashboard!$F$6="All",G631=Dashboard!$F$6),OR(Dashboard!$I$6="All",H631=Dashboard!$I$6)),1,0)</f>
        <v/>
      </c>
    </row>
    <row r="632">
      <c r="A632" t="inlineStr">
        <is>
          <t>PF100623</t>
        </is>
      </c>
      <c r="B632" s="68" t="n">
        <v>45727</v>
      </c>
      <c r="C632" s="69" t="n">
        <v>2025</v>
      </c>
      <c r="D632" t="inlineStr">
        <is>
          <t>Mar</t>
        </is>
      </c>
      <c r="E632" t="inlineStr">
        <is>
          <t>Emerging markets</t>
        </is>
      </c>
      <c r="F632" t="inlineStr">
        <is>
          <t>China</t>
        </is>
      </c>
      <c r="G632" t="inlineStr">
        <is>
          <t>Prevnar 20</t>
        </is>
      </c>
      <c r="H632" t="inlineStr">
        <is>
          <t>Retail pharmacy</t>
        </is>
      </c>
      <c r="I632" t="inlineStr">
        <is>
          <t>Private insurer</t>
        </is>
      </c>
      <c r="J632" t="inlineStr">
        <is>
          <t>Hiroshi Tanaka</t>
        </is>
      </c>
      <c r="K632" s="70" t="n">
        <v>1920</v>
      </c>
      <c r="L632" s="71" t="n">
        <v>224.94</v>
      </c>
      <c r="M632" s="71" t="n">
        <v>431884.8</v>
      </c>
      <c r="N632" s="71" t="n">
        <v>107971.2</v>
      </c>
      <c r="O632" s="71" t="n">
        <v>323913.6</v>
      </c>
      <c r="P632" s="71" t="n">
        <v>134873.18</v>
      </c>
      <c r="Q632" s="71" t="n">
        <v>189040.42</v>
      </c>
      <c r="R632" t="inlineStr">
        <is>
          <t>Vaccines</t>
        </is>
      </c>
      <c r="S632" s="70" t="n">
        <v>1296</v>
      </c>
      <c r="T632" s="71" t="n">
        <v>52112.92</v>
      </c>
      <c r="U632" t="inlineStr">
        <is>
          <t>Low</t>
        </is>
      </c>
      <c r="V632">
        <f>IF(AND(OR(Dashboard!$C$6="All",E632=Dashboard!$C$6),OR(Dashboard!$F$6="All",G632=Dashboard!$F$6),OR(Dashboard!$I$6="All",H632=Dashboard!$I$6)),1,0)</f>
        <v/>
      </c>
    </row>
    <row r="633">
      <c r="A633" t="inlineStr">
        <is>
          <t>PF100624</t>
        </is>
      </c>
      <c r="B633" s="68" t="n">
        <v>45728</v>
      </c>
      <c r="C633" s="69" t="n">
        <v>2025</v>
      </c>
      <c r="D633" t="inlineStr">
        <is>
          <t>Mar</t>
        </is>
      </c>
      <c r="E633" t="inlineStr">
        <is>
          <t>Europe</t>
        </is>
      </c>
      <c r="F633" t="inlineStr">
        <is>
          <t>France</t>
        </is>
      </c>
      <c r="G633" t="inlineStr">
        <is>
          <t>Ibrance</t>
        </is>
      </c>
      <c r="H633" t="inlineStr">
        <is>
          <t>Retail pharmacy</t>
        </is>
      </c>
      <c r="I633" t="inlineStr">
        <is>
          <t>Self-pay</t>
        </is>
      </c>
      <c r="J633" t="inlineStr">
        <is>
          <t>Liam O'Brien</t>
        </is>
      </c>
      <c r="K633" s="70" t="n">
        <v>1074</v>
      </c>
      <c r="L633" s="71" t="n">
        <v>2851.21</v>
      </c>
      <c r="M633" s="71" t="n">
        <v>3062199.54</v>
      </c>
      <c r="N633" s="71" t="n">
        <v>765549.89</v>
      </c>
      <c r="O633" s="71" t="n">
        <v>2296649.65</v>
      </c>
      <c r="P633" s="71" t="n">
        <v>459029.48</v>
      </c>
      <c r="Q633" s="71" t="n">
        <v>1837620.17</v>
      </c>
      <c r="R633" t="inlineStr">
        <is>
          <t>Oncology</t>
        </is>
      </c>
      <c r="S633" s="70" t="n">
        <v>1055</v>
      </c>
      <c r="T633" s="71" t="n">
        <v>408148.4</v>
      </c>
      <c r="U633" t="inlineStr">
        <is>
          <t>High</t>
        </is>
      </c>
      <c r="V633">
        <f>IF(AND(OR(Dashboard!$C$6="All",E633=Dashboard!$C$6),OR(Dashboard!$F$6="All",G633=Dashboard!$F$6),OR(Dashboard!$I$6="All",H633=Dashboard!$I$6)),1,0)</f>
        <v/>
      </c>
    </row>
    <row r="634">
      <c r="A634" t="inlineStr">
        <is>
          <t>PF100625</t>
        </is>
      </c>
      <c r="B634" s="68" t="n">
        <v>45728</v>
      </c>
      <c r="C634" s="69" t="n">
        <v>2025</v>
      </c>
      <c r="D634" t="inlineStr">
        <is>
          <t>Mar</t>
        </is>
      </c>
      <c r="E634" t="inlineStr">
        <is>
          <t>International developed</t>
        </is>
      </c>
      <c r="F634" t="inlineStr">
        <is>
          <t>Canada</t>
        </is>
      </c>
      <c r="G634" t="inlineStr">
        <is>
          <t>Eliquis</t>
        </is>
      </c>
      <c r="H634" t="inlineStr">
        <is>
          <t>Hospital</t>
        </is>
      </c>
      <c r="I634" t="inlineStr">
        <is>
          <t>Private insurer</t>
        </is>
      </c>
      <c r="J634" t="inlineStr">
        <is>
          <t>Sara Rossi</t>
        </is>
      </c>
      <c r="K634" s="70" t="n">
        <v>1599</v>
      </c>
      <c r="L634" s="71" t="n">
        <v>448.07</v>
      </c>
      <c r="M634" s="71" t="n">
        <v>716463.9300000001</v>
      </c>
      <c r="N634" s="71" t="n">
        <v>179115.98</v>
      </c>
      <c r="O634" s="71" t="n">
        <v>537347.95</v>
      </c>
      <c r="P634" s="71" t="n">
        <v>117136.68</v>
      </c>
      <c r="Q634" s="71" t="n">
        <v>420211.27</v>
      </c>
      <c r="R634" t="inlineStr">
        <is>
          <t>Cardiology</t>
        </is>
      </c>
      <c r="S634" s="70" t="n">
        <v>1095</v>
      </c>
      <c r="T634" s="71" t="n">
        <v>104841.4</v>
      </c>
      <c r="U634" t="inlineStr">
        <is>
          <t>High</t>
        </is>
      </c>
      <c r="V634">
        <f>IF(AND(OR(Dashboard!$C$6="All",E634=Dashboard!$C$6),OR(Dashboard!$F$6="All",G634=Dashboard!$F$6),OR(Dashboard!$I$6="All",H634=Dashboard!$I$6)),1,0)</f>
        <v/>
      </c>
    </row>
    <row r="635">
      <c r="A635" t="inlineStr">
        <is>
          <t>PF100626</t>
        </is>
      </c>
      <c r="B635" s="68" t="n">
        <v>45728</v>
      </c>
      <c r="C635" s="69" t="n">
        <v>2025</v>
      </c>
      <c r="D635" t="inlineStr">
        <is>
          <t>Mar</t>
        </is>
      </c>
      <c r="E635" t="inlineStr">
        <is>
          <t>Europe</t>
        </is>
      </c>
      <c r="F635" t="inlineStr">
        <is>
          <t>Spain</t>
        </is>
      </c>
      <c r="G635" t="inlineStr">
        <is>
          <t>Comirnaty</t>
        </is>
      </c>
      <c r="H635" t="inlineStr">
        <is>
          <t>Retail pharmacy</t>
        </is>
      </c>
      <c r="I635" t="inlineStr">
        <is>
          <t>Public payer</t>
        </is>
      </c>
      <c r="J635" t="inlineStr">
        <is>
          <t>Lucas Martin</t>
        </is>
      </c>
      <c r="K635" s="70" t="n">
        <v>2778</v>
      </c>
      <c r="L635" s="71" t="n">
        <v>113</v>
      </c>
      <c r="M635" s="71" t="n">
        <v>313914</v>
      </c>
      <c r="N635" s="71" t="n">
        <v>47087.1</v>
      </c>
      <c r="O635" s="71" t="n">
        <v>266826.9</v>
      </c>
      <c r="P635" s="71" t="n">
        <v>105970</v>
      </c>
      <c r="Q635" s="71" t="n">
        <v>160856.9</v>
      </c>
      <c r="R635" t="inlineStr">
        <is>
          <t>Vaccines</t>
        </is>
      </c>
      <c r="S635" s="70" t="n">
        <v>1747</v>
      </c>
      <c r="T635" s="71" t="n">
        <v>48614.78</v>
      </c>
      <c r="U635" t="inlineStr">
        <is>
          <t>Low</t>
        </is>
      </c>
      <c r="V635">
        <f>IF(AND(OR(Dashboard!$C$6="All",E635=Dashboard!$C$6),OR(Dashboard!$F$6="All",G635=Dashboard!$F$6),OR(Dashboard!$I$6="All",H635=Dashboard!$I$6)),1,0)</f>
        <v/>
      </c>
    </row>
    <row r="636">
      <c r="A636" t="inlineStr">
        <is>
          <t>PF100627</t>
        </is>
      </c>
      <c r="B636" s="68" t="n">
        <v>45728</v>
      </c>
      <c r="C636" s="69" t="n">
        <v>2025</v>
      </c>
      <c r="D636" t="inlineStr">
        <is>
          <t>Mar</t>
        </is>
      </c>
      <c r="E636" t="inlineStr">
        <is>
          <t>International developed</t>
        </is>
      </c>
      <c r="F636" t="inlineStr">
        <is>
          <t>Japan</t>
        </is>
      </c>
      <c r="G636" t="inlineStr">
        <is>
          <t>Abrysvo</t>
        </is>
      </c>
      <c r="H636" t="inlineStr">
        <is>
          <t>Hospital</t>
        </is>
      </c>
      <c r="I636" t="inlineStr">
        <is>
          <t>Public payer</t>
        </is>
      </c>
      <c r="J636" t="inlineStr">
        <is>
          <t>Amir Khan</t>
        </is>
      </c>
      <c r="K636" s="70" t="n">
        <v>404</v>
      </c>
      <c r="L636" s="71" t="n">
        <v>255.49</v>
      </c>
      <c r="M636" s="71" t="n">
        <v>103217.96</v>
      </c>
      <c r="N636" s="71" t="n">
        <v>10321.8</v>
      </c>
      <c r="O636" s="71" t="n">
        <v>92896.16</v>
      </c>
      <c r="P636" s="71" t="n">
        <v>34397.84</v>
      </c>
      <c r="Q636" s="71" t="n">
        <v>58498.32</v>
      </c>
      <c r="R636" t="inlineStr">
        <is>
          <t>Vaccines</t>
        </is>
      </c>
      <c r="S636" s="70" t="n">
        <v>296</v>
      </c>
      <c r="T636" s="71" t="n">
        <v>14232.23</v>
      </c>
      <c r="U636" t="inlineStr">
        <is>
          <t>Low</t>
        </is>
      </c>
      <c r="V636">
        <f>IF(AND(OR(Dashboard!$C$6="All",E636=Dashboard!$C$6),OR(Dashboard!$F$6="All",G636=Dashboard!$F$6),OR(Dashboard!$I$6="All",H636=Dashboard!$I$6)),1,0)</f>
        <v/>
      </c>
    </row>
    <row r="637">
      <c r="A637" t="inlineStr">
        <is>
          <t>PF100628</t>
        </is>
      </c>
      <c r="B637" s="68" t="n">
        <v>45728</v>
      </c>
      <c r="C637" s="69" t="n">
        <v>2025</v>
      </c>
      <c r="D637" t="inlineStr">
        <is>
          <t>Mar</t>
        </is>
      </c>
      <c r="E637" t="inlineStr">
        <is>
          <t>Europe</t>
        </is>
      </c>
      <c r="F637" t="inlineStr">
        <is>
          <t>Germany</t>
        </is>
      </c>
      <c r="G637" t="inlineStr">
        <is>
          <t>Paxlovid</t>
        </is>
      </c>
      <c r="H637" t="inlineStr">
        <is>
          <t>Hospital</t>
        </is>
      </c>
      <c r="I637" t="inlineStr">
        <is>
          <t>Public payer</t>
        </is>
      </c>
      <c r="J637" t="inlineStr">
        <is>
          <t>Sophie Müller</t>
        </is>
      </c>
      <c r="K637" s="70" t="n">
        <v>1297</v>
      </c>
      <c r="L637" s="71" t="n">
        <v>1110.56</v>
      </c>
      <c r="M637" s="71" t="n">
        <v>1440396.32</v>
      </c>
      <c r="N637" s="71" t="n">
        <v>72019.82000000001</v>
      </c>
      <c r="O637" s="71" t="n">
        <v>1368376.5</v>
      </c>
      <c r="P637" s="71" t="n">
        <v>363078.17</v>
      </c>
      <c r="Q637" s="71" t="n">
        <v>1005298.33</v>
      </c>
      <c r="R637" t="inlineStr">
        <is>
          <t>Antiviral</t>
        </is>
      </c>
      <c r="S637" s="70" t="n">
        <v>1053</v>
      </c>
      <c r="T637" s="71" t="n">
        <v>307310.44</v>
      </c>
      <c r="U637" t="inlineStr">
        <is>
          <t>Low</t>
        </is>
      </c>
      <c r="V637">
        <f>IF(AND(OR(Dashboard!$C$6="All",E637=Dashboard!$C$6),OR(Dashboard!$F$6="All",G637=Dashboard!$F$6),OR(Dashboard!$I$6="All",H637=Dashboard!$I$6)),1,0)</f>
        <v/>
      </c>
    </row>
    <row r="638">
      <c r="A638" t="inlineStr">
        <is>
          <t>PF100629</t>
        </is>
      </c>
      <c r="B638" s="68" t="n">
        <v>45728</v>
      </c>
      <c r="C638" s="69" t="n">
        <v>2025</v>
      </c>
      <c r="D638" t="inlineStr">
        <is>
          <t>Mar</t>
        </is>
      </c>
      <c r="E638" t="inlineStr">
        <is>
          <t>United States</t>
        </is>
      </c>
      <c r="F638" t="inlineStr">
        <is>
          <t>USA</t>
        </is>
      </c>
      <c r="G638" t="inlineStr">
        <is>
          <t>Abrysvo</t>
        </is>
      </c>
      <c r="H638" t="inlineStr">
        <is>
          <t>Retail pharmacy</t>
        </is>
      </c>
      <c r="I638" t="inlineStr">
        <is>
          <t>Public payer</t>
        </is>
      </c>
      <c r="J638" t="inlineStr">
        <is>
          <t>Priya Nair</t>
        </is>
      </c>
      <c r="K638" s="70" t="n">
        <v>1214</v>
      </c>
      <c r="L638" s="71" t="n">
        <v>440.9</v>
      </c>
      <c r="M638" s="71" t="n">
        <v>535252.6</v>
      </c>
      <c r="N638" s="71" t="n">
        <v>107050.52</v>
      </c>
      <c r="O638" s="71" t="n">
        <v>428202.08</v>
      </c>
      <c r="P638" s="71" t="n">
        <v>98090.87</v>
      </c>
      <c r="Q638" s="71" t="n">
        <v>330111.21</v>
      </c>
      <c r="R638" t="inlineStr">
        <is>
          <t>Vaccines</t>
        </is>
      </c>
      <c r="S638" s="70" t="n">
        <v>1056</v>
      </c>
      <c r="T638" s="71" t="n">
        <v>70040.24000000001</v>
      </c>
      <c r="U638" t="inlineStr">
        <is>
          <t>Low</t>
        </is>
      </c>
      <c r="V638">
        <f>IF(AND(OR(Dashboard!$C$6="All",E638=Dashboard!$C$6),OR(Dashboard!$F$6="All",G638=Dashboard!$F$6),OR(Dashboard!$I$6="All",H638=Dashboard!$I$6)),1,0)</f>
        <v/>
      </c>
    </row>
    <row r="639">
      <c r="A639" t="inlineStr">
        <is>
          <t>PF100630</t>
        </is>
      </c>
      <c r="B639" s="68" t="n">
        <v>45728</v>
      </c>
      <c r="C639" s="69" t="n">
        <v>2025</v>
      </c>
      <c r="D639" t="inlineStr">
        <is>
          <t>Mar</t>
        </is>
      </c>
      <c r="E639" t="inlineStr">
        <is>
          <t>Emerging markets</t>
        </is>
      </c>
      <c r="F639" t="inlineStr">
        <is>
          <t>China</t>
        </is>
      </c>
      <c r="G639" t="inlineStr">
        <is>
          <t>Ibrance</t>
        </is>
      </c>
      <c r="H639" t="inlineStr">
        <is>
          <t>Government / tender</t>
        </is>
      </c>
      <c r="I639" t="inlineStr">
        <is>
          <t>Public payer</t>
        </is>
      </c>
      <c r="J639" t="inlineStr">
        <is>
          <t>Wei Chen</t>
        </is>
      </c>
      <c r="K639" s="70" t="n">
        <v>905</v>
      </c>
      <c r="L639" s="71" t="n">
        <v>2698.63</v>
      </c>
      <c r="M639" s="71" t="n">
        <v>2442260.15</v>
      </c>
      <c r="N639" s="71" t="n">
        <v>610565.04</v>
      </c>
      <c r="O639" s="71" t="n">
        <v>1831695.11</v>
      </c>
      <c r="P639" s="71" t="n">
        <v>403856.35</v>
      </c>
      <c r="Q639" s="71" t="n">
        <v>1427838.76</v>
      </c>
      <c r="R639" t="inlineStr">
        <is>
          <t>Oncology</t>
        </is>
      </c>
      <c r="S639" s="70" t="n">
        <v>856</v>
      </c>
      <c r="T639" s="71" t="n">
        <v>507914.57</v>
      </c>
      <c r="U639" t="inlineStr">
        <is>
          <t>High</t>
        </is>
      </c>
      <c r="V639">
        <f>IF(AND(OR(Dashboard!$C$6="All",E639=Dashboard!$C$6),OR(Dashboard!$F$6="All",G639=Dashboard!$F$6),OR(Dashboard!$I$6="All",H639=Dashboard!$I$6)),1,0)</f>
        <v/>
      </c>
    </row>
    <row r="640">
      <c r="A640" t="inlineStr">
        <is>
          <t>PF100631</t>
        </is>
      </c>
      <c r="B640" s="68" t="n">
        <v>45729</v>
      </c>
      <c r="C640" s="69" t="n">
        <v>2025</v>
      </c>
      <c r="D640" t="inlineStr">
        <is>
          <t>Mar</t>
        </is>
      </c>
      <c r="E640" t="inlineStr">
        <is>
          <t>United States</t>
        </is>
      </c>
      <c r="F640" t="inlineStr">
        <is>
          <t>USA</t>
        </is>
      </c>
      <c r="G640" t="inlineStr">
        <is>
          <t>Abrysvo</t>
        </is>
      </c>
      <c r="H640" t="inlineStr">
        <is>
          <t>Government / tender</t>
        </is>
      </c>
      <c r="I640" t="inlineStr">
        <is>
          <t>Public payer</t>
        </is>
      </c>
      <c r="J640" t="inlineStr">
        <is>
          <t>Yuki Sato</t>
        </is>
      </c>
      <c r="K640" s="70" t="n">
        <v>2421</v>
      </c>
      <c r="L640" s="71" t="n">
        <v>440.43</v>
      </c>
      <c r="M640" s="71" t="n">
        <v>1066281.03</v>
      </c>
      <c r="N640" s="71" t="n">
        <v>266570.26</v>
      </c>
      <c r="O640" s="71" t="n">
        <v>799710.77</v>
      </c>
      <c r="P640" s="71" t="n">
        <v>209570.68</v>
      </c>
      <c r="Q640" s="71" t="n">
        <v>590140.09</v>
      </c>
      <c r="R640" t="inlineStr">
        <is>
          <t>Vaccines</t>
        </is>
      </c>
      <c r="S640" s="70" t="n">
        <v>1936</v>
      </c>
      <c r="T640" s="71" t="n">
        <v>186874.14</v>
      </c>
      <c r="U640" t="inlineStr">
        <is>
          <t>Low</t>
        </is>
      </c>
      <c r="V640">
        <f>IF(AND(OR(Dashboard!$C$6="All",E640=Dashboard!$C$6),OR(Dashboard!$F$6="All",G640=Dashboard!$F$6),OR(Dashboard!$I$6="All",H640=Dashboard!$I$6)),1,0)</f>
        <v/>
      </c>
    </row>
    <row r="641">
      <c r="A641" t="inlineStr">
        <is>
          <t>PF100632</t>
        </is>
      </c>
      <c r="B641" s="68" t="n">
        <v>45729</v>
      </c>
      <c r="C641" s="69" t="n">
        <v>2025</v>
      </c>
      <c r="D641" t="inlineStr">
        <is>
          <t>Mar</t>
        </is>
      </c>
      <c r="E641" t="inlineStr">
        <is>
          <t>United States</t>
        </is>
      </c>
      <c r="F641" t="inlineStr">
        <is>
          <t>USA</t>
        </is>
      </c>
      <c r="G641" t="inlineStr">
        <is>
          <t>Ibrance</t>
        </is>
      </c>
      <c r="H641" t="inlineStr">
        <is>
          <t>Government / tender</t>
        </is>
      </c>
      <c r="I641" t="inlineStr">
        <is>
          <t>Private insurer</t>
        </is>
      </c>
      <c r="J641" t="inlineStr">
        <is>
          <t>Aisha Bello</t>
        </is>
      </c>
      <c r="K641" s="70" t="n">
        <v>2264</v>
      </c>
      <c r="L641" s="71" t="n">
        <v>4578.61</v>
      </c>
      <c r="M641" s="71" t="n">
        <v>10365973.04</v>
      </c>
      <c r="N641" s="71" t="n">
        <v>2591493.26</v>
      </c>
      <c r="O641" s="71" t="n">
        <v>7774479.78</v>
      </c>
      <c r="P641" s="71" t="n">
        <v>957855.17</v>
      </c>
      <c r="Q641" s="71" t="n">
        <v>6816624.61</v>
      </c>
      <c r="R641" t="inlineStr">
        <is>
          <t>Oncology</t>
        </is>
      </c>
      <c r="S641" s="70" t="n">
        <v>1703</v>
      </c>
      <c r="T641" s="71" t="n">
        <v>1281746.29</v>
      </c>
      <c r="U641" t="inlineStr">
        <is>
          <t>High</t>
        </is>
      </c>
      <c r="V641">
        <f>IF(AND(OR(Dashboard!$C$6="All",E641=Dashboard!$C$6),OR(Dashboard!$F$6="All",G641=Dashboard!$F$6),OR(Dashboard!$I$6="All",H641=Dashboard!$I$6)),1,0)</f>
        <v/>
      </c>
    </row>
    <row r="642">
      <c r="A642" t="inlineStr">
        <is>
          <t>PF100633</t>
        </is>
      </c>
      <c r="B642" s="68" t="n">
        <v>45729</v>
      </c>
      <c r="C642" s="69" t="n">
        <v>2025</v>
      </c>
      <c r="D642" t="inlineStr">
        <is>
          <t>Mar</t>
        </is>
      </c>
      <c r="E642" t="inlineStr">
        <is>
          <t>International developed</t>
        </is>
      </c>
      <c r="F642" t="inlineStr">
        <is>
          <t>Japan</t>
        </is>
      </c>
      <c r="G642" t="inlineStr">
        <is>
          <t>Eliquis</t>
        </is>
      </c>
      <c r="H642" t="inlineStr">
        <is>
          <t>Retail pharmacy</t>
        </is>
      </c>
      <c r="I642" t="inlineStr">
        <is>
          <t>Self-pay</t>
        </is>
      </c>
      <c r="J642" t="inlineStr">
        <is>
          <t>Arjun Mehta</t>
        </is>
      </c>
      <c r="K642" s="70" t="n">
        <v>901</v>
      </c>
      <c r="L642" s="71" t="n">
        <v>403.44</v>
      </c>
      <c r="M642" s="71" t="n">
        <v>363499.44</v>
      </c>
      <c r="N642" s="71" t="n">
        <v>54524.92</v>
      </c>
      <c r="O642" s="71" t="n">
        <v>308974.52</v>
      </c>
      <c r="P642" s="71" t="n">
        <v>69642.12</v>
      </c>
      <c r="Q642" s="71" t="n">
        <v>239332.4</v>
      </c>
      <c r="R642" t="inlineStr">
        <is>
          <t>Cardiology</t>
        </is>
      </c>
      <c r="S642" s="70" t="n">
        <v>600</v>
      </c>
      <c r="T642" s="71" t="n">
        <v>61040.52</v>
      </c>
      <c r="U642" t="inlineStr">
        <is>
          <t>High</t>
        </is>
      </c>
      <c r="V642">
        <f>IF(AND(OR(Dashboard!$C$6="All",E642=Dashboard!$C$6),OR(Dashboard!$F$6="All",G642=Dashboard!$F$6),OR(Dashboard!$I$6="All",H642=Dashboard!$I$6)),1,0)</f>
        <v/>
      </c>
    </row>
    <row r="643">
      <c r="A643" t="inlineStr">
        <is>
          <t>PF100634</t>
        </is>
      </c>
      <c r="B643" s="68" t="n">
        <v>45729</v>
      </c>
      <c r="C643" s="69" t="n">
        <v>2025</v>
      </c>
      <c r="D643" t="inlineStr">
        <is>
          <t>Mar</t>
        </is>
      </c>
      <c r="E643" t="inlineStr">
        <is>
          <t>Europe</t>
        </is>
      </c>
      <c r="F643" t="inlineStr">
        <is>
          <t>UK</t>
        </is>
      </c>
      <c r="G643" t="inlineStr">
        <is>
          <t>Paxlovid</t>
        </is>
      </c>
      <c r="H643" t="inlineStr">
        <is>
          <t>Hospital</t>
        </is>
      </c>
      <c r="I643" t="inlineStr">
        <is>
          <t>Private insurer</t>
        </is>
      </c>
      <c r="J643" t="inlineStr">
        <is>
          <t>Ravindra Patil</t>
        </is>
      </c>
      <c r="K643" s="70" t="n">
        <v>1307</v>
      </c>
      <c r="L643" s="71" t="n">
        <v>1095.88</v>
      </c>
      <c r="M643" s="71" t="n">
        <v>1432315.16</v>
      </c>
      <c r="N643" s="71" t="n">
        <v>143231.52</v>
      </c>
      <c r="O643" s="71" t="n">
        <v>1289083.64</v>
      </c>
      <c r="P643" s="71" t="n">
        <v>363865.63</v>
      </c>
      <c r="Q643" s="71" t="n">
        <v>925218.01</v>
      </c>
      <c r="R643" t="inlineStr">
        <is>
          <t>Antiviral</t>
        </is>
      </c>
      <c r="S643" s="70" t="n">
        <v>912</v>
      </c>
      <c r="T643" s="71" t="n">
        <v>294723.29</v>
      </c>
      <c r="U643" t="inlineStr">
        <is>
          <t>Low</t>
        </is>
      </c>
      <c r="V643">
        <f>IF(AND(OR(Dashboard!$C$6="All",E643=Dashboard!$C$6),OR(Dashboard!$F$6="All",G643=Dashboard!$F$6),OR(Dashboard!$I$6="All",H643=Dashboard!$I$6)),1,0)</f>
        <v/>
      </c>
    </row>
    <row r="644">
      <c r="A644" t="inlineStr">
        <is>
          <t>PF100635</t>
        </is>
      </c>
      <c r="B644" s="68" t="n">
        <v>45729</v>
      </c>
      <c r="C644" s="69" t="n">
        <v>2025</v>
      </c>
      <c r="D644" t="inlineStr">
        <is>
          <t>Mar</t>
        </is>
      </c>
      <c r="E644" t="inlineStr">
        <is>
          <t>Europe</t>
        </is>
      </c>
      <c r="F644" t="inlineStr">
        <is>
          <t>Italy</t>
        </is>
      </c>
      <c r="G644" t="inlineStr">
        <is>
          <t>Xeljanz</t>
        </is>
      </c>
      <c r="H644" t="inlineStr">
        <is>
          <t>Hospital</t>
        </is>
      </c>
      <c r="I644" t="inlineStr">
        <is>
          <t>Private insurer</t>
        </is>
      </c>
      <c r="J644" t="inlineStr">
        <is>
          <t>Amir Khan</t>
        </is>
      </c>
      <c r="K644" s="70" t="n">
        <v>1103</v>
      </c>
      <c r="L644" s="71" t="n">
        <v>1489.49</v>
      </c>
      <c r="M644" s="71" t="n">
        <v>1642907.47</v>
      </c>
      <c r="N644" s="71" t="n">
        <v>410726.87</v>
      </c>
      <c r="O644" s="71" t="n">
        <v>1232180.6</v>
      </c>
      <c r="P644" s="71" t="n">
        <v>281759.62</v>
      </c>
      <c r="Q644" s="71" t="n">
        <v>950420.98</v>
      </c>
      <c r="R644" t="inlineStr">
        <is>
          <t>Inflammation</t>
        </is>
      </c>
      <c r="S644" s="70" t="n">
        <v>996</v>
      </c>
      <c r="T644" s="71" t="n">
        <v>309314.73</v>
      </c>
      <c r="U644" t="inlineStr">
        <is>
          <t>High</t>
        </is>
      </c>
      <c r="V644">
        <f>IF(AND(OR(Dashboard!$C$6="All",E644=Dashboard!$C$6),OR(Dashboard!$F$6="All",G644=Dashboard!$F$6),OR(Dashboard!$I$6="All",H644=Dashboard!$I$6)),1,0)</f>
        <v/>
      </c>
    </row>
    <row r="645">
      <c r="A645" t="inlineStr">
        <is>
          <t>PF100636</t>
        </is>
      </c>
      <c r="B645" s="68" t="n">
        <v>45729</v>
      </c>
      <c r="C645" s="69" t="n">
        <v>2025</v>
      </c>
      <c r="D645" t="inlineStr">
        <is>
          <t>Mar</t>
        </is>
      </c>
      <c r="E645" t="inlineStr">
        <is>
          <t>Europe</t>
        </is>
      </c>
      <c r="F645" t="inlineStr">
        <is>
          <t>Spain</t>
        </is>
      </c>
      <c r="G645" t="inlineStr">
        <is>
          <t>Prevnar 20</t>
        </is>
      </c>
      <c r="H645" t="inlineStr">
        <is>
          <t>Retail pharmacy</t>
        </is>
      </c>
      <c r="I645" t="inlineStr">
        <is>
          <t>Public payer</t>
        </is>
      </c>
      <c r="J645" t="inlineStr">
        <is>
          <t>Wei Chen</t>
        </is>
      </c>
      <c r="K645" s="70" t="n">
        <v>2717</v>
      </c>
      <c r="L645" s="71" t="n">
        <v>246.6</v>
      </c>
      <c r="M645" s="71" t="n">
        <v>670012.2</v>
      </c>
      <c r="N645" s="71" t="n">
        <v>33500.61</v>
      </c>
      <c r="O645" s="71" t="n">
        <v>636511.59</v>
      </c>
      <c r="P645" s="71" t="n">
        <v>194544.77</v>
      </c>
      <c r="Q645" s="71" t="n">
        <v>441966.82</v>
      </c>
      <c r="R645" t="inlineStr">
        <is>
          <t>Vaccines</t>
        </is>
      </c>
      <c r="S645" s="70" t="n">
        <v>1707</v>
      </c>
      <c r="T645" s="71" t="n">
        <v>94674.05</v>
      </c>
      <c r="U645" t="inlineStr">
        <is>
          <t>Low</t>
        </is>
      </c>
      <c r="V645">
        <f>IF(AND(OR(Dashboard!$C$6="All",E645=Dashboard!$C$6),OR(Dashboard!$F$6="All",G645=Dashboard!$F$6),OR(Dashboard!$I$6="All",H645=Dashboard!$I$6)),1,0)</f>
        <v/>
      </c>
    </row>
    <row r="646">
      <c r="A646" t="inlineStr">
        <is>
          <t>PF100637</t>
        </is>
      </c>
      <c r="B646" s="68" t="n">
        <v>45729</v>
      </c>
      <c r="C646" s="69" t="n">
        <v>2025</v>
      </c>
      <c r="D646" t="inlineStr">
        <is>
          <t>Mar</t>
        </is>
      </c>
      <c r="E646" t="inlineStr">
        <is>
          <t>United States</t>
        </is>
      </c>
      <c r="F646" t="inlineStr">
        <is>
          <t>USA</t>
        </is>
      </c>
      <c r="G646" t="inlineStr">
        <is>
          <t>Ibrance</t>
        </is>
      </c>
      <c r="H646" t="inlineStr">
        <is>
          <t>Hospital</t>
        </is>
      </c>
      <c r="I646" t="inlineStr">
        <is>
          <t>Private insurer</t>
        </is>
      </c>
      <c r="J646" t="inlineStr">
        <is>
          <t>Carlos Silva</t>
        </is>
      </c>
      <c r="K646" s="70" t="n">
        <v>833</v>
      </c>
      <c r="L646" s="71" t="n">
        <v>4380.58</v>
      </c>
      <c r="M646" s="71" t="n">
        <v>3649023.14</v>
      </c>
      <c r="N646" s="71" t="n">
        <v>729804.63</v>
      </c>
      <c r="O646" s="71" t="n">
        <v>2919218.51</v>
      </c>
      <c r="P646" s="71" t="n">
        <v>359874.64</v>
      </c>
      <c r="Q646" s="71" t="n">
        <v>2559343.87</v>
      </c>
      <c r="R646" t="inlineStr">
        <is>
          <t>Oncology</t>
        </is>
      </c>
      <c r="S646" s="70" t="n">
        <v>629</v>
      </c>
      <c r="T646" s="71" t="n">
        <v>604607.88</v>
      </c>
      <c r="U646" t="inlineStr">
        <is>
          <t>High</t>
        </is>
      </c>
      <c r="V646">
        <f>IF(AND(OR(Dashboard!$C$6="All",E646=Dashboard!$C$6),OR(Dashboard!$F$6="All",G646=Dashboard!$F$6),OR(Dashboard!$I$6="All",H646=Dashboard!$I$6)),1,0)</f>
        <v/>
      </c>
    </row>
    <row r="647">
      <c r="A647" t="inlineStr">
        <is>
          <t>PF100638</t>
        </is>
      </c>
      <c r="B647" s="68" t="n">
        <v>45729</v>
      </c>
      <c r="C647" s="69" t="n">
        <v>2025</v>
      </c>
      <c r="D647" t="inlineStr">
        <is>
          <t>Mar</t>
        </is>
      </c>
      <c r="E647" t="inlineStr">
        <is>
          <t>International developed</t>
        </is>
      </c>
      <c r="F647" t="inlineStr">
        <is>
          <t>Japan</t>
        </is>
      </c>
      <c r="G647" t="inlineStr">
        <is>
          <t>Vyndaqel</t>
        </is>
      </c>
      <c r="H647" t="inlineStr">
        <is>
          <t>Hospital</t>
        </is>
      </c>
      <c r="I647" t="inlineStr">
        <is>
          <t>Public payer</t>
        </is>
      </c>
      <c r="J647" t="inlineStr">
        <is>
          <t>Shraddha Kulkarni</t>
        </is>
      </c>
      <c r="K647" s="70" t="n">
        <v>1832</v>
      </c>
      <c r="L647" s="71" t="n">
        <v>5448.72</v>
      </c>
      <c r="M647" s="71" t="n">
        <v>9982055.039999999</v>
      </c>
      <c r="N647" s="71" t="n">
        <v>998205.5</v>
      </c>
      <c r="O647" s="71" t="n">
        <v>8983849.539999999</v>
      </c>
      <c r="P647" s="71" t="n">
        <v>1163388.7</v>
      </c>
      <c r="Q647" s="71" t="n">
        <v>7820460.84</v>
      </c>
      <c r="R647" t="inlineStr">
        <is>
          <t>Rare disease</t>
        </is>
      </c>
      <c r="S647" s="70" t="n">
        <v>1732</v>
      </c>
      <c r="T647" s="71" t="n">
        <v>1328590.42</v>
      </c>
      <c r="U647" t="inlineStr">
        <is>
          <t>Medium</t>
        </is>
      </c>
      <c r="V647">
        <f>IF(AND(OR(Dashboard!$C$6="All",E647=Dashboard!$C$6),OR(Dashboard!$F$6="All",G647=Dashboard!$F$6),OR(Dashboard!$I$6="All",H647=Dashboard!$I$6)),1,0)</f>
        <v/>
      </c>
    </row>
    <row r="648">
      <c r="A648" t="inlineStr">
        <is>
          <t>PF100639</t>
        </is>
      </c>
      <c r="B648" s="68" t="n">
        <v>45729</v>
      </c>
      <c r="C648" s="69" t="n">
        <v>2025</v>
      </c>
      <c r="D648" t="inlineStr">
        <is>
          <t>Mar</t>
        </is>
      </c>
      <c r="E648" t="inlineStr">
        <is>
          <t>United States</t>
        </is>
      </c>
      <c r="F648" t="inlineStr">
        <is>
          <t>USA</t>
        </is>
      </c>
      <c r="G648" t="inlineStr">
        <is>
          <t>Xeljanz</t>
        </is>
      </c>
      <c r="H648" t="inlineStr">
        <is>
          <t>Hospital</t>
        </is>
      </c>
      <c r="I648" t="inlineStr">
        <is>
          <t>Public payer</t>
        </is>
      </c>
      <c r="J648" t="inlineStr">
        <is>
          <t>Arjun Mehta</t>
        </is>
      </c>
      <c r="K648" s="70" t="n">
        <v>1774</v>
      </c>
      <c r="L648" s="71" t="n">
        <v>2310.85</v>
      </c>
      <c r="M648" s="71" t="n">
        <v>4099447.9</v>
      </c>
      <c r="N648" s="71" t="n">
        <v>614917.1899999999</v>
      </c>
      <c r="O648" s="71" t="n">
        <v>3484530.71</v>
      </c>
      <c r="P648" s="71" t="n">
        <v>429985.79</v>
      </c>
      <c r="Q648" s="71" t="n">
        <v>3054544.92</v>
      </c>
      <c r="R648" t="inlineStr">
        <is>
          <t>Inflammation</t>
        </is>
      </c>
      <c r="S648" s="70" t="n">
        <v>1586</v>
      </c>
      <c r="T648" s="71" t="n">
        <v>593064.4</v>
      </c>
      <c r="U648" t="inlineStr">
        <is>
          <t>High</t>
        </is>
      </c>
      <c r="V648">
        <f>IF(AND(OR(Dashboard!$C$6="All",E648=Dashboard!$C$6),OR(Dashboard!$F$6="All",G648=Dashboard!$F$6),OR(Dashboard!$I$6="All",H648=Dashboard!$I$6)),1,0)</f>
        <v/>
      </c>
    </row>
    <row r="649">
      <c r="A649" t="inlineStr">
        <is>
          <t>PF100640</t>
        </is>
      </c>
      <c r="B649" s="68" t="n">
        <v>45730</v>
      </c>
      <c r="C649" s="69" t="n">
        <v>2025</v>
      </c>
      <c r="D649" t="inlineStr">
        <is>
          <t>Mar</t>
        </is>
      </c>
      <c r="E649" t="inlineStr">
        <is>
          <t>Europe</t>
        </is>
      </c>
      <c r="F649" t="inlineStr">
        <is>
          <t>Spain</t>
        </is>
      </c>
      <c r="G649" t="inlineStr">
        <is>
          <t>Paxlovid</t>
        </is>
      </c>
      <c r="H649" t="inlineStr">
        <is>
          <t>Government / tender</t>
        </is>
      </c>
      <c r="I649" t="inlineStr">
        <is>
          <t>Self-pay</t>
        </is>
      </c>
      <c r="J649" t="inlineStr">
        <is>
          <t>Emma Clarke</t>
        </is>
      </c>
      <c r="K649" s="70" t="n">
        <v>430</v>
      </c>
      <c r="L649" s="71" t="n">
        <v>1029.47</v>
      </c>
      <c r="M649" s="71" t="n">
        <v>442672.1</v>
      </c>
      <c r="N649" s="71" t="n">
        <v>110668.02</v>
      </c>
      <c r="O649" s="71" t="n">
        <v>332004.08</v>
      </c>
      <c r="P649" s="71" t="n">
        <v>117193.13</v>
      </c>
      <c r="Q649" s="71" t="n">
        <v>214810.95</v>
      </c>
      <c r="R649" t="inlineStr">
        <is>
          <t>Antiviral</t>
        </is>
      </c>
      <c r="S649" s="70" t="n">
        <v>311</v>
      </c>
      <c r="T649" s="71" t="n">
        <v>73323.92999999999</v>
      </c>
      <c r="U649" t="inlineStr">
        <is>
          <t>Low</t>
        </is>
      </c>
      <c r="V649">
        <f>IF(AND(OR(Dashboard!$C$6="All",E649=Dashboard!$C$6),OR(Dashboard!$F$6="All",G649=Dashboard!$F$6),OR(Dashboard!$I$6="All",H649=Dashboard!$I$6)),1,0)</f>
        <v/>
      </c>
    </row>
    <row r="650">
      <c r="A650" t="inlineStr">
        <is>
          <t>PF100641</t>
        </is>
      </c>
      <c r="B650" s="68" t="n">
        <v>45730</v>
      </c>
      <c r="C650" s="69" t="n">
        <v>2025</v>
      </c>
      <c r="D650" t="inlineStr">
        <is>
          <t>Mar</t>
        </is>
      </c>
      <c r="E650" t="inlineStr">
        <is>
          <t>International developed</t>
        </is>
      </c>
      <c r="F650" t="inlineStr">
        <is>
          <t>Japan</t>
        </is>
      </c>
      <c r="G650" t="inlineStr">
        <is>
          <t>Vyndaqel</t>
        </is>
      </c>
      <c r="H650" t="inlineStr">
        <is>
          <t>Hospital</t>
        </is>
      </c>
      <c r="I650" t="inlineStr">
        <is>
          <t>Self-pay</t>
        </is>
      </c>
      <c r="J650" t="inlineStr">
        <is>
          <t>Lucas Martin</t>
        </is>
      </c>
      <c r="K650" s="70" t="n">
        <v>815</v>
      </c>
      <c r="L650" s="71" t="n">
        <v>5195.07</v>
      </c>
      <c r="M650" s="71" t="n">
        <v>4233982.05</v>
      </c>
      <c r="N650" s="71" t="n">
        <v>211699.1</v>
      </c>
      <c r="O650" s="71" t="n">
        <v>4022282.95</v>
      </c>
      <c r="P650" s="71" t="n">
        <v>501101.81</v>
      </c>
      <c r="Q650" s="71" t="n">
        <v>3521181.14</v>
      </c>
      <c r="R650" t="inlineStr">
        <is>
          <t>Rare disease</t>
        </is>
      </c>
      <c r="S650" s="70" t="n">
        <v>540</v>
      </c>
      <c r="T650" s="71" t="n">
        <v>910010.73</v>
      </c>
      <c r="U650" t="inlineStr">
        <is>
          <t>Medium</t>
        </is>
      </c>
      <c r="V650">
        <f>IF(AND(OR(Dashboard!$C$6="All",E650=Dashboard!$C$6),OR(Dashboard!$F$6="All",G650=Dashboard!$F$6),OR(Dashboard!$I$6="All",H650=Dashboard!$I$6)),1,0)</f>
        <v/>
      </c>
    </row>
    <row r="651">
      <c r="A651" t="inlineStr">
        <is>
          <t>PF100642</t>
        </is>
      </c>
      <c r="B651" s="68" t="n">
        <v>45730</v>
      </c>
      <c r="C651" s="69" t="n">
        <v>2025</v>
      </c>
      <c r="D651" t="inlineStr">
        <is>
          <t>Mar</t>
        </is>
      </c>
      <c r="E651" t="inlineStr">
        <is>
          <t>Europe</t>
        </is>
      </c>
      <c r="F651" t="inlineStr">
        <is>
          <t>Germany</t>
        </is>
      </c>
      <c r="G651" t="inlineStr">
        <is>
          <t>Xeljanz</t>
        </is>
      </c>
      <c r="H651" t="inlineStr">
        <is>
          <t>Government / tender</t>
        </is>
      </c>
      <c r="I651" t="inlineStr">
        <is>
          <t>Private insurer</t>
        </is>
      </c>
      <c r="J651" t="inlineStr">
        <is>
          <t>Fatima Al-Saud</t>
        </is>
      </c>
      <c r="K651" s="70" t="n">
        <v>2765</v>
      </c>
      <c r="L651" s="71" t="n">
        <v>1466.94</v>
      </c>
      <c r="M651" s="71" t="n">
        <v>4056089.1</v>
      </c>
      <c r="N651" s="71" t="n">
        <v>608413.36</v>
      </c>
      <c r="O651" s="71" t="n">
        <v>3447675.74</v>
      </c>
      <c r="P651" s="71" t="n">
        <v>706544.67</v>
      </c>
      <c r="Q651" s="71" t="n">
        <v>2741131.07</v>
      </c>
      <c r="R651" t="inlineStr">
        <is>
          <t>Inflammation</t>
        </is>
      </c>
      <c r="S651" s="70" t="n">
        <v>2586</v>
      </c>
      <c r="T651" s="71" t="n">
        <v>634367.39</v>
      </c>
      <c r="U651" t="inlineStr">
        <is>
          <t>High</t>
        </is>
      </c>
      <c r="V651">
        <f>IF(AND(OR(Dashboard!$C$6="All",E651=Dashboard!$C$6),OR(Dashboard!$F$6="All",G651=Dashboard!$F$6),OR(Dashboard!$I$6="All",H651=Dashboard!$I$6)),1,0)</f>
        <v/>
      </c>
    </row>
    <row r="652">
      <c r="A652" t="inlineStr">
        <is>
          <t>PF100643</t>
        </is>
      </c>
      <c r="B652" s="68" t="n">
        <v>45730</v>
      </c>
      <c r="C652" s="69" t="n">
        <v>2025</v>
      </c>
      <c r="D652" t="inlineStr">
        <is>
          <t>Mar</t>
        </is>
      </c>
      <c r="E652" t="inlineStr">
        <is>
          <t>Emerging markets</t>
        </is>
      </c>
      <c r="F652" t="inlineStr">
        <is>
          <t>Mexico</t>
        </is>
      </c>
      <c r="G652" t="inlineStr">
        <is>
          <t>Comirnaty</t>
        </is>
      </c>
      <c r="H652" t="inlineStr">
        <is>
          <t>Retail pharmacy</t>
        </is>
      </c>
      <c r="I652" t="inlineStr">
        <is>
          <t>Self-pay</t>
        </is>
      </c>
      <c r="J652" t="inlineStr">
        <is>
          <t>Lucas Martin</t>
        </is>
      </c>
      <c r="K652" s="70" t="n">
        <v>1696</v>
      </c>
      <c r="L652" s="71" t="n">
        <v>118.61</v>
      </c>
      <c r="M652" s="71" t="n">
        <v>201162.56</v>
      </c>
      <c r="N652" s="71" t="n">
        <v>20116.26</v>
      </c>
      <c r="O652" s="71" t="n">
        <v>181046.3</v>
      </c>
      <c r="P652" s="71" t="n">
        <v>63240.93</v>
      </c>
      <c r="Q652" s="71" t="n">
        <v>117805.37</v>
      </c>
      <c r="R652" t="inlineStr">
        <is>
          <t>Vaccines</t>
        </is>
      </c>
      <c r="S652" s="70" t="n">
        <v>1199</v>
      </c>
      <c r="T652" s="71" t="n">
        <v>30143.97</v>
      </c>
      <c r="U652" t="inlineStr">
        <is>
          <t>Low</t>
        </is>
      </c>
      <c r="V652">
        <f>IF(AND(OR(Dashboard!$C$6="All",E652=Dashboard!$C$6),OR(Dashboard!$F$6="All",G652=Dashboard!$F$6),OR(Dashboard!$I$6="All",H652=Dashboard!$I$6)),1,0)</f>
        <v/>
      </c>
    </row>
    <row r="653">
      <c r="A653" t="inlineStr">
        <is>
          <t>PF100644</t>
        </is>
      </c>
      <c r="B653" s="68" t="n">
        <v>45730</v>
      </c>
      <c r="C653" s="69" t="n">
        <v>2025</v>
      </c>
      <c r="D653" t="inlineStr">
        <is>
          <t>Mar</t>
        </is>
      </c>
      <c r="E653" t="inlineStr">
        <is>
          <t>Emerging markets</t>
        </is>
      </c>
      <c r="F653" t="inlineStr">
        <is>
          <t>China</t>
        </is>
      </c>
      <c r="G653" t="inlineStr">
        <is>
          <t>Ibrance</t>
        </is>
      </c>
      <c r="H653" t="inlineStr">
        <is>
          <t>Government / tender</t>
        </is>
      </c>
      <c r="I653" t="inlineStr">
        <is>
          <t>Public payer</t>
        </is>
      </c>
      <c r="J653" t="inlineStr">
        <is>
          <t>Kofi Mensah</t>
        </is>
      </c>
      <c r="K653" s="70" t="n">
        <v>1700</v>
      </c>
      <c r="L653" s="71" t="n">
        <v>3079.84</v>
      </c>
      <c r="M653" s="71" t="n">
        <v>5235728</v>
      </c>
      <c r="N653" s="71" t="n">
        <v>261786.4</v>
      </c>
      <c r="O653" s="71" t="n">
        <v>4973941.6</v>
      </c>
      <c r="P653" s="71" t="n">
        <v>757577.7</v>
      </c>
      <c r="Q653" s="71" t="n">
        <v>4216363.9</v>
      </c>
      <c r="R653" t="inlineStr">
        <is>
          <t>Oncology</t>
        </is>
      </c>
      <c r="S653" s="70" t="n">
        <v>1144</v>
      </c>
      <c r="T653" s="71" t="n">
        <v>769742.09</v>
      </c>
      <c r="U653" t="inlineStr">
        <is>
          <t>High</t>
        </is>
      </c>
      <c r="V653">
        <f>IF(AND(OR(Dashboard!$C$6="All",E653=Dashboard!$C$6),OR(Dashboard!$F$6="All",G653=Dashboard!$F$6),OR(Dashboard!$I$6="All",H653=Dashboard!$I$6)),1,0)</f>
        <v/>
      </c>
    </row>
    <row r="654">
      <c r="A654" t="inlineStr">
        <is>
          <t>PF100645</t>
        </is>
      </c>
      <c r="B654" s="68" t="n">
        <v>45730</v>
      </c>
      <c r="C654" s="69" t="n">
        <v>2025</v>
      </c>
      <c r="D654" t="inlineStr">
        <is>
          <t>Mar</t>
        </is>
      </c>
      <c r="E654" t="inlineStr">
        <is>
          <t>Europe</t>
        </is>
      </c>
      <c r="F654" t="inlineStr">
        <is>
          <t>Germany</t>
        </is>
      </c>
      <c r="G654" t="inlineStr">
        <is>
          <t>Paxlovid</t>
        </is>
      </c>
      <c r="H654" t="inlineStr">
        <is>
          <t>Hospital</t>
        </is>
      </c>
      <c r="I654" t="inlineStr">
        <is>
          <t>Public payer</t>
        </is>
      </c>
      <c r="J654" t="inlineStr">
        <is>
          <t>Noah Smith</t>
        </is>
      </c>
      <c r="K654" s="70" t="n">
        <v>1458</v>
      </c>
      <c r="L654" s="71" t="n">
        <v>1104.58</v>
      </c>
      <c r="M654" s="71" t="n">
        <v>1610477.64</v>
      </c>
      <c r="N654" s="71" t="n">
        <v>241571.65</v>
      </c>
      <c r="O654" s="71" t="n">
        <v>1368905.99</v>
      </c>
      <c r="P654" s="71" t="n">
        <v>400097.9</v>
      </c>
      <c r="Q654" s="71" t="n">
        <v>968808.09</v>
      </c>
      <c r="R654" t="inlineStr">
        <is>
          <t>Antiviral</t>
        </is>
      </c>
      <c r="S654" s="70" t="n">
        <v>1014</v>
      </c>
      <c r="T654" s="71" t="n">
        <v>321616.24</v>
      </c>
      <c r="U654" t="inlineStr">
        <is>
          <t>Low</t>
        </is>
      </c>
      <c r="V654">
        <f>IF(AND(OR(Dashboard!$C$6="All",E654=Dashboard!$C$6),OR(Dashboard!$F$6="All",G654=Dashboard!$F$6),OR(Dashboard!$I$6="All",H654=Dashboard!$I$6)),1,0)</f>
        <v/>
      </c>
    </row>
    <row r="655">
      <c r="A655" t="inlineStr">
        <is>
          <t>PF100646</t>
        </is>
      </c>
      <c r="B655" s="68" t="n">
        <v>45730</v>
      </c>
      <c r="C655" s="69" t="n">
        <v>2025</v>
      </c>
      <c r="D655" t="inlineStr">
        <is>
          <t>Mar</t>
        </is>
      </c>
      <c r="E655" t="inlineStr">
        <is>
          <t>Emerging markets</t>
        </is>
      </c>
      <c r="F655" t="inlineStr">
        <is>
          <t>China</t>
        </is>
      </c>
      <c r="G655" t="inlineStr">
        <is>
          <t>Comirnaty</t>
        </is>
      </c>
      <c r="H655" t="inlineStr">
        <is>
          <t>Retail pharmacy</t>
        </is>
      </c>
      <c r="I655" t="inlineStr">
        <is>
          <t>Private insurer</t>
        </is>
      </c>
      <c r="J655" t="inlineStr">
        <is>
          <t>Lucas Martin</t>
        </is>
      </c>
      <c r="K655" s="70" t="n">
        <v>610</v>
      </c>
      <c r="L655" s="71" t="n">
        <v>100.25</v>
      </c>
      <c r="M655" s="71" t="n">
        <v>61152.5</v>
      </c>
      <c r="N655" s="71" t="n">
        <v>12230.5</v>
      </c>
      <c r="O655" s="71" t="n">
        <v>48922</v>
      </c>
      <c r="P655" s="71" t="n">
        <v>24040.65</v>
      </c>
      <c r="Q655" s="71" t="n">
        <v>24881.35</v>
      </c>
      <c r="R655" t="inlineStr">
        <is>
          <t>Vaccines</t>
        </is>
      </c>
      <c r="S655" s="70" t="n">
        <v>600</v>
      </c>
      <c r="T655" s="71" t="n">
        <v>11869.87</v>
      </c>
      <c r="U655" t="inlineStr">
        <is>
          <t>Low</t>
        </is>
      </c>
      <c r="V655">
        <f>IF(AND(OR(Dashboard!$C$6="All",E655=Dashboard!$C$6),OR(Dashboard!$F$6="All",G655=Dashboard!$F$6),OR(Dashboard!$I$6="All",H655=Dashboard!$I$6)),1,0)</f>
        <v/>
      </c>
    </row>
    <row r="656">
      <c r="A656" t="inlineStr">
        <is>
          <t>PF100647</t>
        </is>
      </c>
      <c r="B656" s="68" t="n">
        <v>45730</v>
      </c>
      <c r="C656" s="69" t="n">
        <v>2025</v>
      </c>
      <c r="D656" t="inlineStr">
        <is>
          <t>Mar</t>
        </is>
      </c>
      <c r="E656" t="inlineStr">
        <is>
          <t>International developed</t>
        </is>
      </c>
      <c r="F656" t="inlineStr">
        <is>
          <t>Japan</t>
        </is>
      </c>
      <c r="G656" t="inlineStr">
        <is>
          <t>Vyndaqel</t>
        </is>
      </c>
      <c r="H656" t="inlineStr">
        <is>
          <t>Retail pharmacy</t>
        </is>
      </c>
      <c r="I656" t="inlineStr">
        <is>
          <t>Private insurer</t>
        </is>
      </c>
      <c r="J656" t="inlineStr">
        <is>
          <t>Shraddha Kulkarni</t>
        </is>
      </c>
      <c r="K656" s="70" t="n">
        <v>364</v>
      </c>
      <c r="L656" s="71" t="n">
        <v>5034.07</v>
      </c>
      <c r="M656" s="71" t="n">
        <v>1832401.48</v>
      </c>
      <c r="N656" s="71" t="n">
        <v>183240.15</v>
      </c>
      <c r="O656" s="71" t="n">
        <v>1649161.33</v>
      </c>
      <c r="P656" s="71" t="n">
        <v>226390.23</v>
      </c>
      <c r="Q656" s="71" t="n">
        <v>1422771.1</v>
      </c>
      <c r="R656" t="inlineStr">
        <is>
          <t>Rare disease</t>
        </is>
      </c>
      <c r="S656" s="70" t="n">
        <v>293</v>
      </c>
      <c r="T656" s="71" t="n">
        <v>274705.56</v>
      </c>
      <c r="U656" t="inlineStr">
        <is>
          <t>Medium</t>
        </is>
      </c>
      <c r="V656">
        <f>IF(AND(OR(Dashboard!$C$6="All",E656=Dashboard!$C$6),OR(Dashboard!$F$6="All",G656=Dashboard!$F$6),OR(Dashboard!$I$6="All",H656=Dashboard!$I$6)),1,0)</f>
        <v/>
      </c>
    </row>
    <row r="657">
      <c r="A657" t="inlineStr">
        <is>
          <t>PF100648</t>
        </is>
      </c>
      <c r="B657" s="68" t="n">
        <v>45731</v>
      </c>
      <c r="C657" s="69" t="n">
        <v>2025</v>
      </c>
      <c r="D657" t="inlineStr">
        <is>
          <t>Mar</t>
        </is>
      </c>
      <c r="E657" t="inlineStr">
        <is>
          <t>United States</t>
        </is>
      </c>
      <c r="F657" t="inlineStr">
        <is>
          <t>USA</t>
        </is>
      </c>
      <c r="G657" t="inlineStr">
        <is>
          <t>Prevnar 20</t>
        </is>
      </c>
      <c r="H657" t="inlineStr">
        <is>
          <t>Retail pharmacy</t>
        </is>
      </c>
      <c r="I657" t="inlineStr">
        <is>
          <t>Self-pay</t>
        </is>
      </c>
      <c r="J657" t="inlineStr">
        <is>
          <t>Shraddha Kulkarni</t>
        </is>
      </c>
      <c r="K657" s="70" t="n">
        <v>1202</v>
      </c>
      <c r="L657" s="71" t="n">
        <v>334.58</v>
      </c>
      <c r="M657" s="71" t="n">
        <v>402165.16</v>
      </c>
      <c r="N657" s="71" t="n">
        <v>80433.03</v>
      </c>
      <c r="O657" s="71" t="n">
        <v>321732.13</v>
      </c>
      <c r="P657" s="71" t="n">
        <v>81830.77</v>
      </c>
      <c r="Q657" s="71" t="n">
        <v>239901.36</v>
      </c>
      <c r="R657" t="inlineStr">
        <is>
          <t>Vaccines</t>
        </is>
      </c>
      <c r="S657" s="70" t="n">
        <v>964</v>
      </c>
      <c r="T657" s="71" t="n">
        <v>48591.35</v>
      </c>
      <c r="U657" t="inlineStr">
        <is>
          <t>Low</t>
        </is>
      </c>
      <c r="V657">
        <f>IF(AND(OR(Dashboard!$C$6="All",E657=Dashboard!$C$6),OR(Dashboard!$F$6="All",G657=Dashboard!$F$6),OR(Dashboard!$I$6="All",H657=Dashboard!$I$6)),1,0)</f>
        <v/>
      </c>
    </row>
    <row r="658">
      <c r="A658" t="inlineStr">
        <is>
          <t>PF100649</t>
        </is>
      </c>
      <c r="B658" s="68" t="n">
        <v>45731</v>
      </c>
      <c r="C658" s="69" t="n">
        <v>2025</v>
      </c>
      <c r="D658" t="inlineStr">
        <is>
          <t>Mar</t>
        </is>
      </c>
      <c r="E658" t="inlineStr">
        <is>
          <t>Emerging markets</t>
        </is>
      </c>
      <c r="F658" t="inlineStr">
        <is>
          <t>India</t>
        </is>
      </c>
      <c r="G658" t="inlineStr">
        <is>
          <t>Prevnar 20</t>
        </is>
      </c>
      <c r="H658" t="inlineStr">
        <is>
          <t>Retail pharmacy</t>
        </is>
      </c>
      <c r="I658" t="inlineStr">
        <is>
          <t>Private insurer</t>
        </is>
      </c>
      <c r="J658" t="inlineStr">
        <is>
          <t>Sophie Müller</t>
        </is>
      </c>
      <c r="K658" s="70" t="n">
        <v>429</v>
      </c>
      <c r="L658" s="71" t="n">
        <v>246.17</v>
      </c>
      <c r="M658" s="71" t="n">
        <v>105606.93</v>
      </c>
      <c r="N658" s="71" t="n">
        <v>26401.73</v>
      </c>
      <c r="O658" s="71" t="n">
        <v>79205.2</v>
      </c>
      <c r="P658" s="71" t="n">
        <v>30717.43</v>
      </c>
      <c r="Q658" s="71" t="n">
        <v>48487.77</v>
      </c>
      <c r="R658" t="inlineStr">
        <is>
          <t>Vaccines</t>
        </is>
      </c>
      <c r="S658" s="70" t="n">
        <v>277</v>
      </c>
      <c r="T658" s="71" t="n">
        <v>19854.2</v>
      </c>
      <c r="U658" t="inlineStr">
        <is>
          <t>Low</t>
        </is>
      </c>
      <c r="V658">
        <f>IF(AND(OR(Dashboard!$C$6="All",E658=Dashboard!$C$6),OR(Dashboard!$F$6="All",G658=Dashboard!$F$6),OR(Dashboard!$I$6="All",H658=Dashboard!$I$6)),1,0)</f>
        <v/>
      </c>
    </row>
    <row r="659">
      <c r="A659" t="inlineStr">
        <is>
          <t>PF100650</t>
        </is>
      </c>
      <c r="B659" s="68" t="n">
        <v>45731</v>
      </c>
      <c r="C659" s="69" t="n">
        <v>2025</v>
      </c>
      <c r="D659" t="inlineStr">
        <is>
          <t>Mar</t>
        </is>
      </c>
      <c r="E659" t="inlineStr">
        <is>
          <t>United States</t>
        </is>
      </c>
      <c r="F659" t="inlineStr">
        <is>
          <t>USA</t>
        </is>
      </c>
      <c r="G659" t="inlineStr">
        <is>
          <t>Paxlovid</t>
        </is>
      </c>
      <c r="H659" t="inlineStr">
        <is>
          <t>Government / tender</t>
        </is>
      </c>
      <c r="I659" t="inlineStr">
        <is>
          <t>Private insurer</t>
        </is>
      </c>
      <c r="J659" t="inlineStr">
        <is>
          <t>Carlos Silva</t>
        </is>
      </c>
      <c r="K659" s="70" t="n">
        <v>1893</v>
      </c>
      <c r="L659" s="71" t="n">
        <v>1588.46</v>
      </c>
      <c r="M659" s="71" t="n">
        <v>3006954.78</v>
      </c>
      <c r="N659" s="71" t="n">
        <v>1052434.17</v>
      </c>
      <c r="O659" s="71" t="n">
        <v>1954520.61</v>
      </c>
      <c r="P659" s="71" t="n">
        <v>504445.24</v>
      </c>
      <c r="Q659" s="71" t="n">
        <v>1450075.37</v>
      </c>
      <c r="R659" t="inlineStr">
        <is>
          <t>Antiviral</t>
        </is>
      </c>
      <c r="S659" s="70" t="n">
        <v>1204</v>
      </c>
      <c r="T659" s="71" t="n">
        <v>640301.5</v>
      </c>
      <c r="U659" t="inlineStr">
        <is>
          <t>Low</t>
        </is>
      </c>
      <c r="V659">
        <f>IF(AND(OR(Dashboard!$C$6="All",E659=Dashboard!$C$6),OR(Dashboard!$F$6="All",G659=Dashboard!$F$6),OR(Dashboard!$I$6="All",H659=Dashboard!$I$6)),1,0)</f>
        <v/>
      </c>
    </row>
    <row r="660">
      <c r="A660" t="inlineStr">
        <is>
          <t>PF100651</t>
        </is>
      </c>
      <c r="B660" s="68" t="n">
        <v>45731</v>
      </c>
      <c r="C660" s="69" t="n">
        <v>2025</v>
      </c>
      <c r="D660" t="inlineStr">
        <is>
          <t>Mar</t>
        </is>
      </c>
      <c r="E660" t="inlineStr">
        <is>
          <t>United States</t>
        </is>
      </c>
      <c r="F660" t="inlineStr">
        <is>
          <t>USA</t>
        </is>
      </c>
      <c r="G660" t="inlineStr">
        <is>
          <t>Xeljanz</t>
        </is>
      </c>
      <c r="H660" t="inlineStr">
        <is>
          <t>Hospital</t>
        </is>
      </c>
      <c r="I660" t="inlineStr">
        <is>
          <t>Public payer</t>
        </is>
      </c>
      <c r="J660" t="inlineStr">
        <is>
          <t>Liam O'Brien</t>
        </is>
      </c>
      <c r="K660" s="70" t="n">
        <v>1393</v>
      </c>
      <c r="L660" s="71" t="n">
        <v>2098.56</v>
      </c>
      <c r="M660" s="71" t="n">
        <v>2923294.08</v>
      </c>
      <c r="N660" s="71" t="n">
        <v>730823.52</v>
      </c>
      <c r="O660" s="71" t="n">
        <v>2192470.56</v>
      </c>
      <c r="P660" s="71" t="n">
        <v>352872.43</v>
      </c>
      <c r="Q660" s="71" t="n">
        <v>1839598.13</v>
      </c>
      <c r="R660" t="inlineStr">
        <is>
          <t>Inflammation</t>
        </is>
      </c>
      <c r="S660" s="70" t="n">
        <v>1148</v>
      </c>
      <c r="T660" s="71" t="n">
        <v>445299.93</v>
      </c>
      <c r="U660" t="inlineStr">
        <is>
          <t>High</t>
        </is>
      </c>
      <c r="V660">
        <f>IF(AND(OR(Dashboard!$C$6="All",E660=Dashboard!$C$6),OR(Dashboard!$F$6="All",G660=Dashboard!$F$6),OR(Dashboard!$I$6="All",H660=Dashboard!$I$6)),1,0)</f>
        <v/>
      </c>
    </row>
    <row r="661">
      <c r="A661" t="inlineStr">
        <is>
          <t>PF100652</t>
        </is>
      </c>
      <c r="B661" s="68" t="n">
        <v>45731</v>
      </c>
      <c r="C661" s="69" t="n">
        <v>2025</v>
      </c>
      <c r="D661" t="inlineStr">
        <is>
          <t>Mar</t>
        </is>
      </c>
      <c r="E661" t="inlineStr">
        <is>
          <t>Europe</t>
        </is>
      </c>
      <c r="F661" t="inlineStr">
        <is>
          <t>France</t>
        </is>
      </c>
      <c r="G661" t="inlineStr">
        <is>
          <t>Ibrance</t>
        </is>
      </c>
      <c r="H661" t="inlineStr">
        <is>
          <t>Retail pharmacy</t>
        </is>
      </c>
      <c r="I661" t="inlineStr">
        <is>
          <t>Self-pay</t>
        </is>
      </c>
      <c r="J661" t="inlineStr">
        <is>
          <t>Ravindra Patil</t>
        </is>
      </c>
      <c r="K661" s="70" t="n">
        <v>2463</v>
      </c>
      <c r="L661" s="71" t="n">
        <v>2726.86</v>
      </c>
      <c r="M661" s="71" t="n">
        <v>6716256.18</v>
      </c>
      <c r="N661" s="71" t="n">
        <v>1679064.04</v>
      </c>
      <c r="O661" s="71" t="n">
        <v>5037192.14</v>
      </c>
      <c r="P661" s="71" t="n">
        <v>1064492.4</v>
      </c>
      <c r="Q661" s="71" t="n">
        <v>3972699.74</v>
      </c>
      <c r="R661" t="inlineStr">
        <is>
          <t>Oncology</t>
        </is>
      </c>
      <c r="S661" s="70" t="n">
        <v>2124</v>
      </c>
      <c r="T661" s="71" t="n">
        <v>1290776.3</v>
      </c>
      <c r="U661" t="inlineStr">
        <is>
          <t>High</t>
        </is>
      </c>
      <c r="V661">
        <f>IF(AND(OR(Dashboard!$C$6="All",E661=Dashboard!$C$6),OR(Dashboard!$F$6="All",G661=Dashboard!$F$6),OR(Dashboard!$I$6="All",H661=Dashboard!$I$6)),1,0)</f>
        <v/>
      </c>
    </row>
    <row r="662">
      <c r="A662" t="inlineStr">
        <is>
          <t>PF100653</t>
        </is>
      </c>
      <c r="B662" s="68" t="n">
        <v>45732</v>
      </c>
      <c r="C662" s="69" t="n">
        <v>2025</v>
      </c>
      <c r="D662" t="inlineStr">
        <is>
          <t>Mar</t>
        </is>
      </c>
      <c r="E662" t="inlineStr">
        <is>
          <t>Europe</t>
        </is>
      </c>
      <c r="F662" t="inlineStr">
        <is>
          <t>France</t>
        </is>
      </c>
      <c r="G662" t="inlineStr">
        <is>
          <t>Xeljanz</t>
        </is>
      </c>
      <c r="H662" t="inlineStr">
        <is>
          <t>Retail pharmacy</t>
        </is>
      </c>
      <c r="I662" t="inlineStr">
        <is>
          <t>Private insurer</t>
        </is>
      </c>
      <c r="J662" t="inlineStr">
        <is>
          <t>Emma Clarke</t>
        </is>
      </c>
      <c r="K662" s="70" t="n">
        <v>147</v>
      </c>
      <c r="L662" s="71" t="n">
        <v>1469.29</v>
      </c>
      <c r="M662" s="71" t="n">
        <v>215985.63</v>
      </c>
      <c r="N662" s="71" t="n">
        <v>10799.28</v>
      </c>
      <c r="O662" s="71" t="n">
        <v>205186.35</v>
      </c>
      <c r="P662" s="71" t="n">
        <v>37034.07</v>
      </c>
      <c r="Q662" s="71" t="n">
        <v>168152.28</v>
      </c>
      <c r="R662" t="inlineStr">
        <is>
          <t>Inflammation</t>
        </is>
      </c>
      <c r="S662" s="70" t="n">
        <v>132</v>
      </c>
      <c r="T662" s="71" t="n">
        <v>41175.68</v>
      </c>
      <c r="U662" t="inlineStr">
        <is>
          <t>High</t>
        </is>
      </c>
      <c r="V662">
        <f>IF(AND(OR(Dashboard!$C$6="All",E662=Dashboard!$C$6),OR(Dashboard!$F$6="All",G662=Dashboard!$F$6),OR(Dashboard!$I$6="All",H662=Dashboard!$I$6)),1,0)</f>
        <v/>
      </c>
    </row>
    <row r="663">
      <c r="A663" t="inlineStr">
        <is>
          <t>PF100654</t>
        </is>
      </c>
      <c r="B663" s="68" t="n">
        <v>45732</v>
      </c>
      <c r="C663" s="69" t="n">
        <v>2025</v>
      </c>
      <c r="D663" t="inlineStr">
        <is>
          <t>Mar</t>
        </is>
      </c>
      <c r="E663" t="inlineStr">
        <is>
          <t>Emerging markets</t>
        </is>
      </c>
      <c r="F663" t="inlineStr">
        <is>
          <t>Mexico</t>
        </is>
      </c>
      <c r="G663" t="inlineStr">
        <is>
          <t>Prevnar 20</t>
        </is>
      </c>
      <c r="H663" t="inlineStr">
        <is>
          <t>Retail pharmacy</t>
        </is>
      </c>
      <c r="I663" t="inlineStr">
        <is>
          <t>Public payer</t>
        </is>
      </c>
      <c r="J663" t="inlineStr">
        <is>
          <t>Sara Rossi</t>
        </is>
      </c>
      <c r="K663" s="70" t="n">
        <v>1917</v>
      </c>
      <c r="L663" s="71" t="n">
        <v>235.59</v>
      </c>
      <c r="M663" s="71" t="n">
        <v>451626.03</v>
      </c>
      <c r="N663" s="71" t="n">
        <v>45162.6</v>
      </c>
      <c r="O663" s="71" t="n">
        <v>406463.43</v>
      </c>
      <c r="P663" s="71" t="n">
        <v>136974.07</v>
      </c>
      <c r="Q663" s="71" t="n">
        <v>269489.36</v>
      </c>
      <c r="R663" t="inlineStr">
        <is>
          <t>Vaccines</t>
        </is>
      </c>
      <c r="S663" s="70" t="n">
        <v>1579</v>
      </c>
      <c r="T663" s="71" t="n">
        <v>80270.08</v>
      </c>
      <c r="U663" t="inlineStr">
        <is>
          <t>Low</t>
        </is>
      </c>
      <c r="V663">
        <f>IF(AND(OR(Dashboard!$C$6="All",E663=Dashboard!$C$6),OR(Dashboard!$F$6="All",G663=Dashboard!$F$6),OR(Dashboard!$I$6="All",H663=Dashboard!$I$6)),1,0)</f>
        <v/>
      </c>
    </row>
    <row r="664">
      <c r="A664" t="inlineStr">
        <is>
          <t>PF100655</t>
        </is>
      </c>
      <c r="B664" s="68" t="n">
        <v>45732</v>
      </c>
      <c r="C664" s="69" t="n">
        <v>2025</v>
      </c>
      <c r="D664" t="inlineStr">
        <is>
          <t>Mar</t>
        </is>
      </c>
      <c r="E664" t="inlineStr">
        <is>
          <t>International developed</t>
        </is>
      </c>
      <c r="F664" t="inlineStr">
        <is>
          <t>Japan</t>
        </is>
      </c>
      <c r="G664" t="inlineStr">
        <is>
          <t>Eliquis</t>
        </is>
      </c>
      <c r="H664" t="inlineStr">
        <is>
          <t>Government / tender</t>
        </is>
      </c>
      <c r="I664" t="inlineStr">
        <is>
          <t>Private insurer</t>
        </is>
      </c>
      <c r="J664" t="inlineStr">
        <is>
          <t>Ana Costa</t>
        </is>
      </c>
      <c r="K664" s="70" t="n">
        <v>2546</v>
      </c>
      <c r="L664" s="71" t="n">
        <v>458.11</v>
      </c>
      <c r="M664" s="71" t="n">
        <v>1166348.06</v>
      </c>
      <c r="N664" s="71" t="n">
        <v>291587.02</v>
      </c>
      <c r="O664" s="71" t="n">
        <v>874761.04</v>
      </c>
      <c r="P664" s="71" t="n">
        <v>190941.99</v>
      </c>
      <c r="Q664" s="71" t="n">
        <v>683819.05</v>
      </c>
      <c r="R664" t="inlineStr">
        <is>
          <t>Cardiology</t>
        </is>
      </c>
      <c r="S664" s="70" t="n">
        <v>1623</v>
      </c>
      <c r="T664" s="71" t="n">
        <v>141514.82</v>
      </c>
      <c r="U664" t="inlineStr">
        <is>
          <t>High</t>
        </is>
      </c>
      <c r="V664">
        <f>IF(AND(OR(Dashboard!$C$6="All",E664=Dashboard!$C$6),OR(Dashboard!$F$6="All",G664=Dashboard!$F$6),OR(Dashboard!$I$6="All",H664=Dashboard!$I$6)),1,0)</f>
        <v/>
      </c>
    </row>
    <row r="665">
      <c r="A665" t="inlineStr">
        <is>
          <t>PF100656</t>
        </is>
      </c>
      <c r="B665" s="68" t="n">
        <v>45732</v>
      </c>
      <c r="C665" s="69" t="n">
        <v>2025</v>
      </c>
      <c r="D665" t="inlineStr">
        <is>
          <t>Mar</t>
        </is>
      </c>
      <c r="E665" t="inlineStr">
        <is>
          <t>International developed</t>
        </is>
      </c>
      <c r="F665" t="inlineStr">
        <is>
          <t>Canada</t>
        </is>
      </c>
      <c r="G665" t="inlineStr">
        <is>
          <t>Ibrance</t>
        </is>
      </c>
      <c r="H665" t="inlineStr">
        <is>
          <t>Hospital</t>
        </is>
      </c>
      <c r="I665" t="inlineStr">
        <is>
          <t>Private insurer</t>
        </is>
      </c>
      <c r="J665" t="inlineStr">
        <is>
          <t>Zoya Ahmed</t>
        </is>
      </c>
      <c r="K665" s="70" t="n">
        <v>981</v>
      </c>
      <c r="L665" s="71" t="n">
        <v>2862.71</v>
      </c>
      <c r="M665" s="71" t="n">
        <v>2808318.51</v>
      </c>
      <c r="N665" s="71" t="n">
        <v>421247.78</v>
      </c>
      <c r="O665" s="71" t="n">
        <v>2387070.73</v>
      </c>
      <c r="P665" s="71" t="n">
        <v>427443.99</v>
      </c>
      <c r="Q665" s="71" t="n">
        <v>1959626.74</v>
      </c>
      <c r="R665" t="inlineStr">
        <is>
          <t>Oncology</t>
        </is>
      </c>
      <c r="S665" s="70" t="n">
        <v>732</v>
      </c>
      <c r="T665" s="71" t="n">
        <v>569578.08</v>
      </c>
      <c r="U665" t="inlineStr">
        <is>
          <t>High</t>
        </is>
      </c>
      <c r="V665">
        <f>IF(AND(OR(Dashboard!$C$6="All",E665=Dashboard!$C$6),OR(Dashboard!$F$6="All",G665=Dashboard!$F$6),OR(Dashboard!$I$6="All",H665=Dashboard!$I$6)),1,0)</f>
        <v/>
      </c>
    </row>
    <row r="666">
      <c r="A666" t="inlineStr">
        <is>
          <t>PF100657</t>
        </is>
      </c>
      <c r="B666" s="68" t="n">
        <v>45732</v>
      </c>
      <c r="C666" s="69" t="n">
        <v>2025</v>
      </c>
      <c r="D666" t="inlineStr">
        <is>
          <t>Mar</t>
        </is>
      </c>
      <c r="E666" t="inlineStr">
        <is>
          <t>United States</t>
        </is>
      </c>
      <c r="F666" t="inlineStr">
        <is>
          <t>USA</t>
        </is>
      </c>
      <c r="G666" t="inlineStr">
        <is>
          <t>Eliquis</t>
        </is>
      </c>
      <c r="H666" t="inlineStr">
        <is>
          <t>Retail pharmacy</t>
        </is>
      </c>
      <c r="I666" t="inlineStr">
        <is>
          <t>Public payer</t>
        </is>
      </c>
      <c r="J666" t="inlineStr">
        <is>
          <t>Omar Haddad</t>
        </is>
      </c>
      <c r="K666" s="70" t="n">
        <v>165</v>
      </c>
      <c r="L666" s="71" t="n">
        <v>659.0700000000001</v>
      </c>
      <c r="M666" s="71" t="n">
        <v>108746.55</v>
      </c>
      <c r="N666" s="71" t="n">
        <v>38061.29</v>
      </c>
      <c r="O666" s="71" t="n">
        <v>70685.25999999999</v>
      </c>
      <c r="P666" s="71" t="n">
        <v>12561.65</v>
      </c>
      <c r="Q666" s="71" t="n">
        <v>58123.61</v>
      </c>
      <c r="R666" t="inlineStr">
        <is>
          <t>Cardiology</t>
        </is>
      </c>
      <c r="S666" s="70" t="n">
        <v>162</v>
      </c>
      <c r="T666" s="71" t="n">
        <v>14691.18</v>
      </c>
      <c r="U666" t="inlineStr">
        <is>
          <t>High</t>
        </is>
      </c>
      <c r="V666">
        <f>IF(AND(OR(Dashboard!$C$6="All",E666=Dashboard!$C$6),OR(Dashboard!$F$6="All",G666=Dashboard!$F$6),OR(Dashboard!$I$6="All",H666=Dashboard!$I$6)),1,0)</f>
        <v/>
      </c>
    </row>
    <row r="667">
      <c r="A667" t="inlineStr">
        <is>
          <t>PF100658</t>
        </is>
      </c>
      <c r="B667" s="68" t="n">
        <v>45732</v>
      </c>
      <c r="C667" s="69" t="n">
        <v>2025</v>
      </c>
      <c r="D667" t="inlineStr">
        <is>
          <t>Mar</t>
        </is>
      </c>
      <c r="E667" t="inlineStr">
        <is>
          <t>Emerging markets</t>
        </is>
      </c>
      <c r="F667" t="inlineStr">
        <is>
          <t>India</t>
        </is>
      </c>
      <c r="G667" t="inlineStr">
        <is>
          <t>Xeljanz</t>
        </is>
      </c>
      <c r="H667" t="inlineStr">
        <is>
          <t>Retail pharmacy</t>
        </is>
      </c>
      <c r="I667" t="inlineStr">
        <is>
          <t>Private insurer</t>
        </is>
      </c>
      <c r="J667" t="inlineStr">
        <is>
          <t>Lucas Martin</t>
        </is>
      </c>
      <c r="K667" s="70" t="n">
        <v>1930</v>
      </c>
      <c r="L667" s="71" t="n">
        <v>1498.02</v>
      </c>
      <c r="M667" s="71" t="n">
        <v>2891178.6</v>
      </c>
      <c r="N667" s="71" t="n">
        <v>433676.79</v>
      </c>
      <c r="O667" s="71" t="n">
        <v>2457501.81</v>
      </c>
      <c r="P667" s="71" t="n">
        <v>491330.61</v>
      </c>
      <c r="Q667" s="71" t="n">
        <v>1966171.2</v>
      </c>
      <c r="R667" t="inlineStr">
        <is>
          <t>Inflammation</t>
        </is>
      </c>
      <c r="S667" s="70" t="n">
        <v>1421</v>
      </c>
      <c r="T667" s="71" t="n">
        <v>463343.96</v>
      </c>
      <c r="U667" t="inlineStr">
        <is>
          <t>High</t>
        </is>
      </c>
      <c r="V667">
        <f>IF(AND(OR(Dashboard!$C$6="All",E667=Dashboard!$C$6),OR(Dashboard!$F$6="All",G667=Dashboard!$F$6),OR(Dashboard!$I$6="All",H667=Dashboard!$I$6)),1,0)</f>
        <v/>
      </c>
    </row>
    <row r="668">
      <c r="A668" t="inlineStr">
        <is>
          <t>PF100659</t>
        </is>
      </c>
      <c r="B668" s="68" t="n">
        <v>45732</v>
      </c>
      <c r="C668" s="69" t="n">
        <v>2025</v>
      </c>
      <c r="D668" t="inlineStr">
        <is>
          <t>Mar</t>
        </is>
      </c>
      <c r="E668" t="inlineStr">
        <is>
          <t>Europe</t>
        </is>
      </c>
      <c r="F668" t="inlineStr">
        <is>
          <t>UK</t>
        </is>
      </c>
      <c r="G668" t="inlineStr">
        <is>
          <t>Eliquis</t>
        </is>
      </c>
      <c r="H668" t="inlineStr">
        <is>
          <t>Hospital</t>
        </is>
      </c>
      <c r="I668" t="inlineStr">
        <is>
          <t>Public payer</t>
        </is>
      </c>
      <c r="J668" t="inlineStr">
        <is>
          <t>Fatima Al-Saud</t>
        </is>
      </c>
      <c r="K668" s="70" t="n">
        <v>601</v>
      </c>
      <c r="L668" s="71" t="n">
        <v>394.82</v>
      </c>
      <c r="M668" s="71" t="n">
        <v>237286.82</v>
      </c>
      <c r="N668" s="71" t="n">
        <v>59321.71</v>
      </c>
      <c r="O668" s="71" t="n">
        <v>177965.11</v>
      </c>
      <c r="P668" s="71" t="n">
        <v>44432.38</v>
      </c>
      <c r="Q668" s="71" t="n">
        <v>133532.73</v>
      </c>
      <c r="R668" t="inlineStr">
        <is>
          <t>Cardiology</t>
        </is>
      </c>
      <c r="S668" s="70" t="n">
        <v>457</v>
      </c>
      <c r="T668" s="71" t="n">
        <v>37509.1</v>
      </c>
      <c r="U668" t="inlineStr">
        <is>
          <t>High</t>
        </is>
      </c>
      <c r="V668">
        <f>IF(AND(OR(Dashboard!$C$6="All",E668=Dashboard!$C$6),OR(Dashboard!$F$6="All",G668=Dashboard!$F$6),OR(Dashboard!$I$6="All",H668=Dashboard!$I$6)),1,0)</f>
        <v/>
      </c>
    </row>
    <row r="669">
      <c r="A669" t="inlineStr">
        <is>
          <t>PF100660</t>
        </is>
      </c>
      <c r="B669" s="68" t="n">
        <v>45732</v>
      </c>
      <c r="C669" s="69" t="n">
        <v>2025</v>
      </c>
      <c r="D669" t="inlineStr">
        <is>
          <t>Mar</t>
        </is>
      </c>
      <c r="E669" t="inlineStr">
        <is>
          <t>International developed</t>
        </is>
      </c>
      <c r="F669" t="inlineStr">
        <is>
          <t>Australia</t>
        </is>
      </c>
      <c r="G669" t="inlineStr">
        <is>
          <t>Paxlovid</t>
        </is>
      </c>
      <c r="H669" t="inlineStr">
        <is>
          <t>Retail pharmacy</t>
        </is>
      </c>
      <c r="I669" t="inlineStr">
        <is>
          <t>Public payer</t>
        </is>
      </c>
      <c r="J669" t="inlineStr">
        <is>
          <t>Noah Smith</t>
        </is>
      </c>
      <c r="K669" s="70" t="n">
        <v>1162</v>
      </c>
      <c r="L669" s="71" t="n">
        <v>1048.44</v>
      </c>
      <c r="M669" s="71" t="n">
        <v>1218287.28</v>
      </c>
      <c r="N669" s="71" t="n">
        <v>60914.36</v>
      </c>
      <c r="O669" s="71" t="n">
        <v>1157372.92</v>
      </c>
      <c r="P669" s="71" t="n">
        <v>331786.02</v>
      </c>
      <c r="Q669" s="71" t="n">
        <v>825586.9</v>
      </c>
      <c r="R669" t="inlineStr">
        <is>
          <t>Antiviral</t>
        </is>
      </c>
      <c r="S669" s="70" t="n">
        <v>928</v>
      </c>
      <c r="T669" s="71" t="n">
        <v>176755.76</v>
      </c>
      <c r="U669" t="inlineStr">
        <is>
          <t>Low</t>
        </is>
      </c>
      <c r="V669">
        <f>IF(AND(OR(Dashboard!$C$6="All",E669=Dashboard!$C$6),OR(Dashboard!$F$6="All",G669=Dashboard!$F$6),OR(Dashboard!$I$6="All",H669=Dashboard!$I$6)),1,0)</f>
        <v/>
      </c>
    </row>
    <row r="670">
      <c r="A670" t="inlineStr">
        <is>
          <t>PF100661</t>
        </is>
      </c>
      <c r="B670" s="68" t="n">
        <v>45732</v>
      </c>
      <c r="C670" s="69" t="n">
        <v>2025</v>
      </c>
      <c r="D670" t="inlineStr">
        <is>
          <t>Mar</t>
        </is>
      </c>
      <c r="E670" t="inlineStr">
        <is>
          <t>United States</t>
        </is>
      </c>
      <c r="F670" t="inlineStr">
        <is>
          <t>USA</t>
        </is>
      </c>
      <c r="G670" t="inlineStr">
        <is>
          <t>Comirnaty</t>
        </is>
      </c>
      <c r="H670" t="inlineStr">
        <is>
          <t>Hospital</t>
        </is>
      </c>
      <c r="I670" t="inlineStr">
        <is>
          <t>Private insurer</t>
        </is>
      </c>
      <c r="J670" t="inlineStr">
        <is>
          <t>Carlos Silva</t>
        </is>
      </c>
      <c r="K670" s="70" t="n">
        <v>1092</v>
      </c>
      <c r="L670" s="71" t="n">
        <v>167.42</v>
      </c>
      <c r="M670" s="71" t="n">
        <v>182822.64</v>
      </c>
      <c r="N670" s="71" t="n">
        <v>36564.53</v>
      </c>
      <c r="O670" s="71" t="n">
        <v>146258.11</v>
      </c>
      <c r="P670" s="71" t="n">
        <v>40633.33</v>
      </c>
      <c r="Q670" s="71" t="n">
        <v>105624.78</v>
      </c>
      <c r="R670" t="inlineStr">
        <is>
          <t>Vaccines</t>
        </is>
      </c>
      <c r="S670" s="70" t="n">
        <v>883</v>
      </c>
      <c r="T670" s="71" t="n">
        <v>26194.54</v>
      </c>
      <c r="U670" t="inlineStr">
        <is>
          <t>Low</t>
        </is>
      </c>
      <c r="V670">
        <f>IF(AND(OR(Dashboard!$C$6="All",E670=Dashboard!$C$6),OR(Dashboard!$F$6="All",G670=Dashboard!$F$6),OR(Dashboard!$I$6="All",H670=Dashboard!$I$6)),1,0)</f>
        <v/>
      </c>
    </row>
    <row r="671">
      <c r="A671" t="inlineStr">
        <is>
          <t>PF100662</t>
        </is>
      </c>
      <c r="B671" s="68" t="n">
        <v>45732</v>
      </c>
      <c r="C671" s="69" t="n">
        <v>2025</v>
      </c>
      <c r="D671" t="inlineStr">
        <is>
          <t>Mar</t>
        </is>
      </c>
      <c r="E671" t="inlineStr">
        <is>
          <t>Emerging markets</t>
        </is>
      </c>
      <c r="F671" t="inlineStr">
        <is>
          <t>Brazil</t>
        </is>
      </c>
      <c r="G671" t="inlineStr">
        <is>
          <t>Xeljanz</t>
        </is>
      </c>
      <c r="H671" t="inlineStr">
        <is>
          <t>Government / tender</t>
        </is>
      </c>
      <c r="I671" t="inlineStr">
        <is>
          <t>Public payer</t>
        </is>
      </c>
      <c r="J671" t="inlineStr">
        <is>
          <t>Priya Nair</t>
        </is>
      </c>
      <c r="K671" s="70" t="n">
        <v>767</v>
      </c>
      <c r="L671" s="71" t="n">
        <v>1530.48</v>
      </c>
      <c r="M671" s="71" t="n">
        <v>1173878.16</v>
      </c>
      <c r="N671" s="71" t="n">
        <v>293469.54</v>
      </c>
      <c r="O671" s="71" t="n">
        <v>880408.62</v>
      </c>
      <c r="P671" s="71" t="n">
        <v>194921.45</v>
      </c>
      <c r="Q671" s="71" t="n">
        <v>685487.17</v>
      </c>
      <c r="R671" t="inlineStr">
        <is>
          <t>Inflammation</t>
        </is>
      </c>
      <c r="S671" s="70" t="n">
        <v>489</v>
      </c>
      <c r="T671" s="71" t="n">
        <v>161922.01</v>
      </c>
      <c r="U671" t="inlineStr">
        <is>
          <t>High</t>
        </is>
      </c>
      <c r="V671">
        <f>IF(AND(OR(Dashboard!$C$6="All",E671=Dashboard!$C$6),OR(Dashboard!$F$6="All",G671=Dashboard!$F$6),OR(Dashboard!$I$6="All",H671=Dashboard!$I$6)),1,0)</f>
        <v/>
      </c>
    </row>
    <row r="672">
      <c r="A672" t="inlineStr">
        <is>
          <t>PF100663</t>
        </is>
      </c>
      <c r="B672" s="68" t="n">
        <v>45732</v>
      </c>
      <c r="C672" s="69" t="n">
        <v>2025</v>
      </c>
      <c r="D672" t="inlineStr">
        <is>
          <t>Mar</t>
        </is>
      </c>
      <c r="E672" t="inlineStr">
        <is>
          <t>United States</t>
        </is>
      </c>
      <c r="F672" t="inlineStr">
        <is>
          <t>USA</t>
        </is>
      </c>
      <c r="G672" t="inlineStr">
        <is>
          <t>Eliquis</t>
        </is>
      </c>
      <c r="H672" t="inlineStr">
        <is>
          <t>Hospital</t>
        </is>
      </c>
      <c r="I672" t="inlineStr">
        <is>
          <t>Private insurer</t>
        </is>
      </c>
      <c r="J672" t="inlineStr">
        <is>
          <t>Ruhi Shaikh</t>
        </is>
      </c>
      <c r="K672" s="70" t="n">
        <v>425</v>
      </c>
      <c r="L672" s="71" t="n">
        <v>733.22</v>
      </c>
      <c r="M672" s="71" t="n">
        <v>311618.5</v>
      </c>
      <c r="N672" s="71" t="n">
        <v>46742.78</v>
      </c>
      <c r="O672" s="71" t="n">
        <v>264875.72</v>
      </c>
      <c r="P672" s="71" t="n">
        <v>31181.63</v>
      </c>
      <c r="Q672" s="71" t="n">
        <v>233694.09</v>
      </c>
      <c r="R672" t="inlineStr">
        <is>
          <t>Cardiology</t>
        </is>
      </c>
      <c r="S672" s="70" t="n">
        <v>347</v>
      </c>
      <c r="T672" s="71" t="n">
        <v>64092.95</v>
      </c>
      <c r="U672" t="inlineStr">
        <is>
          <t>High</t>
        </is>
      </c>
      <c r="V672">
        <f>IF(AND(OR(Dashboard!$C$6="All",E672=Dashboard!$C$6),OR(Dashboard!$F$6="All",G672=Dashboard!$F$6),OR(Dashboard!$I$6="All",H672=Dashboard!$I$6)),1,0)</f>
        <v/>
      </c>
    </row>
    <row r="673">
      <c r="A673" t="inlineStr">
        <is>
          <t>PF100664</t>
        </is>
      </c>
      <c r="B673" s="68" t="n">
        <v>45732</v>
      </c>
      <c r="C673" s="69" t="n">
        <v>2025</v>
      </c>
      <c r="D673" t="inlineStr">
        <is>
          <t>Mar</t>
        </is>
      </c>
      <c r="E673" t="inlineStr">
        <is>
          <t>United States</t>
        </is>
      </c>
      <c r="F673" t="inlineStr">
        <is>
          <t>USA</t>
        </is>
      </c>
      <c r="G673" t="inlineStr">
        <is>
          <t>Comirnaty</t>
        </is>
      </c>
      <c r="H673" t="inlineStr">
        <is>
          <t>Hospital</t>
        </is>
      </c>
      <c r="I673" t="inlineStr">
        <is>
          <t>Private insurer</t>
        </is>
      </c>
      <c r="J673" t="inlineStr">
        <is>
          <t>Lucas Martin</t>
        </is>
      </c>
      <c r="K673" s="70" t="n">
        <v>2469</v>
      </c>
      <c r="L673" s="71" t="n">
        <v>179.46</v>
      </c>
      <c r="M673" s="71" t="n">
        <v>443086.74</v>
      </c>
      <c r="N673" s="71" t="n">
        <v>110771.68</v>
      </c>
      <c r="O673" s="71" t="n">
        <v>332315.06</v>
      </c>
      <c r="P673" s="71" t="n">
        <v>98612.28999999999</v>
      </c>
      <c r="Q673" s="71" t="n">
        <v>233702.77</v>
      </c>
      <c r="R673" t="inlineStr">
        <is>
          <t>Vaccines</t>
        </is>
      </c>
      <c r="S673" s="70" t="n">
        <v>1650</v>
      </c>
      <c r="T673" s="71" t="n">
        <v>94649.81</v>
      </c>
      <c r="U673" t="inlineStr">
        <is>
          <t>Low</t>
        </is>
      </c>
      <c r="V673">
        <f>IF(AND(OR(Dashboard!$C$6="All",E673=Dashboard!$C$6),OR(Dashboard!$F$6="All",G673=Dashboard!$F$6),OR(Dashboard!$I$6="All",H673=Dashboard!$I$6)),1,0)</f>
        <v/>
      </c>
    </row>
    <row r="674">
      <c r="A674" t="inlineStr">
        <is>
          <t>PF100665</t>
        </is>
      </c>
      <c r="B674" s="68" t="n">
        <v>45733</v>
      </c>
      <c r="C674" s="69" t="n">
        <v>2025</v>
      </c>
      <c r="D674" t="inlineStr">
        <is>
          <t>Mar</t>
        </is>
      </c>
      <c r="E674" t="inlineStr">
        <is>
          <t>Europe</t>
        </is>
      </c>
      <c r="F674" t="inlineStr">
        <is>
          <t>UK</t>
        </is>
      </c>
      <c r="G674" t="inlineStr">
        <is>
          <t>Prevnar 20</t>
        </is>
      </c>
      <c r="H674" t="inlineStr">
        <is>
          <t>Retail pharmacy</t>
        </is>
      </c>
      <c r="I674" t="inlineStr">
        <is>
          <t>Public payer</t>
        </is>
      </c>
      <c r="J674" t="inlineStr">
        <is>
          <t>Lucas Martin</t>
        </is>
      </c>
      <c r="K674" s="70" t="n">
        <v>1571</v>
      </c>
      <c r="L674" s="71" t="n">
        <v>232.09</v>
      </c>
      <c r="M674" s="71" t="n">
        <v>364613.39</v>
      </c>
      <c r="N674" s="71" t="n">
        <v>54692.01</v>
      </c>
      <c r="O674" s="71" t="n">
        <v>309921.38</v>
      </c>
      <c r="P674" s="71" t="n">
        <v>105034.3</v>
      </c>
      <c r="Q674" s="71" t="n">
        <v>204887.08</v>
      </c>
      <c r="R674" t="inlineStr">
        <is>
          <t>Vaccines</t>
        </is>
      </c>
      <c r="S674" s="70" t="n">
        <v>1276</v>
      </c>
      <c r="T674" s="71" t="n">
        <v>46941.3</v>
      </c>
      <c r="U674" t="inlineStr">
        <is>
          <t>Low</t>
        </is>
      </c>
      <c r="V674">
        <f>IF(AND(OR(Dashboard!$C$6="All",E674=Dashboard!$C$6),OR(Dashboard!$F$6="All",G674=Dashboard!$F$6),OR(Dashboard!$I$6="All",H674=Dashboard!$I$6)),1,0)</f>
        <v/>
      </c>
    </row>
    <row r="675">
      <c r="A675" t="inlineStr">
        <is>
          <t>PF100666</t>
        </is>
      </c>
      <c r="B675" s="68" t="n">
        <v>45733</v>
      </c>
      <c r="C675" s="69" t="n">
        <v>2025</v>
      </c>
      <c r="D675" t="inlineStr">
        <is>
          <t>Mar</t>
        </is>
      </c>
      <c r="E675" t="inlineStr">
        <is>
          <t>Europe</t>
        </is>
      </c>
      <c r="F675" t="inlineStr">
        <is>
          <t>France</t>
        </is>
      </c>
      <c r="G675" t="inlineStr">
        <is>
          <t>Abrysvo</t>
        </is>
      </c>
      <c r="H675" t="inlineStr">
        <is>
          <t>Retail pharmacy</t>
        </is>
      </c>
      <c r="I675" t="inlineStr">
        <is>
          <t>Public payer</t>
        </is>
      </c>
      <c r="J675" t="inlineStr">
        <is>
          <t>Emma Clarke</t>
        </is>
      </c>
      <c r="K675" s="70" t="n">
        <v>2642</v>
      </c>
      <c r="L675" s="71" t="n">
        <v>269.65</v>
      </c>
      <c r="M675" s="71" t="n">
        <v>712415.3</v>
      </c>
      <c r="N675" s="71" t="n">
        <v>71241.53</v>
      </c>
      <c r="O675" s="71" t="n">
        <v>641173.77</v>
      </c>
      <c r="P675" s="71" t="n">
        <v>213682.78</v>
      </c>
      <c r="Q675" s="71" t="n">
        <v>427490.99</v>
      </c>
      <c r="R675" t="inlineStr">
        <is>
          <t>Vaccines</t>
        </is>
      </c>
      <c r="S675" s="70" t="n">
        <v>1719</v>
      </c>
      <c r="T675" s="71" t="n">
        <v>154603.18</v>
      </c>
      <c r="U675" t="inlineStr">
        <is>
          <t>Low</t>
        </is>
      </c>
      <c r="V675">
        <f>IF(AND(OR(Dashboard!$C$6="All",E675=Dashboard!$C$6),OR(Dashboard!$F$6="All",G675=Dashboard!$F$6),OR(Dashboard!$I$6="All",H675=Dashboard!$I$6)),1,0)</f>
        <v/>
      </c>
    </row>
    <row r="676">
      <c r="A676" t="inlineStr">
        <is>
          <t>PF100667</t>
        </is>
      </c>
      <c r="B676" s="68" t="n">
        <v>45733</v>
      </c>
      <c r="C676" s="69" t="n">
        <v>2025</v>
      </c>
      <c r="D676" t="inlineStr">
        <is>
          <t>Mar</t>
        </is>
      </c>
      <c r="E676" t="inlineStr">
        <is>
          <t>United States</t>
        </is>
      </c>
      <c r="F676" t="inlineStr">
        <is>
          <t>USA</t>
        </is>
      </c>
      <c r="G676" t="inlineStr">
        <is>
          <t>Vyndaqel</t>
        </is>
      </c>
      <c r="H676" t="inlineStr">
        <is>
          <t>Retail pharmacy</t>
        </is>
      </c>
      <c r="I676" t="inlineStr">
        <is>
          <t>Public payer</t>
        </is>
      </c>
      <c r="J676" t="inlineStr">
        <is>
          <t>Ravindra Patil</t>
        </is>
      </c>
      <c r="K676" s="70" t="n">
        <v>2683</v>
      </c>
      <c r="L676" s="71" t="n">
        <v>7684.78</v>
      </c>
      <c r="M676" s="71" t="n">
        <v>20618264.74</v>
      </c>
      <c r="N676" s="71" t="n">
        <v>5154566.18</v>
      </c>
      <c r="O676" s="71" t="n">
        <v>15463698.56</v>
      </c>
      <c r="P676" s="71" t="n">
        <v>1710662.04</v>
      </c>
      <c r="Q676" s="71" t="n">
        <v>13753036.52</v>
      </c>
      <c r="R676" t="inlineStr">
        <is>
          <t>Rare disease</t>
        </is>
      </c>
      <c r="S676" s="70" t="n">
        <v>2303</v>
      </c>
      <c r="T676" s="71" t="n">
        <v>2880306.77</v>
      </c>
      <c r="U676" t="inlineStr">
        <is>
          <t>Medium</t>
        </is>
      </c>
      <c r="V676">
        <f>IF(AND(OR(Dashboard!$C$6="All",E676=Dashboard!$C$6),OR(Dashboard!$F$6="All",G676=Dashboard!$F$6),OR(Dashboard!$I$6="All",H676=Dashboard!$I$6)),1,0)</f>
        <v/>
      </c>
    </row>
    <row r="677">
      <c r="A677" t="inlineStr">
        <is>
          <t>PF100668</t>
        </is>
      </c>
      <c r="B677" s="68" t="n">
        <v>45733</v>
      </c>
      <c r="C677" s="69" t="n">
        <v>2025</v>
      </c>
      <c r="D677" t="inlineStr">
        <is>
          <t>Mar</t>
        </is>
      </c>
      <c r="E677" t="inlineStr">
        <is>
          <t>International developed</t>
        </is>
      </c>
      <c r="F677" t="inlineStr">
        <is>
          <t>Canada</t>
        </is>
      </c>
      <c r="G677" t="inlineStr">
        <is>
          <t>Paxlovid</t>
        </is>
      </c>
      <c r="H677" t="inlineStr">
        <is>
          <t>Hospital</t>
        </is>
      </c>
      <c r="I677" t="inlineStr">
        <is>
          <t>Public payer</t>
        </is>
      </c>
      <c r="J677" t="inlineStr">
        <is>
          <t>Shraddha Kulkarni</t>
        </is>
      </c>
      <c r="K677" s="70" t="n">
        <v>54</v>
      </c>
      <c r="L677" s="71" t="n">
        <v>1199.96</v>
      </c>
      <c r="M677" s="71" t="n">
        <v>64797.84</v>
      </c>
      <c r="N677" s="71" t="n">
        <v>16199.46</v>
      </c>
      <c r="O677" s="71" t="n">
        <v>48598.38</v>
      </c>
      <c r="P677" s="71" t="n">
        <v>14904.08</v>
      </c>
      <c r="Q677" s="71" t="n">
        <v>33694.3</v>
      </c>
      <c r="R677" t="inlineStr">
        <is>
          <t>Antiviral</t>
        </is>
      </c>
      <c r="S677" s="70" t="n">
        <v>35</v>
      </c>
      <c r="T677" s="71" t="n">
        <v>14001.11</v>
      </c>
      <c r="U677" t="inlineStr">
        <is>
          <t>Low</t>
        </is>
      </c>
      <c r="V677">
        <f>IF(AND(OR(Dashboard!$C$6="All",E677=Dashboard!$C$6),OR(Dashboard!$F$6="All",G677=Dashboard!$F$6),OR(Dashboard!$I$6="All",H677=Dashboard!$I$6)),1,0)</f>
        <v/>
      </c>
    </row>
    <row r="678">
      <c r="A678" t="inlineStr">
        <is>
          <t>PF100669</t>
        </is>
      </c>
      <c r="B678" s="68" t="n">
        <v>45733</v>
      </c>
      <c r="C678" s="69" t="n">
        <v>2025</v>
      </c>
      <c r="D678" t="inlineStr">
        <is>
          <t>Mar</t>
        </is>
      </c>
      <c r="E678" t="inlineStr">
        <is>
          <t>United States</t>
        </is>
      </c>
      <c r="F678" t="inlineStr">
        <is>
          <t>USA</t>
        </is>
      </c>
      <c r="G678" t="inlineStr">
        <is>
          <t>Comirnaty</t>
        </is>
      </c>
      <c r="H678" t="inlineStr">
        <is>
          <t>Government / tender</t>
        </is>
      </c>
      <c r="I678" t="inlineStr">
        <is>
          <t>Public payer</t>
        </is>
      </c>
      <c r="J678" t="inlineStr">
        <is>
          <t>Olivia Brown</t>
        </is>
      </c>
      <c r="K678" s="70" t="n">
        <v>818</v>
      </c>
      <c r="L678" s="71" t="n">
        <v>174.56</v>
      </c>
      <c r="M678" s="71" t="n">
        <v>142790.08</v>
      </c>
      <c r="N678" s="71" t="n">
        <v>28558.02</v>
      </c>
      <c r="O678" s="71" t="n">
        <v>114232.06</v>
      </c>
      <c r="P678" s="71" t="n">
        <v>31824.31</v>
      </c>
      <c r="Q678" s="71" t="n">
        <v>82407.75</v>
      </c>
      <c r="R678" t="inlineStr">
        <is>
          <t>Vaccines</t>
        </is>
      </c>
      <c r="S678" s="70" t="n">
        <v>743</v>
      </c>
      <c r="T678" s="71" t="n">
        <v>18182.44</v>
      </c>
      <c r="U678" t="inlineStr">
        <is>
          <t>Low</t>
        </is>
      </c>
      <c r="V678">
        <f>IF(AND(OR(Dashboard!$C$6="All",E678=Dashboard!$C$6),OR(Dashboard!$F$6="All",G678=Dashboard!$F$6),OR(Dashboard!$I$6="All",H678=Dashboard!$I$6)),1,0)</f>
        <v/>
      </c>
    </row>
    <row r="679">
      <c r="A679" t="inlineStr">
        <is>
          <t>PF100670</t>
        </is>
      </c>
      <c r="B679" s="68" t="n">
        <v>45733</v>
      </c>
      <c r="C679" s="69" t="n">
        <v>2025</v>
      </c>
      <c r="D679" t="inlineStr">
        <is>
          <t>Mar</t>
        </is>
      </c>
      <c r="E679" t="inlineStr">
        <is>
          <t>International developed</t>
        </is>
      </c>
      <c r="F679" t="inlineStr">
        <is>
          <t>Japan</t>
        </is>
      </c>
      <c r="G679" t="inlineStr">
        <is>
          <t>Xeljanz</t>
        </is>
      </c>
      <c r="H679" t="inlineStr">
        <is>
          <t>Government / tender</t>
        </is>
      </c>
      <c r="I679" t="inlineStr">
        <is>
          <t>Public payer</t>
        </is>
      </c>
      <c r="J679" t="inlineStr">
        <is>
          <t>Ana Costa</t>
        </is>
      </c>
      <c r="K679" s="70" t="n">
        <v>1127</v>
      </c>
      <c r="L679" s="71" t="n">
        <v>1535.85</v>
      </c>
      <c r="M679" s="71" t="n">
        <v>1730902.95</v>
      </c>
      <c r="N679" s="71" t="n">
        <v>86545.14999999999</v>
      </c>
      <c r="O679" s="71" t="n">
        <v>1644357.8</v>
      </c>
      <c r="P679" s="71" t="n">
        <v>289310.99</v>
      </c>
      <c r="Q679" s="71" t="n">
        <v>1355046.81</v>
      </c>
      <c r="R679" t="inlineStr">
        <is>
          <t>Inflammation</t>
        </is>
      </c>
      <c r="S679" s="70" t="n">
        <v>747</v>
      </c>
      <c r="T679" s="71" t="n">
        <v>260583.39</v>
      </c>
      <c r="U679" t="inlineStr">
        <is>
          <t>High</t>
        </is>
      </c>
      <c r="V679">
        <f>IF(AND(OR(Dashboard!$C$6="All",E679=Dashboard!$C$6),OR(Dashboard!$F$6="All",G679=Dashboard!$F$6),OR(Dashboard!$I$6="All",H679=Dashboard!$I$6)),1,0)</f>
        <v/>
      </c>
    </row>
    <row r="680">
      <c r="A680" t="inlineStr">
        <is>
          <t>PF100671</t>
        </is>
      </c>
      <c r="B680" s="68" t="n">
        <v>45733</v>
      </c>
      <c r="C680" s="69" t="n">
        <v>2025</v>
      </c>
      <c r="D680" t="inlineStr">
        <is>
          <t>Mar</t>
        </is>
      </c>
      <c r="E680" t="inlineStr">
        <is>
          <t>Europe</t>
        </is>
      </c>
      <c r="F680" t="inlineStr">
        <is>
          <t>UK</t>
        </is>
      </c>
      <c r="G680" t="inlineStr">
        <is>
          <t>Eliquis</t>
        </is>
      </c>
      <c r="H680" t="inlineStr">
        <is>
          <t>Hospital</t>
        </is>
      </c>
      <c r="I680" t="inlineStr">
        <is>
          <t>Private insurer</t>
        </is>
      </c>
      <c r="J680" t="inlineStr">
        <is>
          <t>Olivia Brown</t>
        </is>
      </c>
      <c r="K680" s="70" t="n">
        <v>1975</v>
      </c>
      <c r="L680" s="71" t="n">
        <v>439.47</v>
      </c>
      <c r="M680" s="71" t="n">
        <v>867953.25</v>
      </c>
      <c r="N680" s="71" t="n">
        <v>216988.31</v>
      </c>
      <c r="O680" s="71" t="n">
        <v>650964.9399999999</v>
      </c>
      <c r="P680" s="71" t="n">
        <v>149769.81</v>
      </c>
      <c r="Q680" s="71" t="n">
        <v>501195.13</v>
      </c>
      <c r="R680" t="inlineStr">
        <is>
          <t>Cardiology</t>
        </is>
      </c>
      <c r="S680" s="70" t="n">
        <v>1469</v>
      </c>
      <c r="T680" s="71" t="n">
        <v>113882.43</v>
      </c>
      <c r="U680" t="inlineStr">
        <is>
          <t>High</t>
        </is>
      </c>
      <c r="V680">
        <f>IF(AND(OR(Dashboard!$C$6="All",E680=Dashboard!$C$6),OR(Dashboard!$F$6="All",G680=Dashboard!$F$6),OR(Dashboard!$I$6="All",H680=Dashboard!$I$6)),1,0)</f>
        <v/>
      </c>
    </row>
    <row r="681">
      <c r="A681" t="inlineStr">
        <is>
          <t>PF100672</t>
        </is>
      </c>
      <c r="B681" s="68" t="n">
        <v>45733</v>
      </c>
      <c r="C681" s="69" t="n">
        <v>2025</v>
      </c>
      <c r="D681" t="inlineStr">
        <is>
          <t>Mar</t>
        </is>
      </c>
      <c r="E681" t="inlineStr">
        <is>
          <t>United States</t>
        </is>
      </c>
      <c r="F681" t="inlineStr">
        <is>
          <t>USA</t>
        </is>
      </c>
      <c r="G681" t="inlineStr">
        <is>
          <t>Eliquis</t>
        </is>
      </c>
      <c r="H681" t="inlineStr">
        <is>
          <t>Retail pharmacy</t>
        </is>
      </c>
      <c r="I681" t="inlineStr">
        <is>
          <t>Private insurer</t>
        </is>
      </c>
      <c r="J681" t="inlineStr">
        <is>
          <t>Arjun Mehta</t>
        </is>
      </c>
      <c r="K681" s="70" t="n">
        <v>2524</v>
      </c>
      <c r="L681" s="71" t="n">
        <v>706.75</v>
      </c>
      <c r="M681" s="71" t="n">
        <v>1783837</v>
      </c>
      <c r="N681" s="71" t="n">
        <v>267575.55</v>
      </c>
      <c r="O681" s="71" t="n">
        <v>1516261.45</v>
      </c>
      <c r="P681" s="71" t="n">
        <v>186294.9</v>
      </c>
      <c r="Q681" s="71" t="n">
        <v>1329966.55</v>
      </c>
      <c r="R681" t="inlineStr">
        <is>
          <t>Cardiology</t>
        </is>
      </c>
      <c r="S681" s="70" t="n">
        <v>1931</v>
      </c>
      <c r="T681" s="71" t="n">
        <v>357663.54</v>
      </c>
      <c r="U681" t="inlineStr">
        <is>
          <t>High</t>
        </is>
      </c>
      <c r="V681">
        <f>IF(AND(OR(Dashboard!$C$6="All",E681=Dashboard!$C$6),OR(Dashboard!$F$6="All",G681=Dashboard!$F$6),OR(Dashboard!$I$6="All",H681=Dashboard!$I$6)),1,0)</f>
        <v/>
      </c>
    </row>
    <row r="682">
      <c r="A682" t="inlineStr">
        <is>
          <t>PF100673</t>
        </is>
      </c>
      <c r="B682" s="68" t="n">
        <v>45733</v>
      </c>
      <c r="C682" s="69" t="n">
        <v>2025</v>
      </c>
      <c r="D682" t="inlineStr">
        <is>
          <t>Mar</t>
        </is>
      </c>
      <c r="E682" t="inlineStr">
        <is>
          <t>Europe</t>
        </is>
      </c>
      <c r="F682" t="inlineStr">
        <is>
          <t>Italy</t>
        </is>
      </c>
      <c r="G682" t="inlineStr">
        <is>
          <t>Prevnar 20</t>
        </is>
      </c>
      <c r="H682" t="inlineStr">
        <is>
          <t>Retail pharmacy</t>
        </is>
      </c>
      <c r="I682" t="inlineStr">
        <is>
          <t>Public payer</t>
        </is>
      </c>
      <c r="J682" t="inlineStr">
        <is>
          <t>Zoya Ahmed</t>
        </is>
      </c>
      <c r="K682" s="70" t="n">
        <v>120</v>
      </c>
      <c r="L682" s="71" t="n">
        <v>237.33</v>
      </c>
      <c r="M682" s="71" t="n">
        <v>28479.6</v>
      </c>
      <c r="N682" s="71" t="n">
        <v>2847.96</v>
      </c>
      <c r="O682" s="71" t="n">
        <v>25631.64</v>
      </c>
      <c r="P682" s="71" t="n">
        <v>8568.969999999999</v>
      </c>
      <c r="Q682" s="71" t="n">
        <v>17062.67</v>
      </c>
      <c r="R682" t="inlineStr">
        <is>
          <t>Vaccines</t>
        </is>
      </c>
      <c r="S682" s="70" t="n">
        <v>101</v>
      </c>
      <c r="T682" s="71" t="n">
        <v>4409.71</v>
      </c>
      <c r="U682" t="inlineStr">
        <is>
          <t>Low</t>
        </is>
      </c>
      <c r="V682">
        <f>IF(AND(OR(Dashboard!$C$6="All",E682=Dashboard!$C$6),OR(Dashboard!$F$6="All",G682=Dashboard!$F$6),OR(Dashboard!$I$6="All",H682=Dashboard!$I$6)),1,0)</f>
        <v/>
      </c>
    </row>
    <row r="683">
      <c r="A683" t="inlineStr">
        <is>
          <t>PF100674</t>
        </is>
      </c>
      <c r="B683" s="68" t="n">
        <v>45734</v>
      </c>
      <c r="C683" s="69" t="n">
        <v>2025</v>
      </c>
      <c r="D683" t="inlineStr">
        <is>
          <t>Mar</t>
        </is>
      </c>
      <c r="E683" t="inlineStr">
        <is>
          <t>Europe</t>
        </is>
      </c>
      <c r="F683" t="inlineStr">
        <is>
          <t>Germany</t>
        </is>
      </c>
      <c r="G683" t="inlineStr">
        <is>
          <t>Prevnar 20</t>
        </is>
      </c>
      <c r="H683" t="inlineStr">
        <is>
          <t>Retail pharmacy</t>
        </is>
      </c>
      <c r="I683" t="inlineStr">
        <is>
          <t>Private insurer</t>
        </is>
      </c>
      <c r="J683" t="inlineStr">
        <is>
          <t>Sara Rossi</t>
        </is>
      </c>
      <c r="K683" s="70" t="n">
        <v>1940</v>
      </c>
      <c r="L683" s="71" t="n">
        <v>236.81</v>
      </c>
      <c r="M683" s="71" t="n">
        <v>459411.4</v>
      </c>
      <c r="N683" s="71" t="n">
        <v>68911.71000000001</v>
      </c>
      <c r="O683" s="71" t="n">
        <v>390499.69</v>
      </c>
      <c r="P683" s="71" t="n">
        <v>138311.22</v>
      </c>
      <c r="Q683" s="71" t="n">
        <v>252188.47</v>
      </c>
      <c r="R683" t="inlineStr">
        <is>
          <t>Vaccines</t>
        </is>
      </c>
      <c r="S683" s="70" t="n">
        <v>1421</v>
      </c>
      <c r="T683" s="71" t="n">
        <v>71132.2</v>
      </c>
      <c r="U683" t="inlineStr">
        <is>
          <t>Low</t>
        </is>
      </c>
      <c r="V683">
        <f>IF(AND(OR(Dashboard!$C$6="All",E683=Dashboard!$C$6),OR(Dashboard!$F$6="All",G683=Dashboard!$F$6),OR(Dashboard!$I$6="All",H683=Dashboard!$I$6)),1,0)</f>
        <v/>
      </c>
    </row>
    <row r="684">
      <c r="A684" t="inlineStr">
        <is>
          <t>PF100675</t>
        </is>
      </c>
      <c r="B684" s="68" t="n">
        <v>45734</v>
      </c>
      <c r="C684" s="69" t="n">
        <v>2025</v>
      </c>
      <c r="D684" t="inlineStr">
        <is>
          <t>Mar</t>
        </is>
      </c>
      <c r="E684" t="inlineStr">
        <is>
          <t>Emerging markets</t>
        </is>
      </c>
      <c r="F684" t="inlineStr">
        <is>
          <t>Brazil</t>
        </is>
      </c>
      <c r="G684" t="inlineStr">
        <is>
          <t>Paxlovid</t>
        </is>
      </c>
      <c r="H684" t="inlineStr">
        <is>
          <t>Hospital</t>
        </is>
      </c>
      <c r="I684" t="inlineStr">
        <is>
          <t>Private insurer</t>
        </is>
      </c>
      <c r="J684" t="inlineStr">
        <is>
          <t>Zoya Ahmed</t>
        </is>
      </c>
      <c r="K684" s="70" t="n">
        <v>2936</v>
      </c>
      <c r="L684" s="71" t="n">
        <v>1181.79</v>
      </c>
      <c r="M684" s="71" t="n">
        <v>3469735.44</v>
      </c>
      <c r="N684" s="71" t="n">
        <v>867433.86</v>
      </c>
      <c r="O684" s="71" t="n">
        <v>2602301.58</v>
      </c>
      <c r="P684" s="71" t="n">
        <v>818436.66</v>
      </c>
      <c r="Q684" s="71" t="n">
        <v>1783864.92</v>
      </c>
      <c r="R684" t="inlineStr">
        <is>
          <t>Antiviral</t>
        </is>
      </c>
      <c r="S684" s="70" t="n">
        <v>2245</v>
      </c>
      <c r="T684" s="71" t="n">
        <v>556752.1800000001</v>
      </c>
      <c r="U684" t="inlineStr">
        <is>
          <t>Low</t>
        </is>
      </c>
      <c r="V684">
        <f>IF(AND(OR(Dashboard!$C$6="All",E684=Dashboard!$C$6),OR(Dashboard!$F$6="All",G684=Dashboard!$F$6),OR(Dashboard!$I$6="All",H684=Dashboard!$I$6)),1,0)</f>
        <v/>
      </c>
    </row>
    <row r="685">
      <c r="A685" t="inlineStr">
        <is>
          <t>PF100676</t>
        </is>
      </c>
      <c r="B685" s="68" t="n">
        <v>45734</v>
      </c>
      <c r="C685" s="69" t="n">
        <v>2025</v>
      </c>
      <c r="D685" t="inlineStr">
        <is>
          <t>Mar</t>
        </is>
      </c>
      <c r="E685" t="inlineStr">
        <is>
          <t>United States</t>
        </is>
      </c>
      <c r="F685" t="inlineStr">
        <is>
          <t>USA</t>
        </is>
      </c>
      <c r="G685" t="inlineStr">
        <is>
          <t>Prevnar 20</t>
        </is>
      </c>
      <c r="H685" t="inlineStr">
        <is>
          <t>Retail pharmacy</t>
        </is>
      </c>
      <c r="I685" t="inlineStr">
        <is>
          <t>Public payer</t>
        </is>
      </c>
      <c r="J685" t="inlineStr">
        <is>
          <t>Sara Rossi</t>
        </is>
      </c>
      <c r="K685" s="70" t="n">
        <v>1877</v>
      </c>
      <c r="L685" s="71" t="n">
        <v>374.98</v>
      </c>
      <c r="M685" s="71" t="n">
        <v>703837.46</v>
      </c>
      <c r="N685" s="71" t="n">
        <v>105575.62</v>
      </c>
      <c r="O685" s="71" t="n">
        <v>598261.84</v>
      </c>
      <c r="P685" s="71" t="n">
        <v>128061.88</v>
      </c>
      <c r="Q685" s="71" t="n">
        <v>470199.96</v>
      </c>
      <c r="R685" t="inlineStr">
        <is>
          <t>Vaccines</t>
        </is>
      </c>
      <c r="S685" s="70" t="n">
        <v>1364</v>
      </c>
      <c r="T685" s="71" t="n">
        <v>109499.9</v>
      </c>
      <c r="U685" t="inlineStr">
        <is>
          <t>Low</t>
        </is>
      </c>
      <c r="V685">
        <f>IF(AND(OR(Dashboard!$C$6="All",E685=Dashboard!$C$6),OR(Dashboard!$F$6="All",G685=Dashboard!$F$6),OR(Dashboard!$I$6="All",H685=Dashboard!$I$6)),1,0)</f>
        <v/>
      </c>
    </row>
    <row r="686">
      <c r="A686" t="inlineStr">
        <is>
          <t>PF100677</t>
        </is>
      </c>
      <c r="B686" s="68" t="n">
        <v>45734</v>
      </c>
      <c r="C686" s="69" t="n">
        <v>2025</v>
      </c>
      <c r="D686" t="inlineStr">
        <is>
          <t>Mar</t>
        </is>
      </c>
      <c r="E686" t="inlineStr">
        <is>
          <t>United States</t>
        </is>
      </c>
      <c r="F686" t="inlineStr">
        <is>
          <t>USA</t>
        </is>
      </c>
      <c r="G686" t="inlineStr">
        <is>
          <t>Eliquis</t>
        </is>
      </c>
      <c r="H686" t="inlineStr">
        <is>
          <t>Retail pharmacy</t>
        </is>
      </c>
      <c r="I686" t="inlineStr">
        <is>
          <t>Public payer</t>
        </is>
      </c>
      <c r="J686" t="inlineStr">
        <is>
          <t>Olivia Brown</t>
        </is>
      </c>
      <c r="K686" s="70" t="n">
        <v>2849</v>
      </c>
      <c r="L686" s="71" t="n">
        <v>646.9299999999999</v>
      </c>
      <c r="M686" s="71" t="n">
        <v>1843103.57</v>
      </c>
      <c r="N686" s="71" t="n">
        <v>276465.54</v>
      </c>
      <c r="O686" s="71" t="n">
        <v>1566638.03</v>
      </c>
      <c r="P686" s="71" t="n">
        <v>212158.28</v>
      </c>
      <c r="Q686" s="71" t="n">
        <v>1354479.75</v>
      </c>
      <c r="R686" t="inlineStr">
        <is>
          <t>Cardiology</t>
        </is>
      </c>
      <c r="S686" s="70" t="n">
        <v>2098</v>
      </c>
      <c r="T686" s="71" t="n">
        <v>286802.24</v>
      </c>
      <c r="U686" t="inlineStr">
        <is>
          <t>High</t>
        </is>
      </c>
      <c r="V686">
        <f>IF(AND(OR(Dashboard!$C$6="All",E686=Dashboard!$C$6),OR(Dashboard!$F$6="All",G686=Dashboard!$F$6),OR(Dashboard!$I$6="All",H686=Dashboard!$I$6)),1,0)</f>
        <v/>
      </c>
    </row>
    <row r="687">
      <c r="A687" t="inlineStr">
        <is>
          <t>PF100678</t>
        </is>
      </c>
      <c r="B687" s="68" t="n">
        <v>45734</v>
      </c>
      <c r="C687" s="69" t="n">
        <v>2025</v>
      </c>
      <c r="D687" t="inlineStr">
        <is>
          <t>Mar</t>
        </is>
      </c>
      <c r="E687" t="inlineStr">
        <is>
          <t>Europe</t>
        </is>
      </c>
      <c r="F687" t="inlineStr">
        <is>
          <t>France</t>
        </is>
      </c>
      <c r="G687" t="inlineStr">
        <is>
          <t>Vyndaqel</t>
        </is>
      </c>
      <c r="H687" t="inlineStr">
        <is>
          <t>Hospital</t>
        </is>
      </c>
      <c r="I687" t="inlineStr">
        <is>
          <t>Private insurer</t>
        </is>
      </c>
      <c r="J687" t="inlineStr">
        <is>
          <t>Yuki Sato</t>
        </is>
      </c>
      <c r="K687" s="70" t="n">
        <v>2211</v>
      </c>
      <c r="L687" s="71" t="n">
        <v>5535.16</v>
      </c>
      <c r="M687" s="71" t="n">
        <v>12238238.76</v>
      </c>
      <c r="N687" s="71" t="n">
        <v>1223823.88</v>
      </c>
      <c r="O687" s="71" t="n">
        <v>11014414.88</v>
      </c>
      <c r="P687" s="71" t="n">
        <v>1343558.29</v>
      </c>
      <c r="Q687" s="71" t="n">
        <v>9670856.59</v>
      </c>
      <c r="R687" t="inlineStr">
        <is>
          <t>Rare disease</t>
        </is>
      </c>
      <c r="S687" s="70" t="n">
        <v>1755</v>
      </c>
      <c r="T687" s="71" t="n">
        <v>1709530.7</v>
      </c>
      <c r="U687" t="inlineStr">
        <is>
          <t>Medium</t>
        </is>
      </c>
      <c r="V687">
        <f>IF(AND(OR(Dashboard!$C$6="All",E687=Dashboard!$C$6),OR(Dashboard!$F$6="All",G687=Dashboard!$F$6),OR(Dashboard!$I$6="All",H687=Dashboard!$I$6)),1,0)</f>
        <v/>
      </c>
    </row>
    <row r="688">
      <c r="A688" t="inlineStr">
        <is>
          <t>PF100679</t>
        </is>
      </c>
      <c r="B688" s="68" t="n">
        <v>45734</v>
      </c>
      <c r="C688" s="69" t="n">
        <v>2025</v>
      </c>
      <c r="D688" t="inlineStr">
        <is>
          <t>Mar</t>
        </is>
      </c>
      <c r="E688" t="inlineStr">
        <is>
          <t>Emerging markets</t>
        </is>
      </c>
      <c r="F688" t="inlineStr">
        <is>
          <t>Mexico</t>
        </is>
      </c>
      <c r="G688" t="inlineStr">
        <is>
          <t>Comirnaty</t>
        </is>
      </c>
      <c r="H688" t="inlineStr">
        <is>
          <t>Hospital</t>
        </is>
      </c>
      <c r="I688" t="inlineStr">
        <is>
          <t>Public payer</t>
        </is>
      </c>
      <c r="J688" t="inlineStr">
        <is>
          <t>Lucas Martin</t>
        </is>
      </c>
      <c r="K688" s="70" t="n">
        <v>554</v>
      </c>
      <c r="L688" s="71" t="n">
        <v>118.14</v>
      </c>
      <c r="M688" s="71" t="n">
        <v>65449.56</v>
      </c>
      <c r="N688" s="71" t="n">
        <v>6544.96</v>
      </c>
      <c r="O688" s="71" t="n">
        <v>58904.6</v>
      </c>
      <c r="P688" s="71" t="n">
        <v>20757.66</v>
      </c>
      <c r="Q688" s="71" t="n">
        <v>38146.94</v>
      </c>
      <c r="R688" t="inlineStr">
        <is>
          <t>Vaccines</t>
        </is>
      </c>
      <c r="S688" s="70" t="n">
        <v>375</v>
      </c>
      <c r="T688" s="71" t="n">
        <v>11653.89</v>
      </c>
      <c r="U688" t="inlineStr">
        <is>
          <t>Low</t>
        </is>
      </c>
      <c r="V688">
        <f>IF(AND(OR(Dashboard!$C$6="All",E688=Dashboard!$C$6),OR(Dashboard!$F$6="All",G688=Dashboard!$F$6),OR(Dashboard!$I$6="All",H688=Dashboard!$I$6)),1,0)</f>
        <v/>
      </c>
    </row>
    <row r="689">
      <c r="A689" t="inlineStr">
        <is>
          <t>PF100680</t>
        </is>
      </c>
      <c r="B689" s="68" t="n">
        <v>45734</v>
      </c>
      <c r="C689" s="69" t="n">
        <v>2025</v>
      </c>
      <c r="D689" t="inlineStr">
        <is>
          <t>Mar</t>
        </is>
      </c>
      <c r="E689" t="inlineStr">
        <is>
          <t>United States</t>
        </is>
      </c>
      <c r="F689" t="inlineStr">
        <is>
          <t>USA</t>
        </is>
      </c>
      <c r="G689" t="inlineStr">
        <is>
          <t>Comirnaty</t>
        </is>
      </c>
      <c r="H689" t="inlineStr">
        <is>
          <t>Retail pharmacy</t>
        </is>
      </c>
      <c r="I689" t="inlineStr">
        <is>
          <t>Public payer</t>
        </is>
      </c>
      <c r="J689" t="inlineStr">
        <is>
          <t>Ruhi Shaikh</t>
        </is>
      </c>
      <c r="K689" s="70" t="n">
        <v>2612</v>
      </c>
      <c r="L689" s="71" t="n">
        <v>185.62</v>
      </c>
      <c r="M689" s="71" t="n">
        <v>484839.44</v>
      </c>
      <c r="N689" s="71" t="n">
        <v>145451.83</v>
      </c>
      <c r="O689" s="71" t="n">
        <v>339387.61</v>
      </c>
      <c r="P689" s="71" t="n">
        <v>99362.97</v>
      </c>
      <c r="Q689" s="71" t="n">
        <v>240024.64</v>
      </c>
      <c r="R689" t="inlineStr">
        <is>
          <t>Vaccines</t>
        </is>
      </c>
      <c r="S689" s="70" t="n">
        <v>1947</v>
      </c>
      <c r="T689" s="71" t="n">
        <v>80386.53999999999</v>
      </c>
      <c r="U689" t="inlineStr">
        <is>
          <t>Low</t>
        </is>
      </c>
      <c r="V689">
        <f>IF(AND(OR(Dashboard!$C$6="All",E689=Dashboard!$C$6),OR(Dashboard!$F$6="All",G689=Dashboard!$F$6),OR(Dashboard!$I$6="All",H689=Dashboard!$I$6)),1,0)</f>
        <v/>
      </c>
    </row>
    <row r="690">
      <c r="A690" t="inlineStr">
        <is>
          <t>PF100681</t>
        </is>
      </c>
      <c r="B690" s="68" t="n">
        <v>45734</v>
      </c>
      <c r="C690" s="69" t="n">
        <v>2025</v>
      </c>
      <c r="D690" t="inlineStr">
        <is>
          <t>Mar</t>
        </is>
      </c>
      <c r="E690" t="inlineStr">
        <is>
          <t>Europe</t>
        </is>
      </c>
      <c r="F690" t="inlineStr">
        <is>
          <t>Spain</t>
        </is>
      </c>
      <c r="G690" t="inlineStr">
        <is>
          <t>Prevnar 20</t>
        </is>
      </c>
      <c r="H690" t="inlineStr">
        <is>
          <t>Retail pharmacy</t>
        </is>
      </c>
      <c r="I690" t="inlineStr">
        <is>
          <t>Private insurer</t>
        </is>
      </c>
      <c r="J690" t="inlineStr">
        <is>
          <t>Sara Rossi</t>
        </is>
      </c>
      <c r="K690" s="70" t="n">
        <v>519</v>
      </c>
      <c r="L690" s="71" t="n">
        <v>232.72</v>
      </c>
      <c r="M690" s="71" t="n">
        <v>120781.68</v>
      </c>
      <c r="N690" s="71" t="n">
        <v>30195.42</v>
      </c>
      <c r="O690" s="71" t="n">
        <v>90586.25999999999</v>
      </c>
      <c r="P690" s="71" t="n">
        <v>34712.11</v>
      </c>
      <c r="Q690" s="71" t="n">
        <v>55874.15</v>
      </c>
      <c r="R690" t="inlineStr">
        <is>
          <t>Vaccines</t>
        </is>
      </c>
      <c r="S690" s="70" t="n">
        <v>375</v>
      </c>
      <c r="T690" s="71" t="n">
        <v>25189.68</v>
      </c>
      <c r="U690" t="inlineStr">
        <is>
          <t>Low</t>
        </is>
      </c>
      <c r="V690">
        <f>IF(AND(OR(Dashboard!$C$6="All",E690=Dashboard!$C$6),OR(Dashboard!$F$6="All",G690=Dashboard!$F$6),OR(Dashboard!$I$6="All",H690=Dashboard!$I$6)),1,0)</f>
        <v/>
      </c>
    </row>
    <row r="691">
      <c r="A691" t="inlineStr">
        <is>
          <t>PF100682</t>
        </is>
      </c>
      <c r="B691" s="68" t="n">
        <v>45735</v>
      </c>
      <c r="C691" s="69" t="n">
        <v>2025</v>
      </c>
      <c r="D691" t="inlineStr">
        <is>
          <t>Mar</t>
        </is>
      </c>
      <c r="E691" t="inlineStr">
        <is>
          <t>Europe</t>
        </is>
      </c>
      <c r="F691" t="inlineStr">
        <is>
          <t>Spain</t>
        </is>
      </c>
      <c r="G691" t="inlineStr">
        <is>
          <t>Prevnar 20</t>
        </is>
      </c>
      <c r="H691" t="inlineStr">
        <is>
          <t>Government / tender</t>
        </is>
      </c>
      <c r="I691" t="inlineStr">
        <is>
          <t>Private insurer</t>
        </is>
      </c>
      <c r="J691" t="inlineStr">
        <is>
          <t>Ana Costa</t>
        </is>
      </c>
      <c r="K691" s="70" t="n">
        <v>1368</v>
      </c>
      <c r="L691" s="71" t="n">
        <v>229.7</v>
      </c>
      <c r="M691" s="71" t="n">
        <v>314229.6</v>
      </c>
      <c r="N691" s="71" t="n">
        <v>47134.44</v>
      </c>
      <c r="O691" s="71" t="n">
        <v>267095.16</v>
      </c>
      <c r="P691" s="71" t="n">
        <v>97380.14999999999</v>
      </c>
      <c r="Q691" s="71" t="n">
        <v>169715.01</v>
      </c>
      <c r="R691" t="inlineStr">
        <is>
          <t>Vaccines</t>
        </is>
      </c>
      <c r="S691" s="70" t="n">
        <v>1263</v>
      </c>
      <c r="T691" s="71" t="n">
        <v>63772.74</v>
      </c>
      <c r="U691" t="inlineStr">
        <is>
          <t>Low</t>
        </is>
      </c>
      <c r="V691">
        <f>IF(AND(OR(Dashboard!$C$6="All",E691=Dashboard!$C$6),OR(Dashboard!$F$6="All",G691=Dashboard!$F$6),OR(Dashboard!$I$6="All",H691=Dashboard!$I$6)),1,0)</f>
        <v/>
      </c>
    </row>
    <row r="692">
      <c r="A692" t="inlineStr">
        <is>
          <t>PF100683</t>
        </is>
      </c>
      <c r="B692" s="68" t="n">
        <v>45735</v>
      </c>
      <c r="C692" s="69" t="n">
        <v>2025</v>
      </c>
      <c r="D692" t="inlineStr">
        <is>
          <t>Mar</t>
        </is>
      </c>
      <c r="E692" t="inlineStr">
        <is>
          <t>United States</t>
        </is>
      </c>
      <c r="F692" t="inlineStr">
        <is>
          <t>USA</t>
        </is>
      </c>
      <c r="G692" t="inlineStr">
        <is>
          <t>Prevnar 20</t>
        </is>
      </c>
      <c r="H692" t="inlineStr">
        <is>
          <t>Government / tender</t>
        </is>
      </c>
      <c r="I692" t="inlineStr">
        <is>
          <t>Self-pay</t>
        </is>
      </c>
      <c r="J692" t="inlineStr">
        <is>
          <t>Liam O'Brien</t>
        </is>
      </c>
      <c r="K692" s="70" t="n">
        <v>1897</v>
      </c>
      <c r="L692" s="71" t="n">
        <v>395.95</v>
      </c>
      <c r="M692" s="71" t="n">
        <v>751117.15</v>
      </c>
      <c r="N692" s="71" t="n">
        <v>225335.15</v>
      </c>
      <c r="O692" s="71" t="n">
        <v>525782</v>
      </c>
      <c r="P692" s="71" t="n">
        <v>126227.19</v>
      </c>
      <c r="Q692" s="71" t="n">
        <v>399554.81</v>
      </c>
      <c r="R692" t="inlineStr">
        <is>
          <t>Vaccines</t>
        </is>
      </c>
      <c r="S692" s="70" t="n">
        <v>1437</v>
      </c>
      <c r="T692" s="71" t="n">
        <v>116720.18</v>
      </c>
      <c r="U692" t="inlineStr">
        <is>
          <t>Low</t>
        </is>
      </c>
      <c r="V692">
        <f>IF(AND(OR(Dashboard!$C$6="All",E692=Dashboard!$C$6),OR(Dashboard!$F$6="All",G692=Dashboard!$F$6),OR(Dashboard!$I$6="All",H692=Dashboard!$I$6)),1,0)</f>
        <v/>
      </c>
    </row>
    <row r="693">
      <c r="A693" t="inlineStr">
        <is>
          <t>PF100684</t>
        </is>
      </c>
      <c r="B693" s="68" t="n">
        <v>45735</v>
      </c>
      <c r="C693" s="69" t="n">
        <v>2025</v>
      </c>
      <c r="D693" t="inlineStr">
        <is>
          <t>Mar</t>
        </is>
      </c>
      <c r="E693" t="inlineStr">
        <is>
          <t>United States</t>
        </is>
      </c>
      <c r="F693" t="inlineStr">
        <is>
          <t>USA</t>
        </is>
      </c>
      <c r="G693" t="inlineStr">
        <is>
          <t>Abrysvo</t>
        </is>
      </c>
      <c r="H693" t="inlineStr">
        <is>
          <t>Retail pharmacy</t>
        </is>
      </c>
      <c r="I693" t="inlineStr">
        <is>
          <t>Public payer</t>
        </is>
      </c>
      <c r="J693" t="inlineStr">
        <is>
          <t>Shraddha Kulkarni</t>
        </is>
      </c>
      <c r="K693" s="70" t="n">
        <v>245</v>
      </c>
      <c r="L693" s="71" t="n">
        <v>436.59</v>
      </c>
      <c r="M693" s="71" t="n">
        <v>106964.55</v>
      </c>
      <c r="N693" s="71" t="n">
        <v>32089.37</v>
      </c>
      <c r="O693" s="71" t="n">
        <v>74875.17999999999</v>
      </c>
      <c r="P693" s="71" t="n">
        <v>20993.33</v>
      </c>
      <c r="Q693" s="71" t="n">
        <v>53881.85</v>
      </c>
      <c r="R693" t="inlineStr">
        <is>
          <t>Vaccines</t>
        </is>
      </c>
      <c r="S693" s="70" t="n">
        <v>187</v>
      </c>
      <c r="T693" s="71" t="n">
        <v>20572.9</v>
      </c>
      <c r="U693" t="inlineStr">
        <is>
          <t>Low</t>
        </is>
      </c>
      <c r="V693">
        <f>IF(AND(OR(Dashboard!$C$6="All",E693=Dashboard!$C$6),OR(Dashboard!$F$6="All",G693=Dashboard!$F$6),OR(Dashboard!$I$6="All",H693=Dashboard!$I$6)),1,0)</f>
        <v/>
      </c>
    </row>
    <row r="694">
      <c r="A694" t="inlineStr">
        <is>
          <t>PF100685</t>
        </is>
      </c>
      <c r="B694" s="68" t="n">
        <v>45735</v>
      </c>
      <c r="C694" s="69" t="n">
        <v>2025</v>
      </c>
      <c r="D694" t="inlineStr">
        <is>
          <t>Mar</t>
        </is>
      </c>
      <c r="E694" t="inlineStr">
        <is>
          <t>United States</t>
        </is>
      </c>
      <c r="F694" t="inlineStr">
        <is>
          <t>USA</t>
        </is>
      </c>
      <c r="G694" t="inlineStr">
        <is>
          <t>Paxlovid</t>
        </is>
      </c>
      <c r="H694" t="inlineStr">
        <is>
          <t>Retail pharmacy</t>
        </is>
      </c>
      <c r="I694" t="inlineStr">
        <is>
          <t>Private insurer</t>
        </is>
      </c>
      <c r="J694" t="inlineStr">
        <is>
          <t>Wei Chen</t>
        </is>
      </c>
      <c r="K694" s="70" t="n">
        <v>1726</v>
      </c>
      <c r="L694" s="71" t="n">
        <v>1721.57</v>
      </c>
      <c r="M694" s="71" t="n">
        <v>2971429.82</v>
      </c>
      <c r="N694" s="71" t="n">
        <v>445714.47</v>
      </c>
      <c r="O694" s="71" t="n">
        <v>2525715.35</v>
      </c>
      <c r="P694" s="71" t="n">
        <v>459014.63</v>
      </c>
      <c r="Q694" s="71" t="n">
        <v>2066700.72</v>
      </c>
      <c r="R694" t="inlineStr">
        <is>
          <t>Antiviral</t>
        </is>
      </c>
      <c r="S694" s="70" t="n">
        <v>1098</v>
      </c>
      <c r="T694" s="71" t="n">
        <v>609896.53</v>
      </c>
      <c r="U694" t="inlineStr">
        <is>
          <t>Low</t>
        </is>
      </c>
      <c r="V694">
        <f>IF(AND(OR(Dashboard!$C$6="All",E694=Dashboard!$C$6),OR(Dashboard!$F$6="All",G694=Dashboard!$F$6),OR(Dashboard!$I$6="All",H694=Dashboard!$I$6)),1,0)</f>
        <v/>
      </c>
    </row>
    <row r="695">
      <c r="A695" t="inlineStr">
        <is>
          <t>PF100686</t>
        </is>
      </c>
      <c r="B695" s="68" t="n">
        <v>45736</v>
      </c>
      <c r="C695" s="69" t="n">
        <v>2025</v>
      </c>
      <c r="D695" t="inlineStr">
        <is>
          <t>Mar</t>
        </is>
      </c>
      <c r="E695" t="inlineStr">
        <is>
          <t>Europe</t>
        </is>
      </c>
      <c r="F695" t="inlineStr">
        <is>
          <t>UK</t>
        </is>
      </c>
      <c r="G695" t="inlineStr">
        <is>
          <t>Comirnaty</t>
        </is>
      </c>
      <c r="H695" t="inlineStr">
        <is>
          <t>Retail pharmacy</t>
        </is>
      </c>
      <c r="I695" t="inlineStr">
        <is>
          <t>Public payer</t>
        </is>
      </c>
      <c r="J695" t="inlineStr">
        <is>
          <t>Omar Haddad</t>
        </is>
      </c>
      <c r="K695" s="70" t="n">
        <v>1113</v>
      </c>
      <c r="L695" s="71" t="n">
        <v>110.7</v>
      </c>
      <c r="M695" s="71" t="n">
        <v>123209.1</v>
      </c>
      <c r="N695" s="71" t="n">
        <v>30802.28</v>
      </c>
      <c r="O695" s="71" t="n">
        <v>92406.82000000001</v>
      </c>
      <c r="P695" s="71" t="n">
        <v>42858.75</v>
      </c>
      <c r="Q695" s="71" t="n">
        <v>49548.07</v>
      </c>
      <c r="R695" t="inlineStr">
        <is>
          <t>Vaccines</t>
        </is>
      </c>
      <c r="S695" s="70" t="n">
        <v>906</v>
      </c>
      <c r="T695" s="71" t="n">
        <v>27022.28</v>
      </c>
      <c r="U695" t="inlineStr">
        <is>
          <t>Low</t>
        </is>
      </c>
      <c r="V695">
        <f>IF(AND(OR(Dashboard!$C$6="All",E695=Dashboard!$C$6),OR(Dashboard!$F$6="All",G695=Dashboard!$F$6),OR(Dashboard!$I$6="All",H695=Dashboard!$I$6)),1,0)</f>
        <v/>
      </c>
    </row>
    <row r="696">
      <c r="A696" t="inlineStr">
        <is>
          <t>PF100687</t>
        </is>
      </c>
      <c r="B696" s="68" t="n">
        <v>45736</v>
      </c>
      <c r="C696" s="69" t="n">
        <v>2025</v>
      </c>
      <c r="D696" t="inlineStr">
        <is>
          <t>Mar</t>
        </is>
      </c>
      <c r="E696" t="inlineStr">
        <is>
          <t>Emerging markets</t>
        </is>
      </c>
      <c r="F696" t="inlineStr">
        <is>
          <t>Mexico</t>
        </is>
      </c>
      <c r="G696" t="inlineStr">
        <is>
          <t>Eliquis</t>
        </is>
      </c>
      <c r="H696" t="inlineStr">
        <is>
          <t>Hospital</t>
        </is>
      </c>
      <c r="I696" t="inlineStr">
        <is>
          <t>Private insurer</t>
        </is>
      </c>
      <c r="J696" t="inlineStr">
        <is>
          <t>Ravindra Patil</t>
        </is>
      </c>
      <c r="K696" s="70" t="n">
        <v>2172</v>
      </c>
      <c r="L696" s="71" t="n">
        <v>450.2</v>
      </c>
      <c r="M696" s="71" t="n">
        <v>977834.4</v>
      </c>
      <c r="N696" s="71" t="n">
        <v>146675.16</v>
      </c>
      <c r="O696" s="71" t="n">
        <v>831159.24</v>
      </c>
      <c r="P696" s="71" t="n">
        <v>170147.97</v>
      </c>
      <c r="Q696" s="71" t="n">
        <v>661011.27</v>
      </c>
      <c r="R696" t="inlineStr">
        <is>
          <t>Cardiology</t>
        </is>
      </c>
      <c r="S696" s="70" t="n">
        <v>1563</v>
      </c>
      <c r="T696" s="71" t="n">
        <v>149739.7</v>
      </c>
      <c r="U696" t="inlineStr">
        <is>
          <t>High</t>
        </is>
      </c>
      <c r="V696">
        <f>IF(AND(OR(Dashboard!$C$6="All",E696=Dashboard!$C$6),OR(Dashboard!$F$6="All",G696=Dashboard!$F$6),OR(Dashboard!$I$6="All",H696=Dashboard!$I$6)),1,0)</f>
        <v/>
      </c>
    </row>
    <row r="697">
      <c r="A697" t="inlineStr">
        <is>
          <t>PF100688</t>
        </is>
      </c>
      <c r="B697" s="68" t="n">
        <v>45736</v>
      </c>
      <c r="C697" s="69" t="n">
        <v>2025</v>
      </c>
      <c r="D697" t="inlineStr">
        <is>
          <t>Mar</t>
        </is>
      </c>
      <c r="E697" t="inlineStr">
        <is>
          <t>United States</t>
        </is>
      </c>
      <c r="F697" t="inlineStr">
        <is>
          <t>USA</t>
        </is>
      </c>
      <c r="G697" t="inlineStr">
        <is>
          <t>Eliquis</t>
        </is>
      </c>
      <c r="H697" t="inlineStr">
        <is>
          <t>Retail pharmacy</t>
        </is>
      </c>
      <c r="I697" t="inlineStr">
        <is>
          <t>Private insurer</t>
        </is>
      </c>
      <c r="J697" t="inlineStr">
        <is>
          <t>Shraddha Kulkarni</t>
        </is>
      </c>
      <c r="K697" s="70" t="n">
        <v>893</v>
      </c>
      <c r="L697" s="71" t="n">
        <v>663.22</v>
      </c>
      <c r="M697" s="71" t="n">
        <v>592255.46</v>
      </c>
      <c r="N697" s="71" t="n">
        <v>118451.09</v>
      </c>
      <c r="O697" s="71" t="n">
        <v>473804.37</v>
      </c>
      <c r="P697" s="71" t="n">
        <v>65184.07</v>
      </c>
      <c r="Q697" s="71" t="n">
        <v>408620.3</v>
      </c>
      <c r="R697" t="inlineStr">
        <is>
          <t>Cardiology</t>
        </is>
      </c>
      <c r="S697" s="70" t="n">
        <v>712</v>
      </c>
      <c r="T697" s="71" t="n">
        <v>75516.63</v>
      </c>
      <c r="U697" t="inlineStr">
        <is>
          <t>High</t>
        </is>
      </c>
      <c r="V697">
        <f>IF(AND(OR(Dashboard!$C$6="All",E697=Dashboard!$C$6),OR(Dashboard!$F$6="All",G697=Dashboard!$F$6),OR(Dashboard!$I$6="All",H697=Dashboard!$I$6)),1,0)</f>
        <v/>
      </c>
    </row>
    <row r="698">
      <c r="A698" t="inlineStr">
        <is>
          <t>PF100689</t>
        </is>
      </c>
      <c r="B698" s="68" t="n">
        <v>45736</v>
      </c>
      <c r="C698" s="69" t="n">
        <v>2025</v>
      </c>
      <c r="D698" t="inlineStr">
        <is>
          <t>Mar</t>
        </is>
      </c>
      <c r="E698" t="inlineStr">
        <is>
          <t>United States</t>
        </is>
      </c>
      <c r="F698" t="inlineStr">
        <is>
          <t>USA</t>
        </is>
      </c>
      <c r="G698" t="inlineStr">
        <is>
          <t>Eliquis</t>
        </is>
      </c>
      <c r="H698" t="inlineStr">
        <is>
          <t>Retail pharmacy</t>
        </is>
      </c>
      <c r="I698" t="inlineStr">
        <is>
          <t>Private insurer</t>
        </is>
      </c>
      <c r="J698" t="inlineStr">
        <is>
          <t>Fatima Al-Saud</t>
        </is>
      </c>
      <c r="K698" s="70" t="n">
        <v>1338</v>
      </c>
      <c r="L698" s="71" t="n">
        <v>674.9400000000001</v>
      </c>
      <c r="M698" s="71" t="n">
        <v>903069.72</v>
      </c>
      <c r="N698" s="71" t="n">
        <v>270920.92</v>
      </c>
      <c r="O698" s="71" t="n">
        <v>632148.8</v>
      </c>
      <c r="P698" s="71" t="n">
        <v>102215.35</v>
      </c>
      <c r="Q698" s="71" t="n">
        <v>529933.45</v>
      </c>
      <c r="R698" t="inlineStr">
        <is>
          <t>Cardiology</t>
        </is>
      </c>
      <c r="S698" s="70" t="n">
        <v>1135</v>
      </c>
      <c r="T698" s="71" t="n">
        <v>127983.01</v>
      </c>
      <c r="U698" t="inlineStr">
        <is>
          <t>High</t>
        </is>
      </c>
      <c r="V698">
        <f>IF(AND(OR(Dashboard!$C$6="All",E698=Dashboard!$C$6),OR(Dashboard!$F$6="All",G698=Dashboard!$F$6),OR(Dashboard!$I$6="All",H698=Dashboard!$I$6)),1,0)</f>
        <v/>
      </c>
    </row>
    <row r="699">
      <c r="A699" t="inlineStr">
        <is>
          <t>PF100690</t>
        </is>
      </c>
      <c r="B699" s="68" t="n">
        <v>45736</v>
      </c>
      <c r="C699" s="69" t="n">
        <v>2025</v>
      </c>
      <c r="D699" t="inlineStr">
        <is>
          <t>Mar</t>
        </is>
      </c>
      <c r="E699" t="inlineStr">
        <is>
          <t>United States</t>
        </is>
      </c>
      <c r="F699" t="inlineStr">
        <is>
          <t>USA</t>
        </is>
      </c>
      <c r="G699" t="inlineStr">
        <is>
          <t>Prevnar 20</t>
        </is>
      </c>
      <c r="H699" t="inlineStr">
        <is>
          <t>Hospital</t>
        </is>
      </c>
      <c r="I699" t="inlineStr">
        <is>
          <t>Public payer</t>
        </is>
      </c>
      <c r="J699" t="inlineStr">
        <is>
          <t>Kofi Mensah</t>
        </is>
      </c>
      <c r="K699" s="70" t="n">
        <v>1662</v>
      </c>
      <c r="L699" s="71" t="n">
        <v>376.51</v>
      </c>
      <c r="M699" s="71" t="n">
        <v>625759.62</v>
      </c>
      <c r="N699" s="71" t="n">
        <v>156439.9</v>
      </c>
      <c r="O699" s="71" t="n">
        <v>469319.72</v>
      </c>
      <c r="P699" s="71" t="n">
        <v>112683.88</v>
      </c>
      <c r="Q699" s="71" t="n">
        <v>356635.84</v>
      </c>
      <c r="R699" t="inlineStr">
        <is>
          <t>Vaccines</t>
        </is>
      </c>
      <c r="S699" s="70" t="n">
        <v>1457</v>
      </c>
      <c r="T699" s="71" t="n">
        <v>106001.36</v>
      </c>
      <c r="U699" t="inlineStr">
        <is>
          <t>Low</t>
        </is>
      </c>
      <c r="V699">
        <f>IF(AND(OR(Dashboard!$C$6="All",E699=Dashboard!$C$6),OR(Dashboard!$F$6="All",G699=Dashboard!$F$6),OR(Dashboard!$I$6="All",H699=Dashboard!$I$6)),1,0)</f>
        <v/>
      </c>
    </row>
    <row r="700">
      <c r="A700" t="inlineStr">
        <is>
          <t>PF100691</t>
        </is>
      </c>
      <c r="B700" s="68" t="n">
        <v>45737</v>
      </c>
      <c r="C700" s="69" t="n">
        <v>2025</v>
      </c>
      <c r="D700" t="inlineStr">
        <is>
          <t>Mar</t>
        </is>
      </c>
      <c r="E700" t="inlineStr">
        <is>
          <t>Emerging markets</t>
        </is>
      </c>
      <c r="F700" t="inlineStr">
        <is>
          <t>China</t>
        </is>
      </c>
      <c r="G700" t="inlineStr">
        <is>
          <t>Prevnar 20</t>
        </is>
      </c>
      <c r="H700" t="inlineStr">
        <is>
          <t>Retail pharmacy</t>
        </is>
      </c>
      <c r="I700" t="inlineStr">
        <is>
          <t>Public payer</t>
        </is>
      </c>
      <c r="J700" t="inlineStr">
        <is>
          <t>Sophie Müller</t>
        </is>
      </c>
      <c r="K700" s="70" t="n">
        <v>1908</v>
      </c>
      <c r="L700" s="71" t="n">
        <v>221.89</v>
      </c>
      <c r="M700" s="71" t="n">
        <v>423366.12</v>
      </c>
      <c r="N700" s="71" t="n">
        <v>63504.92</v>
      </c>
      <c r="O700" s="71" t="n">
        <v>359861.2</v>
      </c>
      <c r="P700" s="71" t="n">
        <v>133203.54</v>
      </c>
      <c r="Q700" s="71" t="n">
        <v>226657.66</v>
      </c>
      <c r="R700" t="inlineStr">
        <is>
          <t>Vaccines</t>
        </is>
      </c>
      <c r="S700" s="70" t="n">
        <v>1301</v>
      </c>
      <c r="T700" s="71" t="n">
        <v>84074.32000000001</v>
      </c>
      <c r="U700" t="inlineStr">
        <is>
          <t>Low</t>
        </is>
      </c>
      <c r="V700">
        <f>IF(AND(OR(Dashboard!$C$6="All",E700=Dashboard!$C$6),OR(Dashboard!$F$6="All",G700=Dashboard!$F$6),OR(Dashboard!$I$6="All",H700=Dashboard!$I$6)),1,0)</f>
        <v/>
      </c>
    </row>
    <row r="701">
      <c r="A701" t="inlineStr">
        <is>
          <t>PF100692</t>
        </is>
      </c>
      <c r="B701" s="68" t="n">
        <v>45737</v>
      </c>
      <c r="C701" s="69" t="n">
        <v>2025</v>
      </c>
      <c r="D701" t="inlineStr">
        <is>
          <t>Mar</t>
        </is>
      </c>
      <c r="E701" t="inlineStr">
        <is>
          <t>International developed</t>
        </is>
      </c>
      <c r="F701" t="inlineStr">
        <is>
          <t>Japan</t>
        </is>
      </c>
      <c r="G701" t="inlineStr">
        <is>
          <t>Prevnar 20</t>
        </is>
      </c>
      <c r="H701" t="inlineStr">
        <is>
          <t>Retail pharmacy</t>
        </is>
      </c>
      <c r="I701" t="inlineStr">
        <is>
          <t>Private insurer</t>
        </is>
      </c>
      <c r="J701" t="inlineStr">
        <is>
          <t>Fatima Al-Saud</t>
        </is>
      </c>
      <c r="K701" s="70" t="n">
        <v>380</v>
      </c>
      <c r="L701" s="71" t="n">
        <v>231.65</v>
      </c>
      <c r="M701" s="71" t="n">
        <v>88027</v>
      </c>
      <c r="N701" s="71" t="n">
        <v>17605.4</v>
      </c>
      <c r="O701" s="71" t="n">
        <v>70421.60000000001</v>
      </c>
      <c r="P701" s="71" t="n">
        <v>25227.03</v>
      </c>
      <c r="Q701" s="71" t="n">
        <v>45194.57</v>
      </c>
      <c r="R701" t="inlineStr">
        <is>
          <t>Vaccines</t>
        </is>
      </c>
      <c r="S701" s="70" t="n">
        <v>238</v>
      </c>
      <c r="T701" s="71" t="n">
        <v>13253.79</v>
      </c>
      <c r="U701" t="inlineStr">
        <is>
          <t>Low</t>
        </is>
      </c>
      <c r="V701">
        <f>IF(AND(OR(Dashboard!$C$6="All",E701=Dashboard!$C$6),OR(Dashboard!$F$6="All",G701=Dashboard!$F$6),OR(Dashboard!$I$6="All",H701=Dashboard!$I$6)),1,0)</f>
        <v/>
      </c>
    </row>
    <row r="702">
      <c r="A702" t="inlineStr">
        <is>
          <t>PF100693</t>
        </is>
      </c>
      <c r="B702" s="68" t="n">
        <v>45737</v>
      </c>
      <c r="C702" s="69" t="n">
        <v>2025</v>
      </c>
      <c r="D702" t="inlineStr">
        <is>
          <t>Mar</t>
        </is>
      </c>
      <c r="E702" t="inlineStr">
        <is>
          <t>United States</t>
        </is>
      </c>
      <c r="F702" t="inlineStr">
        <is>
          <t>USA</t>
        </is>
      </c>
      <c r="G702" t="inlineStr">
        <is>
          <t>Eliquis</t>
        </is>
      </c>
      <c r="H702" t="inlineStr">
        <is>
          <t>Government / tender</t>
        </is>
      </c>
      <c r="I702" t="inlineStr">
        <is>
          <t>Public payer</t>
        </is>
      </c>
      <c r="J702" t="inlineStr">
        <is>
          <t>Wei Chen</t>
        </is>
      </c>
      <c r="K702" s="70" t="n">
        <v>2805</v>
      </c>
      <c r="L702" s="71" t="n">
        <v>616.67</v>
      </c>
      <c r="M702" s="71" t="n">
        <v>1729759.35</v>
      </c>
      <c r="N702" s="71" t="n">
        <v>259463.9</v>
      </c>
      <c r="O702" s="71" t="n">
        <v>1470295.45</v>
      </c>
      <c r="P702" s="71" t="n">
        <v>217199.07</v>
      </c>
      <c r="Q702" s="71" t="n">
        <v>1253096.38</v>
      </c>
      <c r="R702" t="inlineStr">
        <is>
          <t>Cardiology</t>
        </is>
      </c>
      <c r="S702" s="70" t="n">
        <v>1965</v>
      </c>
      <c r="T702" s="71" t="n">
        <v>372670.08</v>
      </c>
      <c r="U702" t="inlineStr">
        <is>
          <t>High</t>
        </is>
      </c>
      <c r="V702">
        <f>IF(AND(OR(Dashboard!$C$6="All",E702=Dashboard!$C$6),OR(Dashboard!$F$6="All",G702=Dashboard!$F$6),OR(Dashboard!$I$6="All",H702=Dashboard!$I$6)),1,0)</f>
        <v/>
      </c>
    </row>
    <row r="703">
      <c r="A703" t="inlineStr">
        <is>
          <t>PF100694</t>
        </is>
      </c>
      <c r="B703" s="68" t="n">
        <v>45737</v>
      </c>
      <c r="C703" s="69" t="n">
        <v>2025</v>
      </c>
      <c r="D703" t="inlineStr">
        <is>
          <t>Mar</t>
        </is>
      </c>
      <c r="E703" t="inlineStr">
        <is>
          <t>Emerging markets</t>
        </is>
      </c>
      <c r="F703" t="inlineStr">
        <is>
          <t>China</t>
        </is>
      </c>
      <c r="G703" t="inlineStr">
        <is>
          <t>Eliquis</t>
        </is>
      </c>
      <c r="H703" t="inlineStr">
        <is>
          <t>Hospital</t>
        </is>
      </c>
      <c r="I703" t="inlineStr">
        <is>
          <t>Public payer</t>
        </is>
      </c>
      <c r="J703" t="inlineStr">
        <is>
          <t>Sophie Müller</t>
        </is>
      </c>
      <c r="K703" s="70" t="n">
        <v>2261</v>
      </c>
      <c r="L703" s="71" t="n">
        <v>392.31</v>
      </c>
      <c r="M703" s="71" t="n">
        <v>887012.91</v>
      </c>
      <c r="N703" s="71" t="n">
        <v>88701.28999999999</v>
      </c>
      <c r="O703" s="71" t="n">
        <v>798311.62</v>
      </c>
      <c r="P703" s="71" t="n">
        <v>168172.6</v>
      </c>
      <c r="Q703" s="71" t="n">
        <v>630139.02</v>
      </c>
      <c r="R703" t="inlineStr">
        <is>
          <t>Cardiology</t>
        </is>
      </c>
      <c r="S703" s="70" t="n">
        <v>1532</v>
      </c>
      <c r="T703" s="71" t="n">
        <v>174117.97</v>
      </c>
      <c r="U703" t="inlineStr">
        <is>
          <t>High</t>
        </is>
      </c>
      <c r="V703">
        <f>IF(AND(OR(Dashboard!$C$6="All",E703=Dashboard!$C$6),OR(Dashboard!$F$6="All",G703=Dashboard!$F$6),OR(Dashboard!$I$6="All",H703=Dashboard!$I$6)),1,0)</f>
        <v/>
      </c>
    </row>
    <row r="704">
      <c r="A704" t="inlineStr">
        <is>
          <t>PF100695</t>
        </is>
      </c>
      <c r="B704" s="68" t="n">
        <v>45738</v>
      </c>
      <c r="C704" s="69" t="n">
        <v>2025</v>
      </c>
      <c r="D704" t="inlineStr">
        <is>
          <t>Mar</t>
        </is>
      </c>
      <c r="E704" t="inlineStr">
        <is>
          <t>Emerging markets</t>
        </is>
      </c>
      <c r="F704" t="inlineStr">
        <is>
          <t>India</t>
        </is>
      </c>
      <c r="G704" t="inlineStr">
        <is>
          <t>Eliquis</t>
        </is>
      </c>
      <c r="H704" t="inlineStr">
        <is>
          <t>Government / tender</t>
        </is>
      </c>
      <c r="I704" t="inlineStr">
        <is>
          <t>Public payer</t>
        </is>
      </c>
      <c r="J704" t="inlineStr">
        <is>
          <t>Carlos Silva</t>
        </is>
      </c>
      <c r="K704" s="70" t="n">
        <v>1301</v>
      </c>
      <c r="L704" s="71" t="n">
        <v>440.4</v>
      </c>
      <c r="M704" s="71" t="n">
        <v>572960.4</v>
      </c>
      <c r="N704" s="71" t="n">
        <v>114592.08</v>
      </c>
      <c r="O704" s="71" t="n">
        <v>458368.32</v>
      </c>
      <c r="P704" s="71" t="n">
        <v>101172.93</v>
      </c>
      <c r="Q704" s="71" t="n">
        <v>357195.39</v>
      </c>
      <c r="R704" t="inlineStr">
        <is>
          <t>Cardiology</t>
        </is>
      </c>
      <c r="S704" s="70" t="n">
        <v>834</v>
      </c>
      <c r="T704" s="71" t="n">
        <v>115823.49</v>
      </c>
      <c r="U704" t="inlineStr">
        <is>
          <t>High</t>
        </is>
      </c>
      <c r="V704">
        <f>IF(AND(OR(Dashboard!$C$6="All",E704=Dashboard!$C$6),OR(Dashboard!$F$6="All",G704=Dashboard!$F$6),OR(Dashboard!$I$6="All",H704=Dashboard!$I$6)),1,0)</f>
        <v/>
      </c>
    </row>
    <row r="705">
      <c r="A705" t="inlineStr">
        <is>
          <t>PF100696</t>
        </is>
      </c>
      <c r="B705" s="68" t="n">
        <v>45738</v>
      </c>
      <c r="C705" s="69" t="n">
        <v>2025</v>
      </c>
      <c r="D705" t="inlineStr">
        <is>
          <t>Mar</t>
        </is>
      </c>
      <c r="E705" t="inlineStr">
        <is>
          <t>United States</t>
        </is>
      </c>
      <c r="F705" t="inlineStr">
        <is>
          <t>USA</t>
        </is>
      </c>
      <c r="G705" t="inlineStr">
        <is>
          <t>Comirnaty</t>
        </is>
      </c>
      <c r="H705" t="inlineStr">
        <is>
          <t>Retail pharmacy</t>
        </is>
      </c>
      <c r="I705" t="inlineStr">
        <is>
          <t>Self-pay</t>
        </is>
      </c>
      <c r="J705" t="inlineStr">
        <is>
          <t>Ruhi Shaikh</t>
        </is>
      </c>
      <c r="K705" s="70" t="n">
        <v>288</v>
      </c>
      <c r="L705" s="71" t="n">
        <v>180.21</v>
      </c>
      <c r="M705" s="71" t="n">
        <v>51900.48</v>
      </c>
      <c r="N705" s="71" t="n">
        <v>7785.07</v>
      </c>
      <c r="O705" s="71" t="n">
        <v>44115.41</v>
      </c>
      <c r="P705" s="71" t="n">
        <v>10948.69</v>
      </c>
      <c r="Q705" s="71" t="n">
        <v>33166.72</v>
      </c>
      <c r="R705" t="inlineStr">
        <is>
          <t>Vaccines</t>
        </is>
      </c>
      <c r="S705" s="70" t="n">
        <v>246</v>
      </c>
      <c r="T705" s="71" t="n">
        <v>7181.84</v>
      </c>
      <c r="U705" t="inlineStr">
        <is>
          <t>Low</t>
        </is>
      </c>
      <c r="V705">
        <f>IF(AND(OR(Dashboard!$C$6="All",E705=Dashboard!$C$6),OR(Dashboard!$F$6="All",G705=Dashboard!$F$6),OR(Dashboard!$I$6="All",H705=Dashboard!$I$6)),1,0)</f>
        <v/>
      </c>
    </row>
    <row r="706">
      <c r="A706" t="inlineStr">
        <is>
          <t>PF100697</t>
        </is>
      </c>
      <c r="B706" s="68" t="n">
        <v>45738</v>
      </c>
      <c r="C706" s="69" t="n">
        <v>2025</v>
      </c>
      <c r="D706" t="inlineStr">
        <is>
          <t>Mar</t>
        </is>
      </c>
      <c r="E706" t="inlineStr">
        <is>
          <t>United States</t>
        </is>
      </c>
      <c r="F706" t="inlineStr">
        <is>
          <t>USA</t>
        </is>
      </c>
      <c r="G706" t="inlineStr">
        <is>
          <t>Paxlovid</t>
        </is>
      </c>
      <c r="H706" t="inlineStr">
        <is>
          <t>Retail pharmacy</t>
        </is>
      </c>
      <c r="I706" t="inlineStr">
        <is>
          <t>Public payer</t>
        </is>
      </c>
      <c r="J706" t="inlineStr">
        <is>
          <t>Emma Clarke</t>
        </is>
      </c>
      <c r="K706" s="70" t="n">
        <v>1637</v>
      </c>
      <c r="L706" s="71" t="n">
        <v>1696.61</v>
      </c>
      <c r="M706" s="71" t="n">
        <v>2777350.57</v>
      </c>
      <c r="N706" s="71" t="n">
        <v>694337.64</v>
      </c>
      <c r="O706" s="71" t="n">
        <v>2083012.93</v>
      </c>
      <c r="P706" s="71" t="n">
        <v>446533.81</v>
      </c>
      <c r="Q706" s="71" t="n">
        <v>1636479.12</v>
      </c>
      <c r="R706" t="inlineStr">
        <is>
          <t>Antiviral</t>
        </is>
      </c>
      <c r="S706" s="70" t="n">
        <v>1346</v>
      </c>
      <c r="T706" s="71" t="n">
        <v>500433.63</v>
      </c>
      <c r="U706" t="inlineStr">
        <is>
          <t>Low</t>
        </is>
      </c>
      <c r="V706">
        <f>IF(AND(OR(Dashboard!$C$6="All",E706=Dashboard!$C$6),OR(Dashboard!$F$6="All",G706=Dashboard!$F$6),OR(Dashboard!$I$6="All",H706=Dashboard!$I$6)),1,0)</f>
        <v/>
      </c>
    </row>
    <row r="707">
      <c r="A707" t="inlineStr">
        <is>
          <t>PF100698</t>
        </is>
      </c>
      <c r="B707" s="68" t="n">
        <v>45738</v>
      </c>
      <c r="C707" s="69" t="n">
        <v>2025</v>
      </c>
      <c r="D707" t="inlineStr">
        <is>
          <t>Mar</t>
        </is>
      </c>
      <c r="E707" t="inlineStr">
        <is>
          <t>Europe</t>
        </is>
      </c>
      <c r="F707" t="inlineStr">
        <is>
          <t>UK</t>
        </is>
      </c>
      <c r="G707" t="inlineStr">
        <is>
          <t>Abrysvo</t>
        </is>
      </c>
      <c r="H707" t="inlineStr">
        <is>
          <t>Hospital</t>
        </is>
      </c>
      <c r="I707" t="inlineStr">
        <is>
          <t>Self-pay</t>
        </is>
      </c>
      <c r="J707" t="inlineStr">
        <is>
          <t>Emma Clarke</t>
        </is>
      </c>
      <c r="K707" s="70" t="n">
        <v>173</v>
      </c>
      <c r="L707" s="71" t="n">
        <v>283.44</v>
      </c>
      <c r="M707" s="71" t="n">
        <v>49035.12</v>
      </c>
      <c r="N707" s="71" t="n">
        <v>4903.51</v>
      </c>
      <c r="O707" s="71" t="n">
        <v>44131.61</v>
      </c>
      <c r="P707" s="71" t="n">
        <v>14553.28</v>
      </c>
      <c r="Q707" s="71" t="n">
        <v>29578.33</v>
      </c>
      <c r="R707" t="inlineStr">
        <is>
          <t>Vaccines</t>
        </is>
      </c>
      <c r="S707" s="70" t="n">
        <v>140</v>
      </c>
      <c r="T707" s="71" t="n">
        <v>9626.4</v>
      </c>
      <c r="U707" t="inlineStr">
        <is>
          <t>Low</t>
        </is>
      </c>
      <c r="V707">
        <f>IF(AND(OR(Dashboard!$C$6="All",E707=Dashboard!$C$6),OR(Dashboard!$F$6="All",G707=Dashboard!$F$6),OR(Dashboard!$I$6="All",H707=Dashboard!$I$6)),1,0)</f>
        <v/>
      </c>
    </row>
    <row r="708">
      <c r="A708" t="inlineStr">
        <is>
          <t>PF100699</t>
        </is>
      </c>
      <c r="B708" s="68" t="n">
        <v>45738</v>
      </c>
      <c r="C708" s="69" t="n">
        <v>2025</v>
      </c>
      <c r="D708" t="inlineStr">
        <is>
          <t>Mar</t>
        </is>
      </c>
      <c r="E708" t="inlineStr">
        <is>
          <t>United States</t>
        </is>
      </c>
      <c r="F708" t="inlineStr">
        <is>
          <t>USA</t>
        </is>
      </c>
      <c r="G708" t="inlineStr">
        <is>
          <t>Vyndaqel</t>
        </is>
      </c>
      <c r="H708" t="inlineStr">
        <is>
          <t>Retail pharmacy</t>
        </is>
      </c>
      <c r="I708" t="inlineStr">
        <is>
          <t>Private insurer</t>
        </is>
      </c>
      <c r="J708" t="inlineStr">
        <is>
          <t>Fatima Al-Saud</t>
        </is>
      </c>
      <c r="K708" s="70" t="n">
        <v>1403</v>
      </c>
      <c r="L708" s="71" t="n">
        <v>8904.9</v>
      </c>
      <c r="M708" s="71" t="n">
        <v>12493574.7</v>
      </c>
      <c r="N708" s="71" t="n">
        <v>3748072.41</v>
      </c>
      <c r="O708" s="71" t="n">
        <v>8745502.289999999</v>
      </c>
      <c r="P708" s="71" t="n">
        <v>868515.47</v>
      </c>
      <c r="Q708" s="71" t="n">
        <v>7876986.82</v>
      </c>
      <c r="R708" t="inlineStr">
        <is>
          <t>Rare disease</t>
        </is>
      </c>
      <c r="S708" s="70" t="n">
        <v>1118</v>
      </c>
      <c r="T708" s="71" t="n">
        <v>1896874.22</v>
      </c>
      <c r="U708" t="inlineStr">
        <is>
          <t>Medium</t>
        </is>
      </c>
      <c r="V708">
        <f>IF(AND(OR(Dashboard!$C$6="All",E708=Dashboard!$C$6),OR(Dashboard!$F$6="All",G708=Dashboard!$F$6),OR(Dashboard!$I$6="All",H708=Dashboard!$I$6)),1,0)</f>
        <v/>
      </c>
    </row>
    <row r="709">
      <c r="A709" t="inlineStr">
        <is>
          <t>PF100700</t>
        </is>
      </c>
      <c r="B709" s="68" t="n">
        <v>45738</v>
      </c>
      <c r="C709" s="69" t="n">
        <v>2025</v>
      </c>
      <c r="D709" t="inlineStr">
        <is>
          <t>Mar</t>
        </is>
      </c>
      <c r="E709" t="inlineStr">
        <is>
          <t>Emerging markets</t>
        </is>
      </c>
      <c r="F709" t="inlineStr">
        <is>
          <t>Mexico</t>
        </is>
      </c>
      <c r="G709" t="inlineStr">
        <is>
          <t>Xeljanz</t>
        </is>
      </c>
      <c r="H709" t="inlineStr">
        <is>
          <t>Retail pharmacy</t>
        </is>
      </c>
      <c r="I709" t="inlineStr">
        <is>
          <t>Public payer</t>
        </is>
      </c>
      <c r="J709" t="inlineStr">
        <is>
          <t>Aisha Bello</t>
        </is>
      </c>
      <c r="K709" s="70" t="n">
        <v>448</v>
      </c>
      <c r="L709" s="71" t="n">
        <v>1475.64</v>
      </c>
      <c r="M709" s="71" t="n">
        <v>661086.72</v>
      </c>
      <c r="N709" s="71" t="n">
        <v>132217.34</v>
      </c>
      <c r="O709" s="71" t="n">
        <v>528869.38</v>
      </c>
      <c r="P709" s="71" t="n">
        <v>108511.18</v>
      </c>
      <c r="Q709" s="71" t="n">
        <v>420358.2</v>
      </c>
      <c r="R709" t="inlineStr">
        <is>
          <t>Inflammation</t>
        </is>
      </c>
      <c r="S709" s="70" t="n">
        <v>408</v>
      </c>
      <c r="T709" s="71" t="n">
        <v>112805.76</v>
      </c>
      <c r="U709" t="inlineStr">
        <is>
          <t>High</t>
        </is>
      </c>
      <c r="V709">
        <f>IF(AND(OR(Dashboard!$C$6="All",E709=Dashboard!$C$6),OR(Dashboard!$F$6="All",G709=Dashboard!$F$6),OR(Dashboard!$I$6="All",H709=Dashboard!$I$6)),1,0)</f>
        <v/>
      </c>
    </row>
    <row r="710">
      <c r="A710" t="inlineStr">
        <is>
          <t>PF100701</t>
        </is>
      </c>
      <c r="B710" s="68" t="n">
        <v>45739</v>
      </c>
      <c r="C710" s="69" t="n">
        <v>2025</v>
      </c>
      <c r="D710" t="inlineStr">
        <is>
          <t>Mar</t>
        </is>
      </c>
      <c r="E710" t="inlineStr">
        <is>
          <t>United States</t>
        </is>
      </c>
      <c r="F710" t="inlineStr">
        <is>
          <t>USA</t>
        </is>
      </c>
      <c r="G710" t="inlineStr">
        <is>
          <t>Vyndaqel</t>
        </is>
      </c>
      <c r="H710" t="inlineStr">
        <is>
          <t>Hospital</t>
        </is>
      </c>
      <c r="I710" t="inlineStr">
        <is>
          <t>Public payer</t>
        </is>
      </c>
      <c r="J710" t="inlineStr">
        <is>
          <t>Emma Clarke</t>
        </is>
      </c>
      <c r="K710" s="70" t="n">
        <v>1676</v>
      </c>
      <c r="L710" s="71" t="n">
        <v>8681.58</v>
      </c>
      <c r="M710" s="71" t="n">
        <v>14550328.08</v>
      </c>
      <c r="N710" s="71" t="n">
        <v>3637582.02</v>
      </c>
      <c r="O710" s="71" t="n">
        <v>10912746.06</v>
      </c>
      <c r="P710" s="71" t="n">
        <v>1022150.68</v>
      </c>
      <c r="Q710" s="71" t="n">
        <v>9890595.380000001</v>
      </c>
      <c r="R710" t="inlineStr">
        <is>
          <t>Rare disease</t>
        </is>
      </c>
      <c r="S710" s="70" t="n">
        <v>1269</v>
      </c>
      <c r="T710" s="71" t="n">
        <v>2879848.65</v>
      </c>
      <c r="U710" t="inlineStr">
        <is>
          <t>Medium</t>
        </is>
      </c>
      <c r="V710">
        <f>IF(AND(OR(Dashboard!$C$6="All",E710=Dashboard!$C$6),OR(Dashboard!$F$6="All",G710=Dashboard!$F$6),OR(Dashboard!$I$6="All",H710=Dashboard!$I$6)),1,0)</f>
        <v/>
      </c>
    </row>
    <row r="711">
      <c r="A711" t="inlineStr">
        <is>
          <t>PF100702</t>
        </is>
      </c>
      <c r="B711" s="68" t="n">
        <v>45739</v>
      </c>
      <c r="C711" s="69" t="n">
        <v>2025</v>
      </c>
      <c r="D711" t="inlineStr">
        <is>
          <t>Mar</t>
        </is>
      </c>
      <c r="E711" t="inlineStr">
        <is>
          <t>United States</t>
        </is>
      </c>
      <c r="F711" t="inlineStr">
        <is>
          <t>USA</t>
        </is>
      </c>
      <c r="G711" t="inlineStr">
        <is>
          <t>Xeljanz</t>
        </is>
      </c>
      <c r="H711" t="inlineStr">
        <is>
          <t>Retail pharmacy</t>
        </is>
      </c>
      <c r="I711" t="inlineStr">
        <is>
          <t>Private insurer</t>
        </is>
      </c>
      <c r="J711" t="inlineStr">
        <is>
          <t>Arjun Mehta</t>
        </is>
      </c>
      <c r="K711" s="70" t="n">
        <v>251</v>
      </c>
      <c r="L711" s="71" t="n">
        <v>2233.06</v>
      </c>
      <c r="M711" s="71" t="n">
        <v>560498.0600000001</v>
      </c>
      <c r="N711" s="71" t="n">
        <v>140124.52</v>
      </c>
      <c r="O711" s="71" t="n">
        <v>420373.54</v>
      </c>
      <c r="P711" s="71" t="n">
        <v>63011.26</v>
      </c>
      <c r="Q711" s="71" t="n">
        <v>357362.28</v>
      </c>
      <c r="R711" t="inlineStr">
        <is>
          <t>Inflammation</t>
        </is>
      </c>
      <c r="S711" s="70" t="n">
        <v>206</v>
      </c>
      <c r="T711" s="71" t="n">
        <v>81474.44</v>
      </c>
      <c r="U711" t="inlineStr">
        <is>
          <t>High</t>
        </is>
      </c>
      <c r="V711">
        <f>IF(AND(OR(Dashboard!$C$6="All",E711=Dashboard!$C$6),OR(Dashboard!$F$6="All",G711=Dashboard!$F$6),OR(Dashboard!$I$6="All",H711=Dashboard!$I$6)),1,0)</f>
        <v/>
      </c>
    </row>
    <row r="712">
      <c r="A712" t="inlineStr">
        <is>
          <t>PF100703</t>
        </is>
      </c>
      <c r="B712" s="68" t="n">
        <v>45739</v>
      </c>
      <c r="C712" s="69" t="n">
        <v>2025</v>
      </c>
      <c r="D712" t="inlineStr">
        <is>
          <t>Mar</t>
        </is>
      </c>
      <c r="E712" t="inlineStr">
        <is>
          <t>Europe</t>
        </is>
      </c>
      <c r="F712" t="inlineStr">
        <is>
          <t>Germany</t>
        </is>
      </c>
      <c r="G712" t="inlineStr">
        <is>
          <t>Prevnar 20</t>
        </is>
      </c>
      <c r="H712" t="inlineStr">
        <is>
          <t>Hospital</t>
        </is>
      </c>
      <c r="I712" t="inlineStr">
        <is>
          <t>Private insurer</t>
        </is>
      </c>
      <c r="J712" t="inlineStr">
        <is>
          <t>Hiroshi Tanaka</t>
        </is>
      </c>
      <c r="K712" s="70" t="n">
        <v>927</v>
      </c>
      <c r="L712" s="71" t="n">
        <v>244.3</v>
      </c>
      <c r="M712" s="71" t="n">
        <v>226466.1</v>
      </c>
      <c r="N712" s="71" t="n">
        <v>45293.22</v>
      </c>
      <c r="O712" s="71" t="n">
        <v>181172.88</v>
      </c>
      <c r="P712" s="71" t="n">
        <v>65365.17</v>
      </c>
      <c r="Q712" s="71" t="n">
        <v>115807.71</v>
      </c>
      <c r="R712" t="inlineStr">
        <is>
          <t>Vaccines</t>
        </is>
      </c>
      <c r="S712" s="70" t="n">
        <v>658</v>
      </c>
      <c r="T712" s="71" t="n">
        <v>42089.93</v>
      </c>
      <c r="U712" t="inlineStr">
        <is>
          <t>Low</t>
        </is>
      </c>
      <c r="V712">
        <f>IF(AND(OR(Dashboard!$C$6="All",E712=Dashboard!$C$6),OR(Dashboard!$F$6="All",G712=Dashboard!$F$6),OR(Dashboard!$I$6="All",H712=Dashboard!$I$6)),1,0)</f>
        <v/>
      </c>
    </row>
    <row r="713">
      <c r="A713" t="inlineStr">
        <is>
          <t>PF100704</t>
        </is>
      </c>
      <c r="B713" s="68" t="n">
        <v>45739</v>
      </c>
      <c r="C713" s="69" t="n">
        <v>2025</v>
      </c>
      <c r="D713" t="inlineStr">
        <is>
          <t>Mar</t>
        </is>
      </c>
      <c r="E713" t="inlineStr">
        <is>
          <t>Europe</t>
        </is>
      </c>
      <c r="F713" t="inlineStr">
        <is>
          <t>Germany</t>
        </is>
      </c>
      <c r="G713" t="inlineStr">
        <is>
          <t>Comirnaty</t>
        </is>
      </c>
      <c r="H713" t="inlineStr">
        <is>
          <t>Government / tender</t>
        </is>
      </c>
      <c r="I713" t="inlineStr">
        <is>
          <t>Private insurer</t>
        </is>
      </c>
      <c r="J713" t="inlineStr">
        <is>
          <t>Liam O'Brien</t>
        </is>
      </c>
      <c r="K713" s="70" t="n">
        <v>822</v>
      </c>
      <c r="L713" s="71" t="n">
        <v>109.79</v>
      </c>
      <c r="M713" s="71" t="n">
        <v>90247.38</v>
      </c>
      <c r="N713" s="71" t="n">
        <v>13537.11</v>
      </c>
      <c r="O713" s="71" t="n">
        <v>76710.27</v>
      </c>
      <c r="P713" s="71" t="n">
        <v>32793.1</v>
      </c>
      <c r="Q713" s="71" t="n">
        <v>43917.17</v>
      </c>
      <c r="R713" t="inlineStr">
        <is>
          <t>Vaccines</t>
        </is>
      </c>
      <c r="S713" s="70" t="n">
        <v>725</v>
      </c>
      <c r="T713" s="71" t="n">
        <v>19313.95</v>
      </c>
      <c r="U713" t="inlineStr">
        <is>
          <t>Low</t>
        </is>
      </c>
      <c r="V713">
        <f>IF(AND(OR(Dashboard!$C$6="All",E713=Dashboard!$C$6),OR(Dashboard!$F$6="All",G713=Dashboard!$F$6),OR(Dashboard!$I$6="All",H713=Dashboard!$I$6)),1,0)</f>
        <v/>
      </c>
    </row>
    <row r="714">
      <c r="A714" t="inlineStr">
        <is>
          <t>PF100705</t>
        </is>
      </c>
      <c r="B714" s="68" t="n">
        <v>45739</v>
      </c>
      <c r="C714" s="69" t="n">
        <v>2025</v>
      </c>
      <c r="D714" t="inlineStr">
        <is>
          <t>Mar</t>
        </is>
      </c>
      <c r="E714" t="inlineStr">
        <is>
          <t>United States</t>
        </is>
      </c>
      <c r="F714" t="inlineStr">
        <is>
          <t>USA</t>
        </is>
      </c>
      <c r="G714" t="inlineStr">
        <is>
          <t>Abrysvo</t>
        </is>
      </c>
      <c r="H714" t="inlineStr">
        <is>
          <t>Hospital</t>
        </is>
      </c>
      <c r="I714" t="inlineStr">
        <is>
          <t>Public payer</t>
        </is>
      </c>
      <c r="J714" t="inlineStr">
        <is>
          <t>Priya Nair</t>
        </is>
      </c>
      <c r="K714" s="70" t="n">
        <v>1982</v>
      </c>
      <c r="L714" s="71" t="n">
        <v>407.94</v>
      </c>
      <c r="M714" s="71" t="n">
        <v>808537.08</v>
      </c>
      <c r="N714" s="71" t="n">
        <v>121280.56</v>
      </c>
      <c r="O714" s="71" t="n">
        <v>687256.52</v>
      </c>
      <c r="P714" s="71" t="n">
        <v>170935.76</v>
      </c>
      <c r="Q714" s="71" t="n">
        <v>516320.76</v>
      </c>
      <c r="R714" t="inlineStr">
        <is>
          <t>Vaccines</t>
        </is>
      </c>
      <c r="S714" s="70" t="n">
        <v>1369</v>
      </c>
      <c r="T714" s="71" t="n">
        <v>107579.9</v>
      </c>
      <c r="U714" t="inlineStr">
        <is>
          <t>Low</t>
        </is>
      </c>
      <c r="V714">
        <f>IF(AND(OR(Dashboard!$C$6="All",E714=Dashboard!$C$6),OR(Dashboard!$F$6="All",G714=Dashboard!$F$6),OR(Dashboard!$I$6="All",H714=Dashboard!$I$6)),1,0)</f>
        <v/>
      </c>
    </row>
    <row r="715">
      <c r="A715" t="inlineStr">
        <is>
          <t>PF100706</t>
        </is>
      </c>
      <c r="B715" s="68" t="n">
        <v>45739</v>
      </c>
      <c r="C715" s="69" t="n">
        <v>2025</v>
      </c>
      <c r="D715" t="inlineStr">
        <is>
          <t>Mar</t>
        </is>
      </c>
      <c r="E715" t="inlineStr">
        <is>
          <t>United States</t>
        </is>
      </c>
      <c r="F715" t="inlineStr">
        <is>
          <t>USA</t>
        </is>
      </c>
      <c r="G715" t="inlineStr">
        <is>
          <t>Abrysvo</t>
        </is>
      </c>
      <c r="H715" t="inlineStr">
        <is>
          <t>Retail pharmacy</t>
        </is>
      </c>
      <c r="I715" t="inlineStr">
        <is>
          <t>Private insurer</t>
        </is>
      </c>
      <c r="J715" t="inlineStr">
        <is>
          <t>Sara Rossi</t>
        </is>
      </c>
      <c r="K715" s="70" t="n">
        <v>1445</v>
      </c>
      <c r="L715" s="71" t="n">
        <v>441.42</v>
      </c>
      <c r="M715" s="71" t="n">
        <v>637851.9</v>
      </c>
      <c r="N715" s="71" t="n">
        <v>191355.57</v>
      </c>
      <c r="O715" s="71" t="n">
        <v>446496.33</v>
      </c>
      <c r="P715" s="71" t="n">
        <v>116850.65</v>
      </c>
      <c r="Q715" s="71" t="n">
        <v>329645.68</v>
      </c>
      <c r="R715" t="inlineStr">
        <is>
          <t>Vaccines</t>
        </is>
      </c>
      <c r="S715" s="70" t="n">
        <v>998</v>
      </c>
      <c r="T715" s="71" t="n">
        <v>100037.03</v>
      </c>
      <c r="U715" t="inlineStr">
        <is>
          <t>Low</t>
        </is>
      </c>
      <c r="V715">
        <f>IF(AND(OR(Dashboard!$C$6="All",E715=Dashboard!$C$6),OR(Dashboard!$F$6="All",G715=Dashboard!$F$6),OR(Dashboard!$I$6="All",H715=Dashboard!$I$6)),1,0)</f>
        <v/>
      </c>
    </row>
    <row r="716">
      <c r="A716" t="inlineStr">
        <is>
          <t>PF100707</t>
        </is>
      </c>
      <c r="B716" s="68" t="n">
        <v>45739</v>
      </c>
      <c r="C716" s="69" t="n">
        <v>2025</v>
      </c>
      <c r="D716" t="inlineStr">
        <is>
          <t>Mar</t>
        </is>
      </c>
      <c r="E716" t="inlineStr">
        <is>
          <t>United States</t>
        </is>
      </c>
      <c r="F716" t="inlineStr">
        <is>
          <t>USA</t>
        </is>
      </c>
      <c r="G716" t="inlineStr">
        <is>
          <t>Vyndaqel</t>
        </is>
      </c>
      <c r="H716" t="inlineStr">
        <is>
          <t>Retail pharmacy</t>
        </is>
      </c>
      <c r="I716" t="inlineStr">
        <is>
          <t>Public payer</t>
        </is>
      </c>
      <c r="J716" t="inlineStr">
        <is>
          <t>Carlos Silva</t>
        </is>
      </c>
      <c r="K716" s="70" t="n">
        <v>474</v>
      </c>
      <c r="L716" s="71" t="n">
        <v>7643.1</v>
      </c>
      <c r="M716" s="71" t="n">
        <v>3622829.4</v>
      </c>
      <c r="N716" s="71" t="n">
        <v>543424.41</v>
      </c>
      <c r="O716" s="71" t="n">
        <v>3079404.99</v>
      </c>
      <c r="P716" s="71" t="n">
        <v>286176.11</v>
      </c>
      <c r="Q716" s="71" t="n">
        <v>2793228.88</v>
      </c>
      <c r="R716" t="inlineStr">
        <is>
          <t>Rare disease</t>
        </is>
      </c>
      <c r="S716" s="70" t="n">
        <v>328</v>
      </c>
      <c r="T716" s="71" t="n">
        <v>464108.55</v>
      </c>
      <c r="U716" t="inlineStr">
        <is>
          <t>Medium</t>
        </is>
      </c>
      <c r="V716">
        <f>IF(AND(OR(Dashboard!$C$6="All",E716=Dashboard!$C$6),OR(Dashboard!$F$6="All",G716=Dashboard!$F$6),OR(Dashboard!$I$6="All",H716=Dashboard!$I$6)),1,0)</f>
        <v/>
      </c>
    </row>
    <row r="717">
      <c r="A717" t="inlineStr">
        <is>
          <t>PF100708</t>
        </is>
      </c>
      <c r="B717" s="68" t="n">
        <v>45739</v>
      </c>
      <c r="C717" s="69" t="n">
        <v>2025</v>
      </c>
      <c r="D717" t="inlineStr">
        <is>
          <t>Mar</t>
        </is>
      </c>
      <c r="E717" t="inlineStr">
        <is>
          <t>United States</t>
        </is>
      </c>
      <c r="F717" t="inlineStr">
        <is>
          <t>USA</t>
        </is>
      </c>
      <c r="G717" t="inlineStr">
        <is>
          <t>Comirnaty</t>
        </is>
      </c>
      <c r="H717" t="inlineStr">
        <is>
          <t>Hospital</t>
        </is>
      </c>
      <c r="I717" t="inlineStr">
        <is>
          <t>Self-pay</t>
        </is>
      </c>
      <c r="J717" t="inlineStr">
        <is>
          <t>Sophie Müller</t>
        </is>
      </c>
      <c r="K717" s="70" t="n">
        <v>2294</v>
      </c>
      <c r="L717" s="71" t="n">
        <v>179.15</v>
      </c>
      <c r="M717" s="71" t="n">
        <v>410970.1</v>
      </c>
      <c r="N717" s="71" t="n">
        <v>61645.52</v>
      </c>
      <c r="O717" s="71" t="n">
        <v>349324.58</v>
      </c>
      <c r="P717" s="71" t="n">
        <v>84799.42</v>
      </c>
      <c r="Q717" s="71" t="n">
        <v>264525.16</v>
      </c>
      <c r="R717" t="inlineStr">
        <is>
          <t>Vaccines</t>
        </is>
      </c>
      <c r="S717" s="70" t="n">
        <v>2290</v>
      </c>
      <c r="T717" s="71" t="n">
        <v>67609.36</v>
      </c>
      <c r="U717" t="inlineStr">
        <is>
          <t>Low</t>
        </is>
      </c>
      <c r="V717">
        <f>IF(AND(OR(Dashboard!$C$6="All",E717=Dashboard!$C$6),OR(Dashboard!$F$6="All",G717=Dashboard!$F$6),OR(Dashboard!$I$6="All",H717=Dashboard!$I$6)),1,0)</f>
        <v/>
      </c>
    </row>
    <row r="718">
      <c r="A718" t="inlineStr">
        <is>
          <t>PF100709</t>
        </is>
      </c>
      <c r="B718" s="68" t="n">
        <v>45739</v>
      </c>
      <c r="C718" s="69" t="n">
        <v>2025</v>
      </c>
      <c r="D718" t="inlineStr">
        <is>
          <t>Mar</t>
        </is>
      </c>
      <c r="E718" t="inlineStr">
        <is>
          <t>United States</t>
        </is>
      </c>
      <c r="F718" t="inlineStr">
        <is>
          <t>USA</t>
        </is>
      </c>
      <c r="G718" t="inlineStr">
        <is>
          <t>Paxlovid</t>
        </is>
      </c>
      <c r="H718" t="inlineStr">
        <is>
          <t>Retail pharmacy</t>
        </is>
      </c>
      <c r="I718" t="inlineStr">
        <is>
          <t>Private insurer</t>
        </is>
      </c>
      <c r="J718" t="inlineStr">
        <is>
          <t>Arjun Mehta</t>
        </is>
      </c>
      <c r="K718" s="70" t="n">
        <v>2753</v>
      </c>
      <c r="L718" s="71" t="n">
        <v>1607.82</v>
      </c>
      <c r="M718" s="71" t="n">
        <v>4426328.46</v>
      </c>
      <c r="N718" s="71" t="n">
        <v>1549214.96</v>
      </c>
      <c r="O718" s="71" t="n">
        <v>2877113.5</v>
      </c>
      <c r="P718" s="71" t="n">
        <v>771010.71</v>
      </c>
      <c r="Q718" s="71" t="n">
        <v>2106102.79</v>
      </c>
      <c r="R718" t="inlineStr">
        <is>
          <t>Antiviral</t>
        </is>
      </c>
      <c r="S718" s="70" t="n">
        <v>2374</v>
      </c>
      <c r="T718" s="71" t="n">
        <v>614724.33</v>
      </c>
      <c r="U718" t="inlineStr">
        <is>
          <t>Low</t>
        </is>
      </c>
      <c r="V718">
        <f>IF(AND(OR(Dashboard!$C$6="All",E718=Dashboard!$C$6),OR(Dashboard!$F$6="All",G718=Dashboard!$F$6),OR(Dashboard!$I$6="All",H718=Dashboard!$I$6)),1,0)</f>
        <v/>
      </c>
    </row>
    <row r="719">
      <c r="A719" t="inlineStr">
        <is>
          <t>PF100710</t>
        </is>
      </c>
      <c r="B719" s="68" t="n">
        <v>45739</v>
      </c>
      <c r="C719" s="69" t="n">
        <v>2025</v>
      </c>
      <c r="D719" t="inlineStr">
        <is>
          <t>Mar</t>
        </is>
      </c>
      <c r="E719" t="inlineStr">
        <is>
          <t>Europe</t>
        </is>
      </c>
      <c r="F719" t="inlineStr">
        <is>
          <t>UK</t>
        </is>
      </c>
      <c r="G719" t="inlineStr">
        <is>
          <t>Abrysvo</t>
        </is>
      </c>
      <c r="H719" t="inlineStr">
        <is>
          <t>Hospital</t>
        </is>
      </c>
      <c r="I719" t="inlineStr">
        <is>
          <t>Private insurer</t>
        </is>
      </c>
      <c r="J719" t="inlineStr">
        <is>
          <t>Emma Clarke</t>
        </is>
      </c>
      <c r="K719" s="70" t="n">
        <v>1702</v>
      </c>
      <c r="L719" s="71" t="n">
        <v>290.98</v>
      </c>
      <c r="M719" s="71" t="n">
        <v>495247.96</v>
      </c>
      <c r="N719" s="71" t="n">
        <v>49524.8</v>
      </c>
      <c r="O719" s="71" t="n">
        <v>445723.16</v>
      </c>
      <c r="P719" s="71" t="n">
        <v>142139.49</v>
      </c>
      <c r="Q719" s="71" t="n">
        <v>303583.67</v>
      </c>
      <c r="R719" t="inlineStr">
        <is>
          <t>Vaccines</t>
        </is>
      </c>
      <c r="S719" s="70" t="n">
        <v>1098</v>
      </c>
      <c r="T719" s="71" t="n">
        <v>59782.36</v>
      </c>
      <c r="U719" t="inlineStr">
        <is>
          <t>Low</t>
        </is>
      </c>
      <c r="V719">
        <f>IF(AND(OR(Dashboard!$C$6="All",E719=Dashboard!$C$6),OR(Dashboard!$F$6="All",G719=Dashboard!$F$6),OR(Dashboard!$I$6="All",H719=Dashboard!$I$6)),1,0)</f>
        <v/>
      </c>
    </row>
    <row r="720">
      <c r="A720" t="inlineStr">
        <is>
          <t>PF100711</t>
        </is>
      </c>
      <c r="B720" s="68" t="n">
        <v>45739</v>
      </c>
      <c r="C720" s="69" t="n">
        <v>2025</v>
      </c>
      <c r="D720" t="inlineStr">
        <is>
          <t>Mar</t>
        </is>
      </c>
      <c r="E720" t="inlineStr">
        <is>
          <t>United States</t>
        </is>
      </c>
      <c r="F720" t="inlineStr">
        <is>
          <t>USA</t>
        </is>
      </c>
      <c r="G720" t="inlineStr">
        <is>
          <t>Xeljanz</t>
        </is>
      </c>
      <c r="H720" t="inlineStr">
        <is>
          <t>Hospital</t>
        </is>
      </c>
      <c r="I720" t="inlineStr">
        <is>
          <t>Private insurer</t>
        </is>
      </c>
      <c r="J720" t="inlineStr">
        <is>
          <t>Fatima Al-Saud</t>
        </is>
      </c>
      <c r="K720" s="70" t="n">
        <v>681</v>
      </c>
      <c r="L720" s="71" t="n">
        <v>2060.82</v>
      </c>
      <c r="M720" s="71" t="n">
        <v>1403418.42</v>
      </c>
      <c r="N720" s="71" t="n">
        <v>350854.6</v>
      </c>
      <c r="O720" s="71" t="n">
        <v>1052563.82</v>
      </c>
      <c r="P720" s="71" t="n">
        <v>167013.14</v>
      </c>
      <c r="Q720" s="71" t="n">
        <v>885550.6800000001</v>
      </c>
      <c r="R720" t="inlineStr">
        <is>
          <t>Inflammation</t>
        </is>
      </c>
      <c r="S720" s="70" t="n">
        <v>616</v>
      </c>
      <c r="T720" s="71" t="n">
        <v>184536.63</v>
      </c>
      <c r="U720" t="inlineStr">
        <is>
          <t>High</t>
        </is>
      </c>
      <c r="V720">
        <f>IF(AND(OR(Dashboard!$C$6="All",E720=Dashboard!$C$6),OR(Dashboard!$F$6="All",G720=Dashboard!$F$6),OR(Dashboard!$I$6="All",H720=Dashboard!$I$6)),1,0)</f>
        <v/>
      </c>
    </row>
    <row r="721">
      <c r="A721" t="inlineStr">
        <is>
          <t>PF100712</t>
        </is>
      </c>
      <c r="B721" s="68" t="n">
        <v>45739</v>
      </c>
      <c r="C721" s="69" t="n">
        <v>2025</v>
      </c>
      <c r="D721" t="inlineStr">
        <is>
          <t>Mar</t>
        </is>
      </c>
      <c r="E721" t="inlineStr">
        <is>
          <t>United States</t>
        </is>
      </c>
      <c r="F721" t="inlineStr">
        <is>
          <t>USA</t>
        </is>
      </c>
      <c r="G721" t="inlineStr">
        <is>
          <t>Ibrance</t>
        </is>
      </c>
      <c r="H721" t="inlineStr">
        <is>
          <t>Hospital</t>
        </is>
      </c>
      <c r="I721" t="inlineStr">
        <is>
          <t>Private insurer</t>
        </is>
      </c>
      <c r="J721" t="inlineStr">
        <is>
          <t>Amir Khan</t>
        </is>
      </c>
      <c r="K721" s="70" t="n">
        <v>801</v>
      </c>
      <c r="L721" s="71" t="n">
        <v>4600.06</v>
      </c>
      <c r="M721" s="71" t="n">
        <v>3684648.06</v>
      </c>
      <c r="N721" s="71" t="n">
        <v>921162.02</v>
      </c>
      <c r="O721" s="71" t="n">
        <v>2763486.04</v>
      </c>
      <c r="P721" s="71" t="n">
        <v>357741.05</v>
      </c>
      <c r="Q721" s="71" t="n">
        <v>2405744.99</v>
      </c>
      <c r="R721" t="inlineStr">
        <is>
          <t>Oncology</t>
        </is>
      </c>
      <c r="S721" s="70" t="n">
        <v>568</v>
      </c>
      <c r="T721" s="71" t="n">
        <v>621413.8100000001</v>
      </c>
      <c r="U721" t="inlineStr">
        <is>
          <t>High</t>
        </is>
      </c>
      <c r="V721">
        <f>IF(AND(OR(Dashboard!$C$6="All",E721=Dashboard!$C$6),OR(Dashboard!$F$6="All",G721=Dashboard!$F$6),OR(Dashboard!$I$6="All",H721=Dashboard!$I$6)),1,0)</f>
        <v/>
      </c>
    </row>
    <row r="722">
      <c r="A722" t="inlineStr">
        <is>
          <t>PF100713</t>
        </is>
      </c>
      <c r="B722" s="68" t="n">
        <v>45740</v>
      </c>
      <c r="C722" s="69" t="n">
        <v>2025</v>
      </c>
      <c r="D722" t="inlineStr">
        <is>
          <t>Mar</t>
        </is>
      </c>
      <c r="E722" t="inlineStr">
        <is>
          <t>Emerging markets</t>
        </is>
      </c>
      <c r="F722" t="inlineStr">
        <is>
          <t>China</t>
        </is>
      </c>
      <c r="G722" t="inlineStr">
        <is>
          <t>Abrysvo</t>
        </is>
      </c>
      <c r="H722" t="inlineStr">
        <is>
          <t>Retail pharmacy</t>
        </is>
      </c>
      <c r="I722" t="inlineStr">
        <is>
          <t>Private insurer</t>
        </is>
      </c>
      <c r="J722" t="inlineStr">
        <is>
          <t>Amir Khan</t>
        </is>
      </c>
      <c r="K722" s="70" t="n">
        <v>1836</v>
      </c>
      <c r="L722" s="71" t="n">
        <v>282.26</v>
      </c>
      <c r="M722" s="71" t="n">
        <v>518229.36</v>
      </c>
      <c r="N722" s="71" t="n">
        <v>25911.47</v>
      </c>
      <c r="O722" s="71" t="n">
        <v>492317.89</v>
      </c>
      <c r="P722" s="71" t="n">
        <v>155307.07</v>
      </c>
      <c r="Q722" s="71" t="n">
        <v>337010.82</v>
      </c>
      <c r="R722" t="inlineStr">
        <is>
          <t>Vaccines</t>
        </is>
      </c>
      <c r="S722" s="70" t="n">
        <v>1408</v>
      </c>
      <c r="T722" s="71" t="n">
        <v>103262.58</v>
      </c>
      <c r="U722" t="inlineStr">
        <is>
          <t>Low</t>
        </is>
      </c>
      <c r="V722">
        <f>IF(AND(OR(Dashboard!$C$6="All",E722=Dashboard!$C$6),OR(Dashboard!$F$6="All",G722=Dashboard!$F$6),OR(Dashboard!$I$6="All",H722=Dashboard!$I$6)),1,0)</f>
        <v/>
      </c>
    </row>
    <row r="723">
      <c r="A723" t="inlineStr">
        <is>
          <t>PF100714</t>
        </is>
      </c>
      <c r="B723" s="68" t="n">
        <v>45740</v>
      </c>
      <c r="C723" s="69" t="n">
        <v>2025</v>
      </c>
      <c r="D723" t="inlineStr">
        <is>
          <t>Mar</t>
        </is>
      </c>
      <c r="E723" t="inlineStr">
        <is>
          <t>Europe</t>
        </is>
      </c>
      <c r="F723" t="inlineStr">
        <is>
          <t>France</t>
        </is>
      </c>
      <c r="G723" t="inlineStr">
        <is>
          <t>Prevnar 20</t>
        </is>
      </c>
      <c r="H723" t="inlineStr">
        <is>
          <t>Retail pharmacy</t>
        </is>
      </c>
      <c r="I723" t="inlineStr">
        <is>
          <t>Private insurer</t>
        </is>
      </c>
      <c r="J723" t="inlineStr">
        <is>
          <t>Sophie Müller</t>
        </is>
      </c>
      <c r="K723" s="70" t="n">
        <v>2249</v>
      </c>
      <c r="L723" s="71" t="n">
        <v>225.07</v>
      </c>
      <c r="M723" s="71" t="n">
        <v>506182.43</v>
      </c>
      <c r="N723" s="71" t="n">
        <v>126545.61</v>
      </c>
      <c r="O723" s="71" t="n">
        <v>379636.82</v>
      </c>
      <c r="P723" s="71" t="n">
        <v>153708.33</v>
      </c>
      <c r="Q723" s="71" t="n">
        <v>225928.49</v>
      </c>
      <c r="R723" t="inlineStr">
        <is>
          <t>Vaccines</t>
        </is>
      </c>
      <c r="S723" s="70" t="n">
        <v>2104</v>
      </c>
      <c r="T723" s="71" t="n">
        <v>80538.89</v>
      </c>
      <c r="U723" t="inlineStr">
        <is>
          <t>Low</t>
        </is>
      </c>
      <c r="V723">
        <f>IF(AND(OR(Dashboard!$C$6="All",E723=Dashboard!$C$6),OR(Dashboard!$F$6="All",G723=Dashboard!$F$6),OR(Dashboard!$I$6="All",H723=Dashboard!$I$6)),1,0)</f>
        <v/>
      </c>
    </row>
    <row r="724">
      <c r="A724" t="inlineStr">
        <is>
          <t>PF100715</t>
        </is>
      </c>
      <c r="B724" s="68" t="n">
        <v>45740</v>
      </c>
      <c r="C724" s="69" t="n">
        <v>2025</v>
      </c>
      <c r="D724" t="inlineStr">
        <is>
          <t>Mar</t>
        </is>
      </c>
      <c r="E724" t="inlineStr">
        <is>
          <t>United States</t>
        </is>
      </c>
      <c r="F724" t="inlineStr">
        <is>
          <t>USA</t>
        </is>
      </c>
      <c r="G724" t="inlineStr">
        <is>
          <t>Prevnar 20</t>
        </is>
      </c>
      <c r="H724" t="inlineStr">
        <is>
          <t>Hospital</t>
        </is>
      </c>
      <c r="I724" t="inlineStr">
        <is>
          <t>Private insurer</t>
        </is>
      </c>
      <c r="J724" t="inlineStr">
        <is>
          <t>Yuki Sato</t>
        </is>
      </c>
      <c r="K724" s="70" t="n">
        <v>2143</v>
      </c>
      <c r="L724" s="71" t="n">
        <v>381.65</v>
      </c>
      <c r="M724" s="71" t="n">
        <v>817875.95</v>
      </c>
      <c r="N724" s="71" t="n">
        <v>163575.19</v>
      </c>
      <c r="O724" s="71" t="n">
        <v>654300.76</v>
      </c>
      <c r="P724" s="71" t="n">
        <v>143041.37</v>
      </c>
      <c r="Q724" s="71" t="n">
        <v>511259.39</v>
      </c>
      <c r="R724" t="inlineStr">
        <is>
          <t>Vaccines</t>
        </is>
      </c>
      <c r="S724" s="70" t="n">
        <v>1437</v>
      </c>
      <c r="T724" s="71" t="n">
        <v>133167.88</v>
      </c>
      <c r="U724" t="inlineStr">
        <is>
          <t>Low</t>
        </is>
      </c>
      <c r="V724">
        <f>IF(AND(OR(Dashboard!$C$6="All",E724=Dashboard!$C$6),OR(Dashboard!$F$6="All",G724=Dashboard!$F$6),OR(Dashboard!$I$6="All",H724=Dashboard!$I$6)),1,0)</f>
        <v/>
      </c>
    </row>
    <row r="725">
      <c r="A725" t="inlineStr">
        <is>
          <t>PF100716</t>
        </is>
      </c>
      <c r="B725" s="68" t="n">
        <v>45740</v>
      </c>
      <c r="C725" s="69" t="n">
        <v>2025</v>
      </c>
      <c r="D725" t="inlineStr">
        <is>
          <t>Mar</t>
        </is>
      </c>
      <c r="E725" t="inlineStr">
        <is>
          <t>International developed</t>
        </is>
      </c>
      <c r="F725" t="inlineStr">
        <is>
          <t>Japan</t>
        </is>
      </c>
      <c r="G725" t="inlineStr">
        <is>
          <t>Prevnar 20</t>
        </is>
      </c>
      <c r="H725" t="inlineStr">
        <is>
          <t>Retail pharmacy</t>
        </is>
      </c>
      <c r="I725" t="inlineStr">
        <is>
          <t>Public payer</t>
        </is>
      </c>
      <c r="J725" t="inlineStr">
        <is>
          <t>Sara Rossi</t>
        </is>
      </c>
      <c r="K725" s="70" t="n">
        <v>956</v>
      </c>
      <c r="L725" s="71" t="n">
        <v>251.96</v>
      </c>
      <c r="M725" s="71" t="n">
        <v>240873.76</v>
      </c>
      <c r="N725" s="71" t="n">
        <v>60218.44</v>
      </c>
      <c r="O725" s="71" t="n">
        <v>180655.32</v>
      </c>
      <c r="P725" s="71" t="n">
        <v>64586.83</v>
      </c>
      <c r="Q725" s="71" t="n">
        <v>116068.49</v>
      </c>
      <c r="R725" t="inlineStr">
        <is>
          <t>Vaccines</t>
        </is>
      </c>
      <c r="S725" s="70" t="n">
        <v>862</v>
      </c>
      <c r="T725" s="71" t="n">
        <v>31862.07</v>
      </c>
      <c r="U725" t="inlineStr">
        <is>
          <t>Low</t>
        </is>
      </c>
      <c r="V725">
        <f>IF(AND(OR(Dashboard!$C$6="All",E725=Dashboard!$C$6),OR(Dashboard!$F$6="All",G725=Dashboard!$F$6),OR(Dashboard!$I$6="All",H725=Dashboard!$I$6)),1,0)</f>
        <v/>
      </c>
    </row>
    <row r="726">
      <c r="A726" t="inlineStr">
        <is>
          <t>PF100717</t>
        </is>
      </c>
      <c r="B726" s="68" t="n">
        <v>45740</v>
      </c>
      <c r="C726" s="69" t="n">
        <v>2025</v>
      </c>
      <c r="D726" t="inlineStr">
        <is>
          <t>Mar</t>
        </is>
      </c>
      <c r="E726" t="inlineStr">
        <is>
          <t>United States</t>
        </is>
      </c>
      <c r="F726" t="inlineStr">
        <is>
          <t>USA</t>
        </is>
      </c>
      <c r="G726" t="inlineStr">
        <is>
          <t>Prevnar 20</t>
        </is>
      </c>
      <c r="H726" t="inlineStr">
        <is>
          <t>Hospital</t>
        </is>
      </c>
      <c r="I726" t="inlineStr">
        <is>
          <t>Private insurer</t>
        </is>
      </c>
      <c r="J726" t="inlineStr">
        <is>
          <t>Shraddha Kulkarni</t>
        </is>
      </c>
      <c r="K726" s="70" t="n">
        <v>1973</v>
      </c>
      <c r="L726" s="71" t="n">
        <v>355.66</v>
      </c>
      <c r="M726" s="71" t="n">
        <v>701717.1800000001</v>
      </c>
      <c r="N726" s="71" t="n">
        <v>105257.58</v>
      </c>
      <c r="O726" s="71" t="n">
        <v>596459.6</v>
      </c>
      <c r="P726" s="71" t="n">
        <v>132974.32</v>
      </c>
      <c r="Q726" s="71" t="n">
        <v>463485.28</v>
      </c>
      <c r="R726" t="inlineStr">
        <is>
          <t>Vaccines</t>
        </is>
      </c>
      <c r="S726" s="70" t="n">
        <v>1268</v>
      </c>
      <c r="T726" s="71" t="n">
        <v>94944.48</v>
      </c>
      <c r="U726" t="inlineStr">
        <is>
          <t>Low</t>
        </is>
      </c>
      <c r="V726">
        <f>IF(AND(OR(Dashboard!$C$6="All",E726=Dashboard!$C$6),OR(Dashboard!$F$6="All",G726=Dashboard!$F$6),OR(Dashboard!$I$6="All",H726=Dashboard!$I$6)),1,0)</f>
        <v/>
      </c>
    </row>
    <row r="727">
      <c r="A727" t="inlineStr">
        <is>
          <t>PF100718</t>
        </is>
      </c>
      <c r="B727" s="68" t="n">
        <v>45740</v>
      </c>
      <c r="C727" s="69" t="n">
        <v>2025</v>
      </c>
      <c r="D727" t="inlineStr">
        <is>
          <t>Mar</t>
        </is>
      </c>
      <c r="E727" t="inlineStr">
        <is>
          <t>Europe</t>
        </is>
      </c>
      <c r="F727" t="inlineStr">
        <is>
          <t>Germany</t>
        </is>
      </c>
      <c r="G727" t="inlineStr">
        <is>
          <t>Vyndaqel</t>
        </is>
      </c>
      <c r="H727" t="inlineStr">
        <is>
          <t>Government / tender</t>
        </is>
      </c>
      <c r="I727" t="inlineStr">
        <is>
          <t>Public payer</t>
        </is>
      </c>
      <c r="J727" t="inlineStr">
        <is>
          <t>Liam O'Brien</t>
        </is>
      </c>
      <c r="K727" s="70" t="n">
        <v>1950</v>
      </c>
      <c r="L727" s="71" t="n">
        <v>5636.69</v>
      </c>
      <c r="M727" s="71" t="n">
        <v>10991545.5</v>
      </c>
      <c r="N727" s="71" t="n">
        <v>549577.28</v>
      </c>
      <c r="O727" s="71" t="n">
        <v>10441968.22</v>
      </c>
      <c r="P727" s="71" t="n">
        <v>1253555.33</v>
      </c>
      <c r="Q727" s="71" t="n">
        <v>9188412.890000001</v>
      </c>
      <c r="R727" t="inlineStr">
        <is>
          <t>Rare disease</t>
        </is>
      </c>
      <c r="S727" s="70" t="n">
        <v>1589</v>
      </c>
      <c r="T727" s="71" t="n">
        <v>2099020.93</v>
      </c>
      <c r="U727" t="inlineStr">
        <is>
          <t>Medium</t>
        </is>
      </c>
      <c r="V727">
        <f>IF(AND(OR(Dashboard!$C$6="All",E727=Dashboard!$C$6),OR(Dashboard!$F$6="All",G727=Dashboard!$F$6),OR(Dashboard!$I$6="All",H727=Dashboard!$I$6)),1,0)</f>
        <v/>
      </c>
    </row>
    <row r="728">
      <c r="A728" t="inlineStr">
        <is>
          <t>PF100719</t>
        </is>
      </c>
      <c r="B728" s="68" t="n">
        <v>45741</v>
      </c>
      <c r="C728" s="69" t="n">
        <v>2025</v>
      </c>
      <c r="D728" t="inlineStr">
        <is>
          <t>Mar</t>
        </is>
      </c>
      <c r="E728" t="inlineStr">
        <is>
          <t>Emerging markets</t>
        </is>
      </c>
      <c r="F728" t="inlineStr">
        <is>
          <t>China</t>
        </is>
      </c>
      <c r="G728" t="inlineStr">
        <is>
          <t>Xeljanz</t>
        </is>
      </c>
      <c r="H728" t="inlineStr">
        <is>
          <t>Government / tender</t>
        </is>
      </c>
      <c r="I728" t="inlineStr">
        <is>
          <t>Private insurer</t>
        </is>
      </c>
      <c r="J728" t="inlineStr">
        <is>
          <t>Liam O'Brien</t>
        </is>
      </c>
      <c r="K728" s="70" t="n">
        <v>94</v>
      </c>
      <c r="L728" s="71" t="n">
        <v>1411.8</v>
      </c>
      <c r="M728" s="71" t="n">
        <v>132709.2</v>
      </c>
      <c r="N728" s="71" t="n">
        <v>26541.84</v>
      </c>
      <c r="O728" s="71" t="n">
        <v>106167.36</v>
      </c>
      <c r="P728" s="71" t="n">
        <v>23647.44</v>
      </c>
      <c r="Q728" s="71" t="n">
        <v>82519.92</v>
      </c>
      <c r="R728" t="inlineStr">
        <is>
          <t>Inflammation</t>
        </is>
      </c>
      <c r="S728" s="70" t="n">
        <v>81</v>
      </c>
      <c r="T728" s="71" t="n">
        <v>22325.28</v>
      </c>
      <c r="U728" t="inlineStr">
        <is>
          <t>High</t>
        </is>
      </c>
      <c r="V728">
        <f>IF(AND(OR(Dashboard!$C$6="All",E728=Dashboard!$C$6),OR(Dashboard!$F$6="All",G728=Dashboard!$F$6),OR(Dashboard!$I$6="All",H728=Dashboard!$I$6)),1,0)</f>
        <v/>
      </c>
    </row>
    <row r="729">
      <c r="A729" t="inlineStr">
        <is>
          <t>PF100720</t>
        </is>
      </c>
      <c r="B729" s="68" t="n">
        <v>45741</v>
      </c>
      <c r="C729" s="69" t="n">
        <v>2025</v>
      </c>
      <c r="D729" t="inlineStr">
        <is>
          <t>Mar</t>
        </is>
      </c>
      <c r="E729" t="inlineStr">
        <is>
          <t>International developed</t>
        </is>
      </c>
      <c r="F729" t="inlineStr">
        <is>
          <t>Canada</t>
        </is>
      </c>
      <c r="G729" t="inlineStr">
        <is>
          <t>Prevnar 20</t>
        </is>
      </c>
      <c r="H729" t="inlineStr">
        <is>
          <t>Government / tender</t>
        </is>
      </c>
      <c r="I729" t="inlineStr">
        <is>
          <t>Public payer</t>
        </is>
      </c>
      <c r="J729" t="inlineStr">
        <is>
          <t>Omar Haddad</t>
        </is>
      </c>
      <c r="K729" s="70" t="n">
        <v>1675</v>
      </c>
      <c r="L729" s="71" t="n">
        <v>224.35</v>
      </c>
      <c r="M729" s="71" t="n">
        <v>375786.25</v>
      </c>
      <c r="N729" s="71" t="n">
        <v>56367.94</v>
      </c>
      <c r="O729" s="71" t="n">
        <v>319418.31</v>
      </c>
      <c r="P729" s="71" t="n">
        <v>119893.07</v>
      </c>
      <c r="Q729" s="71" t="n">
        <v>199525.24</v>
      </c>
      <c r="R729" t="inlineStr">
        <is>
          <t>Vaccines</t>
        </is>
      </c>
      <c r="S729" s="70" t="n">
        <v>1074</v>
      </c>
      <c r="T729" s="71" t="n">
        <v>50547.55</v>
      </c>
      <c r="U729" t="inlineStr">
        <is>
          <t>Low</t>
        </is>
      </c>
      <c r="V729">
        <f>IF(AND(OR(Dashboard!$C$6="All",E729=Dashboard!$C$6),OR(Dashboard!$F$6="All",G729=Dashboard!$F$6),OR(Dashboard!$I$6="All",H729=Dashboard!$I$6)),1,0)</f>
        <v/>
      </c>
    </row>
    <row r="730">
      <c r="A730" t="inlineStr">
        <is>
          <t>PF100721</t>
        </is>
      </c>
      <c r="B730" s="68" t="n">
        <v>45741</v>
      </c>
      <c r="C730" s="69" t="n">
        <v>2025</v>
      </c>
      <c r="D730" t="inlineStr">
        <is>
          <t>Mar</t>
        </is>
      </c>
      <c r="E730" t="inlineStr">
        <is>
          <t>United States</t>
        </is>
      </c>
      <c r="F730" t="inlineStr">
        <is>
          <t>USA</t>
        </is>
      </c>
      <c r="G730" t="inlineStr">
        <is>
          <t>Eliquis</t>
        </is>
      </c>
      <c r="H730" t="inlineStr">
        <is>
          <t>Hospital</t>
        </is>
      </c>
      <c r="I730" t="inlineStr">
        <is>
          <t>Self-pay</t>
        </is>
      </c>
      <c r="J730" t="inlineStr">
        <is>
          <t>Ravindra Patil</t>
        </is>
      </c>
      <c r="K730" s="70" t="n">
        <v>156</v>
      </c>
      <c r="L730" s="71" t="n">
        <v>609.01</v>
      </c>
      <c r="M730" s="71" t="n">
        <v>95005.56</v>
      </c>
      <c r="N730" s="71" t="n">
        <v>14250.83</v>
      </c>
      <c r="O730" s="71" t="n">
        <v>80754.73</v>
      </c>
      <c r="P730" s="71" t="n">
        <v>11744.97</v>
      </c>
      <c r="Q730" s="71" t="n">
        <v>69009.75999999999</v>
      </c>
      <c r="R730" t="inlineStr">
        <is>
          <t>Cardiology</t>
        </is>
      </c>
      <c r="S730" s="70" t="n">
        <v>124</v>
      </c>
      <c r="T730" s="71" t="n">
        <v>11413.74</v>
      </c>
      <c r="U730" t="inlineStr">
        <is>
          <t>High</t>
        </is>
      </c>
      <c r="V730">
        <f>IF(AND(OR(Dashboard!$C$6="All",E730=Dashboard!$C$6),OR(Dashboard!$F$6="All",G730=Dashboard!$F$6),OR(Dashboard!$I$6="All",H730=Dashboard!$I$6)),1,0)</f>
        <v/>
      </c>
    </row>
    <row r="731">
      <c r="A731" t="inlineStr">
        <is>
          <t>PF100722</t>
        </is>
      </c>
      <c r="B731" s="68" t="n">
        <v>45741</v>
      </c>
      <c r="C731" s="69" t="n">
        <v>2025</v>
      </c>
      <c r="D731" t="inlineStr">
        <is>
          <t>Mar</t>
        </is>
      </c>
      <c r="E731" t="inlineStr">
        <is>
          <t>United States</t>
        </is>
      </c>
      <c r="F731" t="inlineStr">
        <is>
          <t>USA</t>
        </is>
      </c>
      <c r="G731" t="inlineStr">
        <is>
          <t>Eliquis</t>
        </is>
      </c>
      <c r="H731" t="inlineStr">
        <is>
          <t>Retail pharmacy</t>
        </is>
      </c>
      <c r="I731" t="inlineStr">
        <is>
          <t>Public payer</t>
        </is>
      </c>
      <c r="J731" t="inlineStr">
        <is>
          <t>Liam O'Brien</t>
        </is>
      </c>
      <c r="K731" s="70" t="n">
        <v>2340</v>
      </c>
      <c r="L731" s="71" t="n">
        <v>670.48</v>
      </c>
      <c r="M731" s="71" t="n">
        <v>1568923.2</v>
      </c>
      <c r="N731" s="71" t="n">
        <v>313784.64</v>
      </c>
      <c r="O731" s="71" t="n">
        <v>1255138.56</v>
      </c>
      <c r="P731" s="71" t="n">
        <v>183060.87</v>
      </c>
      <c r="Q731" s="71" t="n">
        <v>1072077.69</v>
      </c>
      <c r="R731" t="inlineStr">
        <is>
          <t>Cardiology</t>
        </is>
      </c>
      <c r="S731" s="70" t="n">
        <v>2088</v>
      </c>
      <c r="T731" s="71" t="n">
        <v>335697.42</v>
      </c>
      <c r="U731" t="inlineStr">
        <is>
          <t>High</t>
        </is>
      </c>
      <c r="V731">
        <f>IF(AND(OR(Dashboard!$C$6="All",E731=Dashboard!$C$6),OR(Dashboard!$F$6="All",G731=Dashboard!$F$6),OR(Dashboard!$I$6="All",H731=Dashboard!$I$6)),1,0)</f>
        <v/>
      </c>
    </row>
    <row r="732">
      <c r="A732" t="inlineStr">
        <is>
          <t>PF100723</t>
        </is>
      </c>
      <c r="B732" s="68" t="n">
        <v>45741</v>
      </c>
      <c r="C732" s="69" t="n">
        <v>2025</v>
      </c>
      <c r="D732" t="inlineStr">
        <is>
          <t>Mar</t>
        </is>
      </c>
      <c r="E732" t="inlineStr">
        <is>
          <t>United States</t>
        </is>
      </c>
      <c r="F732" t="inlineStr">
        <is>
          <t>USA</t>
        </is>
      </c>
      <c r="G732" t="inlineStr">
        <is>
          <t>Eliquis</t>
        </is>
      </c>
      <c r="H732" t="inlineStr">
        <is>
          <t>Government / tender</t>
        </is>
      </c>
      <c r="I732" t="inlineStr">
        <is>
          <t>Public payer</t>
        </is>
      </c>
      <c r="J732" t="inlineStr">
        <is>
          <t>Sara Rossi</t>
        </is>
      </c>
      <c r="K732" s="70" t="n">
        <v>2834</v>
      </c>
      <c r="L732" s="71" t="n">
        <v>635.47</v>
      </c>
      <c r="M732" s="71" t="n">
        <v>1800921.98</v>
      </c>
      <c r="N732" s="71" t="n">
        <v>540276.59</v>
      </c>
      <c r="O732" s="71" t="n">
        <v>1260645.39</v>
      </c>
      <c r="P732" s="71" t="n">
        <v>220753.38</v>
      </c>
      <c r="Q732" s="71" t="n">
        <v>1039892.01</v>
      </c>
      <c r="R732" t="inlineStr">
        <is>
          <t>Cardiology</t>
        </is>
      </c>
      <c r="S732" s="70" t="n">
        <v>2090</v>
      </c>
      <c r="T732" s="71" t="n">
        <v>373579.25</v>
      </c>
      <c r="U732" t="inlineStr">
        <is>
          <t>High</t>
        </is>
      </c>
      <c r="V732">
        <f>IF(AND(OR(Dashboard!$C$6="All",E732=Dashboard!$C$6),OR(Dashboard!$F$6="All",G732=Dashboard!$F$6),OR(Dashboard!$I$6="All",H732=Dashboard!$I$6)),1,0)</f>
        <v/>
      </c>
    </row>
    <row r="733">
      <c r="A733" t="inlineStr">
        <is>
          <t>PF100724</t>
        </is>
      </c>
      <c r="B733" s="68" t="n">
        <v>45741</v>
      </c>
      <c r="C733" s="69" t="n">
        <v>2025</v>
      </c>
      <c r="D733" t="inlineStr">
        <is>
          <t>Mar</t>
        </is>
      </c>
      <c r="E733" t="inlineStr">
        <is>
          <t>International developed</t>
        </is>
      </c>
      <c r="F733" t="inlineStr">
        <is>
          <t>Australia</t>
        </is>
      </c>
      <c r="G733" t="inlineStr">
        <is>
          <t>Abrysvo</t>
        </is>
      </c>
      <c r="H733" t="inlineStr">
        <is>
          <t>Hospital</t>
        </is>
      </c>
      <c r="I733" t="inlineStr">
        <is>
          <t>Public payer</t>
        </is>
      </c>
      <c r="J733" t="inlineStr">
        <is>
          <t>Noah Smith</t>
        </is>
      </c>
      <c r="K733" s="70" t="n">
        <v>2304</v>
      </c>
      <c r="L733" s="71" t="n">
        <v>301.03</v>
      </c>
      <c r="M733" s="71" t="n">
        <v>693573.12</v>
      </c>
      <c r="N733" s="71" t="n">
        <v>69357.31</v>
      </c>
      <c r="O733" s="71" t="n">
        <v>624215.8100000001</v>
      </c>
      <c r="P733" s="71" t="n">
        <v>185902.04</v>
      </c>
      <c r="Q733" s="71" t="n">
        <v>438313.77</v>
      </c>
      <c r="R733" t="inlineStr">
        <is>
          <t>Vaccines</t>
        </is>
      </c>
      <c r="S733" s="70" t="n">
        <v>1683</v>
      </c>
      <c r="T733" s="71" t="n">
        <v>99655.60000000001</v>
      </c>
      <c r="U733" t="inlineStr">
        <is>
          <t>Low</t>
        </is>
      </c>
      <c r="V733">
        <f>IF(AND(OR(Dashboard!$C$6="All",E733=Dashboard!$C$6),OR(Dashboard!$F$6="All",G733=Dashboard!$F$6),OR(Dashboard!$I$6="All",H733=Dashboard!$I$6)),1,0)</f>
        <v/>
      </c>
    </row>
    <row r="734">
      <c r="A734" t="inlineStr">
        <is>
          <t>PF100725</t>
        </is>
      </c>
      <c r="B734" s="68" t="n">
        <v>45741</v>
      </c>
      <c r="C734" s="69" t="n">
        <v>2025</v>
      </c>
      <c r="D734" t="inlineStr">
        <is>
          <t>Mar</t>
        </is>
      </c>
      <c r="E734" t="inlineStr">
        <is>
          <t>United States</t>
        </is>
      </c>
      <c r="F734" t="inlineStr">
        <is>
          <t>USA</t>
        </is>
      </c>
      <c r="G734" t="inlineStr">
        <is>
          <t>Prevnar 20</t>
        </is>
      </c>
      <c r="H734" t="inlineStr">
        <is>
          <t>Retail pharmacy</t>
        </is>
      </c>
      <c r="I734" t="inlineStr">
        <is>
          <t>Public payer</t>
        </is>
      </c>
      <c r="J734" t="inlineStr">
        <is>
          <t>Sara Rossi</t>
        </is>
      </c>
      <c r="K734" s="70" t="n">
        <v>2122</v>
      </c>
      <c r="L734" s="71" t="n">
        <v>376.69</v>
      </c>
      <c r="M734" s="71" t="n">
        <v>799336.1800000001</v>
      </c>
      <c r="N734" s="71" t="n">
        <v>119900.43</v>
      </c>
      <c r="O734" s="71" t="n">
        <v>679435.75</v>
      </c>
      <c r="P734" s="71" t="n">
        <v>147306.06</v>
      </c>
      <c r="Q734" s="71" t="n">
        <v>532129.6899999999</v>
      </c>
      <c r="R734" t="inlineStr">
        <is>
          <t>Vaccines</t>
        </is>
      </c>
      <c r="S734" s="70" t="n">
        <v>1393</v>
      </c>
      <c r="T734" s="71" t="n">
        <v>175067.71</v>
      </c>
      <c r="U734" t="inlineStr">
        <is>
          <t>Low</t>
        </is>
      </c>
      <c r="V734">
        <f>IF(AND(OR(Dashboard!$C$6="All",E734=Dashboard!$C$6),OR(Dashboard!$F$6="All",G734=Dashboard!$F$6),OR(Dashboard!$I$6="All",H734=Dashboard!$I$6)),1,0)</f>
        <v/>
      </c>
    </row>
    <row r="735">
      <c r="A735" t="inlineStr">
        <is>
          <t>PF100726</t>
        </is>
      </c>
      <c r="B735" s="68" t="n">
        <v>45742</v>
      </c>
      <c r="C735" s="69" t="n">
        <v>2025</v>
      </c>
      <c r="D735" t="inlineStr">
        <is>
          <t>Mar</t>
        </is>
      </c>
      <c r="E735" t="inlineStr">
        <is>
          <t>International developed</t>
        </is>
      </c>
      <c r="F735" t="inlineStr">
        <is>
          <t>Australia</t>
        </is>
      </c>
      <c r="G735" t="inlineStr">
        <is>
          <t>Abrysvo</t>
        </is>
      </c>
      <c r="H735" t="inlineStr">
        <is>
          <t>Retail pharmacy</t>
        </is>
      </c>
      <c r="I735" t="inlineStr">
        <is>
          <t>Public payer</t>
        </is>
      </c>
      <c r="J735" t="inlineStr">
        <is>
          <t>Mei Lin</t>
        </is>
      </c>
      <c r="K735" s="70" t="n">
        <v>906</v>
      </c>
      <c r="L735" s="71" t="n">
        <v>259.27</v>
      </c>
      <c r="M735" s="71" t="n">
        <v>234898.62</v>
      </c>
      <c r="N735" s="71" t="n">
        <v>23489.86</v>
      </c>
      <c r="O735" s="71" t="n">
        <v>211408.76</v>
      </c>
      <c r="P735" s="71" t="n">
        <v>75903.75</v>
      </c>
      <c r="Q735" s="71" t="n">
        <v>135505.01</v>
      </c>
      <c r="R735" t="inlineStr">
        <is>
          <t>Vaccines</t>
        </is>
      </c>
      <c r="S735" s="70" t="n">
        <v>689</v>
      </c>
      <c r="T735" s="71" t="n">
        <v>40627.4</v>
      </c>
      <c r="U735" t="inlineStr">
        <is>
          <t>Low</t>
        </is>
      </c>
      <c r="V735">
        <f>IF(AND(OR(Dashboard!$C$6="All",E735=Dashboard!$C$6),OR(Dashboard!$F$6="All",G735=Dashboard!$F$6),OR(Dashboard!$I$6="All",H735=Dashboard!$I$6)),1,0)</f>
        <v/>
      </c>
    </row>
    <row r="736">
      <c r="A736" t="inlineStr">
        <is>
          <t>PF100727</t>
        </is>
      </c>
      <c r="B736" s="68" t="n">
        <v>45742</v>
      </c>
      <c r="C736" s="69" t="n">
        <v>2025</v>
      </c>
      <c r="D736" t="inlineStr">
        <is>
          <t>Mar</t>
        </is>
      </c>
      <c r="E736" t="inlineStr">
        <is>
          <t>United States</t>
        </is>
      </c>
      <c r="F736" t="inlineStr">
        <is>
          <t>USA</t>
        </is>
      </c>
      <c r="G736" t="inlineStr">
        <is>
          <t>Prevnar 20</t>
        </is>
      </c>
      <c r="H736" t="inlineStr">
        <is>
          <t>Retail pharmacy</t>
        </is>
      </c>
      <c r="I736" t="inlineStr">
        <is>
          <t>Public payer</t>
        </is>
      </c>
      <c r="J736" t="inlineStr">
        <is>
          <t>Olivia Brown</t>
        </is>
      </c>
      <c r="K736" s="70" t="n">
        <v>740</v>
      </c>
      <c r="L736" s="71" t="n">
        <v>362.8</v>
      </c>
      <c r="M736" s="71" t="n">
        <v>268472</v>
      </c>
      <c r="N736" s="71" t="n">
        <v>67118</v>
      </c>
      <c r="O736" s="71" t="n">
        <v>201354</v>
      </c>
      <c r="P736" s="71" t="n">
        <v>52481.56</v>
      </c>
      <c r="Q736" s="71" t="n">
        <v>148872.44</v>
      </c>
      <c r="R736" t="inlineStr">
        <is>
          <t>Vaccines</t>
        </is>
      </c>
      <c r="S736" s="70" t="n">
        <v>468</v>
      </c>
      <c r="T736" s="71" t="n">
        <v>57860.16</v>
      </c>
      <c r="U736" t="inlineStr">
        <is>
          <t>Low</t>
        </is>
      </c>
      <c r="V736">
        <f>IF(AND(OR(Dashboard!$C$6="All",E736=Dashboard!$C$6),OR(Dashboard!$F$6="All",G736=Dashboard!$F$6),OR(Dashboard!$I$6="All",H736=Dashboard!$I$6)),1,0)</f>
        <v/>
      </c>
    </row>
    <row r="737">
      <c r="A737" t="inlineStr">
        <is>
          <t>PF100728</t>
        </is>
      </c>
      <c r="B737" s="68" t="n">
        <v>45742</v>
      </c>
      <c r="C737" s="69" t="n">
        <v>2025</v>
      </c>
      <c r="D737" t="inlineStr">
        <is>
          <t>Mar</t>
        </is>
      </c>
      <c r="E737" t="inlineStr">
        <is>
          <t>United States</t>
        </is>
      </c>
      <c r="F737" t="inlineStr">
        <is>
          <t>USA</t>
        </is>
      </c>
      <c r="G737" t="inlineStr">
        <is>
          <t>Eliquis</t>
        </is>
      </c>
      <c r="H737" t="inlineStr">
        <is>
          <t>Retail pharmacy</t>
        </is>
      </c>
      <c r="I737" t="inlineStr">
        <is>
          <t>Self-pay</t>
        </is>
      </c>
      <c r="J737" t="inlineStr">
        <is>
          <t>Wei Chen</t>
        </is>
      </c>
      <c r="K737" s="70" t="n">
        <v>877</v>
      </c>
      <c r="L737" s="71" t="n">
        <v>704.66</v>
      </c>
      <c r="M737" s="71" t="n">
        <v>617986.8199999999</v>
      </c>
      <c r="N737" s="71" t="n">
        <v>154496.7</v>
      </c>
      <c r="O737" s="71" t="n">
        <v>463490.12</v>
      </c>
      <c r="P737" s="71" t="n">
        <v>65800.35000000001</v>
      </c>
      <c r="Q737" s="71" t="n">
        <v>397689.77</v>
      </c>
      <c r="R737" t="inlineStr">
        <is>
          <t>Cardiology</t>
        </is>
      </c>
      <c r="S737" s="70" t="n">
        <v>799</v>
      </c>
      <c r="T737" s="71" t="n">
        <v>91909.64999999999</v>
      </c>
      <c r="U737" t="inlineStr">
        <is>
          <t>High</t>
        </is>
      </c>
      <c r="V737">
        <f>IF(AND(OR(Dashboard!$C$6="All",E737=Dashboard!$C$6),OR(Dashboard!$F$6="All",G737=Dashboard!$F$6),OR(Dashboard!$I$6="All",H737=Dashboard!$I$6)),1,0)</f>
        <v/>
      </c>
    </row>
    <row r="738">
      <c r="A738" t="inlineStr">
        <is>
          <t>PF100729</t>
        </is>
      </c>
      <c r="B738" s="68" t="n">
        <v>45742</v>
      </c>
      <c r="C738" s="69" t="n">
        <v>2025</v>
      </c>
      <c r="D738" t="inlineStr">
        <is>
          <t>Mar</t>
        </is>
      </c>
      <c r="E738" t="inlineStr">
        <is>
          <t>United States</t>
        </is>
      </c>
      <c r="F738" t="inlineStr">
        <is>
          <t>USA</t>
        </is>
      </c>
      <c r="G738" t="inlineStr">
        <is>
          <t>Paxlovid</t>
        </is>
      </c>
      <c r="H738" t="inlineStr">
        <is>
          <t>Government / tender</t>
        </is>
      </c>
      <c r="I738" t="inlineStr">
        <is>
          <t>Public payer</t>
        </is>
      </c>
      <c r="J738" t="inlineStr">
        <is>
          <t>Ana Costa</t>
        </is>
      </c>
      <c r="K738" s="70" t="n">
        <v>272</v>
      </c>
      <c r="L738" s="71" t="n">
        <v>1600.53</v>
      </c>
      <c r="M738" s="71" t="n">
        <v>435344.16</v>
      </c>
      <c r="N738" s="71" t="n">
        <v>108836.04</v>
      </c>
      <c r="O738" s="71" t="n">
        <v>326508.12</v>
      </c>
      <c r="P738" s="71" t="n">
        <v>74175.48</v>
      </c>
      <c r="Q738" s="71" t="n">
        <v>252332.64</v>
      </c>
      <c r="R738" t="inlineStr">
        <is>
          <t>Antiviral</t>
        </is>
      </c>
      <c r="S738" s="70" t="n">
        <v>255</v>
      </c>
      <c r="T738" s="71" t="n">
        <v>84725.7</v>
      </c>
      <c r="U738" t="inlineStr">
        <is>
          <t>Low</t>
        </is>
      </c>
      <c r="V738">
        <f>IF(AND(OR(Dashboard!$C$6="All",E738=Dashboard!$C$6),OR(Dashboard!$F$6="All",G738=Dashboard!$F$6),OR(Dashboard!$I$6="All",H738=Dashboard!$I$6)),1,0)</f>
        <v/>
      </c>
    </row>
    <row r="739">
      <c r="A739" t="inlineStr">
        <is>
          <t>PF100730</t>
        </is>
      </c>
      <c r="B739" s="68" t="n">
        <v>45742</v>
      </c>
      <c r="C739" s="69" t="n">
        <v>2025</v>
      </c>
      <c r="D739" t="inlineStr">
        <is>
          <t>Mar</t>
        </is>
      </c>
      <c r="E739" t="inlineStr">
        <is>
          <t>Emerging markets</t>
        </is>
      </c>
      <c r="F739" t="inlineStr">
        <is>
          <t>Brazil</t>
        </is>
      </c>
      <c r="G739" t="inlineStr">
        <is>
          <t>Comirnaty</t>
        </is>
      </c>
      <c r="H739" t="inlineStr">
        <is>
          <t>Government / tender</t>
        </is>
      </c>
      <c r="I739" t="inlineStr">
        <is>
          <t>Self-pay</t>
        </is>
      </c>
      <c r="J739" t="inlineStr">
        <is>
          <t>Yuki Sato</t>
        </is>
      </c>
      <c r="K739" s="70" t="n">
        <v>2533</v>
      </c>
      <c r="L739" s="71" t="n">
        <v>111.67</v>
      </c>
      <c r="M739" s="71" t="n">
        <v>282860.11</v>
      </c>
      <c r="N739" s="71" t="n">
        <v>56572.02</v>
      </c>
      <c r="O739" s="71" t="n">
        <v>226288.09</v>
      </c>
      <c r="P739" s="71" t="n">
        <v>96716.53</v>
      </c>
      <c r="Q739" s="71" t="n">
        <v>129571.56</v>
      </c>
      <c r="R739" t="inlineStr">
        <is>
          <t>Vaccines</t>
        </is>
      </c>
      <c r="S739" s="70" t="n">
        <v>2138</v>
      </c>
      <c r="T739" s="71" t="n">
        <v>51301.26</v>
      </c>
      <c r="U739" t="inlineStr">
        <is>
          <t>Low</t>
        </is>
      </c>
      <c r="V739">
        <f>IF(AND(OR(Dashboard!$C$6="All",E739=Dashboard!$C$6),OR(Dashboard!$F$6="All",G739=Dashboard!$F$6),OR(Dashboard!$I$6="All",H739=Dashboard!$I$6)),1,0)</f>
        <v/>
      </c>
    </row>
    <row r="740">
      <c r="A740" t="inlineStr">
        <is>
          <t>PF100731</t>
        </is>
      </c>
      <c r="B740" s="68" t="n">
        <v>45742</v>
      </c>
      <c r="C740" s="69" t="n">
        <v>2025</v>
      </c>
      <c r="D740" t="inlineStr">
        <is>
          <t>Mar</t>
        </is>
      </c>
      <c r="E740" t="inlineStr">
        <is>
          <t>Emerging markets</t>
        </is>
      </c>
      <c r="F740" t="inlineStr">
        <is>
          <t>Mexico</t>
        </is>
      </c>
      <c r="G740" t="inlineStr">
        <is>
          <t>Comirnaty</t>
        </is>
      </c>
      <c r="H740" t="inlineStr">
        <is>
          <t>Retail pharmacy</t>
        </is>
      </c>
      <c r="I740" t="inlineStr">
        <is>
          <t>Private insurer</t>
        </is>
      </c>
      <c r="J740" t="inlineStr">
        <is>
          <t>Fatima Al-Saud</t>
        </is>
      </c>
      <c r="K740" s="70" t="n">
        <v>583</v>
      </c>
      <c r="L740" s="71" t="n">
        <v>120.2</v>
      </c>
      <c r="M740" s="71" t="n">
        <v>70076.60000000001</v>
      </c>
      <c r="N740" s="71" t="n">
        <v>17519.15</v>
      </c>
      <c r="O740" s="71" t="n">
        <v>52557.45</v>
      </c>
      <c r="P740" s="71" t="n">
        <v>21580.71</v>
      </c>
      <c r="Q740" s="71" t="n">
        <v>30976.74</v>
      </c>
      <c r="R740" t="inlineStr">
        <is>
          <t>Vaccines</t>
        </is>
      </c>
      <c r="S740" s="70" t="n">
        <v>518</v>
      </c>
      <c r="T740" s="71" t="n">
        <v>10494.28</v>
      </c>
      <c r="U740" t="inlineStr">
        <is>
          <t>Low</t>
        </is>
      </c>
      <c r="V740">
        <f>IF(AND(OR(Dashboard!$C$6="All",E740=Dashboard!$C$6),OR(Dashboard!$F$6="All",G740=Dashboard!$F$6),OR(Dashboard!$I$6="All",H740=Dashboard!$I$6)),1,0)</f>
        <v/>
      </c>
    </row>
    <row r="741">
      <c r="A741" t="inlineStr">
        <is>
          <t>PF100732</t>
        </is>
      </c>
      <c r="B741" s="68" t="n">
        <v>45742</v>
      </c>
      <c r="C741" s="69" t="n">
        <v>2025</v>
      </c>
      <c r="D741" t="inlineStr">
        <is>
          <t>Mar</t>
        </is>
      </c>
      <c r="E741" t="inlineStr">
        <is>
          <t>International developed</t>
        </is>
      </c>
      <c r="F741" t="inlineStr">
        <is>
          <t>Australia</t>
        </is>
      </c>
      <c r="G741" t="inlineStr">
        <is>
          <t>Abrysvo</t>
        </is>
      </c>
      <c r="H741" t="inlineStr">
        <is>
          <t>Government / tender</t>
        </is>
      </c>
      <c r="I741" t="inlineStr">
        <is>
          <t>Self-pay</t>
        </is>
      </c>
      <c r="J741" t="inlineStr">
        <is>
          <t>Noah Smith</t>
        </is>
      </c>
      <c r="K741" s="70" t="n">
        <v>1492</v>
      </c>
      <c r="L741" s="71" t="n">
        <v>284.63</v>
      </c>
      <c r="M741" s="71" t="n">
        <v>424667.96</v>
      </c>
      <c r="N741" s="71" t="n">
        <v>21233.4</v>
      </c>
      <c r="O741" s="71" t="n">
        <v>403434.56</v>
      </c>
      <c r="P741" s="71" t="n">
        <v>121796.79</v>
      </c>
      <c r="Q741" s="71" t="n">
        <v>281637.77</v>
      </c>
      <c r="R741" t="inlineStr">
        <is>
          <t>Vaccines</t>
        </is>
      </c>
      <c r="S741" s="70" t="n">
        <v>1082</v>
      </c>
      <c r="T741" s="71" t="n">
        <v>73083.06</v>
      </c>
      <c r="U741" t="inlineStr">
        <is>
          <t>Low</t>
        </is>
      </c>
      <c r="V741">
        <f>IF(AND(OR(Dashboard!$C$6="All",E741=Dashboard!$C$6),OR(Dashboard!$F$6="All",G741=Dashboard!$F$6),OR(Dashboard!$I$6="All",H741=Dashboard!$I$6)),1,0)</f>
        <v/>
      </c>
    </row>
    <row r="742">
      <c r="A742" t="inlineStr">
        <is>
          <t>PF100733</t>
        </is>
      </c>
      <c r="B742" s="68" t="n">
        <v>45742</v>
      </c>
      <c r="C742" s="69" t="n">
        <v>2025</v>
      </c>
      <c r="D742" t="inlineStr">
        <is>
          <t>Mar</t>
        </is>
      </c>
      <c r="E742" t="inlineStr">
        <is>
          <t>Europe</t>
        </is>
      </c>
      <c r="F742" t="inlineStr">
        <is>
          <t>Germany</t>
        </is>
      </c>
      <c r="G742" t="inlineStr">
        <is>
          <t>Comirnaty</t>
        </is>
      </c>
      <c r="H742" t="inlineStr">
        <is>
          <t>Government / tender</t>
        </is>
      </c>
      <c r="I742" t="inlineStr">
        <is>
          <t>Private insurer</t>
        </is>
      </c>
      <c r="J742" t="inlineStr">
        <is>
          <t>Hiroshi Tanaka</t>
        </is>
      </c>
      <c r="K742" s="70" t="n">
        <v>1329</v>
      </c>
      <c r="L742" s="71" t="n">
        <v>104.9</v>
      </c>
      <c r="M742" s="71" t="n">
        <v>139412.1</v>
      </c>
      <c r="N742" s="71" t="n">
        <v>13941.21</v>
      </c>
      <c r="O742" s="71" t="n">
        <v>125470.89</v>
      </c>
      <c r="P742" s="71" t="n">
        <v>50420.34</v>
      </c>
      <c r="Q742" s="71" t="n">
        <v>75050.55</v>
      </c>
      <c r="R742" t="inlineStr">
        <is>
          <t>Vaccines</t>
        </is>
      </c>
      <c r="S742" s="70" t="n">
        <v>1246</v>
      </c>
      <c r="T742" s="71" t="n">
        <v>22924.84</v>
      </c>
      <c r="U742" t="inlineStr">
        <is>
          <t>Low</t>
        </is>
      </c>
      <c r="V742">
        <f>IF(AND(OR(Dashboard!$C$6="All",E742=Dashboard!$C$6),OR(Dashboard!$F$6="All",G742=Dashboard!$F$6),OR(Dashboard!$I$6="All",H742=Dashboard!$I$6)),1,0)</f>
        <v/>
      </c>
    </row>
    <row r="743">
      <c r="A743" t="inlineStr">
        <is>
          <t>PF100734</t>
        </is>
      </c>
      <c r="B743" s="68" t="n">
        <v>45742</v>
      </c>
      <c r="C743" s="69" t="n">
        <v>2025</v>
      </c>
      <c r="D743" t="inlineStr">
        <is>
          <t>Mar</t>
        </is>
      </c>
      <c r="E743" t="inlineStr">
        <is>
          <t>International developed</t>
        </is>
      </c>
      <c r="F743" t="inlineStr">
        <is>
          <t>Japan</t>
        </is>
      </c>
      <c r="G743" t="inlineStr">
        <is>
          <t>Eliquis</t>
        </is>
      </c>
      <c r="H743" t="inlineStr">
        <is>
          <t>Retail pharmacy</t>
        </is>
      </c>
      <c r="I743" t="inlineStr">
        <is>
          <t>Public payer</t>
        </is>
      </c>
      <c r="J743" t="inlineStr">
        <is>
          <t>Sophie Müller</t>
        </is>
      </c>
      <c r="K743" s="70" t="n">
        <v>223</v>
      </c>
      <c r="L743" s="71" t="n">
        <v>401.28</v>
      </c>
      <c r="M743" s="71" t="n">
        <v>89485.44</v>
      </c>
      <c r="N743" s="71" t="n">
        <v>22371.36</v>
      </c>
      <c r="O743" s="71" t="n">
        <v>67114.08</v>
      </c>
      <c r="P743" s="71" t="n">
        <v>16414.56</v>
      </c>
      <c r="Q743" s="71" t="n">
        <v>50699.52</v>
      </c>
      <c r="R743" t="inlineStr">
        <is>
          <t>Cardiology</t>
        </is>
      </c>
      <c r="S743" s="70" t="n">
        <v>175</v>
      </c>
      <c r="T743" s="71" t="n">
        <v>14842.86</v>
      </c>
      <c r="U743" t="inlineStr">
        <is>
          <t>High</t>
        </is>
      </c>
      <c r="V743">
        <f>IF(AND(OR(Dashboard!$C$6="All",E743=Dashboard!$C$6),OR(Dashboard!$F$6="All",G743=Dashboard!$F$6),OR(Dashboard!$I$6="All",H743=Dashboard!$I$6)),1,0)</f>
        <v/>
      </c>
    </row>
    <row r="744">
      <c r="A744" t="inlineStr">
        <is>
          <t>PF100735</t>
        </is>
      </c>
      <c r="B744" s="68" t="n">
        <v>45742</v>
      </c>
      <c r="C744" s="69" t="n">
        <v>2025</v>
      </c>
      <c r="D744" t="inlineStr">
        <is>
          <t>Mar</t>
        </is>
      </c>
      <c r="E744" t="inlineStr">
        <is>
          <t>United States</t>
        </is>
      </c>
      <c r="F744" t="inlineStr">
        <is>
          <t>USA</t>
        </is>
      </c>
      <c r="G744" t="inlineStr">
        <is>
          <t>Eliquis</t>
        </is>
      </c>
      <c r="H744" t="inlineStr">
        <is>
          <t>Hospital</t>
        </is>
      </c>
      <c r="I744" t="inlineStr">
        <is>
          <t>Private insurer</t>
        </is>
      </c>
      <c r="J744" t="inlineStr">
        <is>
          <t>Olivia Brown</t>
        </is>
      </c>
      <c r="K744" s="70" t="n">
        <v>662</v>
      </c>
      <c r="L744" s="71" t="n">
        <v>648.5599999999999</v>
      </c>
      <c r="M744" s="71" t="n">
        <v>429346.72</v>
      </c>
      <c r="N744" s="71" t="n">
        <v>85869.34</v>
      </c>
      <c r="O744" s="71" t="n">
        <v>343477.38</v>
      </c>
      <c r="P744" s="71" t="n">
        <v>51383.59</v>
      </c>
      <c r="Q744" s="71" t="n">
        <v>292093.79</v>
      </c>
      <c r="R744" t="inlineStr">
        <is>
          <t>Cardiology</t>
        </is>
      </c>
      <c r="S744" s="70" t="n">
        <v>477</v>
      </c>
      <c r="T744" s="71" t="n">
        <v>77223.96000000001</v>
      </c>
      <c r="U744" t="inlineStr">
        <is>
          <t>High</t>
        </is>
      </c>
      <c r="V744">
        <f>IF(AND(OR(Dashboard!$C$6="All",E744=Dashboard!$C$6),OR(Dashboard!$F$6="All",G744=Dashboard!$F$6),OR(Dashboard!$I$6="All",H744=Dashboard!$I$6)),1,0)</f>
        <v/>
      </c>
    </row>
    <row r="745">
      <c r="A745" t="inlineStr">
        <is>
          <t>PF100736</t>
        </is>
      </c>
      <c r="B745" s="68" t="n">
        <v>45743</v>
      </c>
      <c r="C745" s="69" t="n">
        <v>2025</v>
      </c>
      <c r="D745" t="inlineStr">
        <is>
          <t>Mar</t>
        </is>
      </c>
      <c r="E745" t="inlineStr">
        <is>
          <t>Europe</t>
        </is>
      </c>
      <c r="F745" t="inlineStr">
        <is>
          <t>UK</t>
        </is>
      </c>
      <c r="G745" t="inlineStr">
        <is>
          <t>Eliquis</t>
        </is>
      </c>
      <c r="H745" t="inlineStr">
        <is>
          <t>Hospital</t>
        </is>
      </c>
      <c r="I745" t="inlineStr">
        <is>
          <t>Public payer</t>
        </is>
      </c>
      <c r="J745" t="inlineStr">
        <is>
          <t>Liam O'Brien</t>
        </is>
      </c>
      <c r="K745" s="70" t="n">
        <v>1657</v>
      </c>
      <c r="L745" s="71" t="n">
        <v>385.14</v>
      </c>
      <c r="M745" s="71" t="n">
        <v>638176.98</v>
      </c>
      <c r="N745" s="71" t="n">
        <v>63817.7</v>
      </c>
      <c r="O745" s="71" t="n">
        <v>574359.28</v>
      </c>
      <c r="P745" s="71" t="n">
        <v>121732.49</v>
      </c>
      <c r="Q745" s="71" t="n">
        <v>452626.79</v>
      </c>
      <c r="R745" t="inlineStr">
        <is>
          <t>Cardiology</t>
        </is>
      </c>
      <c r="S745" s="70" t="n">
        <v>1334</v>
      </c>
      <c r="T745" s="71" t="n">
        <v>130834.46</v>
      </c>
      <c r="U745" t="inlineStr">
        <is>
          <t>High</t>
        </is>
      </c>
      <c r="V745">
        <f>IF(AND(OR(Dashboard!$C$6="All",E745=Dashboard!$C$6),OR(Dashboard!$F$6="All",G745=Dashboard!$F$6),OR(Dashboard!$I$6="All",H745=Dashboard!$I$6)),1,0)</f>
        <v/>
      </c>
    </row>
    <row r="746">
      <c r="A746" t="inlineStr">
        <is>
          <t>PF100737</t>
        </is>
      </c>
      <c r="B746" s="68" t="n">
        <v>45743</v>
      </c>
      <c r="C746" s="69" t="n">
        <v>2025</v>
      </c>
      <c r="D746" t="inlineStr">
        <is>
          <t>Mar</t>
        </is>
      </c>
      <c r="E746" t="inlineStr">
        <is>
          <t>International developed</t>
        </is>
      </c>
      <c r="F746" t="inlineStr">
        <is>
          <t>Japan</t>
        </is>
      </c>
      <c r="G746" t="inlineStr">
        <is>
          <t>Eliquis</t>
        </is>
      </c>
      <c r="H746" t="inlineStr">
        <is>
          <t>Retail pharmacy</t>
        </is>
      </c>
      <c r="I746" t="inlineStr">
        <is>
          <t>Self-pay</t>
        </is>
      </c>
      <c r="J746" t="inlineStr">
        <is>
          <t>Noah Smith</t>
        </is>
      </c>
      <c r="K746" s="70" t="n">
        <v>1865</v>
      </c>
      <c r="L746" s="71" t="n">
        <v>378.25</v>
      </c>
      <c r="M746" s="71" t="n">
        <v>705436.25</v>
      </c>
      <c r="N746" s="71" t="n">
        <v>141087.25</v>
      </c>
      <c r="O746" s="71" t="n">
        <v>564349</v>
      </c>
      <c r="P746" s="71" t="n">
        <v>144065.78</v>
      </c>
      <c r="Q746" s="71" t="n">
        <v>420283.22</v>
      </c>
      <c r="R746" t="inlineStr">
        <is>
          <t>Cardiology</t>
        </is>
      </c>
      <c r="S746" s="70" t="n">
        <v>1525</v>
      </c>
      <c r="T746" s="71" t="n">
        <v>144139.46</v>
      </c>
      <c r="U746" t="inlineStr">
        <is>
          <t>High</t>
        </is>
      </c>
      <c r="V746">
        <f>IF(AND(OR(Dashboard!$C$6="All",E746=Dashboard!$C$6),OR(Dashboard!$F$6="All",G746=Dashboard!$F$6),OR(Dashboard!$I$6="All",H746=Dashboard!$I$6)),1,0)</f>
        <v/>
      </c>
    </row>
    <row r="747">
      <c r="A747" t="inlineStr">
        <is>
          <t>PF100738</t>
        </is>
      </c>
      <c r="B747" s="68" t="n">
        <v>45743</v>
      </c>
      <c r="C747" s="69" t="n">
        <v>2025</v>
      </c>
      <c r="D747" t="inlineStr">
        <is>
          <t>Mar</t>
        </is>
      </c>
      <c r="E747" t="inlineStr">
        <is>
          <t>United States</t>
        </is>
      </c>
      <c r="F747" t="inlineStr">
        <is>
          <t>USA</t>
        </is>
      </c>
      <c r="G747" t="inlineStr">
        <is>
          <t>Vyndaqel</t>
        </is>
      </c>
      <c r="H747" t="inlineStr">
        <is>
          <t>Retail pharmacy</t>
        </is>
      </c>
      <c r="I747" t="inlineStr">
        <is>
          <t>Private insurer</t>
        </is>
      </c>
      <c r="J747" t="inlineStr">
        <is>
          <t>Wei Chen</t>
        </is>
      </c>
      <c r="K747" s="70" t="n">
        <v>1913</v>
      </c>
      <c r="L747" s="71" t="n">
        <v>7997.39</v>
      </c>
      <c r="M747" s="71" t="n">
        <v>15299007.07</v>
      </c>
      <c r="N747" s="71" t="n">
        <v>5354652.47</v>
      </c>
      <c r="O747" s="71" t="n">
        <v>9944354.6</v>
      </c>
      <c r="P747" s="71" t="n">
        <v>1229330.78</v>
      </c>
      <c r="Q747" s="71" t="n">
        <v>8715023.82</v>
      </c>
      <c r="R747" t="inlineStr">
        <is>
          <t>Rare disease</t>
        </is>
      </c>
      <c r="S747" s="70" t="n">
        <v>1425</v>
      </c>
      <c r="T747" s="71" t="n">
        <v>2816715.22</v>
      </c>
      <c r="U747" t="inlineStr">
        <is>
          <t>Medium</t>
        </is>
      </c>
      <c r="V747">
        <f>IF(AND(OR(Dashboard!$C$6="All",E747=Dashboard!$C$6),OR(Dashboard!$F$6="All",G747=Dashboard!$F$6),OR(Dashboard!$I$6="All",H747=Dashboard!$I$6)),1,0)</f>
        <v/>
      </c>
    </row>
    <row r="748">
      <c r="A748" t="inlineStr">
        <is>
          <t>PF100739</t>
        </is>
      </c>
      <c r="B748" s="68" t="n">
        <v>45743</v>
      </c>
      <c r="C748" s="69" t="n">
        <v>2025</v>
      </c>
      <c r="D748" t="inlineStr">
        <is>
          <t>Mar</t>
        </is>
      </c>
      <c r="E748" t="inlineStr">
        <is>
          <t>United States</t>
        </is>
      </c>
      <c r="F748" t="inlineStr">
        <is>
          <t>USA</t>
        </is>
      </c>
      <c r="G748" t="inlineStr">
        <is>
          <t>Prevnar 20</t>
        </is>
      </c>
      <c r="H748" t="inlineStr">
        <is>
          <t>Hospital</t>
        </is>
      </c>
      <c r="I748" t="inlineStr">
        <is>
          <t>Public payer</t>
        </is>
      </c>
      <c r="J748" t="inlineStr">
        <is>
          <t>Sophie Müller</t>
        </is>
      </c>
      <c r="K748" s="70" t="n">
        <v>701</v>
      </c>
      <c r="L748" s="71" t="n">
        <v>354.14</v>
      </c>
      <c r="M748" s="71" t="n">
        <v>248252.14</v>
      </c>
      <c r="N748" s="71" t="n">
        <v>74475.64</v>
      </c>
      <c r="O748" s="71" t="n">
        <v>173776.5</v>
      </c>
      <c r="P748" s="71" t="n">
        <v>48780.58</v>
      </c>
      <c r="Q748" s="71" t="n">
        <v>124995.92</v>
      </c>
      <c r="R748" t="inlineStr">
        <is>
          <t>Vaccines</t>
        </is>
      </c>
      <c r="S748" s="70" t="n">
        <v>616</v>
      </c>
      <c r="T748" s="71" t="n">
        <v>44352.88</v>
      </c>
      <c r="U748" t="inlineStr">
        <is>
          <t>Low</t>
        </is>
      </c>
      <c r="V748">
        <f>IF(AND(OR(Dashboard!$C$6="All",E748=Dashboard!$C$6),OR(Dashboard!$F$6="All",G748=Dashboard!$F$6),OR(Dashboard!$I$6="All",H748=Dashboard!$I$6)),1,0)</f>
        <v/>
      </c>
    </row>
    <row r="749">
      <c r="A749" t="inlineStr">
        <is>
          <t>PF100740</t>
        </is>
      </c>
      <c r="B749" s="68" t="n">
        <v>45743</v>
      </c>
      <c r="C749" s="69" t="n">
        <v>2025</v>
      </c>
      <c r="D749" t="inlineStr">
        <is>
          <t>Mar</t>
        </is>
      </c>
      <c r="E749" t="inlineStr">
        <is>
          <t>Europe</t>
        </is>
      </c>
      <c r="F749" t="inlineStr">
        <is>
          <t>UK</t>
        </is>
      </c>
      <c r="G749" t="inlineStr">
        <is>
          <t>Comirnaty</t>
        </is>
      </c>
      <c r="H749" t="inlineStr">
        <is>
          <t>Hospital</t>
        </is>
      </c>
      <c r="I749" t="inlineStr">
        <is>
          <t>Self-pay</t>
        </is>
      </c>
      <c r="J749" t="inlineStr">
        <is>
          <t>Hiroshi Tanaka</t>
        </is>
      </c>
      <c r="K749" s="70" t="n">
        <v>255</v>
      </c>
      <c r="L749" s="71" t="n">
        <v>100.27</v>
      </c>
      <c r="M749" s="71" t="n">
        <v>25568.85</v>
      </c>
      <c r="N749" s="71" t="n">
        <v>1278.44</v>
      </c>
      <c r="O749" s="71" t="n">
        <v>24290.41</v>
      </c>
      <c r="P749" s="71" t="n">
        <v>9623.860000000001</v>
      </c>
      <c r="Q749" s="71" t="n">
        <v>14666.55</v>
      </c>
      <c r="R749" t="inlineStr">
        <is>
          <t>Vaccines</t>
        </is>
      </c>
      <c r="S749" s="70" t="n">
        <v>197</v>
      </c>
      <c r="T749" s="71" t="n">
        <v>4824.23</v>
      </c>
      <c r="U749" t="inlineStr">
        <is>
          <t>Low</t>
        </is>
      </c>
      <c r="V749">
        <f>IF(AND(OR(Dashboard!$C$6="All",E749=Dashboard!$C$6),OR(Dashboard!$F$6="All",G749=Dashboard!$F$6),OR(Dashboard!$I$6="All",H749=Dashboard!$I$6)),1,0)</f>
        <v/>
      </c>
    </row>
    <row r="750">
      <c r="A750" t="inlineStr">
        <is>
          <t>PF100741</t>
        </is>
      </c>
      <c r="B750" s="68" t="n">
        <v>45743</v>
      </c>
      <c r="C750" s="69" t="n">
        <v>2025</v>
      </c>
      <c r="D750" t="inlineStr">
        <is>
          <t>Mar</t>
        </is>
      </c>
      <c r="E750" t="inlineStr">
        <is>
          <t>International developed</t>
        </is>
      </c>
      <c r="F750" t="inlineStr">
        <is>
          <t>Canada</t>
        </is>
      </c>
      <c r="G750" t="inlineStr">
        <is>
          <t>Comirnaty</t>
        </is>
      </c>
      <c r="H750" t="inlineStr">
        <is>
          <t>Hospital</t>
        </is>
      </c>
      <c r="I750" t="inlineStr">
        <is>
          <t>Public payer</t>
        </is>
      </c>
      <c r="J750" t="inlineStr">
        <is>
          <t>Yuki Sato</t>
        </is>
      </c>
      <c r="K750" s="70" t="n">
        <v>1130</v>
      </c>
      <c r="L750" s="71" t="n">
        <v>110.34</v>
      </c>
      <c r="M750" s="71" t="n">
        <v>124684.2</v>
      </c>
      <c r="N750" s="71" t="n">
        <v>31171.05</v>
      </c>
      <c r="O750" s="71" t="n">
        <v>93513.14999999999</v>
      </c>
      <c r="P750" s="71" t="n">
        <v>43195.01</v>
      </c>
      <c r="Q750" s="71" t="n">
        <v>50318.14</v>
      </c>
      <c r="R750" t="inlineStr">
        <is>
          <t>Vaccines</t>
        </is>
      </c>
      <c r="S750" s="70" t="n">
        <v>800</v>
      </c>
      <c r="T750" s="71" t="n">
        <v>22678.47</v>
      </c>
      <c r="U750" t="inlineStr">
        <is>
          <t>Low</t>
        </is>
      </c>
      <c r="V750">
        <f>IF(AND(OR(Dashboard!$C$6="All",E750=Dashboard!$C$6),OR(Dashboard!$F$6="All",G750=Dashboard!$F$6),OR(Dashboard!$I$6="All",H750=Dashboard!$I$6)),1,0)</f>
        <v/>
      </c>
    </row>
    <row r="751">
      <c r="A751" t="inlineStr">
        <is>
          <t>PF100742</t>
        </is>
      </c>
      <c r="B751" s="68" t="n">
        <v>45743</v>
      </c>
      <c r="C751" s="69" t="n">
        <v>2025</v>
      </c>
      <c r="D751" t="inlineStr">
        <is>
          <t>Mar</t>
        </is>
      </c>
      <c r="E751" t="inlineStr">
        <is>
          <t>Emerging markets</t>
        </is>
      </c>
      <c r="F751" t="inlineStr">
        <is>
          <t>India</t>
        </is>
      </c>
      <c r="G751" t="inlineStr">
        <is>
          <t>Eliquis</t>
        </is>
      </c>
      <c r="H751" t="inlineStr">
        <is>
          <t>Government / tender</t>
        </is>
      </c>
      <c r="I751" t="inlineStr">
        <is>
          <t>Private insurer</t>
        </is>
      </c>
      <c r="J751" t="inlineStr">
        <is>
          <t>Emma Clarke</t>
        </is>
      </c>
      <c r="K751" s="70" t="n">
        <v>249</v>
      </c>
      <c r="L751" s="71" t="n">
        <v>378.44</v>
      </c>
      <c r="M751" s="71" t="n">
        <v>94231.56</v>
      </c>
      <c r="N751" s="71" t="n">
        <v>23557.89</v>
      </c>
      <c r="O751" s="71" t="n">
        <v>70673.67</v>
      </c>
      <c r="P751" s="71" t="n">
        <v>19412.34</v>
      </c>
      <c r="Q751" s="71" t="n">
        <v>51261.33</v>
      </c>
      <c r="R751" t="inlineStr">
        <is>
          <t>Cardiology</t>
        </is>
      </c>
      <c r="S751" s="70" t="n">
        <v>185</v>
      </c>
      <c r="T751" s="71" t="n">
        <v>12206.41</v>
      </c>
      <c r="U751" t="inlineStr">
        <is>
          <t>High</t>
        </is>
      </c>
      <c r="V751">
        <f>IF(AND(OR(Dashboard!$C$6="All",E751=Dashboard!$C$6),OR(Dashboard!$F$6="All",G751=Dashboard!$F$6),OR(Dashboard!$I$6="All",H751=Dashboard!$I$6)),1,0)</f>
        <v/>
      </c>
    </row>
    <row r="752">
      <c r="A752" t="inlineStr">
        <is>
          <t>PF100743</t>
        </is>
      </c>
      <c r="B752" s="68" t="n">
        <v>45744</v>
      </c>
      <c r="C752" s="69" t="n">
        <v>2025</v>
      </c>
      <c r="D752" t="inlineStr">
        <is>
          <t>Mar</t>
        </is>
      </c>
      <c r="E752" t="inlineStr">
        <is>
          <t>Emerging markets</t>
        </is>
      </c>
      <c r="F752" t="inlineStr">
        <is>
          <t>Brazil</t>
        </is>
      </c>
      <c r="G752" t="inlineStr">
        <is>
          <t>Comirnaty</t>
        </is>
      </c>
      <c r="H752" t="inlineStr">
        <is>
          <t>Retail pharmacy</t>
        </is>
      </c>
      <c r="I752" t="inlineStr">
        <is>
          <t>Private insurer</t>
        </is>
      </c>
      <c r="J752" t="inlineStr">
        <is>
          <t>Aisha Bello</t>
        </is>
      </c>
      <c r="K752" s="70" t="n">
        <v>448</v>
      </c>
      <c r="L752" s="71" t="n">
        <v>117.64</v>
      </c>
      <c r="M752" s="71" t="n">
        <v>52702.72</v>
      </c>
      <c r="N752" s="71" t="n">
        <v>5270.27</v>
      </c>
      <c r="O752" s="71" t="n">
        <v>47432.45</v>
      </c>
      <c r="P752" s="71" t="n">
        <v>17816.95</v>
      </c>
      <c r="Q752" s="71" t="n">
        <v>29615.5</v>
      </c>
      <c r="R752" t="inlineStr">
        <is>
          <t>Vaccines</t>
        </is>
      </c>
      <c r="S752" s="70" t="n">
        <v>447</v>
      </c>
      <c r="T752" s="71" t="n">
        <v>8004.78</v>
      </c>
      <c r="U752" t="inlineStr">
        <is>
          <t>Low</t>
        </is>
      </c>
      <c r="V752">
        <f>IF(AND(OR(Dashboard!$C$6="All",E752=Dashboard!$C$6),OR(Dashboard!$F$6="All",G752=Dashboard!$F$6),OR(Dashboard!$I$6="All",H752=Dashboard!$I$6)),1,0)</f>
        <v/>
      </c>
    </row>
    <row r="753">
      <c r="A753" t="inlineStr">
        <is>
          <t>PF100744</t>
        </is>
      </c>
      <c r="B753" s="68" t="n">
        <v>45744</v>
      </c>
      <c r="C753" s="69" t="n">
        <v>2025</v>
      </c>
      <c r="D753" t="inlineStr">
        <is>
          <t>Mar</t>
        </is>
      </c>
      <c r="E753" t="inlineStr">
        <is>
          <t>Europe</t>
        </is>
      </c>
      <c r="F753" t="inlineStr">
        <is>
          <t>UK</t>
        </is>
      </c>
      <c r="G753" t="inlineStr">
        <is>
          <t>Eliquis</t>
        </is>
      </c>
      <c r="H753" t="inlineStr">
        <is>
          <t>Hospital</t>
        </is>
      </c>
      <c r="I753" t="inlineStr">
        <is>
          <t>Private insurer</t>
        </is>
      </c>
      <c r="J753" t="inlineStr">
        <is>
          <t>Yuki Sato</t>
        </is>
      </c>
      <c r="K753" s="70" t="n">
        <v>786</v>
      </c>
      <c r="L753" s="71" t="n">
        <v>430.35</v>
      </c>
      <c r="M753" s="71" t="n">
        <v>338255.1</v>
      </c>
      <c r="N753" s="71" t="n">
        <v>84563.77</v>
      </c>
      <c r="O753" s="71" t="n">
        <v>253691.33</v>
      </c>
      <c r="P753" s="71" t="n">
        <v>57522.35</v>
      </c>
      <c r="Q753" s="71" t="n">
        <v>196168.98</v>
      </c>
      <c r="R753" t="inlineStr">
        <is>
          <t>Cardiology</t>
        </is>
      </c>
      <c r="S753" s="70" t="n">
        <v>627</v>
      </c>
      <c r="T753" s="71" t="n">
        <v>46071.64</v>
      </c>
      <c r="U753" t="inlineStr">
        <is>
          <t>High</t>
        </is>
      </c>
      <c r="V753">
        <f>IF(AND(OR(Dashboard!$C$6="All",E753=Dashboard!$C$6),OR(Dashboard!$F$6="All",G753=Dashboard!$F$6),OR(Dashboard!$I$6="All",H753=Dashboard!$I$6)),1,0)</f>
        <v/>
      </c>
    </row>
    <row r="754">
      <c r="A754" t="inlineStr">
        <is>
          <t>PF100745</t>
        </is>
      </c>
      <c r="B754" s="68" t="n">
        <v>45744</v>
      </c>
      <c r="C754" s="69" t="n">
        <v>2025</v>
      </c>
      <c r="D754" t="inlineStr">
        <is>
          <t>Mar</t>
        </is>
      </c>
      <c r="E754" t="inlineStr">
        <is>
          <t>United States</t>
        </is>
      </c>
      <c r="F754" t="inlineStr">
        <is>
          <t>USA</t>
        </is>
      </c>
      <c r="G754" t="inlineStr">
        <is>
          <t>Comirnaty</t>
        </is>
      </c>
      <c r="H754" t="inlineStr">
        <is>
          <t>Government / tender</t>
        </is>
      </c>
      <c r="I754" t="inlineStr">
        <is>
          <t>Private insurer</t>
        </is>
      </c>
      <c r="J754" t="inlineStr">
        <is>
          <t>Noah Smith</t>
        </is>
      </c>
      <c r="K754" s="70" t="n">
        <v>1710</v>
      </c>
      <c r="L754" s="71" t="n">
        <v>173.86</v>
      </c>
      <c r="M754" s="71" t="n">
        <v>297300.6</v>
      </c>
      <c r="N754" s="71" t="n">
        <v>104055.21</v>
      </c>
      <c r="O754" s="71" t="n">
        <v>193245.39</v>
      </c>
      <c r="P754" s="71" t="n">
        <v>67477.19</v>
      </c>
      <c r="Q754" s="71" t="n">
        <v>125768.2</v>
      </c>
      <c r="R754" t="inlineStr">
        <is>
          <t>Vaccines</t>
        </is>
      </c>
      <c r="S754" s="70" t="n">
        <v>1300</v>
      </c>
      <c r="T754" s="71" t="n">
        <v>56538.24</v>
      </c>
      <c r="U754" t="inlineStr">
        <is>
          <t>Low</t>
        </is>
      </c>
      <c r="V754">
        <f>IF(AND(OR(Dashboard!$C$6="All",E754=Dashboard!$C$6),OR(Dashboard!$F$6="All",G754=Dashboard!$F$6),OR(Dashboard!$I$6="All",H754=Dashboard!$I$6)),1,0)</f>
        <v/>
      </c>
    </row>
    <row r="755">
      <c r="A755" t="inlineStr">
        <is>
          <t>PF100746</t>
        </is>
      </c>
      <c r="B755" s="68" t="n">
        <v>45744</v>
      </c>
      <c r="C755" s="69" t="n">
        <v>2025</v>
      </c>
      <c r="D755" t="inlineStr">
        <is>
          <t>Mar</t>
        </is>
      </c>
      <c r="E755" t="inlineStr">
        <is>
          <t>Emerging markets</t>
        </is>
      </c>
      <c r="F755" t="inlineStr">
        <is>
          <t>Brazil</t>
        </is>
      </c>
      <c r="G755" t="inlineStr">
        <is>
          <t>Xeljanz</t>
        </is>
      </c>
      <c r="H755" t="inlineStr">
        <is>
          <t>Retail pharmacy</t>
        </is>
      </c>
      <c r="I755" t="inlineStr">
        <is>
          <t>Public payer</t>
        </is>
      </c>
      <c r="J755" t="inlineStr">
        <is>
          <t>Ravindra Patil</t>
        </is>
      </c>
      <c r="K755" s="70" t="n">
        <v>1425</v>
      </c>
      <c r="L755" s="71" t="n">
        <v>1309.67</v>
      </c>
      <c r="M755" s="71" t="n">
        <v>1866279.75</v>
      </c>
      <c r="N755" s="71" t="n">
        <v>93313.99000000001</v>
      </c>
      <c r="O755" s="71" t="n">
        <v>1772965.76</v>
      </c>
      <c r="P755" s="71" t="n">
        <v>368754.72</v>
      </c>
      <c r="Q755" s="71" t="n">
        <v>1404211.04</v>
      </c>
      <c r="R755" t="inlineStr">
        <is>
          <t>Inflammation</t>
        </is>
      </c>
      <c r="S755" s="70" t="n">
        <v>1087</v>
      </c>
      <c r="T755" s="71" t="n">
        <v>247631.1</v>
      </c>
      <c r="U755" t="inlineStr">
        <is>
          <t>High</t>
        </is>
      </c>
      <c r="V755">
        <f>IF(AND(OR(Dashboard!$C$6="All",E755=Dashboard!$C$6),OR(Dashboard!$F$6="All",G755=Dashboard!$F$6),OR(Dashboard!$I$6="All",H755=Dashboard!$I$6)),1,0)</f>
        <v/>
      </c>
    </row>
    <row r="756">
      <c r="A756" t="inlineStr">
        <is>
          <t>PF100747</t>
        </is>
      </c>
      <c r="B756" s="68" t="n">
        <v>45744</v>
      </c>
      <c r="C756" s="69" t="n">
        <v>2025</v>
      </c>
      <c r="D756" t="inlineStr">
        <is>
          <t>Mar</t>
        </is>
      </c>
      <c r="E756" t="inlineStr">
        <is>
          <t>United States</t>
        </is>
      </c>
      <c r="F756" t="inlineStr">
        <is>
          <t>USA</t>
        </is>
      </c>
      <c r="G756" t="inlineStr">
        <is>
          <t>Comirnaty</t>
        </is>
      </c>
      <c r="H756" t="inlineStr">
        <is>
          <t>Retail pharmacy</t>
        </is>
      </c>
      <c r="I756" t="inlineStr">
        <is>
          <t>Public payer</t>
        </is>
      </c>
      <c r="J756" t="inlineStr">
        <is>
          <t>Omar Haddad</t>
        </is>
      </c>
      <c r="K756" s="70" t="n">
        <v>2883</v>
      </c>
      <c r="L756" s="71" t="n">
        <v>160.4</v>
      </c>
      <c r="M756" s="71" t="n">
        <v>462433.2</v>
      </c>
      <c r="N756" s="71" t="n">
        <v>92486.64</v>
      </c>
      <c r="O756" s="71" t="n">
        <v>369946.56</v>
      </c>
      <c r="P756" s="71" t="n">
        <v>109255.78</v>
      </c>
      <c r="Q756" s="71" t="n">
        <v>260690.78</v>
      </c>
      <c r="R756" t="inlineStr">
        <is>
          <t>Vaccines</t>
        </is>
      </c>
      <c r="S756" s="70" t="n">
        <v>2450</v>
      </c>
      <c r="T756" s="71" t="n">
        <v>67340.39999999999</v>
      </c>
      <c r="U756" t="inlineStr">
        <is>
          <t>Low</t>
        </is>
      </c>
      <c r="V756">
        <f>IF(AND(OR(Dashboard!$C$6="All",E756=Dashboard!$C$6),OR(Dashboard!$F$6="All",G756=Dashboard!$F$6),OR(Dashboard!$I$6="All",H756=Dashboard!$I$6)),1,0)</f>
        <v/>
      </c>
    </row>
    <row r="757">
      <c r="A757" t="inlineStr">
        <is>
          <t>PF100748</t>
        </is>
      </c>
      <c r="B757" s="68" t="n">
        <v>45748</v>
      </c>
      <c r="C757" s="69" t="n">
        <v>2025</v>
      </c>
      <c r="D757" t="inlineStr">
        <is>
          <t>Apr</t>
        </is>
      </c>
      <c r="E757" t="inlineStr">
        <is>
          <t>Europe</t>
        </is>
      </c>
      <c r="F757" t="inlineStr">
        <is>
          <t>France</t>
        </is>
      </c>
      <c r="G757" t="inlineStr">
        <is>
          <t>Abrysvo</t>
        </is>
      </c>
      <c r="H757" t="inlineStr">
        <is>
          <t>Hospital</t>
        </is>
      </c>
      <c r="I757" t="inlineStr">
        <is>
          <t>Private insurer</t>
        </is>
      </c>
      <c r="J757" t="inlineStr">
        <is>
          <t>Priya Nair</t>
        </is>
      </c>
      <c r="K757" s="70" t="n">
        <v>993</v>
      </c>
      <c r="L757" s="71" t="n">
        <v>257.86</v>
      </c>
      <c r="M757" s="71" t="n">
        <v>256054.98</v>
      </c>
      <c r="N757" s="71" t="n">
        <v>64013.75</v>
      </c>
      <c r="O757" s="71" t="n">
        <v>192041.23</v>
      </c>
      <c r="P757" s="71" t="n">
        <v>80920.53999999999</v>
      </c>
      <c r="Q757" s="71" t="n">
        <v>111120.69</v>
      </c>
      <c r="R757" t="inlineStr">
        <is>
          <t>Vaccines</t>
        </is>
      </c>
      <c r="S757" s="70" t="n">
        <v>728</v>
      </c>
      <c r="T757" s="71" t="n">
        <v>37227.87</v>
      </c>
      <c r="U757" t="inlineStr">
        <is>
          <t>Low</t>
        </is>
      </c>
      <c r="V757">
        <f>IF(AND(OR(Dashboard!$C$6="All",E757=Dashboard!$C$6),OR(Dashboard!$F$6="All",G757=Dashboard!$F$6),OR(Dashboard!$I$6="All",H757=Dashboard!$I$6)),1,0)</f>
        <v/>
      </c>
    </row>
    <row r="758">
      <c r="A758" t="inlineStr">
        <is>
          <t>PF100749</t>
        </is>
      </c>
      <c r="B758" s="68" t="n">
        <v>45748</v>
      </c>
      <c r="C758" s="69" t="n">
        <v>2025</v>
      </c>
      <c r="D758" t="inlineStr">
        <is>
          <t>Apr</t>
        </is>
      </c>
      <c r="E758" t="inlineStr">
        <is>
          <t>Emerging markets</t>
        </is>
      </c>
      <c r="F758" t="inlineStr">
        <is>
          <t>Brazil</t>
        </is>
      </c>
      <c r="G758" t="inlineStr">
        <is>
          <t>Eliquis</t>
        </is>
      </c>
      <c r="H758" t="inlineStr">
        <is>
          <t>Hospital</t>
        </is>
      </c>
      <c r="I758" t="inlineStr">
        <is>
          <t>Self-pay</t>
        </is>
      </c>
      <c r="J758" t="inlineStr">
        <is>
          <t>Kofi Mensah</t>
        </is>
      </c>
      <c r="K758" s="70" t="n">
        <v>1336</v>
      </c>
      <c r="L758" s="71" t="n">
        <v>461.07</v>
      </c>
      <c r="M758" s="71" t="n">
        <v>615989.52</v>
      </c>
      <c r="N758" s="71" t="n">
        <v>30799.48</v>
      </c>
      <c r="O758" s="71" t="n">
        <v>585190.04</v>
      </c>
      <c r="P758" s="71" t="n">
        <v>99603.75999999999</v>
      </c>
      <c r="Q758" s="71" t="n">
        <v>485586.28</v>
      </c>
      <c r="R758" t="inlineStr">
        <is>
          <t>Cardiology</t>
        </is>
      </c>
      <c r="S758" s="70" t="n">
        <v>876</v>
      </c>
      <c r="T758" s="71" t="n">
        <v>120052.58</v>
      </c>
      <c r="U758" t="inlineStr">
        <is>
          <t>High</t>
        </is>
      </c>
      <c r="V758">
        <f>IF(AND(OR(Dashboard!$C$6="All",E758=Dashboard!$C$6),OR(Dashboard!$F$6="All",G758=Dashboard!$F$6),OR(Dashboard!$I$6="All",H758=Dashboard!$I$6)),1,0)</f>
        <v/>
      </c>
    </row>
    <row r="759">
      <c r="A759" t="inlineStr">
        <is>
          <t>PF100750</t>
        </is>
      </c>
      <c r="B759" s="68" t="n">
        <v>45748</v>
      </c>
      <c r="C759" s="69" t="n">
        <v>2025</v>
      </c>
      <c r="D759" t="inlineStr">
        <is>
          <t>Apr</t>
        </is>
      </c>
      <c r="E759" t="inlineStr">
        <is>
          <t>Emerging markets</t>
        </is>
      </c>
      <c r="F759" t="inlineStr">
        <is>
          <t>Mexico</t>
        </is>
      </c>
      <c r="G759" t="inlineStr">
        <is>
          <t>Xeljanz</t>
        </is>
      </c>
      <c r="H759" t="inlineStr">
        <is>
          <t>Hospital</t>
        </is>
      </c>
      <c r="I759" t="inlineStr">
        <is>
          <t>Public payer</t>
        </is>
      </c>
      <c r="J759" t="inlineStr">
        <is>
          <t>Omar Haddad</t>
        </is>
      </c>
      <c r="K759" s="70" t="n">
        <v>204</v>
      </c>
      <c r="L759" s="71" t="n">
        <v>1424.73</v>
      </c>
      <c r="M759" s="71" t="n">
        <v>290644.92</v>
      </c>
      <c r="N759" s="71" t="n">
        <v>72661.23</v>
      </c>
      <c r="O759" s="71" t="n">
        <v>217983.69</v>
      </c>
      <c r="P759" s="71" t="n">
        <v>52754.93</v>
      </c>
      <c r="Q759" s="71" t="n">
        <v>165228.76</v>
      </c>
      <c r="R759" t="inlineStr">
        <is>
          <t>Inflammation</t>
        </is>
      </c>
      <c r="S759" s="70" t="n">
        <v>158</v>
      </c>
      <c r="T759" s="71" t="n">
        <v>41621.23</v>
      </c>
      <c r="U759" t="inlineStr">
        <is>
          <t>High</t>
        </is>
      </c>
      <c r="V759">
        <f>IF(AND(OR(Dashboard!$C$6="All",E759=Dashboard!$C$6),OR(Dashboard!$F$6="All",G759=Dashboard!$F$6),OR(Dashboard!$I$6="All",H759=Dashboard!$I$6)),1,0)</f>
        <v/>
      </c>
    </row>
    <row r="760">
      <c r="A760" t="inlineStr">
        <is>
          <t>PF100751</t>
        </is>
      </c>
      <c r="B760" s="68" t="n">
        <v>45748</v>
      </c>
      <c r="C760" s="69" t="n">
        <v>2025</v>
      </c>
      <c r="D760" t="inlineStr">
        <is>
          <t>Apr</t>
        </is>
      </c>
      <c r="E760" t="inlineStr">
        <is>
          <t>Emerging markets</t>
        </is>
      </c>
      <c r="F760" t="inlineStr">
        <is>
          <t>India</t>
        </is>
      </c>
      <c r="G760" t="inlineStr">
        <is>
          <t>Ibrance</t>
        </is>
      </c>
      <c r="H760" t="inlineStr">
        <is>
          <t>Retail pharmacy</t>
        </is>
      </c>
      <c r="I760" t="inlineStr">
        <is>
          <t>Private insurer</t>
        </is>
      </c>
      <c r="J760" t="inlineStr">
        <is>
          <t>Fatima Al-Saud</t>
        </is>
      </c>
      <c r="K760" s="70" t="n">
        <v>2770</v>
      </c>
      <c r="L760" s="71" t="n">
        <v>3000.49</v>
      </c>
      <c r="M760" s="71" t="n">
        <v>8311357.3</v>
      </c>
      <c r="N760" s="71" t="n">
        <v>2077839.32</v>
      </c>
      <c r="O760" s="71" t="n">
        <v>6233517.98</v>
      </c>
      <c r="P760" s="71" t="n">
        <v>1168153.76</v>
      </c>
      <c r="Q760" s="71" t="n">
        <v>5065364.22</v>
      </c>
      <c r="R760" t="inlineStr">
        <is>
          <t>Oncology</t>
        </is>
      </c>
      <c r="S760" s="70" t="n">
        <v>1975</v>
      </c>
      <c r="T760" s="71" t="n">
        <v>1474621.08</v>
      </c>
      <c r="U760" t="inlineStr">
        <is>
          <t>High</t>
        </is>
      </c>
      <c r="V760">
        <f>IF(AND(OR(Dashboard!$C$6="All",E760=Dashboard!$C$6),OR(Dashboard!$F$6="All",G760=Dashboard!$F$6),OR(Dashboard!$I$6="All",H760=Dashboard!$I$6)),1,0)</f>
        <v/>
      </c>
    </row>
    <row r="761">
      <c r="A761" t="inlineStr">
        <is>
          <t>PF100752</t>
        </is>
      </c>
      <c r="B761" s="68" t="n">
        <v>45748</v>
      </c>
      <c r="C761" s="69" t="n">
        <v>2025</v>
      </c>
      <c r="D761" t="inlineStr">
        <is>
          <t>Apr</t>
        </is>
      </c>
      <c r="E761" t="inlineStr">
        <is>
          <t>United States</t>
        </is>
      </c>
      <c r="F761" t="inlineStr">
        <is>
          <t>USA</t>
        </is>
      </c>
      <c r="G761" t="inlineStr">
        <is>
          <t>Eliquis</t>
        </is>
      </c>
      <c r="H761" t="inlineStr">
        <is>
          <t>Hospital</t>
        </is>
      </c>
      <c r="I761" t="inlineStr">
        <is>
          <t>Public payer</t>
        </is>
      </c>
      <c r="J761" t="inlineStr">
        <is>
          <t>Priya Nair</t>
        </is>
      </c>
      <c r="K761" s="70" t="n">
        <v>2789</v>
      </c>
      <c r="L761" s="71" t="n">
        <v>638.91</v>
      </c>
      <c r="M761" s="71" t="n">
        <v>1781919.99</v>
      </c>
      <c r="N761" s="71" t="n">
        <v>534576</v>
      </c>
      <c r="O761" s="71" t="n">
        <v>1247343.99</v>
      </c>
      <c r="P761" s="71" t="n">
        <v>215773.55</v>
      </c>
      <c r="Q761" s="71" t="n">
        <v>1031570.44</v>
      </c>
      <c r="R761" t="inlineStr">
        <is>
          <t>Cardiology</t>
        </is>
      </c>
      <c r="S761" s="70" t="n">
        <v>2356</v>
      </c>
      <c r="T761" s="71" t="n">
        <v>233517.71</v>
      </c>
      <c r="U761" t="inlineStr">
        <is>
          <t>High</t>
        </is>
      </c>
      <c r="V761">
        <f>IF(AND(OR(Dashboard!$C$6="All",E761=Dashboard!$C$6),OR(Dashboard!$F$6="All",G761=Dashboard!$F$6),OR(Dashboard!$I$6="All",H761=Dashboard!$I$6)),1,0)</f>
        <v/>
      </c>
    </row>
    <row r="762">
      <c r="A762" t="inlineStr">
        <is>
          <t>PF100753</t>
        </is>
      </c>
      <c r="B762" s="68" t="n">
        <v>45748</v>
      </c>
      <c r="C762" s="69" t="n">
        <v>2025</v>
      </c>
      <c r="D762" t="inlineStr">
        <is>
          <t>Apr</t>
        </is>
      </c>
      <c r="E762" t="inlineStr">
        <is>
          <t>United States</t>
        </is>
      </c>
      <c r="F762" t="inlineStr">
        <is>
          <t>USA</t>
        </is>
      </c>
      <c r="G762" t="inlineStr">
        <is>
          <t>Prevnar 20</t>
        </is>
      </c>
      <c r="H762" t="inlineStr">
        <is>
          <t>Hospital</t>
        </is>
      </c>
      <c r="I762" t="inlineStr">
        <is>
          <t>Public payer</t>
        </is>
      </c>
      <c r="J762" t="inlineStr">
        <is>
          <t>Zoya Ahmed</t>
        </is>
      </c>
      <c r="K762" s="70" t="n">
        <v>2283</v>
      </c>
      <c r="L762" s="71" t="n">
        <v>395.49</v>
      </c>
      <c r="M762" s="71" t="n">
        <v>902903.67</v>
      </c>
      <c r="N762" s="71" t="n">
        <v>225725.92</v>
      </c>
      <c r="O762" s="71" t="n">
        <v>677177.75</v>
      </c>
      <c r="P762" s="71" t="n">
        <v>157617.09</v>
      </c>
      <c r="Q762" s="71" t="n">
        <v>519560.66</v>
      </c>
      <c r="R762" t="inlineStr">
        <is>
          <t>Vaccines</t>
        </is>
      </c>
      <c r="S762" s="70" t="n">
        <v>1475</v>
      </c>
      <c r="T762" s="71" t="n">
        <v>121958.17</v>
      </c>
      <c r="U762" t="inlineStr">
        <is>
          <t>Low</t>
        </is>
      </c>
      <c r="V762">
        <f>IF(AND(OR(Dashboard!$C$6="All",E762=Dashboard!$C$6),OR(Dashboard!$F$6="All",G762=Dashboard!$F$6),OR(Dashboard!$I$6="All",H762=Dashboard!$I$6)),1,0)</f>
        <v/>
      </c>
    </row>
    <row r="763">
      <c r="A763" t="inlineStr">
        <is>
          <t>PF100754</t>
        </is>
      </c>
      <c r="B763" s="68" t="n">
        <v>45748</v>
      </c>
      <c r="C763" s="69" t="n">
        <v>2025</v>
      </c>
      <c r="D763" t="inlineStr">
        <is>
          <t>Apr</t>
        </is>
      </c>
      <c r="E763" t="inlineStr">
        <is>
          <t>International developed</t>
        </is>
      </c>
      <c r="F763" t="inlineStr">
        <is>
          <t>Australia</t>
        </is>
      </c>
      <c r="G763" t="inlineStr">
        <is>
          <t>Abrysvo</t>
        </is>
      </c>
      <c r="H763" t="inlineStr">
        <is>
          <t>Retail pharmacy</t>
        </is>
      </c>
      <c r="I763" t="inlineStr">
        <is>
          <t>Private insurer</t>
        </is>
      </c>
      <c r="J763" t="inlineStr">
        <is>
          <t>Emma Clarke</t>
        </is>
      </c>
      <c r="K763" s="70" t="n">
        <v>757</v>
      </c>
      <c r="L763" s="71" t="n">
        <v>285.08</v>
      </c>
      <c r="M763" s="71" t="n">
        <v>215805.56</v>
      </c>
      <c r="N763" s="71" t="n">
        <v>32370.83</v>
      </c>
      <c r="O763" s="71" t="n">
        <v>183434.73</v>
      </c>
      <c r="P763" s="71" t="n">
        <v>62723.37</v>
      </c>
      <c r="Q763" s="71" t="n">
        <v>120711.36</v>
      </c>
      <c r="R763" t="inlineStr">
        <is>
          <t>Vaccines</t>
        </is>
      </c>
      <c r="S763" s="70" t="n">
        <v>681</v>
      </c>
      <c r="T763" s="71" t="n">
        <v>29485.95</v>
      </c>
      <c r="U763" t="inlineStr">
        <is>
          <t>Low</t>
        </is>
      </c>
      <c r="V763">
        <f>IF(AND(OR(Dashboard!$C$6="All",E763=Dashboard!$C$6),OR(Dashboard!$F$6="All",G763=Dashboard!$F$6),OR(Dashboard!$I$6="All",H763=Dashboard!$I$6)),1,0)</f>
        <v/>
      </c>
    </row>
    <row r="764">
      <c r="A764" t="inlineStr">
        <is>
          <t>PF100755</t>
        </is>
      </c>
      <c r="B764" s="68" t="n">
        <v>45748</v>
      </c>
      <c r="C764" s="69" t="n">
        <v>2025</v>
      </c>
      <c r="D764" t="inlineStr">
        <is>
          <t>Apr</t>
        </is>
      </c>
      <c r="E764" t="inlineStr">
        <is>
          <t>Emerging markets</t>
        </is>
      </c>
      <c r="F764" t="inlineStr">
        <is>
          <t>Brazil</t>
        </is>
      </c>
      <c r="G764" t="inlineStr">
        <is>
          <t>Abrysvo</t>
        </is>
      </c>
      <c r="H764" t="inlineStr">
        <is>
          <t>Hospital</t>
        </is>
      </c>
      <c r="I764" t="inlineStr">
        <is>
          <t>Self-pay</t>
        </is>
      </c>
      <c r="J764" t="inlineStr">
        <is>
          <t>Aisha Bello</t>
        </is>
      </c>
      <c r="K764" s="70" t="n">
        <v>1305</v>
      </c>
      <c r="L764" s="71" t="n">
        <v>256.99</v>
      </c>
      <c r="M764" s="71" t="n">
        <v>335371.95</v>
      </c>
      <c r="N764" s="71" t="n">
        <v>16768.6</v>
      </c>
      <c r="O764" s="71" t="n">
        <v>318603.35</v>
      </c>
      <c r="P764" s="71" t="n">
        <v>112996.46</v>
      </c>
      <c r="Q764" s="71" t="n">
        <v>205606.89</v>
      </c>
      <c r="R764" t="inlineStr">
        <is>
          <t>Vaccines</t>
        </is>
      </c>
      <c r="S764" s="70" t="n">
        <v>849</v>
      </c>
      <c r="T764" s="71" t="n">
        <v>60296.25</v>
      </c>
      <c r="U764" t="inlineStr">
        <is>
          <t>Low</t>
        </is>
      </c>
      <c r="V764">
        <f>IF(AND(OR(Dashboard!$C$6="All",E764=Dashboard!$C$6),OR(Dashboard!$F$6="All",G764=Dashboard!$F$6),OR(Dashboard!$I$6="All",H764=Dashboard!$I$6)),1,0)</f>
        <v/>
      </c>
    </row>
    <row r="765">
      <c r="A765" t="inlineStr">
        <is>
          <t>PF100756</t>
        </is>
      </c>
      <c r="B765" s="68" t="n">
        <v>45749</v>
      </c>
      <c r="C765" s="69" t="n">
        <v>2025</v>
      </c>
      <c r="D765" t="inlineStr">
        <is>
          <t>Apr</t>
        </is>
      </c>
      <c r="E765" t="inlineStr">
        <is>
          <t>Emerging markets</t>
        </is>
      </c>
      <c r="F765" t="inlineStr">
        <is>
          <t>India</t>
        </is>
      </c>
      <c r="G765" t="inlineStr">
        <is>
          <t>Eliquis</t>
        </is>
      </c>
      <c r="H765" t="inlineStr">
        <is>
          <t>Government / tender</t>
        </is>
      </c>
      <c r="I765" t="inlineStr">
        <is>
          <t>Private insurer</t>
        </is>
      </c>
      <c r="J765" t="inlineStr">
        <is>
          <t>Ravindra Patil</t>
        </is>
      </c>
      <c r="K765" s="70" t="n">
        <v>1083</v>
      </c>
      <c r="L765" s="71" t="n">
        <v>435.34</v>
      </c>
      <c r="M765" s="71" t="n">
        <v>471473.22</v>
      </c>
      <c r="N765" s="71" t="n">
        <v>70720.98</v>
      </c>
      <c r="O765" s="71" t="n">
        <v>400752.24</v>
      </c>
      <c r="P765" s="71" t="n">
        <v>80664.81</v>
      </c>
      <c r="Q765" s="71" t="n">
        <v>320087.43</v>
      </c>
      <c r="R765" t="inlineStr">
        <is>
          <t>Cardiology</t>
        </is>
      </c>
      <c r="S765" s="70" t="n">
        <v>1005</v>
      </c>
      <c r="T765" s="71" t="n">
        <v>79978.92</v>
      </c>
      <c r="U765" t="inlineStr">
        <is>
          <t>High</t>
        </is>
      </c>
      <c r="V765">
        <f>IF(AND(OR(Dashboard!$C$6="All",E765=Dashboard!$C$6),OR(Dashboard!$F$6="All",G765=Dashboard!$F$6),OR(Dashboard!$I$6="All",H765=Dashboard!$I$6)),1,0)</f>
        <v/>
      </c>
    </row>
    <row r="766">
      <c r="A766" t="inlineStr">
        <is>
          <t>PF100757</t>
        </is>
      </c>
      <c r="B766" s="68" t="n">
        <v>45749</v>
      </c>
      <c r="C766" s="69" t="n">
        <v>2025</v>
      </c>
      <c r="D766" t="inlineStr">
        <is>
          <t>Apr</t>
        </is>
      </c>
      <c r="E766" t="inlineStr">
        <is>
          <t>United States</t>
        </is>
      </c>
      <c r="F766" t="inlineStr">
        <is>
          <t>USA</t>
        </is>
      </c>
      <c r="G766" t="inlineStr">
        <is>
          <t>Xeljanz</t>
        </is>
      </c>
      <c r="H766" t="inlineStr">
        <is>
          <t>Retail pharmacy</t>
        </is>
      </c>
      <c r="I766" t="inlineStr">
        <is>
          <t>Self-pay</t>
        </is>
      </c>
      <c r="J766" t="inlineStr">
        <is>
          <t>Mei Lin</t>
        </is>
      </c>
      <c r="K766" s="70" t="n">
        <v>2766</v>
      </c>
      <c r="L766" s="71" t="n">
        <v>2321.1</v>
      </c>
      <c r="M766" s="71" t="n">
        <v>6420162.6</v>
      </c>
      <c r="N766" s="71" t="n">
        <v>1605040.65</v>
      </c>
      <c r="O766" s="71" t="n">
        <v>4815121.95</v>
      </c>
      <c r="P766" s="71" t="n">
        <v>699105.4300000001</v>
      </c>
      <c r="Q766" s="71" t="n">
        <v>4116016.52</v>
      </c>
      <c r="R766" t="inlineStr">
        <is>
          <t>Inflammation</t>
        </is>
      </c>
      <c r="S766" s="70" t="n">
        <v>2643</v>
      </c>
      <c r="T766" s="71" t="n">
        <v>1088916.77</v>
      </c>
      <c r="U766" t="inlineStr">
        <is>
          <t>High</t>
        </is>
      </c>
      <c r="V766">
        <f>IF(AND(OR(Dashboard!$C$6="All",E766=Dashboard!$C$6),OR(Dashboard!$F$6="All",G766=Dashboard!$F$6),OR(Dashboard!$I$6="All",H766=Dashboard!$I$6)),1,0)</f>
        <v/>
      </c>
    </row>
    <row r="767">
      <c r="A767" t="inlineStr">
        <is>
          <t>PF100758</t>
        </is>
      </c>
      <c r="B767" s="68" t="n">
        <v>45749</v>
      </c>
      <c r="C767" s="69" t="n">
        <v>2025</v>
      </c>
      <c r="D767" t="inlineStr">
        <is>
          <t>Apr</t>
        </is>
      </c>
      <c r="E767" t="inlineStr">
        <is>
          <t>United States</t>
        </is>
      </c>
      <c r="F767" t="inlineStr">
        <is>
          <t>USA</t>
        </is>
      </c>
      <c r="G767" t="inlineStr">
        <is>
          <t>Vyndaqel</t>
        </is>
      </c>
      <c r="H767" t="inlineStr">
        <is>
          <t>Retail pharmacy</t>
        </is>
      </c>
      <c r="I767" t="inlineStr">
        <is>
          <t>Self-pay</t>
        </is>
      </c>
      <c r="J767" t="inlineStr">
        <is>
          <t>Noah Smith</t>
        </is>
      </c>
      <c r="K767" s="70" t="n">
        <v>1566</v>
      </c>
      <c r="L767" s="71" t="n">
        <v>8182.98</v>
      </c>
      <c r="M767" s="71" t="n">
        <v>12814546.68</v>
      </c>
      <c r="N767" s="71" t="n">
        <v>1922182</v>
      </c>
      <c r="O767" s="71" t="n">
        <v>10892364.68</v>
      </c>
      <c r="P767" s="71" t="n">
        <v>968710.49</v>
      </c>
      <c r="Q767" s="71" t="n">
        <v>9923654.189999999</v>
      </c>
      <c r="R767" t="inlineStr">
        <is>
          <t>Rare disease</t>
        </is>
      </c>
      <c r="S767" s="70" t="n">
        <v>1029</v>
      </c>
      <c r="T767" s="71" t="n">
        <v>2236323.7</v>
      </c>
      <c r="U767" t="inlineStr">
        <is>
          <t>Medium</t>
        </is>
      </c>
      <c r="V767">
        <f>IF(AND(OR(Dashboard!$C$6="All",E767=Dashboard!$C$6),OR(Dashboard!$F$6="All",G767=Dashboard!$F$6),OR(Dashboard!$I$6="All",H767=Dashboard!$I$6)),1,0)</f>
        <v/>
      </c>
    </row>
    <row r="768">
      <c r="A768" t="inlineStr">
        <is>
          <t>PF100759</t>
        </is>
      </c>
      <c r="B768" s="68" t="n">
        <v>45749</v>
      </c>
      <c r="C768" s="69" t="n">
        <v>2025</v>
      </c>
      <c r="D768" t="inlineStr">
        <is>
          <t>Apr</t>
        </is>
      </c>
      <c r="E768" t="inlineStr">
        <is>
          <t>Emerging markets</t>
        </is>
      </c>
      <c r="F768" t="inlineStr">
        <is>
          <t>India</t>
        </is>
      </c>
      <c r="G768" t="inlineStr">
        <is>
          <t>Prevnar 20</t>
        </is>
      </c>
      <c r="H768" t="inlineStr">
        <is>
          <t>Retail pharmacy</t>
        </is>
      </c>
      <c r="I768" t="inlineStr">
        <is>
          <t>Self-pay</t>
        </is>
      </c>
      <c r="J768" t="inlineStr">
        <is>
          <t>Carlos Silva</t>
        </is>
      </c>
      <c r="K768" s="70" t="n">
        <v>1017</v>
      </c>
      <c r="L768" s="71" t="n">
        <v>232.45</v>
      </c>
      <c r="M768" s="71" t="n">
        <v>236401.65</v>
      </c>
      <c r="N768" s="71" t="n">
        <v>11820.08</v>
      </c>
      <c r="O768" s="71" t="n">
        <v>224581.57</v>
      </c>
      <c r="P768" s="71" t="n">
        <v>70628.3</v>
      </c>
      <c r="Q768" s="71" t="n">
        <v>153953.27</v>
      </c>
      <c r="R768" t="inlineStr">
        <is>
          <t>Vaccines</t>
        </is>
      </c>
      <c r="S768" s="70" t="n">
        <v>999</v>
      </c>
      <c r="T768" s="71" t="n">
        <v>50879.56</v>
      </c>
      <c r="U768" t="inlineStr">
        <is>
          <t>Low</t>
        </is>
      </c>
      <c r="V768">
        <f>IF(AND(OR(Dashboard!$C$6="All",E768=Dashboard!$C$6),OR(Dashboard!$F$6="All",G768=Dashboard!$F$6),OR(Dashboard!$I$6="All",H768=Dashboard!$I$6)),1,0)</f>
        <v/>
      </c>
    </row>
    <row r="769">
      <c r="A769" t="inlineStr">
        <is>
          <t>PF100760</t>
        </is>
      </c>
      <c r="B769" s="68" t="n">
        <v>45749</v>
      </c>
      <c r="C769" s="69" t="n">
        <v>2025</v>
      </c>
      <c r="D769" t="inlineStr">
        <is>
          <t>Apr</t>
        </is>
      </c>
      <c r="E769" t="inlineStr">
        <is>
          <t>International developed</t>
        </is>
      </c>
      <c r="F769" t="inlineStr">
        <is>
          <t>Australia</t>
        </is>
      </c>
      <c r="G769" t="inlineStr">
        <is>
          <t>Ibrance</t>
        </is>
      </c>
      <c r="H769" t="inlineStr">
        <is>
          <t>Government / tender</t>
        </is>
      </c>
      <c r="I769" t="inlineStr">
        <is>
          <t>Private insurer</t>
        </is>
      </c>
      <c r="J769" t="inlineStr">
        <is>
          <t>Priya Nair</t>
        </is>
      </c>
      <c r="K769" s="70" t="n">
        <v>1433</v>
      </c>
      <c r="L769" s="71" t="n">
        <v>2884.28</v>
      </c>
      <c r="M769" s="71" t="n">
        <v>4133173.24</v>
      </c>
      <c r="N769" s="71" t="n">
        <v>206658.66</v>
      </c>
      <c r="O769" s="71" t="n">
        <v>3926514.58</v>
      </c>
      <c r="P769" s="71" t="n">
        <v>631029.59</v>
      </c>
      <c r="Q769" s="71" t="n">
        <v>3295484.99</v>
      </c>
      <c r="R769" t="inlineStr">
        <is>
          <t>Oncology</t>
        </is>
      </c>
      <c r="S769" s="70" t="n">
        <v>1014</v>
      </c>
      <c r="T769" s="71" t="n">
        <v>865392.47</v>
      </c>
      <c r="U769" t="inlineStr">
        <is>
          <t>High</t>
        </is>
      </c>
      <c r="V769">
        <f>IF(AND(OR(Dashboard!$C$6="All",E769=Dashboard!$C$6),OR(Dashboard!$F$6="All",G769=Dashboard!$F$6),OR(Dashboard!$I$6="All",H769=Dashboard!$I$6)),1,0)</f>
        <v/>
      </c>
    </row>
    <row r="770">
      <c r="A770" t="inlineStr">
        <is>
          <t>PF100761</t>
        </is>
      </c>
      <c r="B770" s="68" t="n">
        <v>45749</v>
      </c>
      <c r="C770" s="69" t="n">
        <v>2025</v>
      </c>
      <c r="D770" t="inlineStr">
        <is>
          <t>Apr</t>
        </is>
      </c>
      <c r="E770" t="inlineStr">
        <is>
          <t>Europe</t>
        </is>
      </c>
      <c r="F770" t="inlineStr">
        <is>
          <t>Spain</t>
        </is>
      </c>
      <c r="G770" t="inlineStr">
        <is>
          <t>Comirnaty</t>
        </is>
      </c>
      <c r="H770" t="inlineStr">
        <is>
          <t>Retail pharmacy</t>
        </is>
      </c>
      <c r="I770" t="inlineStr">
        <is>
          <t>Private insurer</t>
        </is>
      </c>
      <c r="J770" t="inlineStr">
        <is>
          <t>Emma Clarke</t>
        </is>
      </c>
      <c r="K770" s="70" t="n">
        <v>1285</v>
      </c>
      <c r="L770" s="71" t="n">
        <v>114.02</v>
      </c>
      <c r="M770" s="71" t="n">
        <v>146515.7</v>
      </c>
      <c r="N770" s="71" t="n">
        <v>21977.35</v>
      </c>
      <c r="O770" s="71" t="n">
        <v>124538.35</v>
      </c>
      <c r="P770" s="71" t="n">
        <v>49857.99</v>
      </c>
      <c r="Q770" s="71" t="n">
        <v>74680.36</v>
      </c>
      <c r="R770" t="inlineStr">
        <is>
          <t>Vaccines</t>
        </is>
      </c>
      <c r="S770" s="70" t="n">
        <v>816</v>
      </c>
      <c r="T770" s="71" t="n">
        <v>31489.37</v>
      </c>
      <c r="U770" t="inlineStr">
        <is>
          <t>Low</t>
        </is>
      </c>
      <c r="V770">
        <f>IF(AND(OR(Dashboard!$C$6="All",E770=Dashboard!$C$6),OR(Dashboard!$F$6="All",G770=Dashboard!$F$6),OR(Dashboard!$I$6="All",H770=Dashboard!$I$6)),1,0)</f>
        <v/>
      </c>
    </row>
    <row r="771">
      <c r="A771" t="inlineStr">
        <is>
          <t>PF100762</t>
        </is>
      </c>
      <c r="B771" s="68" t="n">
        <v>45749</v>
      </c>
      <c r="C771" s="69" t="n">
        <v>2025</v>
      </c>
      <c r="D771" t="inlineStr">
        <is>
          <t>Apr</t>
        </is>
      </c>
      <c r="E771" t="inlineStr">
        <is>
          <t>United States</t>
        </is>
      </c>
      <c r="F771" t="inlineStr">
        <is>
          <t>USA</t>
        </is>
      </c>
      <c r="G771" t="inlineStr">
        <is>
          <t>Prevnar 20</t>
        </is>
      </c>
      <c r="H771" t="inlineStr">
        <is>
          <t>Government / tender</t>
        </is>
      </c>
      <c r="I771" t="inlineStr">
        <is>
          <t>Self-pay</t>
        </is>
      </c>
      <c r="J771" t="inlineStr">
        <is>
          <t>Wei Chen</t>
        </is>
      </c>
      <c r="K771" s="70" t="n">
        <v>2595</v>
      </c>
      <c r="L771" s="71" t="n">
        <v>392.9</v>
      </c>
      <c r="M771" s="71" t="n">
        <v>1019575.5</v>
      </c>
      <c r="N771" s="71" t="n">
        <v>305872.65</v>
      </c>
      <c r="O771" s="71" t="n">
        <v>713702.85</v>
      </c>
      <c r="P771" s="71" t="n">
        <v>185722.95</v>
      </c>
      <c r="Q771" s="71" t="n">
        <v>527979.9</v>
      </c>
      <c r="R771" t="inlineStr">
        <is>
          <t>Vaccines</t>
        </is>
      </c>
      <c r="S771" s="70" t="n">
        <v>2005</v>
      </c>
      <c r="T771" s="71" t="n">
        <v>155056.93</v>
      </c>
      <c r="U771" t="inlineStr">
        <is>
          <t>Low</t>
        </is>
      </c>
      <c r="V771">
        <f>IF(AND(OR(Dashboard!$C$6="All",E771=Dashboard!$C$6),OR(Dashboard!$F$6="All",G771=Dashboard!$F$6),OR(Dashboard!$I$6="All",H771=Dashboard!$I$6)),1,0)</f>
        <v/>
      </c>
    </row>
    <row r="772">
      <c r="A772" t="inlineStr">
        <is>
          <t>PF100763</t>
        </is>
      </c>
      <c r="B772" s="68" t="n">
        <v>45749</v>
      </c>
      <c r="C772" s="69" t="n">
        <v>2025</v>
      </c>
      <c r="D772" t="inlineStr">
        <is>
          <t>Apr</t>
        </is>
      </c>
      <c r="E772" t="inlineStr">
        <is>
          <t>United States</t>
        </is>
      </c>
      <c r="F772" t="inlineStr">
        <is>
          <t>USA</t>
        </is>
      </c>
      <c r="G772" t="inlineStr">
        <is>
          <t>Comirnaty</t>
        </is>
      </c>
      <c r="H772" t="inlineStr">
        <is>
          <t>Retail pharmacy</t>
        </is>
      </c>
      <c r="I772" t="inlineStr">
        <is>
          <t>Private insurer</t>
        </is>
      </c>
      <c r="J772" t="inlineStr">
        <is>
          <t>Noah Smith</t>
        </is>
      </c>
      <c r="K772" s="70" t="n">
        <v>1400</v>
      </c>
      <c r="L772" s="71" t="n">
        <v>177.87</v>
      </c>
      <c r="M772" s="71" t="n">
        <v>249018</v>
      </c>
      <c r="N772" s="71" t="n">
        <v>74705.39999999999</v>
      </c>
      <c r="O772" s="71" t="n">
        <v>174312.6</v>
      </c>
      <c r="P772" s="71" t="n">
        <v>53940.89</v>
      </c>
      <c r="Q772" s="71" t="n">
        <v>120371.71</v>
      </c>
      <c r="R772" t="inlineStr">
        <is>
          <t>Vaccines</t>
        </is>
      </c>
      <c r="S772" s="70" t="n">
        <v>957</v>
      </c>
      <c r="T772" s="71" t="n">
        <v>41130.69</v>
      </c>
      <c r="U772" t="inlineStr">
        <is>
          <t>Low</t>
        </is>
      </c>
      <c r="V772">
        <f>IF(AND(OR(Dashboard!$C$6="All",E772=Dashboard!$C$6),OR(Dashboard!$F$6="All",G772=Dashboard!$F$6),OR(Dashboard!$I$6="All",H772=Dashboard!$I$6)),1,0)</f>
        <v/>
      </c>
    </row>
    <row r="773">
      <c r="A773" t="inlineStr">
        <is>
          <t>PF100764</t>
        </is>
      </c>
      <c r="B773" s="68" t="n">
        <v>45749</v>
      </c>
      <c r="C773" s="69" t="n">
        <v>2025</v>
      </c>
      <c r="D773" t="inlineStr">
        <is>
          <t>Apr</t>
        </is>
      </c>
      <c r="E773" t="inlineStr">
        <is>
          <t>United States</t>
        </is>
      </c>
      <c r="F773" t="inlineStr">
        <is>
          <t>USA</t>
        </is>
      </c>
      <c r="G773" t="inlineStr">
        <is>
          <t>Xeljanz</t>
        </is>
      </c>
      <c r="H773" t="inlineStr">
        <is>
          <t>Retail pharmacy</t>
        </is>
      </c>
      <c r="I773" t="inlineStr">
        <is>
          <t>Public payer</t>
        </is>
      </c>
      <c r="J773" t="inlineStr">
        <is>
          <t>Lucas Martin</t>
        </is>
      </c>
      <c r="K773" s="70" t="n">
        <v>2100</v>
      </c>
      <c r="L773" s="71" t="n">
        <v>2184.45</v>
      </c>
      <c r="M773" s="71" t="n">
        <v>4587345</v>
      </c>
      <c r="N773" s="71" t="n">
        <v>917469</v>
      </c>
      <c r="O773" s="71" t="n">
        <v>3669876</v>
      </c>
      <c r="P773" s="71" t="n">
        <v>538777.3199999999</v>
      </c>
      <c r="Q773" s="71" t="n">
        <v>3131098.68</v>
      </c>
      <c r="R773" t="inlineStr">
        <is>
          <t>Inflammation</t>
        </is>
      </c>
      <c r="S773" s="70" t="n">
        <v>1562</v>
      </c>
      <c r="T773" s="71" t="n">
        <v>814925.59</v>
      </c>
      <c r="U773" t="inlineStr">
        <is>
          <t>High</t>
        </is>
      </c>
      <c r="V773">
        <f>IF(AND(OR(Dashboard!$C$6="All",E773=Dashboard!$C$6),OR(Dashboard!$F$6="All",G773=Dashboard!$F$6),OR(Dashboard!$I$6="All",H773=Dashboard!$I$6)),1,0)</f>
        <v/>
      </c>
    </row>
    <row r="774">
      <c r="A774" t="inlineStr">
        <is>
          <t>PF100765</t>
        </is>
      </c>
      <c r="B774" s="68" t="n">
        <v>45749</v>
      </c>
      <c r="C774" s="69" t="n">
        <v>2025</v>
      </c>
      <c r="D774" t="inlineStr">
        <is>
          <t>Apr</t>
        </is>
      </c>
      <c r="E774" t="inlineStr">
        <is>
          <t>Emerging markets</t>
        </is>
      </c>
      <c r="F774" t="inlineStr">
        <is>
          <t>Mexico</t>
        </is>
      </c>
      <c r="G774" t="inlineStr">
        <is>
          <t>Xeljanz</t>
        </is>
      </c>
      <c r="H774" t="inlineStr">
        <is>
          <t>Government / tender</t>
        </is>
      </c>
      <c r="I774" t="inlineStr">
        <is>
          <t>Private insurer</t>
        </is>
      </c>
      <c r="J774" t="inlineStr">
        <is>
          <t>Zoya Ahmed</t>
        </is>
      </c>
      <c r="K774" s="70" t="n">
        <v>1187</v>
      </c>
      <c r="L774" s="71" t="n">
        <v>1274.66</v>
      </c>
      <c r="M774" s="71" t="n">
        <v>1513021.42</v>
      </c>
      <c r="N774" s="71" t="n">
        <v>151302.14</v>
      </c>
      <c r="O774" s="71" t="n">
        <v>1361719.28</v>
      </c>
      <c r="P774" s="71" t="n">
        <v>300292.6</v>
      </c>
      <c r="Q774" s="71" t="n">
        <v>1061426.68</v>
      </c>
      <c r="R774" t="inlineStr">
        <is>
          <t>Inflammation</t>
        </is>
      </c>
      <c r="S774" s="70" t="n">
        <v>777</v>
      </c>
      <c r="T774" s="71" t="n">
        <v>195963.51</v>
      </c>
      <c r="U774" t="inlineStr">
        <is>
          <t>High</t>
        </is>
      </c>
      <c r="V774">
        <f>IF(AND(OR(Dashboard!$C$6="All",E774=Dashboard!$C$6),OR(Dashboard!$F$6="All",G774=Dashboard!$F$6),OR(Dashboard!$I$6="All",H774=Dashboard!$I$6)),1,0)</f>
        <v/>
      </c>
    </row>
    <row r="775">
      <c r="A775" t="inlineStr">
        <is>
          <t>PF100766</t>
        </is>
      </c>
      <c r="B775" s="68" t="n">
        <v>45750</v>
      </c>
      <c r="C775" s="69" t="n">
        <v>2025</v>
      </c>
      <c r="D775" t="inlineStr">
        <is>
          <t>Apr</t>
        </is>
      </c>
      <c r="E775" t="inlineStr">
        <is>
          <t>Emerging markets</t>
        </is>
      </c>
      <c r="F775" t="inlineStr">
        <is>
          <t>Mexico</t>
        </is>
      </c>
      <c r="G775" t="inlineStr">
        <is>
          <t>Eliquis</t>
        </is>
      </c>
      <c r="H775" t="inlineStr">
        <is>
          <t>Government / tender</t>
        </is>
      </c>
      <c r="I775" t="inlineStr">
        <is>
          <t>Private insurer</t>
        </is>
      </c>
      <c r="J775" t="inlineStr">
        <is>
          <t>Priya Nair</t>
        </is>
      </c>
      <c r="K775" s="70" t="n">
        <v>1360</v>
      </c>
      <c r="L775" s="71" t="n">
        <v>415.24</v>
      </c>
      <c r="M775" s="71" t="n">
        <v>564726.4</v>
      </c>
      <c r="N775" s="71" t="n">
        <v>28236.32</v>
      </c>
      <c r="O775" s="71" t="n">
        <v>536490.08</v>
      </c>
      <c r="P775" s="71" t="n">
        <v>101513.62</v>
      </c>
      <c r="Q775" s="71" t="n">
        <v>434976.46</v>
      </c>
      <c r="R775" t="inlineStr">
        <is>
          <t>Cardiology</t>
        </is>
      </c>
      <c r="S775" s="70" t="n">
        <v>1125</v>
      </c>
      <c r="T775" s="71" t="n">
        <v>89221.17</v>
      </c>
      <c r="U775" t="inlineStr">
        <is>
          <t>High</t>
        </is>
      </c>
      <c r="V775">
        <f>IF(AND(OR(Dashboard!$C$6="All",E775=Dashboard!$C$6),OR(Dashboard!$F$6="All",G775=Dashboard!$F$6),OR(Dashboard!$I$6="All",H775=Dashboard!$I$6)),1,0)</f>
        <v/>
      </c>
    </row>
    <row r="776">
      <c r="A776" t="inlineStr">
        <is>
          <t>PF100767</t>
        </is>
      </c>
      <c r="B776" s="68" t="n">
        <v>45750</v>
      </c>
      <c r="C776" s="69" t="n">
        <v>2025</v>
      </c>
      <c r="D776" t="inlineStr">
        <is>
          <t>Apr</t>
        </is>
      </c>
      <c r="E776" t="inlineStr">
        <is>
          <t>Europe</t>
        </is>
      </c>
      <c r="F776" t="inlineStr">
        <is>
          <t>Spain</t>
        </is>
      </c>
      <c r="G776" t="inlineStr">
        <is>
          <t>Paxlovid</t>
        </is>
      </c>
      <c r="H776" t="inlineStr">
        <is>
          <t>Retail pharmacy</t>
        </is>
      </c>
      <c r="I776" t="inlineStr">
        <is>
          <t>Private insurer</t>
        </is>
      </c>
      <c r="J776" t="inlineStr">
        <is>
          <t>Amir Khan</t>
        </is>
      </c>
      <c r="K776" s="70" t="n">
        <v>469</v>
      </c>
      <c r="L776" s="71" t="n">
        <v>1127.15</v>
      </c>
      <c r="M776" s="71" t="n">
        <v>528633.35</v>
      </c>
      <c r="N776" s="71" t="n">
        <v>105726.67</v>
      </c>
      <c r="O776" s="71" t="n">
        <v>422906.68</v>
      </c>
      <c r="P776" s="71" t="n">
        <v>128347.89</v>
      </c>
      <c r="Q776" s="71" t="n">
        <v>294558.79</v>
      </c>
      <c r="R776" t="inlineStr">
        <is>
          <t>Antiviral</t>
        </is>
      </c>
      <c r="S776" s="70" t="n">
        <v>445</v>
      </c>
      <c r="T776" s="71" t="n">
        <v>64270.49</v>
      </c>
      <c r="U776" t="inlineStr">
        <is>
          <t>Low</t>
        </is>
      </c>
      <c r="V776">
        <f>IF(AND(OR(Dashboard!$C$6="All",E776=Dashboard!$C$6),OR(Dashboard!$F$6="All",G776=Dashboard!$F$6),OR(Dashboard!$I$6="All",H776=Dashboard!$I$6)),1,0)</f>
        <v/>
      </c>
    </row>
    <row r="777">
      <c r="A777" t="inlineStr">
        <is>
          <t>PF100768</t>
        </is>
      </c>
      <c r="B777" s="68" t="n">
        <v>45750</v>
      </c>
      <c r="C777" s="69" t="n">
        <v>2025</v>
      </c>
      <c r="D777" t="inlineStr">
        <is>
          <t>Apr</t>
        </is>
      </c>
      <c r="E777" t="inlineStr">
        <is>
          <t>International developed</t>
        </is>
      </c>
      <c r="F777" t="inlineStr">
        <is>
          <t>Japan</t>
        </is>
      </c>
      <c r="G777" t="inlineStr">
        <is>
          <t>Xeljanz</t>
        </is>
      </c>
      <c r="H777" t="inlineStr">
        <is>
          <t>Retail pharmacy</t>
        </is>
      </c>
      <c r="I777" t="inlineStr">
        <is>
          <t>Public payer</t>
        </is>
      </c>
      <c r="J777" t="inlineStr">
        <is>
          <t>Olivia Brown</t>
        </is>
      </c>
      <c r="K777" s="70" t="n">
        <v>1435</v>
      </c>
      <c r="L777" s="71" t="n">
        <v>1410.24</v>
      </c>
      <c r="M777" s="71" t="n">
        <v>2023694.4</v>
      </c>
      <c r="N777" s="71" t="n">
        <v>303554.16</v>
      </c>
      <c r="O777" s="71" t="n">
        <v>1720140.24</v>
      </c>
      <c r="P777" s="71" t="n">
        <v>373221.85</v>
      </c>
      <c r="Q777" s="71" t="n">
        <v>1346918.39</v>
      </c>
      <c r="R777" t="inlineStr">
        <is>
          <t>Inflammation</t>
        </is>
      </c>
      <c r="S777" s="70" t="n">
        <v>1144</v>
      </c>
      <c r="T777" s="71" t="n">
        <v>324962.22</v>
      </c>
      <c r="U777" t="inlineStr">
        <is>
          <t>High</t>
        </is>
      </c>
      <c r="V777">
        <f>IF(AND(OR(Dashboard!$C$6="All",E777=Dashboard!$C$6),OR(Dashboard!$F$6="All",G777=Dashboard!$F$6),OR(Dashboard!$I$6="All",H777=Dashboard!$I$6)),1,0)</f>
        <v/>
      </c>
    </row>
    <row r="778">
      <c r="A778" t="inlineStr">
        <is>
          <t>PF100769</t>
        </is>
      </c>
      <c r="B778" s="68" t="n">
        <v>45750</v>
      </c>
      <c r="C778" s="69" t="n">
        <v>2025</v>
      </c>
      <c r="D778" t="inlineStr">
        <is>
          <t>Apr</t>
        </is>
      </c>
      <c r="E778" t="inlineStr">
        <is>
          <t>Europe</t>
        </is>
      </c>
      <c r="F778" t="inlineStr">
        <is>
          <t>Italy</t>
        </is>
      </c>
      <c r="G778" t="inlineStr">
        <is>
          <t>Ibrance</t>
        </is>
      </c>
      <c r="H778" t="inlineStr">
        <is>
          <t>Hospital</t>
        </is>
      </c>
      <c r="I778" t="inlineStr">
        <is>
          <t>Private insurer</t>
        </is>
      </c>
      <c r="J778" t="inlineStr">
        <is>
          <t>Aisha Bello</t>
        </is>
      </c>
      <c r="K778" s="70" t="n">
        <v>1801</v>
      </c>
      <c r="L778" s="71" t="n">
        <v>2667.11</v>
      </c>
      <c r="M778" s="71" t="n">
        <v>4803465.11</v>
      </c>
      <c r="N778" s="71" t="n">
        <v>720519.77</v>
      </c>
      <c r="O778" s="71" t="n">
        <v>4082945.34</v>
      </c>
      <c r="P778" s="71" t="n">
        <v>804805.95</v>
      </c>
      <c r="Q778" s="71" t="n">
        <v>3278139.39</v>
      </c>
      <c r="R778" t="inlineStr">
        <is>
          <t>Oncology</t>
        </is>
      </c>
      <c r="S778" s="70" t="n">
        <v>1142</v>
      </c>
      <c r="T778" s="71" t="n">
        <v>828461.62</v>
      </c>
      <c r="U778" t="inlineStr">
        <is>
          <t>High</t>
        </is>
      </c>
      <c r="V778">
        <f>IF(AND(OR(Dashboard!$C$6="All",E778=Dashboard!$C$6),OR(Dashboard!$F$6="All",G778=Dashboard!$F$6),OR(Dashboard!$I$6="All",H778=Dashboard!$I$6)),1,0)</f>
        <v/>
      </c>
    </row>
    <row r="779">
      <c r="A779" t="inlineStr">
        <is>
          <t>PF100770</t>
        </is>
      </c>
      <c r="B779" s="68" t="n">
        <v>45750</v>
      </c>
      <c r="C779" s="69" t="n">
        <v>2025</v>
      </c>
      <c r="D779" t="inlineStr">
        <is>
          <t>Apr</t>
        </is>
      </c>
      <c r="E779" t="inlineStr">
        <is>
          <t>United States</t>
        </is>
      </c>
      <c r="F779" t="inlineStr">
        <is>
          <t>USA</t>
        </is>
      </c>
      <c r="G779" t="inlineStr">
        <is>
          <t>Eliquis</t>
        </is>
      </c>
      <c r="H779" t="inlineStr">
        <is>
          <t>Government / tender</t>
        </is>
      </c>
      <c r="I779" t="inlineStr">
        <is>
          <t>Private insurer</t>
        </is>
      </c>
      <c r="J779" t="inlineStr">
        <is>
          <t>Sophie Müller</t>
        </is>
      </c>
      <c r="K779" s="70" t="n">
        <v>905</v>
      </c>
      <c r="L779" s="71" t="n">
        <v>631.12</v>
      </c>
      <c r="M779" s="71" t="n">
        <v>571163.6</v>
      </c>
      <c r="N779" s="71" t="n">
        <v>199907.26</v>
      </c>
      <c r="O779" s="71" t="n">
        <v>371256.34</v>
      </c>
      <c r="P779" s="71" t="n">
        <v>67540</v>
      </c>
      <c r="Q779" s="71" t="n">
        <v>303716.34</v>
      </c>
      <c r="R779" t="inlineStr">
        <is>
          <t>Cardiology</t>
        </is>
      </c>
      <c r="S779" s="70" t="n">
        <v>584</v>
      </c>
      <c r="T779" s="71" t="n">
        <v>69093.77</v>
      </c>
      <c r="U779" t="inlineStr">
        <is>
          <t>High</t>
        </is>
      </c>
      <c r="V779">
        <f>IF(AND(OR(Dashboard!$C$6="All",E779=Dashboard!$C$6),OR(Dashboard!$F$6="All",G779=Dashboard!$F$6),OR(Dashboard!$I$6="All",H779=Dashboard!$I$6)),1,0)</f>
        <v/>
      </c>
    </row>
    <row r="780">
      <c r="A780" t="inlineStr">
        <is>
          <t>PF100771</t>
        </is>
      </c>
      <c r="B780" s="68" t="n">
        <v>45750</v>
      </c>
      <c r="C780" s="69" t="n">
        <v>2025</v>
      </c>
      <c r="D780" t="inlineStr">
        <is>
          <t>Apr</t>
        </is>
      </c>
      <c r="E780" t="inlineStr">
        <is>
          <t>Europe</t>
        </is>
      </c>
      <c r="F780" t="inlineStr">
        <is>
          <t>UK</t>
        </is>
      </c>
      <c r="G780" t="inlineStr">
        <is>
          <t>Prevnar 20</t>
        </is>
      </c>
      <c r="H780" t="inlineStr">
        <is>
          <t>Hospital</t>
        </is>
      </c>
      <c r="I780" t="inlineStr">
        <is>
          <t>Private insurer</t>
        </is>
      </c>
      <c r="J780" t="inlineStr">
        <is>
          <t>Sara Rossi</t>
        </is>
      </c>
      <c r="K780" s="70" t="n">
        <v>428</v>
      </c>
      <c r="L780" s="71" t="n">
        <v>228.42</v>
      </c>
      <c r="M780" s="71" t="n">
        <v>97763.75999999999</v>
      </c>
      <c r="N780" s="71" t="n">
        <v>9776.379999999999</v>
      </c>
      <c r="O780" s="71" t="n">
        <v>87987.38</v>
      </c>
      <c r="P780" s="71" t="n">
        <v>28772.47</v>
      </c>
      <c r="Q780" s="71" t="n">
        <v>59214.91</v>
      </c>
      <c r="R780" t="inlineStr">
        <is>
          <t>Vaccines</t>
        </is>
      </c>
      <c r="S780" s="70" t="n">
        <v>272</v>
      </c>
      <c r="T780" s="71" t="n">
        <v>12082.8</v>
      </c>
      <c r="U780" t="inlineStr">
        <is>
          <t>Low</t>
        </is>
      </c>
      <c r="V780">
        <f>IF(AND(OR(Dashboard!$C$6="All",E780=Dashboard!$C$6),OR(Dashboard!$F$6="All",G780=Dashboard!$F$6),OR(Dashboard!$I$6="All",H780=Dashboard!$I$6)),1,0)</f>
        <v/>
      </c>
    </row>
    <row r="781">
      <c r="A781" t="inlineStr">
        <is>
          <t>PF100772</t>
        </is>
      </c>
      <c r="B781" s="68" t="n">
        <v>45750</v>
      </c>
      <c r="C781" s="69" t="n">
        <v>2025</v>
      </c>
      <c r="D781" t="inlineStr">
        <is>
          <t>Apr</t>
        </is>
      </c>
      <c r="E781" t="inlineStr">
        <is>
          <t>United States</t>
        </is>
      </c>
      <c r="F781" t="inlineStr">
        <is>
          <t>USA</t>
        </is>
      </c>
      <c r="G781" t="inlineStr">
        <is>
          <t>Paxlovid</t>
        </is>
      </c>
      <c r="H781" t="inlineStr">
        <is>
          <t>Retail pharmacy</t>
        </is>
      </c>
      <c r="I781" t="inlineStr">
        <is>
          <t>Private insurer</t>
        </is>
      </c>
      <c r="J781" t="inlineStr">
        <is>
          <t>Amir Khan</t>
        </is>
      </c>
      <c r="K781" s="70" t="n">
        <v>2268</v>
      </c>
      <c r="L781" s="71" t="n">
        <v>1921.81</v>
      </c>
      <c r="M781" s="71" t="n">
        <v>4358665.08</v>
      </c>
      <c r="N781" s="71" t="n">
        <v>1089666.27</v>
      </c>
      <c r="O781" s="71" t="n">
        <v>3268998.81</v>
      </c>
      <c r="P781" s="71" t="n">
        <v>624131.48</v>
      </c>
      <c r="Q781" s="71" t="n">
        <v>2644867.33</v>
      </c>
      <c r="R781" t="inlineStr">
        <is>
          <t>Antiviral</t>
        </is>
      </c>
      <c r="S781" s="70" t="n">
        <v>1595</v>
      </c>
      <c r="T781" s="71" t="n">
        <v>790275.91</v>
      </c>
      <c r="U781" t="inlineStr">
        <is>
          <t>Low</t>
        </is>
      </c>
      <c r="V781">
        <f>IF(AND(OR(Dashboard!$C$6="All",E781=Dashboard!$C$6),OR(Dashboard!$F$6="All",G781=Dashboard!$F$6),OR(Dashboard!$I$6="All",H781=Dashboard!$I$6)),1,0)</f>
        <v/>
      </c>
    </row>
    <row r="782">
      <c r="A782" t="inlineStr">
        <is>
          <t>PF100773</t>
        </is>
      </c>
      <c r="B782" s="68" t="n">
        <v>45750</v>
      </c>
      <c r="C782" s="69" t="n">
        <v>2025</v>
      </c>
      <c r="D782" t="inlineStr">
        <is>
          <t>Apr</t>
        </is>
      </c>
      <c r="E782" t="inlineStr">
        <is>
          <t>United States</t>
        </is>
      </c>
      <c r="F782" t="inlineStr">
        <is>
          <t>USA</t>
        </is>
      </c>
      <c r="G782" t="inlineStr">
        <is>
          <t>Prevnar 20</t>
        </is>
      </c>
      <c r="H782" t="inlineStr">
        <is>
          <t>Hospital</t>
        </is>
      </c>
      <c r="I782" t="inlineStr">
        <is>
          <t>Private insurer</t>
        </is>
      </c>
      <c r="J782" t="inlineStr">
        <is>
          <t>Noah Smith</t>
        </is>
      </c>
      <c r="K782" s="70" t="n">
        <v>895</v>
      </c>
      <c r="L782" s="71" t="n">
        <v>336.48</v>
      </c>
      <c r="M782" s="71" t="n">
        <v>301149.6</v>
      </c>
      <c r="N782" s="71" t="n">
        <v>45172.44</v>
      </c>
      <c r="O782" s="71" t="n">
        <v>255977.16</v>
      </c>
      <c r="P782" s="71" t="n">
        <v>59396.91</v>
      </c>
      <c r="Q782" s="71" t="n">
        <v>196580.25</v>
      </c>
      <c r="R782" t="inlineStr">
        <is>
          <t>Vaccines</t>
        </is>
      </c>
      <c r="S782" s="70" t="n">
        <v>705</v>
      </c>
      <c r="T782" s="71" t="n">
        <v>49927.29</v>
      </c>
      <c r="U782" t="inlineStr">
        <is>
          <t>Low</t>
        </is>
      </c>
      <c r="V782">
        <f>IF(AND(OR(Dashboard!$C$6="All",E782=Dashboard!$C$6),OR(Dashboard!$F$6="All",G782=Dashboard!$F$6),OR(Dashboard!$I$6="All",H782=Dashboard!$I$6)),1,0)</f>
        <v/>
      </c>
    </row>
    <row r="783">
      <c r="A783" t="inlineStr">
        <is>
          <t>PF100774</t>
        </is>
      </c>
      <c r="B783" s="68" t="n">
        <v>45750</v>
      </c>
      <c r="C783" s="69" t="n">
        <v>2025</v>
      </c>
      <c r="D783" t="inlineStr">
        <is>
          <t>Apr</t>
        </is>
      </c>
      <c r="E783" t="inlineStr">
        <is>
          <t>United States</t>
        </is>
      </c>
      <c r="F783" t="inlineStr">
        <is>
          <t>USA</t>
        </is>
      </c>
      <c r="G783" t="inlineStr">
        <is>
          <t>Prevnar 20</t>
        </is>
      </c>
      <c r="H783" t="inlineStr">
        <is>
          <t>Hospital</t>
        </is>
      </c>
      <c r="I783" t="inlineStr">
        <is>
          <t>Private insurer</t>
        </is>
      </c>
      <c r="J783" t="inlineStr">
        <is>
          <t>Carlos Silva</t>
        </is>
      </c>
      <c r="K783" s="70" t="n">
        <v>263</v>
      </c>
      <c r="L783" s="71" t="n">
        <v>400.5</v>
      </c>
      <c r="M783" s="71" t="n">
        <v>105331.5</v>
      </c>
      <c r="N783" s="71" t="n">
        <v>26332.88</v>
      </c>
      <c r="O783" s="71" t="n">
        <v>78998.62</v>
      </c>
      <c r="P783" s="71" t="n">
        <v>17494.04</v>
      </c>
      <c r="Q783" s="71" t="n">
        <v>61504.58</v>
      </c>
      <c r="R783" t="inlineStr">
        <is>
          <t>Vaccines</t>
        </is>
      </c>
      <c r="S783" s="70" t="n">
        <v>247</v>
      </c>
      <c r="T783" s="71" t="n">
        <v>14820.55</v>
      </c>
      <c r="U783" t="inlineStr">
        <is>
          <t>Low</t>
        </is>
      </c>
      <c r="V783">
        <f>IF(AND(OR(Dashboard!$C$6="All",E783=Dashboard!$C$6),OR(Dashboard!$F$6="All",G783=Dashboard!$F$6),OR(Dashboard!$I$6="All",H783=Dashboard!$I$6)),1,0)</f>
        <v/>
      </c>
    </row>
    <row r="784">
      <c r="A784" t="inlineStr">
        <is>
          <t>PF100775</t>
        </is>
      </c>
      <c r="B784" s="68" t="n">
        <v>45750</v>
      </c>
      <c r="C784" s="69" t="n">
        <v>2025</v>
      </c>
      <c r="D784" t="inlineStr">
        <is>
          <t>Apr</t>
        </is>
      </c>
      <c r="E784" t="inlineStr">
        <is>
          <t>United States</t>
        </is>
      </c>
      <c r="F784" t="inlineStr">
        <is>
          <t>USA</t>
        </is>
      </c>
      <c r="G784" t="inlineStr">
        <is>
          <t>Vyndaqel</t>
        </is>
      </c>
      <c r="H784" t="inlineStr">
        <is>
          <t>Retail pharmacy</t>
        </is>
      </c>
      <c r="I784" t="inlineStr">
        <is>
          <t>Private insurer</t>
        </is>
      </c>
      <c r="J784" t="inlineStr">
        <is>
          <t>Sophie Müller</t>
        </is>
      </c>
      <c r="K784" s="70" t="n">
        <v>239</v>
      </c>
      <c r="L784" s="71" t="n">
        <v>8351.389999999999</v>
      </c>
      <c r="M784" s="71" t="n">
        <v>1995982.21</v>
      </c>
      <c r="N784" s="71" t="n">
        <v>399196.44</v>
      </c>
      <c r="O784" s="71" t="n">
        <v>1596785.77</v>
      </c>
      <c r="P784" s="71" t="n">
        <v>154419.96</v>
      </c>
      <c r="Q784" s="71" t="n">
        <v>1442365.81</v>
      </c>
      <c r="R784" t="inlineStr">
        <is>
          <t>Rare disease</t>
        </is>
      </c>
      <c r="S784" s="70" t="n">
        <v>201</v>
      </c>
      <c r="T784" s="71" t="n">
        <v>275114.56</v>
      </c>
      <c r="U784" t="inlineStr">
        <is>
          <t>Medium</t>
        </is>
      </c>
      <c r="V784">
        <f>IF(AND(OR(Dashboard!$C$6="All",E784=Dashboard!$C$6),OR(Dashboard!$F$6="All",G784=Dashboard!$F$6),OR(Dashboard!$I$6="All",H784=Dashboard!$I$6)),1,0)</f>
        <v/>
      </c>
    </row>
    <row r="785">
      <c r="A785" t="inlineStr">
        <is>
          <t>PF100776</t>
        </is>
      </c>
      <c r="B785" s="68" t="n">
        <v>45750</v>
      </c>
      <c r="C785" s="69" t="n">
        <v>2025</v>
      </c>
      <c r="D785" t="inlineStr">
        <is>
          <t>Apr</t>
        </is>
      </c>
      <c r="E785" t="inlineStr">
        <is>
          <t>Emerging markets</t>
        </is>
      </c>
      <c r="F785" t="inlineStr">
        <is>
          <t>Mexico</t>
        </is>
      </c>
      <c r="G785" t="inlineStr">
        <is>
          <t>Vyndaqel</t>
        </is>
      </c>
      <c r="H785" t="inlineStr">
        <is>
          <t>Retail pharmacy</t>
        </is>
      </c>
      <c r="I785" t="inlineStr">
        <is>
          <t>Private insurer</t>
        </is>
      </c>
      <c r="J785" t="inlineStr">
        <is>
          <t>Noah Smith</t>
        </is>
      </c>
      <c r="K785" s="70" t="n">
        <v>1666</v>
      </c>
      <c r="L785" s="71" t="n">
        <v>5333.65</v>
      </c>
      <c r="M785" s="71" t="n">
        <v>8885860.9</v>
      </c>
      <c r="N785" s="71" t="n">
        <v>888586.09</v>
      </c>
      <c r="O785" s="71" t="n">
        <v>7997274.81</v>
      </c>
      <c r="P785" s="71" t="n">
        <v>1077721.51</v>
      </c>
      <c r="Q785" s="71" t="n">
        <v>6919553.3</v>
      </c>
      <c r="R785" t="inlineStr">
        <is>
          <t>Rare disease</t>
        </is>
      </c>
      <c r="S785" s="70" t="n">
        <v>1499</v>
      </c>
      <c r="T785" s="71" t="n">
        <v>1455313.21</v>
      </c>
      <c r="U785" t="inlineStr">
        <is>
          <t>Medium</t>
        </is>
      </c>
      <c r="V785">
        <f>IF(AND(OR(Dashboard!$C$6="All",E785=Dashboard!$C$6),OR(Dashboard!$F$6="All",G785=Dashboard!$F$6),OR(Dashboard!$I$6="All",H785=Dashboard!$I$6)),1,0)</f>
        <v/>
      </c>
    </row>
    <row r="786">
      <c r="A786" t="inlineStr">
        <is>
          <t>PF100777</t>
        </is>
      </c>
      <c r="B786" s="68" t="n">
        <v>45750</v>
      </c>
      <c r="C786" s="69" t="n">
        <v>2025</v>
      </c>
      <c r="D786" t="inlineStr">
        <is>
          <t>Apr</t>
        </is>
      </c>
      <c r="E786" t="inlineStr">
        <is>
          <t>United States</t>
        </is>
      </c>
      <c r="F786" t="inlineStr">
        <is>
          <t>USA</t>
        </is>
      </c>
      <c r="G786" t="inlineStr">
        <is>
          <t>Vyndaqel</t>
        </is>
      </c>
      <c r="H786" t="inlineStr">
        <is>
          <t>Retail pharmacy</t>
        </is>
      </c>
      <c r="I786" t="inlineStr">
        <is>
          <t>Public payer</t>
        </is>
      </c>
      <c r="J786" t="inlineStr">
        <is>
          <t>Noah Smith</t>
        </is>
      </c>
      <c r="K786" s="70" t="n">
        <v>425</v>
      </c>
      <c r="L786" s="71" t="n">
        <v>7715.33</v>
      </c>
      <c r="M786" s="71" t="n">
        <v>3279015.25</v>
      </c>
      <c r="N786" s="71" t="n">
        <v>1147655.34</v>
      </c>
      <c r="O786" s="71" t="n">
        <v>2131359.91</v>
      </c>
      <c r="P786" s="71" t="n">
        <v>271828.86</v>
      </c>
      <c r="Q786" s="71" t="n">
        <v>1859531.05</v>
      </c>
      <c r="R786" t="inlineStr">
        <is>
          <t>Rare disease</t>
        </is>
      </c>
      <c r="S786" s="70" t="n">
        <v>417</v>
      </c>
      <c r="T786" s="71" t="n">
        <v>461836.99</v>
      </c>
      <c r="U786" t="inlineStr">
        <is>
          <t>Medium</t>
        </is>
      </c>
      <c r="V786">
        <f>IF(AND(OR(Dashboard!$C$6="All",E786=Dashboard!$C$6),OR(Dashboard!$F$6="All",G786=Dashboard!$F$6),OR(Dashboard!$I$6="All",H786=Dashboard!$I$6)),1,0)</f>
        <v/>
      </c>
    </row>
    <row r="787">
      <c r="A787" t="inlineStr">
        <is>
          <t>PF100778</t>
        </is>
      </c>
      <c r="B787" s="68" t="n">
        <v>45751</v>
      </c>
      <c r="C787" s="69" t="n">
        <v>2025</v>
      </c>
      <c r="D787" t="inlineStr">
        <is>
          <t>Apr</t>
        </is>
      </c>
      <c r="E787" t="inlineStr">
        <is>
          <t>International developed</t>
        </is>
      </c>
      <c r="F787" t="inlineStr">
        <is>
          <t>Australia</t>
        </is>
      </c>
      <c r="G787" t="inlineStr">
        <is>
          <t>Prevnar 20</t>
        </is>
      </c>
      <c r="H787" t="inlineStr">
        <is>
          <t>Hospital</t>
        </is>
      </c>
      <c r="I787" t="inlineStr">
        <is>
          <t>Public payer</t>
        </is>
      </c>
      <c r="J787" t="inlineStr">
        <is>
          <t>Noah Smith</t>
        </is>
      </c>
      <c r="K787" s="70" t="n">
        <v>253</v>
      </c>
      <c r="L787" s="71" t="n">
        <v>225.91</v>
      </c>
      <c r="M787" s="71" t="n">
        <v>57155.23</v>
      </c>
      <c r="N787" s="71" t="n">
        <v>8573.280000000001</v>
      </c>
      <c r="O787" s="71" t="n">
        <v>48581.95</v>
      </c>
      <c r="P787" s="71" t="n">
        <v>17914.7</v>
      </c>
      <c r="Q787" s="71" t="n">
        <v>30667.25</v>
      </c>
      <c r="R787" t="inlineStr">
        <is>
          <t>Vaccines</t>
        </is>
      </c>
      <c r="S787" s="70" t="n">
        <v>250</v>
      </c>
      <c r="T787" s="71" t="n">
        <v>11674.52</v>
      </c>
      <c r="U787" t="inlineStr">
        <is>
          <t>Low</t>
        </is>
      </c>
      <c r="V787">
        <f>IF(AND(OR(Dashboard!$C$6="All",E787=Dashboard!$C$6),OR(Dashboard!$F$6="All",G787=Dashboard!$F$6),OR(Dashboard!$I$6="All",H787=Dashboard!$I$6)),1,0)</f>
        <v/>
      </c>
    </row>
    <row r="788">
      <c r="A788" t="inlineStr">
        <is>
          <t>PF100779</t>
        </is>
      </c>
      <c r="B788" s="68" t="n">
        <v>45751</v>
      </c>
      <c r="C788" s="69" t="n">
        <v>2025</v>
      </c>
      <c r="D788" t="inlineStr">
        <is>
          <t>Apr</t>
        </is>
      </c>
      <c r="E788" t="inlineStr">
        <is>
          <t>United States</t>
        </is>
      </c>
      <c r="F788" t="inlineStr">
        <is>
          <t>USA</t>
        </is>
      </c>
      <c r="G788" t="inlineStr">
        <is>
          <t>Paxlovid</t>
        </is>
      </c>
      <c r="H788" t="inlineStr">
        <is>
          <t>Government / tender</t>
        </is>
      </c>
      <c r="I788" t="inlineStr">
        <is>
          <t>Private insurer</t>
        </is>
      </c>
      <c r="J788" t="inlineStr">
        <is>
          <t>Omar Haddad</t>
        </is>
      </c>
      <c r="K788" s="70" t="n">
        <v>2149</v>
      </c>
      <c r="L788" s="71" t="n">
        <v>1722.29</v>
      </c>
      <c r="M788" s="71" t="n">
        <v>3701201.21</v>
      </c>
      <c r="N788" s="71" t="n">
        <v>555180.1800000001</v>
      </c>
      <c r="O788" s="71" t="n">
        <v>3146021.03</v>
      </c>
      <c r="P788" s="71" t="n">
        <v>579857.87</v>
      </c>
      <c r="Q788" s="71" t="n">
        <v>2566163.16</v>
      </c>
      <c r="R788" t="inlineStr">
        <is>
          <t>Antiviral</t>
        </is>
      </c>
      <c r="S788" s="70" t="n">
        <v>1905</v>
      </c>
      <c r="T788" s="71" t="n">
        <v>685444.21</v>
      </c>
      <c r="U788" t="inlineStr">
        <is>
          <t>Low</t>
        </is>
      </c>
      <c r="V788">
        <f>IF(AND(OR(Dashboard!$C$6="All",E788=Dashboard!$C$6),OR(Dashboard!$F$6="All",G788=Dashboard!$F$6),OR(Dashboard!$I$6="All",H788=Dashboard!$I$6)),1,0)</f>
        <v/>
      </c>
    </row>
    <row r="789">
      <c r="A789" t="inlineStr">
        <is>
          <t>PF100780</t>
        </is>
      </c>
      <c r="B789" s="68" t="n">
        <v>45751</v>
      </c>
      <c r="C789" s="69" t="n">
        <v>2025</v>
      </c>
      <c r="D789" t="inlineStr">
        <is>
          <t>Apr</t>
        </is>
      </c>
      <c r="E789" t="inlineStr">
        <is>
          <t>United States</t>
        </is>
      </c>
      <c r="F789" t="inlineStr">
        <is>
          <t>USA</t>
        </is>
      </c>
      <c r="G789" t="inlineStr">
        <is>
          <t>Prevnar 20</t>
        </is>
      </c>
      <c r="H789" t="inlineStr">
        <is>
          <t>Hospital</t>
        </is>
      </c>
      <c r="I789" t="inlineStr">
        <is>
          <t>Private insurer</t>
        </is>
      </c>
      <c r="J789" t="inlineStr">
        <is>
          <t>Hiroshi Tanaka</t>
        </is>
      </c>
      <c r="K789" s="70" t="n">
        <v>2289</v>
      </c>
      <c r="L789" s="71" t="n">
        <v>333.89</v>
      </c>
      <c r="M789" s="71" t="n">
        <v>764274.21</v>
      </c>
      <c r="N789" s="71" t="n">
        <v>114641.13</v>
      </c>
      <c r="O789" s="71" t="n">
        <v>649633.08</v>
      </c>
      <c r="P789" s="71" t="n">
        <v>164120.06</v>
      </c>
      <c r="Q789" s="71" t="n">
        <v>485513.02</v>
      </c>
      <c r="R789" t="inlineStr">
        <is>
          <t>Vaccines</t>
        </is>
      </c>
      <c r="S789" s="70" t="n">
        <v>1734</v>
      </c>
      <c r="T789" s="71" t="n">
        <v>145407.98</v>
      </c>
      <c r="U789" t="inlineStr">
        <is>
          <t>Low</t>
        </is>
      </c>
      <c r="V789">
        <f>IF(AND(OR(Dashboard!$C$6="All",E789=Dashboard!$C$6),OR(Dashboard!$F$6="All",G789=Dashboard!$F$6),OR(Dashboard!$I$6="All",H789=Dashboard!$I$6)),1,0)</f>
        <v/>
      </c>
    </row>
    <row r="790">
      <c r="A790" t="inlineStr">
        <is>
          <t>PF100781</t>
        </is>
      </c>
      <c r="B790" s="68" t="n">
        <v>45751</v>
      </c>
      <c r="C790" s="69" t="n">
        <v>2025</v>
      </c>
      <c r="D790" t="inlineStr">
        <is>
          <t>Apr</t>
        </is>
      </c>
      <c r="E790" t="inlineStr">
        <is>
          <t>Emerging markets</t>
        </is>
      </c>
      <c r="F790" t="inlineStr">
        <is>
          <t>Mexico</t>
        </is>
      </c>
      <c r="G790" t="inlineStr">
        <is>
          <t>Ibrance</t>
        </is>
      </c>
      <c r="H790" t="inlineStr">
        <is>
          <t>Retail pharmacy</t>
        </is>
      </c>
      <c r="I790" t="inlineStr">
        <is>
          <t>Public payer</t>
        </is>
      </c>
      <c r="J790" t="inlineStr">
        <is>
          <t>Zoya Ahmed</t>
        </is>
      </c>
      <c r="K790" s="70" t="n">
        <v>1397</v>
      </c>
      <c r="L790" s="71" t="n">
        <v>3168.31</v>
      </c>
      <c r="M790" s="71" t="n">
        <v>4426129.07</v>
      </c>
      <c r="N790" s="71" t="n">
        <v>885225.8100000001</v>
      </c>
      <c r="O790" s="71" t="n">
        <v>3540903.26</v>
      </c>
      <c r="P790" s="71" t="n">
        <v>631649.61</v>
      </c>
      <c r="Q790" s="71" t="n">
        <v>2909253.65</v>
      </c>
      <c r="R790" t="inlineStr">
        <is>
          <t>Oncology</t>
        </is>
      </c>
      <c r="S790" s="70" t="n">
        <v>1137</v>
      </c>
      <c r="T790" s="71" t="n">
        <v>655015.9</v>
      </c>
      <c r="U790" t="inlineStr">
        <is>
          <t>High</t>
        </is>
      </c>
      <c r="V790">
        <f>IF(AND(OR(Dashboard!$C$6="All",E790=Dashboard!$C$6),OR(Dashboard!$F$6="All",G790=Dashboard!$F$6),OR(Dashboard!$I$6="All",H790=Dashboard!$I$6)),1,0)</f>
        <v/>
      </c>
    </row>
    <row r="791">
      <c r="A791" t="inlineStr">
        <is>
          <t>PF100782</t>
        </is>
      </c>
      <c r="B791" s="68" t="n">
        <v>45751</v>
      </c>
      <c r="C791" s="69" t="n">
        <v>2025</v>
      </c>
      <c r="D791" t="inlineStr">
        <is>
          <t>Apr</t>
        </is>
      </c>
      <c r="E791" t="inlineStr">
        <is>
          <t>United States</t>
        </is>
      </c>
      <c r="F791" t="inlineStr">
        <is>
          <t>USA</t>
        </is>
      </c>
      <c r="G791" t="inlineStr">
        <is>
          <t>Prevnar 20</t>
        </is>
      </c>
      <c r="H791" t="inlineStr">
        <is>
          <t>Government / tender</t>
        </is>
      </c>
      <c r="I791" t="inlineStr">
        <is>
          <t>Private insurer</t>
        </is>
      </c>
      <c r="J791" t="inlineStr">
        <is>
          <t>Sophie Müller</t>
        </is>
      </c>
      <c r="K791" s="70" t="n">
        <v>1197</v>
      </c>
      <c r="L791" s="71" t="n">
        <v>367.34</v>
      </c>
      <c r="M791" s="71" t="n">
        <v>439705.98</v>
      </c>
      <c r="N791" s="71" t="n">
        <v>65955.89999999999</v>
      </c>
      <c r="O791" s="71" t="n">
        <v>373750.08</v>
      </c>
      <c r="P791" s="71" t="n">
        <v>81430.16</v>
      </c>
      <c r="Q791" s="71" t="n">
        <v>292319.92</v>
      </c>
      <c r="R791" t="inlineStr">
        <is>
          <t>Vaccines</t>
        </is>
      </c>
      <c r="S791" s="70" t="n">
        <v>1016</v>
      </c>
      <c r="T791" s="71" t="n">
        <v>87343.96000000001</v>
      </c>
      <c r="U791" t="inlineStr">
        <is>
          <t>Low</t>
        </is>
      </c>
      <c r="V791">
        <f>IF(AND(OR(Dashboard!$C$6="All",E791=Dashboard!$C$6),OR(Dashboard!$F$6="All",G791=Dashboard!$F$6),OR(Dashboard!$I$6="All",H791=Dashboard!$I$6)),1,0)</f>
        <v/>
      </c>
    </row>
    <row r="792">
      <c r="A792" t="inlineStr">
        <is>
          <t>PF100783</t>
        </is>
      </c>
      <c r="B792" s="68" t="n">
        <v>45751</v>
      </c>
      <c r="C792" s="69" t="n">
        <v>2025</v>
      </c>
      <c r="D792" t="inlineStr">
        <is>
          <t>Apr</t>
        </is>
      </c>
      <c r="E792" t="inlineStr">
        <is>
          <t>Emerging markets</t>
        </is>
      </c>
      <c r="F792" t="inlineStr">
        <is>
          <t>Mexico</t>
        </is>
      </c>
      <c r="G792" t="inlineStr">
        <is>
          <t>Comirnaty</t>
        </is>
      </c>
      <c r="H792" t="inlineStr">
        <is>
          <t>Hospital</t>
        </is>
      </c>
      <c r="I792" t="inlineStr">
        <is>
          <t>Public payer</t>
        </is>
      </c>
      <c r="J792" t="inlineStr">
        <is>
          <t>Amir Khan</t>
        </is>
      </c>
      <c r="K792" s="70" t="n">
        <v>943</v>
      </c>
      <c r="L792" s="71" t="n">
        <v>101</v>
      </c>
      <c r="M792" s="71" t="n">
        <v>95243</v>
      </c>
      <c r="N792" s="71" t="n">
        <v>19048.6</v>
      </c>
      <c r="O792" s="71" t="n">
        <v>76194.39999999999</v>
      </c>
      <c r="P792" s="71" t="n">
        <v>37157.3</v>
      </c>
      <c r="Q792" s="71" t="n">
        <v>39037.1</v>
      </c>
      <c r="R792" t="inlineStr">
        <is>
          <t>Vaccines</t>
        </is>
      </c>
      <c r="S792" s="70" t="n">
        <v>626</v>
      </c>
      <c r="T792" s="71" t="n">
        <v>15124.67</v>
      </c>
      <c r="U792" t="inlineStr">
        <is>
          <t>Low</t>
        </is>
      </c>
      <c r="V792">
        <f>IF(AND(OR(Dashboard!$C$6="All",E792=Dashboard!$C$6),OR(Dashboard!$F$6="All",G792=Dashboard!$F$6),OR(Dashboard!$I$6="All",H792=Dashboard!$I$6)),1,0)</f>
        <v/>
      </c>
    </row>
    <row r="793">
      <c r="A793" t="inlineStr">
        <is>
          <t>PF100784</t>
        </is>
      </c>
      <c r="B793" s="68" t="n">
        <v>45751</v>
      </c>
      <c r="C793" s="69" t="n">
        <v>2025</v>
      </c>
      <c r="D793" t="inlineStr">
        <is>
          <t>Apr</t>
        </is>
      </c>
      <c r="E793" t="inlineStr">
        <is>
          <t>United States</t>
        </is>
      </c>
      <c r="F793" t="inlineStr">
        <is>
          <t>USA</t>
        </is>
      </c>
      <c r="G793" t="inlineStr">
        <is>
          <t>Xeljanz</t>
        </is>
      </c>
      <c r="H793" t="inlineStr">
        <is>
          <t>Hospital</t>
        </is>
      </c>
      <c r="I793" t="inlineStr">
        <is>
          <t>Private insurer</t>
        </is>
      </c>
      <c r="J793" t="inlineStr">
        <is>
          <t>Mei Lin</t>
        </is>
      </c>
      <c r="K793" s="70" t="n">
        <v>2532</v>
      </c>
      <c r="L793" s="71" t="n">
        <v>2431.23</v>
      </c>
      <c r="M793" s="71" t="n">
        <v>6155874.36</v>
      </c>
      <c r="N793" s="71" t="n">
        <v>1538968.59</v>
      </c>
      <c r="O793" s="71" t="n">
        <v>4616905.77</v>
      </c>
      <c r="P793" s="71" t="n">
        <v>658967.12</v>
      </c>
      <c r="Q793" s="71" t="n">
        <v>3957938.65</v>
      </c>
      <c r="R793" t="inlineStr">
        <is>
          <t>Inflammation</t>
        </is>
      </c>
      <c r="S793" s="70" t="n">
        <v>2091</v>
      </c>
      <c r="T793" s="71" t="n">
        <v>1299788.31</v>
      </c>
      <c r="U793" t="inlineStr">
        <is>
          <t>High</t>
        </is>
      </c>
      <c r="V793">
        <f>IF(AND(OR(Dashboard!$C$6="All",E793=Dashboard!$C$6),OR(Dashboard!$F$6="All",G793=Dashboard!$F$6),OR(Dashboard!$I$6="All",H793=Dashboard!$I$6)),1,0)</f>
        <v/>
      </c>
    </row>
    <row r="794">
      <c r="A794" t="inlineStr">
        <is>
          <t>PF100785</t>
        </is>
      </c>
      <c r="B794" s="68" t="n">
        <v>45751</v>
      </c>
      <c r="C794" s="69" t="n">
        <v>2025</v>
      </c>
      <c r="D794" t="inlineStr">
        <is>
          <t>Apr</t>
        </is>
      </c>
      <c r="E794" t="inlineStr">
        <is>
          <t>Europe</t>
        </is>
      </c>
      <c r="F794" t="inlineStr">
        <is>
          <t>UK</t>
        </is>
      </c>
      <c r="G794" t="inlineStr">
        <is>
          <t>Comirnaty</t>
        </is>
      </c>
      <c r="H794" t="inlineStr">
        <is>
          <t>Retail pharmacy</t>
        </is>
      </c>
      <c r="I794" t="inlineStr">
        <is>
          <t>Public payer</t>
        </is>
      </c>
      <c r="J794" t="inlineStr">
        <is>
          <t>Carlos Silva</t>
        </is>
      </c>
      <c r="K794" s="70" t="n">
        <v>2491</v>
      </c>
      <c r="L794" s="71" t="n">
        <v>109.24</v>
      </c>
      <c r="M794" s="71" t="n">
        <v>272116.84</v>
      </c>
      <c r="N794" s="71" t="n">
        <v>54423.37</v>
      </c>
      <c r="O794" s="71" t="n">
        <v>217693.47</v>
      </c>
      <c r="P794" s="71" t="n">
        <v>99248.67</v>
      </c>
      <c r="Q794" s="71" t="n">
        <v>118444.8</v>
      </c>
      <c r="R794" t="inlineStr">
        <is>
          <t>Vaccines</t>
        </is>
      </c>
      <c r="S794" s="70" t="n">
        <v>1742</v>
      </c>
      <c r="T794" s="71" t="n">
        <v>32975.06</v>
      </c>
      <c r="U794" t="inlineStr">
        <is>
          <t>Low</t>
        </is>
      </c>
      <c r="V794">
        <f>IF(AND(OR(Dashboard!$C$6="All",E794=Dashboard!$C$6),OR(Dashboard!$F$6="All",G794=Dashboard!$F$6),OR(Dashboard!$I$6="All",H794=Dashboard!$I$6)),1,0)</f>
        <v/>
      </c>
    </row>
    <row r="795">
      <c r="A795" t="inlineStr">
        <is>
          <t>PF100786</t>
        </is>
      </c>
      <c r="B795" s="68" t="n">
        <v>45752</v>
      </c>
      <c r="C795" s="69" t="n">
        <v>2025</v>
      </c>
      <c r="D795" t="inlineStr">
        <is>
          <t>Apr</t>
        </is>
      </c>
      <c r="E795" t="inlineStr">
        <is>
          <t>Europe</t>
        </is>
      </c>
      <c r="F795" t="inlineStr">
        <is>
          <t>Germany</t>
        </is>
      </c>
      <c r="G795" t="inlineStr">
        <is>
          <t>Prevnar 20</t>
        </is>
      </c>
      <c r="H795" t="inlineStr">
        <is>
          <t>Government / tender</t>
        </is>
      </c>
      <c r="I795" t="inlineStr">
        <is>
          <t>Self-pay</t>
        </is>
      </c>
      <c r="J795" t="inlineStr">
        <is>
          <t>Arjun Mehta</t>
        </is>
      </c>
      <c r="K795" s="70" t="n">
        <v>2183</v>
      </c>
      <c r="L795" s="71" t="n">
        <v>247.34</v>
      </c>
      <c r="M795" s="71" t="n">
        <v>539943.22</v>
      </c>
      <c r="N795" s="71" t="n">
        <v>134985.8</v>
      </c>
      <c r="O795" s="71" t="n">
        <v>404957.42</v>
      </c>
      <c r="P795" s="71" t="n">
        <v>152415.39</v>
      </c>
      <c r="Q795" s="71" t="n">
        <v>252542.03</v>
      </c>
      <c r="R795" t="inlineStr">
        <is>
          <t>Vaccines</t>
        </is>
      </c>
      <c r="S795" s="70" t="n">
        <v>1677</v>
      </c>
      <c r="T795" s="71" t="n">
        <v>71147.24000000001</v>
      </c>
      <c r="U795" t="inlineStr">
        <is>
          <t>Low</t>
        </is>
      </c>
      <c r="V795">
        <f>IF(AND(OR(Dashboard!$C$6="All",E795=Dashboard!$C$6),OR(Dashboard!$F$6="All",G795=Dashboard!$F$6),OR(Dashboard!$I$6="All",H795=Dashboard!$I$6)),1,0)</f>
        <v/>
      </c>
    </row>
    <row r="796">
      <c r="A796" t="inlineStr">
        <is>
          <t>PF100787</t>
        </is>
      </c>
      <c r="B796" s="68" t="n">
        <v>45752</v>
      </c>
      <c r="C796" s="69" t="n">
        <v>2025</v>
      </c>
      <c r="D796" t="inlineStr">
        <is>
          <t>Apr</t>
        </is>
      </c>
      <c r="E796" t="inlineStr">
        <is>
          <t>Europe</t>
        </is>
      </c>
      <c r="F796" t="inlineStr">
        <is>
          <t>Germany</t>
        </is>
      </c>
      <c r="G796" t="inlineStr">
        <is>
          <t>Eliquis</t>
        </is>
      </c>
      <c r="H796" t="inlineStr">
        <is>
          <t>Retail pharmacy</t>
        </is>
      </c>
      <c r="I796" t="inlineStr">
        <is>
          <t>Private insurer</t>
        </is>
      </c>
      <c r="J796" t="inlineStr">
        <is>
          <t>Sophie Müller</t>
        </is>
      </c>
      <c r="K796" s="70" t="n">
        <v>2531</v>
      </c>
      <c r="L796" s="71" t="n">
        <v>425.46</v>
      </c>
      <c r="M796" s="71" t="n">
        <v>1076839.26</v>
      </c>
      <c r="N796" s="71" t="n">
        <v>161525.89</v>
      </c>
      <c r="O796" s="71" t="n">
        <v>915313.37</v>
      </c>
      <c r="P796" s="71" t="n">
        <v>187797.41</v>
      </c>
      <c r="Q796" s="71" t="n">
        <v>727515.96</v>
      </c>
      <c r="R796" t="inlineStr">
        <is>
          <t>Cardiology</t>
        </is>
      </c>
      <c r="S796" s="70" t="n">
        <v>2052</v>
      </c>
      <c r="T796" s="71" t="n">
        <v>173404.37</v>
      </c>
      <c r="U796" t="inlineStr">
        <is>
          <t>High</t>
        </is>
      </c>
      <c r="V796">
        <f>IF(AND(OR(Dashboard!$C$6="All",E796=Dashboard!$C$6),OR(Dashboard!$F$6="All",G796=Dashboard!$F$6),OR(Dashboard!$I$6="All",H796=Dashboard!$I$6)),1,0)</f>
        <v/>
      </c>
    </row>
    <row r="797">
      <c r="A797" t="inlineStr">
        <is>
          <t>PF100788</t>
        </is>
      </c>
      <c r="B797" s="68" t="n">
        <v>45752</v>
      </c>
      <c r="C797" s="69" t="n">
        <v>2025</v>
      </c>
      <c r="D797" t="inlineStr">
        <is>
          <t>Apr</t>
        </is>
      </c>
      <c r="E797" t="inlineStr">
        <is>
          <t>Emerging markets</t>
        </is>
      </c>
      <c r="F797" t="inlineStr">
        <is>
          <t>Brazil</t>
        </is>
      </c>
      <c r="G797" t="inlineStr">
        <is>
          <t>Vyndaqel</t>
        </is>
      </c>
      <c r="H797" t="inlineStr">
        <is>
          <t>Retail pharmacy</t>
        </is>
      </c>
      <c r="I797" t="inlineStr">
        <is>
          <t>Private insurer</t>
        </is>
      </c>
      <c r="J797" t="inlineStr">
        <is>
          <t>Omar Haddad</t>
        </is>
      </c>
      <c r="K797" s="70" t="n">
        <v>1023</v>
      </c>
      <c r="L797" s="71" t="n">
        <v>4786.77</v>
      </c>
      <c r="M797" s="71" t="n">
        <v>4896865.71</v>
      </c>
      <c r="N797" s="71" t="n">
        <v>489686.57</v>
      </c>
      <c r="O797" s="71" t="n">
        <v>4407179.14</v>
      </c>
      <c r="P797" s="71" t="n">
        <v>651718.77</v>
      </c>
      <c r="Q797" s="71" t="n">
        <v>3755460.37</v>
      </c>
      <c r="R797" t="inlineStr">
        <is>
          <t>Rare disease</t>
        </is>
      </c>
      <c r="S797" s="70" t="n">
        <v>790</v>
      </c>
      <c r="T797" s="71" t="n">
        <v>748939.4300000001</v>
      </c>
      <c r="U797" t="inlineStr">
        <is>
          <t>Medium</t>
        </is>
      </c>
      <c r="V797">
        <f>IF(AND(OR(Dashboard!$C$6="All",E797=Dashboard!$C$6),OR(Dashboard!$F$6="All",G797=Dashboard!$F$6),OR(Dashboard!$I$6="All",H797=Dashboard!$I$6)),1,0)</f>
        <v/>
      </c>
    </row>
    <row r="798">
      <c r="A798" t="inlineStr">
        <is>
          <t>PF100789</t>
        </is>
      </c>
      <c r="B798" s="68" t="n">
        <v>45752</v>
      </c>
      <c r="C798" s="69" t="n">
        <v>2025</v>
      </c>
      <c r="D798" t="inlineStr">
        <is>
          <t>Apr</t>
        </is>
      </c>
      <c r="E798" t="inlineStr">
        <is>
          <t>Emerging markets</t>
        </is>
      </c>
      <c r="F798" t="inlineStr">
        <is>
          <t>India</t>
        </is>
      </c>
      <c r="G798" t="inlineStr">
        <is>
          <t>Abrysvo</t>
        </is>
      </c>
      <c r="H798" t="inlineStr">
        <is>
          <t>Retail pharmacy</t>
        </is>
      </c>
      <c r="I798" t="inlineStr">
        <is>
          <t>Private insurer</t>
        </is>
      </c>
      <c r="J798" t="inlineStr">
        <is>
          <t>Hiroshi Tanaka</t>
        </is>
      </c>
      <c r="K798" s="70" t="n">
        <v>2318</v>
      </c>
      <c r="L798" s="71" t="n">
        <v>275.24</v>
      </c>
      <c r="M798" s="71" t="n">
        <v>638006.3199999999</v>
      </c>
      <c r="N798" s="71" t="n">
        <v>127601.26</v>
      </c>
      <c r="O798" s="71" t="n">
        <v>510405.06</v>
      </c>
      <c r="P798" s="71" t="n">
        <v>197736.03</v>
      </c>
      <c r="Q798" s="71" t="n">
        <v>312669.03</v>
      </c>
      <c r="R798" t="inlineStr">
        <is>
          <t>Vaccines</t>
        </is>
      </c>
      <c r="S798" s="70" t="n">
        <v>1928</v>
      </c>
      <c r="T798" s="71" t="n">
        <v>138033.56</v>
      </c>
      <c r="U798" t="inlineStr">
        <is>
          <t>Low</t>
        </is>
      </c>
      <c r="V798">
        <f>IF(AND(OR(Dashboard!$C$6="All",E798=Dashboard!$C$6),OR(Dashboard!$F$6="All",G798=Dashboard!$F$6),OR(Dashboard!$I$6="All",H798=Dashboard!$I$6)),1,0)</f>
        <v/>
      </c>
    </row>
    <row r="799">
      <c r="A799" t="inlineStr">
        <is>
          <t>PF100790</t>
        </is>
      </c>
      <c r="B799" s="68" t="n">
        <v>45752</v>
      </c>
      <c r="C799" s="69" t="n">
        <v>2025</v>
      </c>
      <c r="D799" t="inlineStr">
        <is>
          <t>Apr</t>
        </is>
      </c>
      <c r="E799" t="inlineStr">
        <is>
          <t>Europe</t>
        </is>
      </c>
      <c r="F799" t="inlineStr">
        <is>
          <t>UK</t>
        </is>
      </c>
      <c r="G799" t="inlineStr">
        <is>
          <t>Eliquis</t>
        </is>
      </c>
      <c r="H799" t="inlineStr">
        <is>
          <t>Hospital</t>
        </is>
      </c>
      <c r="I799" t="inlineStr">
        <is>
          <t>Public payer</t>
        </is>
      </c>
      <c r="J799" t="inlineStr">
        <is>
          <t>Yuki Sato</t>
        </is>
      </c>
      <c r="K799" s="70" t="n">
        <v>2762</v>
      </c>
      <c r="L799" s="71" t="n">
        <v>381.71</v>
      </c>
      <c r="M799" s="71" t="n">
        <v>1054283.02</v>
      </c>
      <c r="N799" s="71" t="n">
        <v>105428.3</v>
      </c>
      <c r="O799" s="71" t="n">
        <v>948854.72</v>
      </c>
      <c r="P799" s="71" t="n">
        <v>205243.88</v>
      </c>
      <c r="Q799" s="71" t="n">
        <v>743610.84</v>
      </c>
      <c r="R799" t="inlineStr">
        <is>
          <t>Cardiology</t>
        </is>
      </c>
      <c r="S799" s="70" t="n">
        <v>2738</v>
      </c>
      <c r="T799" s="71" t="n">
        <v>197762.77</v>
      </c>
      <c r="U799" t="inlineStr">
        <is>
          <t>High</t>
        </is>
      </c>
      <c r="V799">
        <f>IF(AND(OR(Dashboard!$C$6="All",E799=Dashboard!$C$6),OR(Dashboard!$F$6="All",G799=Dashboard!$F$6),OR(Dashboard!$I$6="All",H799=Dashboard!$I$6)),1,0)</f>
        <v/>
      </c>
    </row>
    <row r="800">
      <c r="A800" t="inlineStr">
        <is>
          <t>PF100791</t>
        </is>
      </c>
      <c r="B800" s="68" t="n">
        <v>45752</v>
      </c>
      <c r="C800" s="69" t="n">
        <v>2025</v>
      </c>
      <c r="D800" t="inlineStr">
        <is>
          <t>Apr</t>
        </is>
      </c>
      <c r="E800" t="inlineStr">
        <is>
          <t>Europe</t>
        </is>
      </c>
      <c r="F800" t="inlineStr">
        <is>
          <t>France</t>
        </is>
      </c>
      <c r="G800" t="inlineStr">
        <is>
          <t>Prevnar 20</t>
        </is>
      </c>
      <c r="H800" t="inlineStr">
        <is>
          <t>Hospital</t>
        </is>
      </c>
      <c r="I800" t="inlineStr">
        <is>
          <t>Public payer</t>
        </is>
      </c>
      <c r="J800" t="inlineStr">
        <is>
          <t>Shraddha Kulkarni</t>
        </is>
      </c>
      <c r="K800" s="70" t="n">
        <v>1957</v>
      </c>
      <c r="L800" s="71" t="n">
        <v>234.43</v>
      </c>
      <c r="M800" s="71" t="n">
        <v>458779.51</v>
      </c>
      <c r="N800" s="71" t="n">
        <v>114694.88</v>
      </c>
      <c r="O800" s="71" t="n">
        <v>344084.63</v>
      </c>
      <c r="P800" s="71" t="n">
        <v>135961.86</v>
      </c>
      <c r="Q800" s="71" t="n">
        <v>208122.77</v>
      </c>
      <c r="R800" t="inlineStr">
        <is>
          <t>Vaccines</t>
        </is>
      </c>
      <c r="S800" s="70" t="n">
        <v>1750</v>
      </c>
      <c r="T800" s="71" t="n">
        <v>83787.06</v>
      </c>
      <c r="U800" t="inlineStr">
        <is>
          <t>Low</t>
        </is>
      </c>
      <c r="V800">
        <f>IF(AND(OR(Dashboard!$C$6="All",E800=Dashboard!$C$6),OR(Dashboard!$F$6="All",G800=Dashboard!$F$6),OR(Dashboard!$I$6="All",H800=Dashboard!$I$6)),1,0)</f>
        <v/>
      </c>
    </row>
    <row r="801">
      <c r="A801" t="inlineStr">
        <is>
          <t>PF100792</t>
        </is>
      </c>
      <c r="B801" s="68" t="n">
        <v>45752</v>
      </c>
      <c r="C801" s="69" t="n">
        <v>2025</v>
      </c>
      <c r="D801" t="inlineStr">
        <is>
          <t>Apr</t>
        </is>
      </c>
      <c r="E801" t="inlineStr">
        <is>
          <t>Europe</t>
        </is>
      </c>
      <c r="F801" t="inlineStr">
        <is>
          <t>Spain</t>
        </is>
      </c>
      <c r="G801" t="inlineStr">
        <is>
          <t>Ibrance</t>
        </is>
      </c>
      <c r="H801" t="inlineStr">
        <is>
          <t>Hospital</t>
        </is>
      </c>
      <c r="I801" t="inlineStr">
        <is>
          <t>Self-pay</t>
        </is>
      </c>
      <c r="J801" t="inlineStr">
        <is>
          <t>Liam O'Brien</t>
        </is>
      </c>
      <c r="K801" s="70" t="n">
        <v>1055</v>
      </c>
      <c r="L801" s="71" t="n">
        <v>2873.02</v>
      </c>
      <c r="M801" s="71" t="n">
        <v>3031036.1</v>
      </c>
      <c r="N801" s="71" t="n">
        <v>151551.81</v>
      </c>
      <c r="O801" s="71" t="n">
        <v>2879484.29</v>
      </c>
      <c r="P801" s="71" t="n">
        <v>468080.24</v>
      </c>
      <c r="Q801" s="71" t="n">
        <v>2411404.05</v>
      </c>
      <c r="R801" t="inlineStr">
        <is>
          <t>Oncology</t>
        </is>
      </c>
      <c r="S801" s="70" t="n">
        <v>788</v>
      </c>
      <c r="T801" s="71" t="n">
        <v>433310.26</v>
      </c>
      <c r="U801" t="inlineStr">
        <is>
          <t>High</t>
        </is>
      </c>
      <c r="V801">
        <f>IF(AND(OR(Dashboard!$C$6="All",E801=Dashboard!$C$6),OR(Dashboard!$F$6="All",G801=Dashboard!$F$6),OR(Dashboard!$I$6="All",H801=Dashboard!$I$6)),1,0)</f>
        <v/>
      </c>
    </row>
    <row r="802">
      <c r="A802" t="inlineStr">
        <is>
          <t>PF100793</t>
        </is>
      </c>
      <c r="B802" s="68" t="n">
        <v>45752</v>
      </c>
      <c r="C802" s="69" t="n">
        <v>2025</v>
      </c>
      <c r="D802" t="inlineStr">
        <is>
          <t>Apr</t>
        </is>
      </c>
      <c r="E802" t="inlineStr">
        <is>
          <t>International developed</t>
        </is>
      </c>
      <c r="F802" t="inlineStr">
        <is>
          <t>Japan</t>
        </is>
      </c>
      <c r="G802" t="inlineStr">
        <is>
          <t>Ibrance</t>
        </is>
      </c>
      <c r="H802" t="inlineStr">
        <is>
          <t>Government / tender</t>
        </is>
      </c>
      <c r="I802" t="inlineStr">
        <is>
          <t>Private insurer</t>
        </is>
      </c>
      <c r="J802" t="inlineStr">
        <is>
          <t>Aisha Bello</t>
        </is>
      </c>
      <c r="K802" s="70" t="n">
        <v>1619</v>
      </c>
      <c r="L802" s="71" t="n">
        <v>2962.64</v>
      </c>
      <c r="M802" s="71" t="n">
        <v>4796514.16</v>
      </c>
      <c r="N802" s="71" t="n">
        <v>239825.71</v>
      </c>
      <c r="O802" s="71" t="n">
        <v>4556688.45</v>
      </c>
      <c r="P802" s="71" t="n">
        <v>689629.33</v>
      </c>
      <c r="Q802" s="71" t="n">
        <v>3867059.12</v>
      </c>
      <c r="R802" t="inlineStr">
        <is>
          <t>Oncology</t>
        </is>
      </c>
      <c r="S802" s="70" t="n">
        <v>1601</v>
      </c>
      <c r="T802" s="71" t="n">
        <v>929239.47</v>
      </c>
      <c r="U802" t="inlineStr">
        <is>
          <t>High</t>
        </is>
      </c>
      <c r="V802">
        <f>IF(AND(OR(Dashboard!$C$6="All",E802=Dashboard!$C$6),OR(Dashboard!$F$6="All",G802=Dashboard!$F$6),OR(Dashboard!$I$6="All",H802=Dashboard!$I$6)),1,0)</f>
        <v/>
      </c>
    </row>
    <row r="803">
      <c r="A803" t="inlineStr">
        <is>
          <t>PF100794</t>
        </is>
      </c>
      <c r="B803" s="68" t="n">
        <v>45752</v>
      </c>
      <c r="C803" s="69" t="n">
        <v>2025</v>
      </c>
      <c r="D803" t="inlineStr">
        <is>
          <t>Apr</t>
        </is>
      </c>
      <c r="E803" t="inlineStr">
        <is>
          <t>United States</t>
        </is>
      </c>
      <c r="F803" t="inlineStr">
        <is>
          <t>USA</t>
        </is>
      </c>
      <c r="G803" t="inlineStr">
        <is>
          <t>Eliquis</t>
        </is>
      </c>
      <c r="H803" t="inlineStr">
        <is>
          <t>Retail pharmacy</t>
        </is>
      </c>
      <c r="I803" t="inlineStr">
        <is>
          <t>Public payer</t>
        </is>
      </c>
      <c r="J803" t="inlineStr">
        <is>
          <t>Wei Chen</t>
        </is>
      </c>
      <c r="K803" s="70" t="n">
        <v>1567</v>
      </c>
      <c r="L803" s="71" t="n">
        <v>649.25</v>
      </c>
      <c r="M803" s="71" t="n">
        <v>1017374.75</v>
      </c>
      <c r="N803" s="71" t="n">
        <v>356081.16</v>
      </c>
      <c r="O803" s="71" t="n">
        <v>661293.59</v>
      </c>
      <c r="P803" s="71" t="n">
        <v>120880.69</v>
      </c>
      <c r="Q803" s="71" t="n">
        <v>540412.9</v>
      </c>
      <c r="R803" t="inlineStr">
        <is>
          <t>Cardiology</t>
        </is>
      </c>
      <c r="S803" s="70" t="n">
        <v>1053</v>
      </c>
      <c r="T803" s="71" t="n">
        <v>200942.78</v>
      </c>
      <c r="U803" t="inlineStr">
        <is>
          <t>High</t>
        </is>
      </c>
      <c r="V803">
        <f>IF(AND(OR(Dashboard!$C$6="All",E803=Dashboard!$C$6),OR(Dashboard!$F$6="All",G803=Dashboard!$F$6),OR(Dashboard!$I$6="All",H803=Dashboard!$I$6)),1,0)</f>
        <v/>
      </c>
    </row>
    <row r="804">
      <c r="A804" t="inlineStr">
        <is>
          <t>PF100795</t>
        </is>
      </c>
      <c r="B804" s="68" t="n">
        <v>45753</v>
      </c>
      <c r="C804" s="69" t="n">
        <v>2025</v>
      </c>
      <c r="D804" t="inlineStr">
        <is>
          <t>Apr</t>
        </is>
      </c>
      <c r="E804" t="inlineStr">
        <is>
          <t>Europe</t>
        </is>
      </c>
      <c r="F804" t="inlineStr">
        <is>
          <t>Spain</t>
        </is>
      </c>
      <c r="G804" t="inlineStr">
        <is>
          <t>Prevnar 20</t>
        </is>
      </c>
      <c r="H804" t="inlineStr">
        <is>
          <t>Hospital</t>
        </is>
      </c>
      <c r="I804" t="inlineStr">
        <is>
          <t>Private insurer</t>
        </is>
      </c>
      <c r="J804" t="inlineStr">
        <is>
          <t>Fatima Al-Saud</t>
        </is>
      </c>
      <c r="K804" s="70" t="n">
        <v>1354</v>
      </c>
      <c r="L804" s="71" t="n">
        <v>207.25</v>
      </c>
      <c r="M804" s="71" t="n">
        <v>280616.5</v>
      </c>
      <c r="N804" s="71" t="n">
        <v>56123.3</v>
      </c>
      <c r="O804" s="71" t="n">
        <v>224493.2</v>
      </c>
      <c r="P804" s="71" t="n">
        <v>91333.22</v>
      </c>
      <c r="Q804" s="71" t="n">
        <v>133159.98</v>
      </c>
      <c r="R804" t="inlineStr">
        <is>
          <t>Vaccines</t>
        </is>
      </c>
      <c r="S804" s="70" t="n">
        <v>1002</v>
      </c>
      <c r="T804" s="71" t="n">
        <v>38661.14</v>
      </c>
      <c r="U804" t="inlineStr">
        <is>
          <t>Low</t>
        </is>
      </c>
      <c r="V804">
        <f>IF(AND(OR(Dashboard!$C$6="All",E804=Dashboard!$C$6),OR(Dashboard!$F$6="All",G804=Dashboard!$F$6),OR(Dashboard!$I$6="All",H804=Dashboard!$I$6)),1,0)</f>
        <v/>
      </c>
    </row>
    <row r="805">
      <c r="A805" t="inlineStr">
        <is>
          <t>PF100796</t>
        </is>
      </c>
      <c r="B805" s="68" t="n">
        <v>45753</v>
      </c>
      <c r="C805" s="69" t="n">
        <v>2025</v>
      </c>
      <c r="D805" t="inlineStr">
        <is>
          <t>Apr</t>
        </is>
      </c>
      <c r="E805" t="inlineStr">
        <is>
          <t>Europe</t>
        </is>
      </c>
      <c r="F805" t="inlineStr">
        <is>
          <t>Spain</t>
        </is>
      </c>
      <c r="G805" t="inlineStr">
        <is>
          <t>Paxlovid</t>
        </is>
      </c>
      <c r="H805" t="inlineStr">
        <is>
          <t>Government / tender</t>
        </is>
      </c>
      <c r="I805" t="inlineStr">
        <is>
          <t>Self-pay</t>
        </is>
      </c>
      <c r="J805" t="inlineStr">
        <is>
          <t>Sara Rossi</t>
        </is>
      </c>
      <c r="K805" s="70" t="n">
        <v>159</v>
      </c>
      <c r="L805" s="71" t="n">
        <v>1148.46</v>
      </c>
      <c r="M805" s="71" t="n">
        <v>182605.14</v>
      </c>
      <c r="N805" s="71" t="n">
        <v>27390.77</v>
      </c>
      <c r="O805" s="71" t="n">
        <v>155214.37</v>
      </c>
      <c r="P805" s="71" t="n">
        <v>43321.88</v>
      </c>
      <c r="Q805" s="71" t="n">
        <v>111892.49</v>
      </c>
      <c r="R805" t="inlineStr">
        <is>
          <t>Antiviral</t>
        </is>
      </c>
      <c r="S805" s="70" t="n">
        <v>146</v>
      </c>
      <c r="T805" s="71" t="n">
        <v>23434.98</v>
      </c>
      <c r="U805" t="inlineStr">
        <is>
          <t>Low</t>
        </is>
      </c>
      <c r="V805">
        <f>IF(AND(OR(Dashboard!$C$6="All",E805=Dashboard!$C$6),OR(Dashboard!$F$6="All",G805=Dashboard!$F$6),OR(Dashboard!$I$6="All",H805=Dashboard!$I$6)),1,0)</f>
        <v/>
      </c>
    </row>
    <row r="806">
      <c r="A806" t="inlineStr">
        <is>
          <t>PF100797</t>
        </is>
      </c>
      <c r="B806" s="68" t="n">
        <v>45753</v>
      </c>
      <c r="C806" s="69" t="n">
        <v>2025</v>
      </c>
      <c r="D806" t="inlineStr">
        <is>
          <t>Apr</t>
        </is>
      </c>
      <c r="E806" t="inlineStr">
        <is>
          <t>United States</t>
        </is>
      </c>
      <c r="F806" t="inlineStr">
        <is>
          <t>USA</t>
        </is>
      </c>
      <c r="G806" t="inlineStr">
        <is>
          <t>Comirnaty</t>
        </is>
      </c>
      <c r="H806" t="inlineStr">
        <is>
          <t>Government / tender</t>
        </is>
      </c>
      <c r="I806" t="inlineStr">
        <is>
          <t>Private insurer</t>
        </is>
      </c>
      <c r="J806" t="inlineStr">
        <is>
          <t>Priya Nair</t>
        </is>
      </c>
      <c r="K806" s="70" t="n">
        <v>878</v>
      </c>
      <c r="L806" s="71" t="n">
        <v>164.51</v>
      </c>
      <c r="M806" s="71" t="n">
        <v>144439.78</v>
      </c>
      <c r="N806" s="71" t="n">
        <v>21665.97</v>
      </c>
      <c r="O806" s="71" t="n">
        <v>122773.81</v>
      </c>
      <c r="P806" s="71" t="n">
        <v>32514.67</v>
      </c>
      <c r="Q806" s="71" t="n">
        <v>90259.14</v>
      </c>
      <c r="R806" t="inlineStr">
        <is>
          <t>Vaccines</t>
        </is>
      </c>
      <c r="S806" s="70" t="n">
        <v>756</v>
      </c>
      <c r="T806" s="71" t="n">
        <v>21109.09</v>
      </c>
      <c r="U806" t="inlineStr">
        <is>
          <t>Low</t>
        </is>
      </c>
      <c r="V806">
        <f>IF(AND(OR(Dashboard!$C$6="All",E806=Dashboard!$C$6),OR(Dashboard!$F$6="All",G806=Dashboard!$F$6),OR(Dashboard!$I$6="All",H806=Dashboard!$I$6)),1,0)</f>
        <v/>
      </c>
    </row>
    <row r="807">
      <c r="A807" t="inlineStr">
        <is>
          <t>PF100798</t>
        </is>
      </c>
      <c r="B807" s="68" t="n">
        <v>45753</v>
      </c>
      <c r="C807" s="69" t="n">
        <v>2025</v>
      </c>
      <c r="D807" t="inlineStr">
        <is>
          <t>Apr</t>
        </is>
      </c>
      <c r="E807" t="inlineStr">
        <is>
          <t>United States</t>
        </is>
      </c>
      <c r="F807" t="inlineStr">
        <is>
          <t>USA</t>
        </is>
      </c>
      <c r="G807" t="inlineStr">
        <is>
          <t>Xeljanz</t>
        </is>
      </c>
      <c r="H807" t="inlineStr">
        <is>
          <t>Retail pharmacy</t>
        </is>
      </c>
      <c r="I807" t="inlineStr">
        <is>
          <t>Public payer</t>
        </is>
      </c>
      <c r="J807" t="inlineStr">
        <is>
          <t>Shraddha Kulkarni</t>
        </is>
      </c>
      <c r="K807" s="70" t="n">
        <v>2138</v>
      </c>
      <c r="L807" s="71" t="n">
        <v>2399.6</v>
      </c>
      <c r="M807" s="71" t="n">
        <v>5130344.8</v>
      </c>
      <c r="N807" s="71" t="n">
        <v>1026068.96</v>
      </c>
      <c r="O807" s="71" t="n">
        <v>4104275.84</v>
      </c>
      <c r="P807" s="71" t="n">
        <v>537512.96</v>
      </c>
      <c r="Q807" s="71" t="n">
        <v>3566762.88</v>
      </c>
      <c r="R807" t="inlineStr">
        <is>
          <t>Inflammation</t>
        </is>
      </c>
      <c r="S807" s="70" t="n">
        <v>1419</v>
      </c>
      <c r="T807" s="71" t="n">
        <v>952953.36</v>
      </c>
      <c r="U807" t="inlineStr">
        <is>
          <t>High</t>
        </is>
      </c>
      <c r="V807">
        <f>IF(AND(OR(Dashboard!$C$6="All",E807=Dashboard!$C$6),OR(Dashboard!$F$6="All",G807=Dashboard!$F$6),OR(Dashboard!$I$6="All",H807=Dashboard!$I$6)),1,0)</f>
        <v/>
      </c>
    </row>
    <row r="808">
      <c r="A808" t="inlineStr">
        <is>
          <t>PF100799</t>
        </is>
      </c>
      <c r="B808" s="68" t="n">
        <v>45753</v>
      </c>
      <c r="C808" s="69" t="n">
        <v>2025</v>
      </c>
      <c r="D808" t="inlineStr">
        <is>
          <t>Apr</t>
        </is>
      </c>
      <c r="E808" t="inlineStr">
        <is>
          <t>International developed</t>
        </is>
      </c>
      <c r="F808" t="inlineStr">
        <is>
          <t>Australia</t>
        </is>
      </c>
      <c r="G808" t="inlineStr">
        <is>
          <t>Vyndaqel</t>
        </is>
      </c>
      <c r="H808" t="inlineStr">
        <is>
          <t>Retail pharmacy</t>
        </is>
      </c>
      <c r="I808" t="inlineStr">
        <is>
          <t>Private insurer</t>
        </is>
      </c>
      <c r="J808" t="inlineStr">
        <is>
          <t>Kofi Mensah</t>
        </is>
      </c>
      <c r="K808" s="70" t="n">
        <v>1405</v>
      </c>
      <c r="L808" s="71" t="n">
        <v>4930.56</v>
      </c>
      <c r="M808" s="71" t="n">
        <v>6927436.8</v>
      </c>
      <c r="N808" s="71" t="n">
        <v>692743.6800000001</v>
      </c>
      <c r="O808" s="71" t="n">
        <v>6234693.12</v>
      </c>
      <c r="P808" s="71" t="n">
        <v>843054.24</v>
      </c>
      <c r="Q808" s="71" t="n">
        <v>5391638.88</v>
      </c>
      <c r="R808" t="inlineStr">
        <is>
          <t>Rare disease</t>
        </is>
      </c>
      <c r="S808" s="70" t="n">
        <v>1185</v>
      </c>
      <c r="T808" s="71" t="n">
        <v>1191758.15</v>
      </c>
      <c r="U808" t="inlineStr">
        <is>
          <t>Medium</t>
        </is>
      </c>
      <c r="V808">
        <f>IF(AND(OR(Dashboard!$C$6="All",E808=Dashboard!$C$6),OR(Dashboard!$F$6="All",G808=Dashboard!$F$6),OR(Dashboard!$I$6="All",H808=Dashboard!$I$6)),1,0)</f>
        <v/>
      </c>
    </row>
    <row r="809">
      <c r="A809" t="inlineStr">
        <is>
          <t>PF100800</t>
        </is>
      </c>
      <c r="B809" s="68" t="n">
        <v>45753</v>
      </c>
      <c r="C809" s="69" t="n">
        <v>2025</v>
      </c>
      <c r="D809" t="inlineStr">
        <is>
          <t>Apr</t>
        </is>
      </c>
      <c r="E809" t="inlineStr">
        <is>
          <t>International developed</t>
        </is>
      </c>
      <c r="F809" t="inlineStr">
        <is>
          <t>Australia</t>
        </is>
      </c>
      <c r="G809" t="inlineStr">
        <is>
          <t>Prevnar 20</t>
        </is>
      </c>
      <c r="H809" t="inlineStr">
        <is>
          <t>Retail pharmacy</t>
        </is>
      </c>
      <c r="I809" t="inlineStr">
        <is>
          <t>Private insurer</t>
        </is>
      </c>
      <c r="J809" t="inlineStr">
        <is>
          <t>Carlos Silva</t>
        </is>
      </c>
      <c r="K809" s="70" t="n">
        <v>354</v>
      </c>
      <c r="L809" s="71" t="n">
        <v>208.19</v>
      </c>
      <c r="M809" s="71" t="n">
        <v>73699.25999999999</v>
      </c>
      <c r="N809" s="71" t="n">
        <v>7369.93</v>
      </c>
      <c r="O809" s="71" t="n">
        <v>66329.33</v>
      </c>
      <c r="P809" s="71" t="n">
        <v>23837.28</v>
      </c>
      <c r="Q809" s="71" t="n">
        <v>42492.05</v>
      </c>
      <c r="R809" t="inlineStr">
        <is>
          <t>Vaccines</t>
        </is>
      </c>
      <c r="S809" s="70" t="n">
        <v>337</v>
      </c>
      <c r="T809" s="71" t="n">
        <v>15501.83</v>
      </c>
      <c r="U809" t="inlineStr">
        <is>
          <t>Low</t>
        </is>
      </c>
      <c r="V809">
        <f>IF(AND(OR(Dashboard!$C$6="All",E809=Dashboard!$C$6),OR(Dashboard!$F$6="All",G809=Dashboard!$F$6),OR(Dashboard!$I$6="All",H809=Dashboard!$I$6)),1,0)</f>
        <v/>
      </c>
    </row>
    <row r="810">
      <c r="A810" t="inlineStr">
        <is>
          <t>PF100801</t>
        </is>
      </c>
      <c r="B810" s="68" t="n">
        <v>45753</v>
      </c>
      <c r="C810" s="69" t="n">
        <v>2025</v>
      </c>
      <c r="D810" t="inlineStr">
        <is>
          <t>Apr</t>
        </is>
      </c>
      <c r="E810" t="inlineStr">
        <is>
          <t>Europe</t>
        </is>
      </c>
      <c r="F810" t="inlineStr">
        <is>
          <t>Germany</t>
        </is>
      </c>
      <c r="G810" t="inlineStr">
        <is>
          <t>Vyndaqel</t>
        </is>
      </c>
      <c r="H810" t="inlineStr">
        <is>
          <t>Government / tender</t>
        </is>
      </c>
      <c r="I810" t="inlineStr">
        <is>
          <t>Public payer</t>
        </is>
      </c>
      <c r="J810" t="inlineStr">
        <is>
          <t>Liam O'Brien</t>
        </is>
      </c>
      <c r="K810" s="70" t="n">
        <v>1439</v>
      </c>
      <c r="L810" s="71" t="n">
        <v>4848.72</v>
      </c>
      <c r="M810" s="71" t="n">
        <v>6977308.08</v>
      </c>
      <c r="N810" s="71" t="n">
        <v>1744327.02</v>
      </c>
      <c r="O810" s="71" t="n">
        <v>5232981.06</v>
      </c>
      <c r="P810" s="71" t="n">
        <v>888938.3199999999</v>
      </c>
      <c r="Q810" s="71" t="n">
        <v>4344042.74</v>
      </c>
      <c r="R810" t="inlineStr">
        <is>
          <t>Rare disease</t>
        </is>
      </c>
      <c r="S810" s="70" t="n">
        <v>915</v>
      </c>
      <c r="T810" s="71" t="n">
        <v>1327468.02</v>
      </c>
      <c r="U810" t="inlineStr">
        <is>
          <t>Medium</t>
        </is>
      </c>
      <c r="V810">
        <f>IF(AND(OR(Dashboard!$C$6="All",E810=Dashboard!$C$6),OR(Dashboard!$F$6="All",G810=Dashboard!$F$6),OR(Dashboard!$I$6="All",H810=Dashboard!$I$6)),1,0)</f>
        <v/>
      </c>
    </row>
    <row r="811">
      <c r="A811" t="inlineStr">
        <is>
          <t>PF100802</t>
        </is>
      </c>
      <c r="B811" s="68" t="n">
        <v>45754</v>
      </c>
      <c r="C811" s="69" t="n">
        <v>2025</v>
      </c>
      <c r="D811" t="inlineStr">
        <is>
          <t>Apr</t>
        </is>
      </c>
      <c r="E811" t="inlineStr">
        <is>
          <t>United States</t>
        </is>
      </c>
      <c r="F811" t="inlineStr">
        <is>
          <t>USA</t>
        </is>
      </c>
      <c r="G811" t="inlineStr">
        <is>
          <t>Eliquis</t>
        </is>
      </c>
      <c r="H811" t="inlineStr">
        <is>
          <t>Retail pharmacy</t>
        </is>
      </c>
      <c r="I811" t="inlineStr">
        <is>
          <t>Public payer</t>
        </is>
      </c>
      <c r="J811" t="inlineStr">
        <is>
          <t>Ravindra Patil</t>
        </is>
      </c>
      <c r="K811" s="70" t="n">
        <v>549</v>
      </c>
      <c r="L811" s="71" t="n">
        <v>676.85</v>
      </c>
      <c r="M811" s="71" t="n">
        <v>371590.65</v>
      </c>
      <c r="N811" s="71" t="n">
        <v>74318.13</v>
      </c>
      <c r="O811" s="71" t="n">
        <v>297272.52</v>
      </c>
      <c r="P811" s="71" t="n">
        <v>41647.96</v>
      </c>
      <c r="Q811" s="71" t="n">
        <v>255624.56</v>
      </c>
      <c r="R811" t="inlineStr">
        <is>
          <t>Cardiology</t>
        </is>
      </c>
      <c r="S811" s="70" t="n">
        <v>445</v>
      </c>
      <c r="T811" s="71" t="n">
        <v>65344.03</v>
      </c>
      <c r="U811" t="inlineStr">
        <is>
          <t>High</t>
        </is>
      </c>
      <c r="V811">
        <f>IF(AND(OR(Dashboard!$C$6="All",E811=Dashboard!$C$6),OR(Dashboard!$F$6="All",G811=Dashboard!$F$6),OR(Dashboard!$I$6="All",H811=Dashboard!$I$6)),1,0)</f>
        <v/>
      </c>
    </row>
    <row r="812">
      <c r="A812" t="inlineStr">
        <is>
          <t>PF100803</t>
        </is>
      </c>
      <c r="B812" s="68" t="n">
        <v>45754</v>
      </c>
      <c r="C812" s="69" t="n">
        <v>2025</v>
      </c>
      <c r="D812" t="inlineStr">
        <is>
          <t>Apr</t>
        </is>
      </c>
      <c r="E812" t="inlineStr">
        <is>
          <t>United States</t>
        </is>
      </c>
      <c r="F812" t="inlineStr">
        <is>
          <t>USA</t>
        </is>
      </c>
      <c r="G812" t="inlineStr">
        <is>
          <t>Prevnar 20</t>
        </is>
      </c>
      <c r="H812" t="inlineStr">
        <is>
          <t>Hospital</t>
        </is>
      </c>
      <c r="I812" t="inlineStr">
        <is>
          <t>Private insurer</t>
        </is>
      </c>
      <c r="J812" t="inlineStr">
        <is>
          <t>Amir Khan</t>
        </is>
      </c>
      <c r="K812" s="70" t="n">
        <v>2829</v>
      </c>
      <c r="L812" s="71" t="n">
        <v>362.48</v>
      </c>
      <c r="M812" s="71" t="n">
        <v>1025455.92</v>
      </c>
      <c r="N812" s="71" t="n">
        <v>153818.39</v>
      </c>
      <c r="O812" s="71" t="n">
        <v>871637.53</v>
      </c>
      <c r="P812" s="71" t="n">
        <v>199037.16</v>
      </c>
      <c r="Q812" s="71" t="n">
        <v>672600.37</v>
      </c>
      <c r="R812" t="inlineStr">
        <is>
          <t>Vaccines</t>
        </is>
      </c>
      <c r="S812" s="70" t="n">
        <v>2523</v>
      </c>
      <c r="T812" s="71" t="n">
        <v>167363.42</v>
      </c>
      <c r="U812" t="inlineStr">
        <is>
          <t>Low</t>
        </is>
      </c>
      <c r="V812">
        <f>IF(AND(OR(Dashboard!$C$6="All",E812=Dashboard!$C$6),OR(Dashboard!$F$6="All",G812=Dashboard!$F$6),OR(Dashboard!$I$6="All",H812=Dashboard!$I$6)),1,0)</f>
        <v/>
      </c>
    </row>
    <row r="813">
      <c r="A813" t="inlineStr">
        <is>
          <t>PF100804</t>
        </is>
      </c>
      <c r="B813" s="68" t="n">
        <v>45754</v>
      </c>
      <c r="C813" s="69" t="n">
        <v>2025</v>
      </c>
      <c r="D813" t="inlineStr">
        <is>
          <t>Apr</t>
        </is>
      </c>
      <c r="E813" t="inlineStr">
        <is>
          <t>Europe</t>
        </is>
      </c>
      <c r="F813" t="inlineStr">
        <is>
          <t>Spain</t>
        </is>
      </c>
      <c r="G813" t="inlineStr">
        <is>
          <t>Eliquis</t>
        </is>
      </c>
      <c r="H813" t="inlineStr">
        <is>
          <t>Hospital</t>
        </is>
      </c>
      <c r="I813" t="inlineStr">
        <is>
          <t>Private insurer</t>
        </is>
      </c>
      <c r="J813" t="inlineStr">
        <is>
          <t>Ruhi Shaikh</t>
        </is>
      </c>
      <c r="K813" s="70" t="n">
        <v>110</v>
      </c>
      <c r="L813" s="71" t="n">
        <v>441.07</v>
      </c>
      <c r="M813" s="71" t="n">
        <v>48517.7</v>
      </c>
      <c r="N813" s="71" t="n">
        <v>12129.42</v>
      </c>
      <c r="O813" s="71" t="n">
        <v>36388.28</v>
      </c>
      <c r="P813" s="71" t="n">
        <v>8243.059999999999</v>
      </c>
      <c r="Q813" s="71" t="n">
        <v>28145.22</v>
      </c>
      <c r="R813" t="inlineStr">
        <is>
          <t>Cardiology</t>
        </is>
      </c>
      <c r="S813" s="70" t="n">
        <v>77</v>
      </c>
      <c r="T813" s="71" t="n">
        <v>8001.66</v>
      </c>
      <c r="U813" t="inlineStr">
        <is>
          <t>High</t>
        </is>
      </c>
      <c r="V813">
        <f>IF(AND(OR(Dashboard!$C$6="All",E813=Dashboard!$C$6),OR(Dashboard!$F$6="All",G813=Dashboard!$F$6),OR(Dashboard!$I$6="All",H813=Dashboard!$I$6)),1,0)</f>
        <v/>
      </c>
    </row>
    <row r="814">
      <c r="A814" t="inlineStr">
        <is>
          <t>PF100805</t>
        </is>
      </c>
      <c r="B814" s="68" t="n">
        <v>45754</v>
      </c>
      <c r="C814" s="69" t="n">
        <v>2025</v>
      </c>
      <c r="D814" t="inlineStr">
        <is>
          <t>Apr</t>
        </is>
      </c>
      <c r="E814" t="inlineStr">
        <is>
          <t>Emerging markets</t>
        </is>
      </c>
      <c r="F814" t="inlineStr">
        <is>
          <t>India</t>
        </is>
      </c>
      <c r="G814" t="inlineStr">
        <is>
          <t>Ibrance</t>
        </is>
      </c>
      <c r="H814" t="inlineStr">
        <is>
          <t>Government / tender</t>
        </is>
      </c>
      <c r="I814" t="inlineStr">
        <is>
          <t>Public payer</t>
        </is>
      </c>
      <c r="J814" t="inlineStr">
        <is>
          <t>Lucas Martin</t>
        </is>
      </c>
      <c r="K814" s="70" t="n">
        <v>1032</v>
      </c>
      <c r="L814" s="71" t="n">
        <v>3021.07</v>
      </c>
      <c r="M814" s="71" t="n">
        <v>3117744.24</v>
      </c>
      <c r="N814" s="71" t="n">
        <v>623548.85</v>
      </c>
      <c r="O814" s="71" t="n">
        <v>2494195.39</v>
      </c>
      <c r="P814" s="71" t="n">
        <v>443635.93</v>
      </c>
      <c r="Q814" s="71" t="n">
        <v>2050559.46</v>
      </c>
      <c r="R814" t="inlineStr">
        <is>
          <t>Oncology</t>
        </is>
      </c>
      <c r="S814" s="70" t="n">
        <v>1025</v>
      </c>
      <c r="T814" s="71" t="n">
        <v>399483.25</v>
      </c>
      <c r="U814" t="inlineStr">
        <is>
          <t>High</t>
        </is>
      </c>
      <c r="V814">
        <f>IF(AND(OR(Dashboard!$C$6="All",E814=Dashboard!$C$6),OR(Dashboard!$F$6="All",G814=Dashboard!$F$6),OR(Dashboard!$I$6="All",H814=Dashboard!$I$6)),1,0)</f>
        <v/>
      </c>
    </row>
    <row r="815">
      <c r="A815" t="inlineStr">
        <is>
          <t>PF100806</t>
        </is>
      </c>
      <c r="B815" s="68" t="n">
        <v>45754</v>
      </c>
      <c r="C815" s="69" t="n">
        <v>2025</v>
      </c>
      <c r="D815" t="inlineStr">
        <is>
          <t>Apr</t>
        </is>
      </c>
      <c r="E815" t="inlineStr">
        <is>
          <t>United States</t>
        </is>
      </c>
      <c r="F815" t="inlineStr">
        <is>
          <t>USA</t>
        </is>
      </c>
      <c r="G815" t="inlineStr">
        <is>
          <t>Comirnaty</t>
        </is>
      </c>
      <c r="H815" t="inlineStr">
        <is>
          <t>Government / tender</t>
        </is>
      </c>
      <c r="I815" t="inlineStr">
        <is>
          <t>Public payer</t>
        </is>
      </c>
      <c r="J815" t="inlineStr">
        <is>
          <t>Sophie Müller</t>
        </is>
      </c>
      <c r="K815" s="70" t="n">
        <v>1827</v>
      </c>
      <c r="L815" s="71" t="n">
        <v>188.5</v>
      </c>
      <c r="M815" s="71" t="n">
        <v>344389.5</v>
      </c>
      <c r="N815" s="71" t="n">
        <v>68877.89999999999</v>
      </c>
      <c r="O815" s="71" t="n">
        <v>275511.6</v>
      </c>
      <c r="P815" s="71" t="n">
        <v>71711.87</v>
      </c>
      <c r="Q815" s="71" t="n">
        <v>203799.73</v>
      </c>
      <c r="R815" t="inlineStr">
        <is>
          <t>Vaccines</t>
        </is>
      </c>
      <c r="S815" s="70" t="n">
        <v>1754</v>
      </c>
      <c r="T815" s="71" t="n">
        <v>49534.04</v>
      </c>
      <c r="U815" t="inlineStr">
        <is>
          <t>Low</t>
        </is>
      </c>
      <c r="V815">
        <f>IF(AND(OR(Dashboard!$C$6="All",E815=Dashboard!$C$6),OR(Dashboard!$F$6="All",G815=Dashboard!$F$6),OR(Dashboard!$I$6="All",H815=Dashboard!$I$6)),1,0)</f>
        <v/>
      </c>
    </row>
    <row r="816">
      <c r="A816" t="inlineStr">
        <is>
          <t>PF100807</t>
        </is>
      </c>
      <c r="B816" s="68" t="n">
        <v>45754</v>
      </c>
      <c r="C816" s="69" t="n">
        <v>2025</v>
      </c>
      <c r="D816" t="inlineStr">
        <is>
          <t>Apr</t>
        </is>
      </c>
      <c r="E816" t="inlineStr">
        <is>
          <t>United States</t>
        </is>
      </c>
      <c r="F816" t="inlineStr">
        <is>
          <t>USA</t>
        </is>
      </c>
      <c r="G816" t="inlineStr">
        <is>
          <t>Prevnar 20</t>
        </is>
      </c>
      <c r="H816" t="inlineStr">
        <is>
          <t>Hospital</t>
        </is>
      </c>
      <c r="I816" t="inlineStr">
        <is>
          <t>Public payer</t>
        </is>
      </c>
      <c r="J816" t="inlineStr">
        <is>
          <t>Sara Rossi</t>
        </is>
      </c>
      <c r="K816" s="70" t="n">
        <v>2899</v>
      </c>
      <c r="L816" s="71" t="n">
        <v>404.3</v>
      </c>
      <c r="M816" s="71" t="n">
        <v>1172065.7</v>
      </c>
      <c r="N816" s="71" t="n">
        <v>175809.86</v>
      </c>
      <c r="O816" s="71" t="n">
        <v>996255.84</v>
      </c>
      <c r="P816" s="71" t="n">
        <v>207518.91</v>
      </c>
      <c r="Q816" s="71" t="n">
        <v>788736.9300000001</v>
      </c>
      <c r="R816" t="inlineStr">
        <is>
          <t>Vaccines</t>
        </is>
      </c>
      <c r="S816" s="70" t="n">
        <v>2108</v>
      </c>
      <c r="T816" s="71" t="n">
        <v>176989.33</v>
      </c>
      <c r="U816" t="inlineStr">
        <is>
          <t>Low</t>
        </is>
      </c>
      <c r="V816">
        <f>IF(AND(OR(Dashboard!$C$6="All",E816=Dashboard!$C$6),OR(Dashboard!$F$6="All",G816=Dashboard!$F$6),OR(Dashboard!$I$6="All",H816=Dashboard!$I$6)),1,0)</f>
        <v/>
      </c>
    </row>
    <row r="817">
      <c r="A817" t="inlineStr">
        <is>
          <t>PF100808</t>
        </is>
      </c>
      <c r="B817" s="68" t="n">
        <v>45755</v>
      </c>
      <c r="C817" s="69" t="n">
        <v>2025</v>
      </c>
      <c r="D817" t="inlineStr">
        <is>
          <t>Apr</t>
        </is>
      </c>
      <c r="E817" t="inlineStr">
        <is>
          <t>Emerging markets</t>
        </is>
      </c>
      <c r="F817" t="inlineStr">
        <is>
          <t>Brazil</t>
        </is>
      </c>
      <c r="G817" t="inlineStr">
        <is>
          <t>Paxlovid</t>
        </is>
      </c>
      <c r="H817" t="inlineStr">
        <is>
          <t>Retail pharmacy</t>
        </is>
      </c>
      <c r="I817" t="inlineStr">
        <is>
          <t>Private insurer</t>
        </is>
      </c>
      <c r="J817" t="inlineStr">
        <is>
          <t>Priya Nair</t>
        </is>
      </c>
      <c r="K817" s="70" t="n">
        <v>687</v>
      </c>
      <c r="L817" s="71" t="n">
        <v>1017.82</v>
      </c>
      <c r="M817" s="71" t="n">
        <v>699242.34</v>
      </c>
      <c r="N817" s="71" t="n">
        <v>69924.23</v>
      </c>
      <c r="O817" s="71" t="n">
        <v>629318.11</v>
      </c>
      <c r="P817" s="71" t="n">
        <v>181536.51</v>
      </c>
      <c r="Q817" s="71" t="n">
        <v>447781.6</v>
      </c>
      <c r="R817" t="inlineStr">
        <is>
          <t>Antiviral</t>
        </is>
      </c>
      <c r="S817" s="70" t="n">
        <v>626</v>
      </c>
      <c r="T817" s="71" t="n">
        <v>89498.55</v>
      </c>
      <c r="U817" t="inlineStr">
        <is>
          <t>Low</t>
        </is>
      </c>
      <c r="V817">
        <f>IF(AND(OR(Dashboard!$C$6="All",E817=Dashboard!$C$6),OR(Dashboard!$F$6="All",G817=Dashboard!$F$6),OR(Dashboard!$I$6="All",H817=Dashboard!$I$6)),1,0)</f>
        <v/>
      </c>
    </row>
    <row r="818">
      <c r="A818" t="inlineStr">
        <is>
          <t>PF100809</t>
        </is>
      </c>
      <c r="B818" s="68" t="n">
        <v>45755</v>
      </c>
      <c r="C818" s="69" t="n">
        <v>2025</v>
      </c>
      <c r="D818" t="inlineStr">
        <is>
          <t>Apr</t>
        </is>
      </c>
      <c r="E818" t="inlineStr">
        <is>
          <t>United States</t>
        </is>
      </c>
      <c r="F818" t="inlineStr">
        <is>
          <t>USA</t>
        </is>
      </c>
      <c r="G818" t="inlineStr">
        <is>
          <t>Vyndaqel</t>
        </is>
      </c>
      <c r="H818" t="inlineStr">
        <is>
          <t>Hospital</t>
        </is>
      </c>
      <c r="I818" t="inlineStr">
        <is>
          <t>Private insurer</t>
        </is>
      </c>
      <c r="J818" t="inlineStr">
        <is>
          <t>Carlos Silva</t>
        </is>
      </c>
      <c r="K818" s="70" t="n">
        <v>2391</v>
      </c>
      <c r="L818" s="71" t="n">
        <v>8546.24</v>
      </c>
      <c r="M818" s="71" t="n">
        <v>20434059.84</v>
      </c>
      <c r="N818" s="71" t="n">
        <v>5108514.96</v>
      </c>
      <c r="O818" s="71" t="n">
        <v>15325544.88</v>
      </c>
      <c r="P818" s="71" t="n">
        <v>1518805.64</v>
      </c>
      <c r="Q818" s="71" t="n">
        <v>13806739.24</v>
      </c>
      <c r="R818" t="inlineStr">
        <is>
          <t>Rare disease</t>
        </is>
      </c>
      <c r="S818" s="70" t="n">
        <v>2285</v>
      </c>
      <c r="T818" s="71" t="n">
        <v>4155514.77</v>
      </c>
      <c r="U818" t="inlineStr">
        <is>
          <t>Medium</t>
        </is>
      </c>
      <c r="V818">
        <f>IF(AND(OR(Dashboard!$C$6="All",E818=Dashboard!$C$6),OR(Dashboard!$F$6="All",G818=Dashboard!$F$6),OR(Dashboard!$I$6="All",H818=Dashboard!$I$6)),1,0)</f>
        <v/>
      </c>
    </row>
    <row r="819">
      <c r="A819" t="inlineStr">
        <is>
          <t>PF100810</t>
        </is>
      </c>
      <c r="B819" s="68" t="n">
        <v>45755</v>
      </c>
      <c r="C819" s="69" t="n">
        <v>2025</v>
      </c>
      <c r="D819" t="inlineStr">
        <is>
          <t>Apr</t>
        </is>
      </c>
      <c r="E819" t="inlineStr">
        <is>
          <t>Europe</t>
        </is>
      </c>
      <c r="F819" t="inlineStr">
        <is>
          <t>UK</t>
        </is>
      </c>
      <c r="G819" t="inlineStr">
        <is>
          <t>Paxlovid</t>
        </is>
      </c>
      <c r="H819" t="inlineStr">
        <is>
          <t>Retail pharmacy</t>
        </is>
      </c>
      <c r="I819" t="inlineStr">
        <is>
          <t>Private insurer</t>
        </is>
      </c>
      <c r="J819" t="inlineStr">
        <is>
          <t>Zoya Ahmed</t>
        </is>
      </c>
      <c r="K819" s="70" t="n">
        <v>1956</v>
      </c>
      <c r="L819" s="71" t="n">
        <v>1104.6</v>
      </c>
      <c r="M819" s="71" t="n">
        <v>2160597.6</v>
      </c>
      <c r="N819" s="71" t="n">
        <v>108029.88</v>
      </c>
      <c r="O819" s="71" t="n">
        <v>2052567.72</v>
      </c>
      <c r="P819" s="71" t="n">
        <v>540729.66</v>
      </c>
      <c r="Q819" s="71" t="n">
        <v>1511838.06</v>
      </c>
      <c r="R819" t="inlineStr">
        <is>
          <t>Antiviral</t>
        </is>
      </c>
      <c r="S819" s="70" t="n">
        <v>1386</v>
      </c>
      <c r="T819" s="71" t="n">
        <v>408477.78</v>
      </c>
      <c r="U819" t="inlineStr">
        <is>
          <t>Low</t>
        </is>
      </c>
      <c r="V819">
        <f>IF(AND(OR(Dashboard!$C$6="All",E819=Dashboard!$C$6),OR(Dashboard!$F$6="All",G819=Dashboard!$F$6),OR(Dashboard!$I$6="All",H819=Dashboard!$I$6)),1,0)</f>
        <v/>
      </c>
    </row>
    <row r="820">
      <c r="A820" t="inlineStr">
        <is>
          <t>PF100811</t>
        </is>
      </c>
      <c r="B820" s="68" t="n">
        <v>45755</v>
      </c>
      <c r="C820" s="69" t="n">
        <v>2025</v>
      </c>
      <c r="D820" t="inlineStr">
        <is>
          <t>Apr</t>
        </is>
      </c>
      <c r="E820" t="inlineStr">
        <is>
          <t>Europe</t>
        </is>
      </c>
      <c r="F820" t="inlineStr">
        <is>
          <t>France</t>
        </is>
      </c>
      <c r="G820" t="inlineStr">
        <is>
          <t>Eliquis</t>
        </is>
      </c>
      <c r="H820" t="inlineStr">
        <is>
          <t>Retail pharmacy</t>
        </is>
      </c>
      <c r="I820" t="inlineStr">
        <is>
          <t>Private insurer</t>
        </is>
      </c>
      <c r="J820" t="inlineStr">
        <is>
          <t>Aisha Bello</t>
        </is>
      </c>
      <c r="K820" s="70" t="n">
        <v>2205</v>
      </c>
      <c r="L820" s="71" t="n">
        <v>390.01</v>
      </c>
      <c r="M820" s="71" t="n">
        <v>859972.05</v>
      </c>
      <c r="N820" s="71" t="n">
        <v>128995.81</v>
      </c>
      <c r="O820" s="71" t="n">
        <v>730976.24</v>
      </c>
      <c r="P820" s="71" t="n">
        <v>167340.66</v>
      </c>
      <c r="Q820" s="71" t="n">
        <v>563635.58</v>
      </c>
      <c r="R820" t="inlineStr">
        <is>
          <t>Cardiology</t>
        </is>
      </c>
      <c r="S820" s="70" t="n">
        <v>1589</v>
      </c>
      <c r="T820" s="71" t="n">
        <v>152990.37</v>
      </c>
      <c r="U820" t="inlineStr">
        <is>
          <t>High</t>
        </is>
      </c>
      <c r="V820">
        <f>IF(AND(OR(Dashboard!$C$6="All",E820=Dashboard!$C$6),OR(Dashboard!$F$6="All",G820=Dashboard!$F$6),OR(Dashboard!$I$6="All",H820=Dashboard!$I$6)),1,0)</f>
        <v/>
      </c>
    </row>
    <row r="821">
      <c r="A821" t="inlineStr">
        <is>
          <t>PF100812</t>
        </is>
      </c>
      <c r="B821" s="68" t="n">
        <v>45755</v>
      </c>
      <c r="C821" s="69" t="n">
        <v>2025</v>
      </c>
      <c r="D821" t="inlineStr">
        <is>
          <t>Apr</t>
        </is>
      </c>
      <c r="E821" t="inlineStr">
        <is>
          <t>International developed</t>
        </is>
      </c>
      <c r="F821" t="inlineStr">
        <is>
          <t>Australia</t>
        </is>
      </c>
      <c r="G821" t="inlineStr">
        <is>
          <t>Ibrance</t>
        </is>
      </c>
      <c r="H821" t="inlineStr">
        <is>
          <t>Retail pharmacy</t>
        </is>
      </c>
      <c r="I821" t="inlineStr">
        <is>
          <t>Public payer</t>
        </is>
      </c>
      <c r="J821" t="inlineStr">
        <is>
          <t>Fatima Al-Saud</t>
        </is>
      </c>
      <c r="K821" s="70" t="n">
        <v>2634</v>
      </c>
      <c r="L821" s="71" t="n">
        <v>2903.72</v>
      </c>
      <c r="M821" s="71" t="n">
        <v>7648398.48</v>
      </c>
      <c r="N821" s="71" t="n">
        <v>1912099.62</v>
      </c>
      <c r="O821" s="71" t="n">
        <v>5736298.86</v>
      </c>
      <c r="P821" s="71" t="n">
        <v>1179732.45</v>
      </c>
      <c r="Q821" s="71" t="n">
        <v>4556566.41</v>
      </c>
      <c r="R821" t="inlineStr">
        <is>
          <t>Oncology</t>
        </is>
      </c>
      <c r="S821" s="70" t="n">
        <v>2029</v>
      </c>
      <c r="T821" s="71" t="n">
        <v>1585476.67</v>
      </c>
      <c r="U821" t="inlineStr">
        <is>
          <t>High</t>
        </is>
      </c>
      <c r="V821">
        <f>IF(AND(OR(Dashboard!$C$6="All",E821=Dashboard!$C$6),OR(Dashboard!$F$6="All",G821=Dashboard!$F$6),OR(Dashboard!$I$6="All",H821=Dashboard!$I$6)),1,0)</f>
        <v/>
      </c>
    </row>
    <row r="822">
      <c r="A822" t="inlineStr">
        <is>
          <t>PF100813</t>
        </is>
      </c>
      <c r="B822" s="68" t="n">
        <v>45755</v>
      </c>
      <c r="C822" s="69" t="n">
        <v>2025</v>
      </c>
      <c r="D822" t="inlineStr">
        <is>
          <t>Apr</t>
        </is>
      </c>
      <c r="E822" t="inlineStr">
        <is>
          <t>United States</t>
        </is>
      </c>
      <c r="F822" t="inlineStr">
        <is>
          <t>USA</t>
        </is>
      </c>
      <c r="G822" t="inlineStr">
        <is>
          <t>Abrysvo</t>
        </is>
      </c>
      <c r="H822" t="inlineStr">
        <is>
          <t>Government / tender</t>
        </is>
      </c>
      <c r="I822" t="inlineStr">
        <is>
          <t>Public payer</t>
        </is>
      </c>
      <c r="J822" t="inlineStr">
        <is>
          <t>Shraddha Kulkarni</t>
        </is>
      </c>
      <c r="K822" s="70" t="n">
        <v>255</v>
      </c>
      <c r="L822" s="71" t="n">
        <v>417.3</v>
      </c>
      <c r="M822" s="71" t="n">
        <v>106411.5</v>
      </c>
      <c r="N822" s="71" t="n">
        <v>26602.88</v>
      </c>
      <c r="O822" s="71" t="n">
        <v>79808.62</v>
      </c>
      <c r="P822" s="71" t="n">
        <v>20609.1</v>
      </c>
      <c r="Q822" s="71" t="n">
        <v>59199.52</v>
      </c>
      <c r="R822" t="inlineStr">
        <is>
          <t>Vaccines</t>
        </is>
      </c>
      <c r="S822" s="70" t="n">
        <v>199</v>
      </c>
      <c r="T822" s="71" t="n">
        <v>14224.18</v>
      </c>
      <c r="U822" t="inlineStr">
        <is>
          <t>Low</t>
        </is>
      </c>
      <c r="V822">
        <f>IF(AND(OR(Dashboard!$C$6="All",E822=Dashboard!$C$6),OR(Dashboard!$F$6="All",G822=Dashboard!$F$6),OR(Dashboard!$I$6="All",H822=Dashboard!$I$6)),1,0)</f>
        <v/>
      </c>
    </row>
    <row r="823">
      <c r="A823" t="inlineStr">
        <is>
          <t>PF100814</t>
        </is>
      </c>
      <c r="B823" s="68" t="n">
        <v>45755</v>
      </c>
      <c r="C823" s="69" t="n">
        <v>2025</v>
      </c>
      <c r="D823" t="inlineStr">
        <is>
          <t>Apr</t>
        </is>
      </c>
      <c r="E823" t="inlineStr">
        <is>
          <t>United States</t>
        </is>
      </c>
      <c r="F823" t="inlineStr">
        <is>
          <t>USA</t>
        </is>
      </c>
      <c r="G823" t="inlineStr">
        <is>
          <t>Prevnar 20</t>
        </is>
      </c>
      <c r="H823" t="inlineStr">
        <is>
          <t>Government / tender</t>
        </is>
      </c>
      <c r="I823" t="inlineStr">
        <is>
          <t>Public payer</t>
        </is>
      </c>
      <c r="J823" t="inlineStr">
        <is>
          <t>Ana Costa</t>
        </is>
      </c>
      <c r="K823" s="70" t="n">
        <v>1364</v>
      </c>
      <c r="L823" s="71" t="n">
        <v>375.55</v>
      </c>
      <c r="M823" s="71" t="n">
        <v>512250.2</v>
      </c>
      <c r="N823" s="71" t="n">
        <v>153675.06</v>
      </c>
      <c r="O823" s="71" t="n">
        <v>358575.14</v>
      </c>
      <c r="P823" s="71" t="n">
        <v>97865.60000000001</v>
      </c>
      <c r="Q823" s="71" t="n">
        <v>260709.54</v>
      </c>
      <c r="R823" t="inlineStr">
        <is>
          <t>Vaccines</t>
        </is>
      </c>
      <c r="S823" s="70" t="n">
        <v>1155</v>
      </c>
      <c r="T823" s="71" t="n">
        <v>69223.66</v>
      </c>
      <c r="U823" t="inlineStr">
        <is>
          <t>Low</t>
        </is>
      </c>
      <c r="V823">
        <f>IF(AND(OR(Dashboard!$C$6="All",E823=Dashboard!$C$6),OR(Dashboard!$F$6="All",G823=Dashboard!$F$6),OR(Dashboard!$I$6="All",H823=Dashboard!$I$6)),1,0)</f>
        <v/>
      </c>
    </row>
    <row r="824">
      <c r="A824" t="inlineStr">
        <is>
          <t>PF100815</t>
        </is>
      </c>
      <c r="B824" s="68" t="n">
        <v>45755</v>
      </c>
      <c r="C824" s="69" t="n">
        <v>2025</v>
      </c>
      <c r="D824" t="inlineStr">
        <is>
          <t>Apr</t>
        </is>
      </c>
      <c r="E824" t="inlineStr">
        <is>
          <t>Emerging markets</t>
        </is>
      </c>
      <c r="F824" t="inlineStr">
        <is>
          <t>India</t>
        </is>
      </c>
      <c r="G824" t="inlineStr">
        <is>
          <t>Eliquis</t>
        </is>
      </c>
      <c r="H824" t="inlineStr">
        <is>
          <t>Retail pharmacy</t>
        </is>
      </c>
      <c r="I824" t="inlineStr">
        <is>
          <t>Private insurer</t>
        </is>
      </c>
      <c r="J824" t="inlineStr">
        <is>
          <t>Hiroshi Tanaka</t>
        </is>
      </c>
      <c r="K824" s="70" t="n">
        <v>79</v>
      </c>
      <c r="L824" s="71" t="n">
        <v>431.09</v>
      </c>
      <c r="M824" s="71" t="n">
        <v>34056.11</v>
      </c>
      <c r="N824" s="71" t="n">
        <v>8514.030000000001</v>
      </c>
      <c r="O824" s="71" t="n">
        <v>25542.08</v>
      </c>
      <c r="P824" s="71" t="n">
        <v>5870.02</v>
      </c>
      <c r="Q824" s="71" t="n">
        <v>19672.06</v>
      </c>
      <c r="R824" t="inlineStr">
        <is>
          <t>Cardiology</t>
        </is>
      </c>
      <c r="S824" s="70" t="n">
        <v>73</v>
      </c>
      <c r="T824" s="71" t="n">
        <v>6530.98</v>
      </c>
      <c r="U824" t="inlineStr">
        <is>
          <t>High</t>
        </is>
      </c>
      <c r="V824">
        <f>IF(AND(OR(Dashboard!$C$6="All",E824=Dashboard!$C$6),OR(Dashboard!$F$6="All",G824=Dashboard!$F$6),OR(Dashboard!$I$6="All",H824=Dashboard!$I$6)),1,0)</f>
        <v/>
      </c>
    </row>
    <row r="825">
      <c r="A825" t="inlineStr">
        <is>
          <t>PF100816</t>
        </is>
      </c>
      <c r="B825" s="68" t="n">
        <v>45755</v>
      </c>
      <c r="C825" s="69" t="n">
        <v>2025</v>
      </c>
      <c r="D825" t="inlineStr">
        <is>
          <t>Apr</t>
        </is>
      </c>
      <c r="E825" t="inlineStr">
        <is>
          <t>Emerging markets</t>
        </is>
      </c>
      <c r="F825" t="inlineStr">
        <is>
          <t>Brazil</t>
        </is>
      </c>
      <c r="G825" t="inlineStr">
        <is>
          <t>Eliquis</t>
        </is>
      </c>
      <c r="H825" t="inlineStr">
        <is>
          <t>Retail pharmacy</t>
        </is>
      </c>
      <c r="I825" t="inlineStr">
        <is>
          <t>Public payer</t>
        </is>
      </c>
      <c r="J825" t="inlineStr">
        <is>
          <t>Noah Smith</t>
        </is>
      </c>
      <c r="K825" s="70" t="n">
        <v>2076</v>
      </c>
      <c r="L825" s="71" t="n">
        <v>385.06</v>
      </c>
      <c r="M825" s="71" t="n">
        <v>799384.5600000001</v>
      </c>
      <c r="N825" s="71" t="n">
        <v>39969.23</v>
      </c>
      <c r="O825" s="71" t="n">
        <v>759415.33</v>
      </c>
      <c r="P825" s="71" t="n">
        <v>156472.27</v>
      </c>
      <c r="Q825" s="71" t="n">
        <v>602943.0600000001</v>
      </c>
      <c r="R825" t="inlineStr">
        <is>
          <t>Cardiology</t>
        </is>
      </c>
      <c r="S825" s="70" t="n">
        <v>2011</v>
      </c>
      <c r="T825" s="71" t="n">
        <v>152926.89</v>
      </c>
      <c r="U825" t="inlineStr">
        <is>
          <t>High</t>
        </is>
      </c>
      <c r="V825">
        <f>IF(AND(OR(Dashboard!$C$6="All",E825=Dashboard!$C$6),OR(Dashboard!$F$6="All",G825=Dashboard!$F$6),OR(Dashboard!$I$6="All",H825=Dashboard!$I$6)),1,0)</f>
        <v/>
      </c>
    </row>
    <row r="826">
      <c r="A826" t="inlineStr">
        <is>
          <t>PF100817</t>
        </is>
      </c>
      <c r="B826" s="68" t="n">
        <v>45755</v>
      </c>
      <c r="C826" s="69" t="n">
        <v>2025</v>
      </c>
      <c r="D826" t="inlineStr">
        <is>
          <t>Apr</t>
        </is>
      </c>
      <c r="E826" t="inlineStr">
        <is>
          <t>United States</t>
        </is>
      </c>
      <c r="F826" t="inlineStr">
        <is>
          <t>USA</t>
        </is>
      </c>
      <c r="G826" t="inlineStr">
        <is>
          <t>Xeljanz</t>
        </is>
      </c>
      <c r="H826" t="inlineStr">
        <is>
          <t>Retail pharmacy</t>
        </is>
      </c>
      <c r="I826" t="inlineStr">
        <is>
          <t>Public payer</t>
        </is>
      </c>
      <c r="J826" t="inlineStr">
        <is>
          <t>Ravindra Patil</t>
        </is>
      </c>
      <c r="K826" s="70" t="n">
        <v>1370</v>
      </c>
      <c r="L826" s="71" t="n">
        <v>2370.21</v>
      </c>
      <c r="M826" s="71" t="n">
        <v>3247187.7</v>
      </c>
      <c r="N826" s="71" t="n">
        <v>811796.9300000001</v>
      </c>
      <c r="O826" s="71" t="n">
        <v>2435390.77</v>
      </c>
      <c r="P826" s="71" t="n">
        <v>340525.84</v>
      </c>
      <c r="Q826" s="71" t="n">
        <v>2094864.93</v>
      </c>
      <c r="R826" t="inlineStr">
        <is>
          <t>Inflammation</t>
        </is>
      </c>
      <c r="S826" s="70" t="n">
        <v>874</v>
      </c>
      <c r="T826" s="71" t="n">
        <v>543294.29</v>
      </c>
      <c r="U826" t="inlineStr">
        <is>
          <t>High</t>
        </is>
      </c>
      <c r="V826">
        <f>IF(AND(OR(Dashboard!$C$6="All",E826=Dashboard!$C$6),OR(Dashboard!$F$6="All",G826=Dashboard!$F$6),OR(Dashboard!$I$6="All",H826=Dashboard!$I$6)),1,0)</f>
        <v/>
      </c>
    </row>
    <row r="827">
      <c r="A827" t="inlineStr">
        <is>
          <t>PF100818</t>
        </is>
      </c>
      <c r="B827" s="68" t="n">
        <v>45756</v>
      </c>
      <c r="C827" s="69" t="n">
        <v>2025</v>
      </c>
      <c r="D827" t="inlineStr">
        <is>
          <t>Apr</t>
        </is>
      </c>
      <c r="E827" t="inlineStr">
        <is>
          <t>Emerging markets</t>
        </is>
      </c>
      <c r="F827" t="inlineStr">
        <is>
          <t>China</t>
        </is>
      </c>
      <c r="G827" t="inlineStr">
        <is>
          <t>Paxlovid</t>
        </is>
      </c>
      <c r="H827" t="inlineStr">
        <is>
          <t>Hospital</t>
        </is>
      </c>
      <c r="I827" t="inlineStr">
        <is>
          <t>Private insurer</t>
        </is>
      </c>
      <c r="J827" t="inlineStr">
        <is>
          <t>Emma Clarke</t>
        </is>
      </c>
      <c r="K827" s="70" t="n">
        <v>2052</v>
      </c>
      <c r="L827" s="71" t="n">
        <v>1082.78</v>
      </c>
      <c r="M827" s="71" t="n">
        <v>2221864.56</v>
      </c>
      <c r="N827" s="71" t="n">
        <v>333279.68</v>
      </c>
      <c r="O827" s="71" t="n">
        <v>1888584.88</v>
      </c>
      <c r="P827" s="71" t="n">
        <v>577617.8199999999</v>
      </c>
      <c r="Q827" s="71" t="n">
        <v>1310967.06</v>
      </c>
      <c r="R827" t="inlineStr">
        <is>
          <t>Antiviral</t>
        </is>
      </c>
      <c r="S827" s="70" t="n">
        <v>1748</v>
      </c>
      <c r="T827" s="71" t="n">
        <v>277790.09</v>
      </c>
      <c r="U827" t="inlineStr">
        <is>
          <t>Low</t>
        </is>
      </c>
      <c r="V827">
        <f>IF(AND(OR(Dashboard!$C$6="All",E827=Dashboard!$C$6),OR(Dashboard!$F$6="All",G827=Dashboard!$F$6),OR(Dashboard!$I$6="All",H827=Dashboard!$I$6)),1,0)</f>
        <v/>
      </c>
    </row>
    <row r="828">
      <c r="A828" t="inlineStr">
        <is>
          <t>PF100819</t>
        </is>
      </c>
      <c r="B828" s="68" t="n">
        <v>45756</v>
      </c>
      <c r="C828" s="69" t="n">
        <v>2025</v>
      </c>
      <c r="D828" t="inlineStr">
        <is>
          <t>Apr</t>
        </is>
      </c>
      <c r="E828" t="inlineStr">
        <is>
          <t>United States</t>
        </is>
      </c>
      <c r="F828" t="inlineStr">
        <is>
          <t>USA</t>
        </is>
      </c>
      <c r="G828" t="inlineStr">
        <is>
          <t>Eliquis</t>
        </is>
      </c>
      <c r="H828" t="inlineStr">
        <is>
          <t>Retail pharmacy</t>
        </is>
      </c>
      <c r="I828" t="inlineStr">
        <is>
          <t>Public payer</t>
        </is>
      </c>
      <c r="J828" t="inlineStr">
        <is>
          <t>Shraddha Kulkarni</t>
        </is>
      </c>
      <c r="K828" s="70" t="n">
        <v>132</v>
      </c>
      <c r="L828" s="71" t="n">
        <v>617.04</v>
      </c>
      <c r="M828" s="71" t="n">
        <v>81449.28</v>
      </c>
      <c r="N828" s="71" t="n">
        <v>24434.78</v>
      </c>
      <c r="O828" s="71" t="n">
        <v>57014.5</v>
      </c>
      <c r="P828" s="71" t="n">
        <v>9907.450000000001</v>
      </c>
      <c r="Q828" s="71" t="n">
        <v>47107.05</v>
      </c>
      <c r="R828" t="inlineStr">
        <is>
          <t>Cardiology</t>
        </is>
      </c>
      <c r="S828" s="70" t="n">
        <v>114</v>
      </c>
      <c r="T828" s="71" t="n">
        <v>13499.9</v>
      </c>
      <c r="U828" t="inlineStr">
        <is>
          <t>High</t>
        </is>
      </c>
      <c r="V828">
        <f>IF(AND(OR(Dashboard!$C$6="All",E828=Dashboard!$C$6),OR(Dashboard!$F$6="All",G828=Dashboard!$F$6),OR(Dashboard!$I$6="All",H828=Dashboard!$I$6)),1,0)</f>
        <v/>
      </c>
    </row>
    <row r="829">
      <c r="A829" t="inlineStr">
        <is>
          <t>PF100820</t>
        </is>
      </c>
      <c r="B829" s="68" t="n">
        <v>45756</v>
      </c>
      <c r="C829" s="69" t="n">
        <v>2025</v>
      </c>
      <c r="D829" t="inlineStr">
        <is>
          <t>Apr</t>
        </is>
      </c>
      <c r="E829" t="inlineStr">
        <is>
          <t>Emerging markets</t>
        </is>
      </c>
      <c r="F829" t="inlineStr">
        <is>
          <t>China</t>
        </is>
      </c>
      <c r="G829" t="inlineStr">
        <is>
          <t>Comirnaty</t>
        </is>
      </c>
      <c r="H829" t="inlineStr">
        <is>
          <t>Retail pharmacy</t>
        </is>
      </c>
      <c r="I829" t="inlineStr">
        <is>
          <t>Public payer</t>
        </is>
      </c>
      <c r="J829" t="inlineStr">
        <is>
          <t>Amir Khan</t>
        </is>
      </c>
      <c r="K829" s="70" t="n">
        <v>2019</v>
      </c>
      <c r="L829" s="71" t="n">
        <v>116.43</v>
      </c>
      <c r="M829" s="71" t="n">
        <v>235072.17</v>
      </c>
      <c r="N829" s="71" t="n">
        <v>11753.61</v>
      </c>
      <c r="O829" s="71" t="n">
        <v>223318.56</v>
      </c>
      <c r="P829" s="71" t="n">
        <v>76698.13</v>
      </c>
      <c r="Q829" s="71" t="n">
        <v>146620.43</v>
      </c>
      <c r="R829" t="inlineStr">
        <is>
          <t>Vaccines</t>
        </is>
      </c>
      <c r="S829" s="70" t="n">
        <v>1886</v>
      </c>
      <c r="T829" s="71" t="n">
        <v>40877.75</v>
      </c>
      <c r="U829" t="inlineStr">
        <is>
          <t>Low</t>
        </is>
      </c>
      <c r="V829">
        <f>IF(AND(OR(Dashboard!$C$6="All",E829=Dashboard!$C$6),OR(Dashboard!$F$6="All",G829=Dashboard!$F$6),OR(Dashboard!$I$6="All",H829=Dashboard!$I$6)),1,0)</f>
        <v/>
      </c>
    </row>
    <row r="830">
      <c r="A830" t="inlineStr">
        <is>
          <t>PF100821</t>
        </is>
      </c>
      <c r="B830" s="68" t="n">
        <v>45756</v>
      </c>
      <c r="C830" s="69" t="n">
        <v>2025</v>
      </c>
      <c r="D830" t="inlineStr">
        <is>
          <t>Apr</t>
        </is>
      </c>
      <c r="E830" t="inlineStr">
        <is>
          <t>Europe</t>
        </is>
      </c>
      <c r="F830" t="inlineStr">
        <is>
          <t>Germany</t>
        </is>
      </c>
      <c r="G830" t="inlineStr">
        <is>
          <t>Abrysvo</t>
        </is>
      </c>
      <c r="H830" t="inlineStr">
        <is>
          <t>Hospital</t>
        </is>
      </c>
      <c r="I830" t="inlineStr">
        <is>
          <t>Self-pay</t>
        </is>
      </c>
      <c r="J830" t="inlineStr">
        <is>
          <t>Aisha Bello</t>
        </is>
      </c>
      <c r="K830" s="70" t="n">
        <v>1489</v>
      </c>
      <c r="L830" s="71" t="n">
        <v>254.11</v>
      </c>
      <c r="M830" s="71" t="n">
        <v>378369.79</v>
      </c>
      <c r="N830" s="71" t="n">
        <v>94592.45</v>
      </c>
      <c r="O830" s="71" t="n">
        <v>283777.34</v>
      </c>
      <c r="P830" s="71" t="n">
        <v>127660.23</v>
      </c>
      <c r="Q830" s="71" t="n">
        <v>156117.11</v>
      </c>
      <c r="R830" t="inlineStr">
        <is>
          <t>Vaccines</t>
        </is>
      </c>
      <c r="S830" s="70" t="n">
        <v>1054</v>
      </c>
      <c r="T830" s="71" t="n">
        <v>80599.91</v>
      </c>
      <c r="U830" t="inlineStr">
        <is>
          <t>Low</t>
        </is>
      </c>
      <c r="V830">
        <f>IF(AND(OR(Dashboard!$C$6="All",E830=Dashboard!$C$6),OR(Dashboard!$F$6="All",G830=Dashboard!$F$6),OR(Dashboard!$I$6="All",H830=Dashboard!$I$6)),1,0)</f>
        <v/>
      </c>
    </row>
    <row r="831">
      <c r="A831" t="inlineStr">
        <is>
          <t>PF100822</t>
        </is>
      </c>
      <c r="B831" s="68" t="n">
        <v>45756</v>
      </c>
      <c r="C831" s="69" t="n">
        <v>2025</v>
      </c>
      <c r="D831" t="inlineStr">
        <is>
          <t>Apr</t>
        </is>
      </c>
      <c r="E831" t="inlineStr">
        <is>
          <t>International developed</t>
        </is>
      </c>
      <c r="F831" t="inlineStr">
        <is>
          <t>Japan</t>
        </is>
      </c>
      <c r="G831" t="inlineStr">
        <is>
          <t>Eliquis</t>
        </is>
      </c>
      <c r="H831" t="inlineStr">
        <is>
          <t>Retail pharmacy</t>
        </is>
      </c>
      <c r="I831" t="inlineStr">
        <is>
          <t>Private insurer</t>
        </is>
      </c>
      <c r="J831" t="inlineStr">
        <is>
          <t>Carlos Silva</t>
        </is>
      </c>
      <c r="K831" s="70" t="n">
        <v>2676</v>
      </c>
      <c r="L831" s="71" t="n">
        <v>398.03</v>
      </c>
      <c r="M831" s="71" t="n">
        <v>1065128.28</v>
      </c>
      <c r="N831" s="71" t="n">
        <v>159769.24</v>
      </c>
      <c r="O831" s="71" t="n">
        <v>905359.04</v>
      </c>
      <c r="P831" s="71" t="n">
        <v>208648.39</v>
      </c>
      <c r="Q831" s="71" t="n">
        <v>696710.65</v>
      </c>
      <c r="R831" t="inlineStr">
        <is>
          <t>Cardiology</t>
        </is>
      </c>
      <c r="S831" s="70" t="n">
        <v>1826</v>
      </c>
      <c r="T831" s="71" t="n">
        <v>193633.69</v>
      </c>
      <c r="U831" t="inlineStr">
        <is>
          <t>High</t>
        </is>
      </c>
      <c r="V831">
        <f>IF(AND(OR(Dashboard!$C$6="All",E831=Dashboard!$C$6),OR(Dashboard!$F$6="All",G831=Dashboard!$F$6),OR(Dashboard!$I$6="All",H831=Dashboard!$I$6)),1,0)</f>
        <v/>
      </c>
    </row>
    <row r="832">
      <c r="A832" t="inlineStr">
        <is>
          <t>PF100823</t>
        </is>
      </c>
      <c r="B832" s="68" t="n">
        <v>45756</v>
      </c>
      <c r="C832" s="69" t="n">
        <v>2025</v>
      </c>
      <c r="D832" t="inlineStr">
        <is>
          <t>Apr</t>
        </is>
      </c>
      <c r="E832" t="inlineStr">
        <is>
          <t>Europe</t>
        </is>
      </c>
      <c r="F832" t="inlineStr">
        <is>
          <t>Germany</t>
        </is>
      </c>
      <c r="G832" t="inlineStr">
        <is>
          <t>Prevnar 20</t>
        </is>
      </c>
      <c r="H832" t="inlineStr">
        <is>
          <t>Hospital</t>
        </is>
      </c>
      <c r="I832" t="inlineStr">
        <is>
          <t>Public payer</t>
        </is>
      </c>
      <c r="J832" t="inlineStr">
        <is>
          <t>Lucas Martin</t>
        </is>
      </c>
      <c r="K832" s="70" t="n">
        <v>706</v>
      </c>
      <c r="L832" s="71" t="n">
        <v>210.7</v>
      </c>
      <c r="M832" s="71" t="n">
        <v>148754.2</v>
      </c>
      <c r="N832" s="71" t="n">
        <v>37188.55</v>
      </c>
      <c r="O832" s="71" t="n">
        <v>111565.65</v>
      </c>
      <c r="P832" s="71" t="n">
        <v>47958.92</v>
      </c>
      <c r="Q832" s="71" t="n">
        <v>63606.73</v>
      </c>
      <c r="R832" t="inlineStr">
        <is>
          <t>Vaccines</t>
        </is>
      </c>
      <c r="S832" s="70" t="n">
        <v>624</v>
      </c>
      <c r="T832" s="71" t="n">
        <v>30335.46</v>
      </c>
      <c r="U832" t="inlineStr">
        <is>
          <t>Low</t>
        </is>
      </c>
      <c r="V832">
        <f>IF(AND(OR(Dashboard!$C$6="All",E832=Dashboard!$C$6),OR(Dashboard!$F$6="All",G832=Dashboard!$F$6),OR(Dashboard!$I$6="All",H832=Dashboard!$I$6)),1,0)</f>
        <v/>
      </c>
    </row>
    <row r="833">
      <c r="A833" t="inlineStr">
        <is>
          <t>PF100824</t>
        </is>
      </c>
      <c r="B833" s="68" t="n">
        <v>45756</v>
      </c>
      <c r="C833" s="69" t="n">
        <v>2025</v>
      </c>
      <c r="D833" t="inlineStr">
        <is>
          <t>Apr</t>
        </is>
      </c>
      <c r="E833" t="inlineStr">
        <is>
          <t>International developed</t>
        </is>
      </c>
      <c r="F833" t="inlineStr">
        <is>
          <t>Japan</t>
        </is>
      </c>
      <c r="G833" t="inlineStr">
        <is>
          <t>Abrysvo</t>
        </is>
      </c>
      <c r="H833" t="inlineStr">
        <is>
          <t>Hospital</t>
        </is>
      </c>
      <c r="I833" t="inlineStr">
        <is>
          <t>Private insurer</t>
        </is>
      </c>
      <c r="J833" t="inlineStr">
        <is>
          <t>Carlos Silva</t>
        </is>
      </c>
      <c r="K833" s="70" t="n">
        <v>540</v>
      </c>
      <c r="L833" s="71" t="n">
        <v>287.56</v>
      </c>
      <c r="M833" s="71" t="n">
        <v>155282.4</v>
      </c>
      <c r="N833" s="71" t="n">
        <v>7764.12</v>
      </c>
      <c r="O833" s="71" t="n">
        <v>147518.28</v>
      </c>
      <c r="P833" s="71" t="n">
        <v>46329.03</v>
      </c>
      <c r="Q833" s="71" t="n">
        <v>101189.25</v>
      </c>
      <c r="R833" t="inlineStr">
        <is>
          <t>Vaccines</t>
        </is>
      </c>
      <c r="S833" s="70" t="n">
        <v>361</v>
      </c>
      <c r="T833" s="71" t="n">
        <v>32956.53</v>
      </c>
      <c r="U833" t="inlineStr">
        <is>
          <t>Low</t>
        </is>
      </c>
      <c r="V833">
        <f>IF(AND(OR(Dashboard!$C$6="All",E833=Dashboard!$C$6),OR(Dashboard!$F$6="All",G833=Dashboard!$F$6),OR(Dashboard!$I$6="All",H833=Dashboard!$I$6)),1,0)</f>
        <v/>
      </c>
    </row>
    <row r="834">
      <c r="A834" t="inlineStr">
        <is>
          <t>PF100825</t>
        </is>
      </c>
      <c r="B834" s="68" t="n">
        <v>45756</v>
      </c>
      <c r="C834" s="69" t="n">
        <v>2025</v>
      </c>
      <c r="D834" t="inlineStr">
        <is>
          <t>Apr</t>
        </is>
      </c>
      <c r="E834" t="inlineStr">
        <is>
          <t>Europe</t>
        </is>
      </c>
      <c r="F834" t="inlineStr">
        <is>
          <t>France</t>
        </is>
      </c>
      <c r="G834" t="inlineStr">
        <is>
          <t>Eliquis</t>
        </is>
      </c>
      <c r="H834" t="inlineStr">
        <is>
          <t>Hospital</t>
        </is>
      </c>
      <c r="I834" t="inlineStr">
        <is>
          <t>Private insurer</t>
        </is>
      </c>
      <c r="J834" t="inlineStr">
        <is>
          <t>Zoya Ahmed</t>
        </is>
      </c>
      <c r="K834" s="70" t="n">
        <v>1222</v>
      </c>
      <c r="L834" s="71" t="n">
        <v>392.26</v>
      </c>
      <c r="M834" s="71" t="n">
        <v>479341.72</v>
      </c>
      <c r="N834" s="71" t="n">
        <v>119835.43</v>
      </c>
      <c r="O834" s="71" t="n">
        <v>359506.29</v>
      </c>
      <c r="P834" s="71" t="n">
        <v>92732.72</v>
      </c>
      <c r="Q834" s="71" t="n">
        <v>266773.57</v>
      </c>
      <c r="R834" t="inlineStr">
        <is>
          <t>Cardiology</t>
        </is>
      </c>
      <c r="S834" s="70" t="n">
        <v>904</v>
      </c>
      <c r="T834" s="71" t="n">
        <v>94899.32000000001</v>
      </c>
      <c r="U834" t="inlineStr">
        <is>
          <t>High</t>
        </is>
      </c>
      <c r="V834">
        <f>IF(AND(OR(Dashboard!$C$6="All",E834=Dashboard!$C$6),OR(Dashboard!$F$6="All",G834=Dashboard!$F$6),OR(Dashboard!$I$6="All",H834=Dashboard!$I$6)),1,0)</f>
        <v/>
      </c>
    </row>
    <row r="835">
      <c r="A835" t="inlineStr">
        <is>
          <t>PF100826</t>
        </is>
      </c>
      <c r="B835" s="68" t="n">
        <v>45756</v>
      </c>
      <c r="C835" s="69" t="n">
        <v>2025</v>
      </c>
      <c r="D835" t="inlineStr">
        <is>
          <t>Apr</t>
        </is>
      </c>
      <c r="E835" t="inlineStr">
        <is>
          <t>United States</t>
        </is>
      </c>
      <c r="F835" t="inlineStr">
        <is>
          <t>USA</t>
        </is>
      </c>
      <c r="G835" t="inlineStr">
        <is>
          <t>Abrysvo</t>
        </is>
      </c>
      <c r="H835" t="inlineStr">
        <is>
          <t>Retail pharmacy</t>
        </is>
      </c>
      <c r="I835" t="inlineStr">
        <is>
          <t>Public payer</t>
        </is>
      </c>
      <c r="J835" t="inlineStr">
        <is>
          <t>Fatima Al-Saud</t>
        </is>
      </c>
      <c r="K835" s="70" t="n">
        <v>1726</v>
      </c>
      <c r="L835" s="71" t="n">
        <v>437.76</v>
      </c>
      <c r="M835" s="71" t="n">
        <v>755573.76</v>
      </c>
      <c r="N835" s="71" t="n">
        <v>113336.06</v>
      </c>
      <c r="O835" s="71" t="n">
        <v>642237.7</v>
      </c>
      <c r="P835" s="71" t="n">
        <v>143515.56</v>
      </c>
      <c r="Q835" s="71" t="n">
        <v>498722.14</v>
      </c>
      <c r="R835" t="inlineStr">
        <is>
          <t>Vaccines</t>
        </is>
      </c>
      <c r="S835" s="70" t="n">
        <v>1521</v>
      </c>
      <c r="T835" s="71" t="n">
        <v>117776.93</v>
      </c>
      <c r="U835" t="inlineStr">
        <is>
          <t>Low</t>
        </is>
      </c>
      <c r="V835">
        <f>IF(AND(OR(Dashboard!$C$6="All",E835=Dashboard!$C$6),OR(Dashboard!$F$6="All",G835=Dashboard!$F$6),OR(Dashboard!$I$6="All",H835=Dashboard!$I$6)),1,0)</f>
        <v/>
      </c>
    </row>
    <row r="836">
      <c r="A836" t="inlineStr">
        <is>
          <t>PF100827</t>
        </is>
      </c>
      <c r="B836" s="68" t="n">
        <v>45756</v>
      </c>
      <c r="C836" s="69" t="n">
        <v>2025</v>
      </c>
      <c r="D836" t="inlineStr">
        <is>
          <t>Apr</t>
        </is>
      </c>
      <c r="E836" t="inlineStr">
        <is>
          <t>United States</t>
        </is>
      </c>
      <c r="F836" t="inlineStr">
        <is>
          <t>USA</t>
        </is>
      </c>
      <c r="G836" t="inlineStr">
        <is>
          <t>Paxlovid</t>
        </is>
      </c>
      <c r="H836" t="inlineStr">
        <is>
          <t>Government / tender</t>
        </is>
      </c>
      <c r="I836" t="inlineStr">
        <is>
          <t>Private insurer</t>
        </is>
      </c>
      <c r="J836" t="inlineStr">
        <is>
          <t>Fatima Al-Saud</t>
        </is>
      </c>
      <c r="K836" s="70" t="n">
        <v>2221</v>
      </c>
      <c r="L836" s="71" t="n">
        <v>1668.24</v>
      </c>
      <c r="M836" s="71" t="n">
        <v>3705161.04</v>
      </c>
      <c r="N836" s="71" t="n">
        <v>1111548.31</v>
      </c>
      <c r="O836" s="71" t="n">
        <v>2593612.73</v>
      </c>
      <c r="P836" s="71" t="n">
        <v>587645.91</v>
      </c>
      <c r="Q836" s="71" t="n">
        <v>2005966.82</v>
      </c>
      <c r="R836" t="inlineStr">
        <is>
          <t>Antiviral</t>
        </is>
      </c>
      <c r="S836" s="70" t="n">
        <v>1500</v>
      </c>
      <c r="T836" s="71" t="n">
        <v>673643.97</v>
      </c>
      <c r="U836" t="inlineStr">
        <is>
          <t>Low</t>
        </is>
      </c>
      <c r="V836">
        <f>IF(AND(OR(Dashboard!$C$6="All",E836=Dashboard!$C$6),OR(Dashboard!$F$6="All",G836=Dashboard!$F$6),OR(Dashboard!$I$6="All",H836=Dashboard!$I$6)),1,0)</f>
        <v/>
      </c>
    </row>
    <row r="837">
      <c r="A837" t="inlineStr">
        <is>
          <t>PF100828</t>
        </is>
      </c>
      <c r="B837" s="68" t="n">
        <v>45757</v>
      </c>
      <c r="C837" s="69" t="n">
        <v>2025</v>
      </c>
      <c r="D837" t="inlineStr">
        <is>
          <t>Apr</t>
        </is>
      </c>
      <c r="E837" t="inlineStr">
        <is>
          <t>United States</t>
        </is>
      </c>
      <c r="F837" t="inlineStr">
        <is>
          <t>USA</t>
        </is>
      </c>
      <c r="G837" t="inlineStr">
        <is>
          <t>Paxlovid</t>
        </is>
      </c>
      <c r="H837" t="inlineStr">
        <is>
          <t>Hospital</t>
        </is>
      </c>
      <c r="I837" t="inlineStr">
        <is>
          <t>Public payer</t>
        </is>
      </c>
      <c r="J837" t="inlineStr">
        <is>
          <t>Fatima Al-Saud</t>
        </is>
      </c>
      <c r="K837" s="70" t="n">
        <v>2252</v>
      </c>
      <c r="L837" s="71" t="n">
        <v>1883.71</v>
      </c>
      <c r="M837" s="71" t="n">
        <v>4242114.92</v>
      </c>
      <c r="N837" s="71" t="n">
        <v>1060528.73</v>
      </c>
      <c r="O837" s="71" t="n">
        <v>3181586.19</v>
      </c>
      <c r="P837" s="71" t="n">
        <v>638247.39</v>
      </c>
      <c r="Q837" s="71" t="n">
        <v>2543338.8</v>
      </c>
      <c r="R837" t="inlineStr">
        <is>
          <t>Antiviral</t>
        </is>
      </c>
      <c r="S837" s="70" t="n">
        <v>2009</v>
      </c>
      <c r="T837" s="71" t="n">
        <v>654781.71</v>
      </c>
      <c r="U837" t="inlineStr">
        <is>
          <t>Low</t>
        </is>
      </c>
      <c r="V837">
        <f>IF(AND(OR(Dashboard!$C$6="All",E837=Dashboard!$C$6),OR(Dashboard!$F$6="All",G837=Dashboard!$F$6),OR(Dashboard!$I$6="All",H837=Dashboard!$I$6)),1,0)</f>
        <v/>
      </c>
    </row>
    <row r="838">
      <c r="A838" t="inlineStr">
        <is>
          <t>PF100829</t>
        </is>
      </c>
      <c r="B838" s="68" t="n">
        <v>45757</v>
      </c>
      <c r="C838" s="69" t="n">
        <v>2025</v>
      </c>
      <c r="D838" t="inlineStr">
        <is>
          <t>Apr</t>
        </is>
      </c>
      <c r="E838" t="inlineStr">
        <is>
          <t>Emerging markets</t>
        </is>
      </c>
      <c r="F838" t="inlineStr">
        <is>
          <t>Brazil</t>
        </is>
      </c>
      <c r="G838" t="inlineStr">
        <is>
          <t>Comirnaty</t>
        </is>
      </c>
      <c r="H838" t="inlineStr">
        <is>
          <t>Government / tender</t>
        </is>
      </c>
      <c r="I838" t="inlineStr">
        <is>
          <t>Self-pay</t>
        </is>
      </c>
      <c r="J838" t="inlineStr">
        <is>
          <t>Wei Chen</t>
        </is>
      </c>
      <c r="K838" s="70" t="n">
        <v>922</v>
      </c>
      <c r="L838" s="71" t="n">
        <v>120.11</v>
      </c>
      <c r="M838" s="71" t="n">
        <v>110741.42</v>
      </c>
      <c r="N838" s="71" t="n">
        <v>27685.35</v>
      </c>
      <c r="O838" s="71" t="n">
        <v>83056.07000000001</v>
      </c>
      <c r="P838" s="71" t="n">
        <v>35047.29</v>
      </c>
      <c r="Q838" s="71" t="n">
        <v>48008.78</v>
      </c>
      <c r="R838" t="inlineStr">
        <is>
          <t>Vaccines</t>
        </is>
      </c>
      <c r="S838" s="70" t="n">
        <v>783</v>
      </c>
      <c r="T838" s="71" t="n">
        <v>22438.23</v>
      </c>
      <c r="U838" t="inlineStr">
        <is>
          <t>Low</t>
        </is>
      </c>
      <c r="V838">
        <f>IF(AND(OR(Dashboard!$C$6="All",E838=Dashboard!$C$6),OR(Dashboard!$F$6="All",G838=Dashboard!$F$6),OR(Dashboard!$I$6="All",H838=Dashboard!$I$6)),1,0)</f>
        <v/>
      </c>
    </row>
    <row r="839">
      <c r="A839" t="inlineStr">
        <is>
          <t>PF100830</t>
        </is>
      </c>
      <c r="B839" s="68" t="n">
        <v>45757</v>
      </c>
      <c r="C839" s="69" t="n">
        <v>2025</v>
      </c>
      <c r="D839" t="inlineStr">
        <is>
          <t>Apr</t>
        </is>
      </c>
      <c r="E839" t="inlineStr">
        <is>
          <t>International developed</t>
        </is>
      </c>
      <c r="F839" t="inlineStr">
        <is>
          <t>Japan</t>
        </is>
      </c>
      <c r="G839" t="inlineStr">
        <is>
          <t>Eliquis</t>
        </is>
      </c>
      <c r="H839" t="inlineStr">
        <is>
          <t>Retail pharmacy</t>
        </is>
      </c>
      <c r="I839" t="inlineStr">
        <is>
          <t>Private insurer</t>
        </is>
      </c>
      <c r="J839" t="inlineStr">
        <is>
          <t>Shraddha Kulkarni</t>
        </is>
      </c>
      <c r="K839" s="70" t="n">
        <v>598</v>
      </c>
      <c r="L839" s="71" t="n">
        <v>430.13</v>
      </c>
      <c r="M839" s="71" t="n">
        <v>257217.74</v>
      </c>
      <c r="N839" s="71" t="n">
        <v>12860.89</v>
      </c>
      <c r="O839" s="71" t="n">
        <v>244356.85</v>
      </c>
      <c r="P839" s="71" t="n">
        <v>44593.53</v>
      </c>
      <c r="Q839" s="71" t="n">
        <v>199763.32</v>
      </c>
      <c r="R839" t="inlineStr">
        <is>
          <t>Cardiology</t>
        </is>
      </c>
      <c r="S839" s="70" t="n">
        <v>465</v>
      </c>
      <c r="T839" s="71" t="n">
        <v>52040.16</v>
      </c>
      <c r="U839" t="inlineStr">
        <is>
          <t>High</t>
        </is>
      </c>
      <c r="V839">
        <f>IF(AND(OR(Dashboard!$C$6="All",E839=Dashboard!$C$6),OR(Dashboard!$F$6="All",G839=Dashboard!$F$6),OR(Dashboard!$I$6="All",H839=Dashboard!$I$6)),1,0)</f>
        <v/>
      </c>
    </row>
    <row r="840">
      <c r="A840" t="inlineStr">
        <is>
          <t>PF100831</t>
        </is>
      </c>
      <c r="B840" s="68" t="n">
        <v>45757</v>
      </c>
      <c r="C840" s="69" t="n">
        <v>2025</v>
      </c>
      <c r="D840" t="inlineStr">
        <is>
          <t>Apr</t>
        </is>
      </c>
      <c r="E840" t="inlineStr">
        <is>
          <t>United States</t>
        </is>
      </c>
      <c r="F840" t="inlineStr">
        <is>
          <t>USA</t>
        </is>
      </c>
      <c r="G840" t="inlineStr">
        <is>
          <t>Paxlovid</t>
        </is>
      </c>
      <c r="H840" t="inlineStr">
        <is>
          <t>Hospital</t>
        </is>
      </c>
      <c r="I840" t="inlineStr">
        <is>
          <t>Private insurer</t>
        </is>
      </c>
      <c r="J840" t="inlineStr">
        <is>
          <t>Yuki Sato</t>
        </is>
      </c>
      <c r="K840" s="70" t="n">
        <v>951</v>
      </c>
      <c r="L840" s="71" t="n">
        <v>1593.06</v>
      </c>
      <c r="M840" s="71" t="n">
        <v>1515000.06</v>
      </c>
      <c r="N840" s="71" t="n">
        <v>454500.02</v>
      </c>
      <c r="O840" s="71" t="n">
        <v>1060500.04</v>
      </c>
      <c r="P840" s="71" t="n">
        <v>253266.14</v>
      </c>
      <c r="Q840" s="71" t="n">
        <v>807233.9</v>
      </c>
      <c r="R840" t="inlineStr">
        <is>
          <t>Antiviral</t>
        </is>
      </c>
      <c r="S840" s="70" t="n">
        <v>842</v>
      </c>
      <c r="T840" s="71" t="n">
        <v>266695.2</v>
      </c>
      <c r="U840" t="inlineStr">
        <is>
          <t>Low</t>
        </is>
      </c>
      <c r="V840">
        <f>IF(AND(OR(Dashboard!$C$6="All",E840=Dashboard!$C$6),OR(Dashboard!$F$6="All",G840=Dashboard!$F$6),OR(Dashboard!$I$6="All",H840=Dashboard!$I$6)),1,0)</f>
        <v/>
      </c>
    </row>
    <row r="841">
      <c r="A841" t="inlineStr">
        <is>
          <t>PF100832</t>
        </is>
      </c>
      <c r="B841" s="68" t="n">
        <v>45758</v>
      </c>
      <c r="C841" s="69" t="n">
        <v>2025</v>
      </c>
      <c r="D841" t="inlineStr">
        <is>
          <t>Apr</t>
        </is>
      </c>
      <c r="E841" t="inlineStr">
        <is>
          <t>Emerging markets</t>
        </is>
      </c>
      <c r="F841" t="inlineStr">
        <is>
          <t>India</t>
        </is>
      </c>
      <c r="G841" t="inlineStr">
        <is>
          <t>Paxlovid</t>
        </is>
      </c>
      <c r="H841" t="inlineStr">
        <is>
          <t>Government / tender</t>
        </is>
      </c>
      <c r="I841" t="inlineStr">
        <is>
          <t>Private insurer</t>
        </is>
      </c>
      <c r="J841" t="inlineStr">
        <is>
          <t>Carlos Silva</t>
        </is>
      </c>
      <c r="K841" s="70" t="n">
        <v>2097</v>
      </c>
      <c r="L841" s="71" t="n">
        <v>1058.68</v>
      </c>
      <c r="M841" s="71" t="n">
        <v>2220051.96</v>
      </c>
      <c r="N841" s="71" t="n">
        <v>222005.2</v>
      </c>
      <c r="O841" s="71" t="n">
        <v>1998046.76</v>
      </c>
      <c r="P841" s="71" t="n">
        <v>566682.9399999999</v>
      </c>
      <c r="Q841" s="71" t="n">
        <v>1431363.82</v>
      </c>
      <c r="R841" t="inlineStr">
        <is>
          <t>Antiviral</t>
        </is>
      </c>
      <c r="S841" s="70" t="n">
        <v>1915</v>
      </c>
      <c r="T841" s="71" t="n">
        <v>326618.56</v>
      </c>
      <c r="U841" t="inlineStr">
        <is>
          <t>Low</t>
        </is>
      </c>
      <c r="V841">
        <f>IF(AND(OR(Dashboard!$C$6="All",E841=Dashboard!$C$6),OR(Dashboard!$F$6="All",G841=Dashboard!$F$6),OR(Dashboard!$I$6="All",H841=Dashboard!$I$6)),1,0)</f>
        <v/>
      </c>
    </row>
    <row r="842">
      <c r="A842" t="inlineStr">
        <is>
          <t>PF100833</t>
        </is>
      </c>
      <c r="B842" s="68" t="n">
        <v>45758</v>
      </c>
      <c r="C842" s="69" t="n">
        <v>2025</v>
      </c>
      <c r="D842" t="inlineStr">
        <is>
          <t>Apr</t>
        </is>
      </c>
      <c r="E842" t="inlineStr">
        <is>
          <t>United States</t>
        </is>
      </c>
      <c r="F842" t="inlineStr">
        <is>
          <t>USA</t>
        </is>
      </c>
      <c r="G842" t="inlineStr">
        <is>
          <t>Ibrance</t>
        </is>
      </c>
      <c r="H842" t="inlineStr">
        <is>
          <t>Retail pharmacy</t>
        </is>
      </c>
      <c r="I842" t="inlineStr">
        <is>
          <t>Private insurer</t>
        </is>
      </c>
      <c r="J842" t="inlineStr">
        <is>
          <t>Yuki Sato</t>
        </is>
      </c>
      <c r="K842" s="70" t="n">
        <v>2435</v>
      </c>
      <c r="L842" s="71" t="n">
        <v>4924.64</v>
      </c>
      <c r="M842" s="71" t="n">
        <v>11991498.4</v>
      </c>
      <c r="N842" s="71" t="n">
        <v>1798724.76</v>
      </c>
      <c r="O842" s="71" t="n">
        <v>10192773.64</v>
      </c>
      <c r="P842" s="71" t="n">
        <v>1090952.25</v>
      </c>
      <c r="Q842" s="71" t="n">
        <v>9101821.390000001</v>
      </c>
      <c r="R842" t="inlineStr">
        <is>
          <t>Oncology</t>
        </is>
      </c>
      <c r="S842" s="70" t="n">
        <v>1582</v>
      </c>
      <c r="T842" s="71" t="n">
        <v>2540777.67</v>
      </c>
      <c r="U842" t="inlineStr">
        <is>
          <t>High</t>
        </is>
      </c>
      <c r="V842">
        <f>IF(AND(OR(Dashboard!$C$6="All",E842=Dashboard!$C$6),OR(Dashboard!$F$6="All",G842=Dashboard!$F$6),OR(Dashboard!$I$6="All",H842=Dashboard!$I$6)),1,0)</f>
        <v/>
      </c>
    </row>
    <row r="843">
      <c r="A843" t="inlineStr">
        <is>
          <t>PF100834</t>
        </is>
      </c>
      <c r="B843" s="68" t="n">
        <v>45758</v>
      </c>
      <c r="C843" s="69" t="n">
        <v>2025</v>
      </c>
      <c r="D843" t="inlineStr">
        <is>
          <t>Apr</t>
        </is>
      </c>
      <c r="E843" t="inlineStr">
        <is>
          <t>United States</t>
        </is>
      </c>
      <c r="F843" t="inlineStr">
        <is>
          <t>USA</t>
        </is>
      </c>
      <c r="G843" t="inlineStr">
        <is>
          <t>Eliquis</t>
        </is>
      </c>
      <c r="H843" t="inlineStr">
        <is>
          <t>Hospital</t>
        </is>
      </c>
      <c r="I843" t="inlineStr">
        <is>
          <t>Private insurer</t>
        </is>
      </c>
      <c r="J843" t="inlineStr">
        <is>
          <t>Sara Rossi</t>
        </is>
      </c>
      <c r="K843" s="70" t="n">
        <v>1339</v>
      </c>
      <c r="L843" s="71" t="n">
        <v>629.58</v>
      </c>
      <c r="M843" s="71" t="n">
        <v>843007.62</v>
      </c>
      <c r="N843" s="71" t="n">
        <v>295052.67</v>
      </c>
      <c r="O843" s="71" t="n">
        <v>547954.95</v>
      </c>
      <c r="P843" s="71" t="n">
        <v>100416.21</v>
      </c>
      <c r="Q843" s="71" t="n">
        <v>447538.74</v>
      </c>
      <c r="R843" t="inlineStr">
        <is>
          <t>Cardiology</t>
        </is>
      </c>
      <c r="S843" s="70" t="n">
        <v>1156</v>
      </c>
      <c r="T843" s="71" t="n">
        <v>153892.98</v>
      </c>
      <c r="U843" t="inlineStr">
        <is>
          <t>High</t>
        </is>
      </c>
      <c r="V843">
        <f>IF(AND(OR(Dashboard!$C$6="All",E843=Dashboard!$C$6),OR(Dashboard!$F$6="All",G843=Dashboard!$F$6),OR(Dashboard!$I$6="All",H843=Dashboard!$I$6)),1,0)</f>
        <v/>
      </c>
    </row>
    <row r="844">
      <c r="A844" t="inlineStr">
        <is>
          <t>PF100835</t>
        </is>
      </c>
      <c r="B844" s="68" t="n">
        <v>45758</v>
      </c>
      <c r="C844" s="69" t="n">
        <v>2025</v>
      </c>
      <c r="D844" t="inlineStr">
        <is>
          <t>Apr</t>
        </is>
      </c>
      <c r="E844" t="inlineStr">
        <is>
          <t>International developed</t>
        </is>
      </c>
      <c r="F844" t="inlineStr">
        <is>
          <t>Australia</t>
        </is>
      </c>
      <c r="G844" t="inlineStr">
        <is>
          <t>Ibrance</t>
        </is>
      </c>
      <c r="H844" t="inlineStr">
        <is>
          <t>Retail pharmacy</t>
        </is>
      </c>
      <c r="I844" t="inlineStr">
        <is>
          <t>Private insurer</t>
        </is>
      </c>
      <c r="J844" t="inlineStr">
        <is>
          <t>Sara Rossi</t>
        </is>
      </c>
      <c r="K844" s="70" t="n">
        <v>1543</v>
      </c>
      <c r="L844" s="71" t="n">
        <v>2740.72</v>
      </c>
      <c r="M844" s="71" t="n">
        <v>4228930.96</v>
      </c>
      <c r="N844" s="71" t="n">
        <v>211446.55</v>
      </c>
      <c r="O844" s="71" t="n">
        <v>4017484.41</v>
      </c>
      <c r="P844" s="71" t="n">
        <v>675775.2</v>
      </c>
      <c r="Q844" s="71" t="n">
        <v>3341709.21</v>
      </c>
      <c r="R844" t="inlineStr">
        <is>
          <t>Oncology</t>
        </is>
      </c>
      <c r="S844" s="70" t="n">
        <v>1501</v>
      </c>
      <c r="T844" s="71" t="n">
        <v>885089.7</v>
      </c>
      <c r="U844" t="inlineStr">
        <is>
          <t>High</t>
        </is>
      </c>
      <c r="V844">
        <f>IF(AND(OR(Dashboard!$C$6="All",E844=Dashboard!$C$6),OR(Dashboard!$F$6="All",G844=Dashboard!$F$6),OR(Dashboard!$I$6="All",H844=Dashboard!$I$6)),1,0)</f>
        <v/>
      </c>
    </row>
    <row r="845">
      <c r="A845" t="inlineStr">
        <is>
          <t>PF100836</t>
        </is>
      </c>
      <c r="B845" s="68" t="n">
        <v>45758</v>
      </c>
      <c r="C845" s="69" t="n">
        <v>2025</v>
      </c>
      <c r="D845" t="inlineStr">
        <is>
          <t>Apr</t>
        </is>
      </c>
      <c r="E845" t="inlineStr">
        <is>
          <t>Europe</t>
        </is>
      </c>
      <c r="F845" t="inlineStr">
        <is>
          <t>Spain</t>
        </is>
      </c>
      <c r="G845" t="inlineStr">
        <is>
          <t>Prevnar 20</t>
        </is>
      </c>
      <c r="H845" t="inlineStr">
        <is>
          <t>Government / tender</t>
        </is>
      </c>
      <c r="I845" t="inlineStr">
        <is>
          <t>Public payer</t>
        </is>
      </c>
      <c r="J845" t="inlineStr">
        <is>
          <t>Ravindra Patil</t>
        </is>
      </c>
      <c r="K845" s="70" t="n">
        <v>2133</v>
      </c>
      <c r="L845" s="71" t="n">
        <v>219.16</v>
      </c>
      <c r="M845" s="71" t="n">
        <v>467468.28</v>
      </c>
      <c r="N845" s="71" t="n">
        <v>70120.24000000001</v>
      </c>
      <c r="O845" s="71" t="n">
        <v>397348.04</v>
      </c>
      <c r="P845" s="71" t="n">
        <v>141456.13</v>
      </c>
      <c r="Q845" s="71" t="n">
        <v>255891.91</v>
      </c>
      <c r="R845" t="inlineStr">
        <is>
          <t>Vaccines</t>
        </is>
      </c>
      <c r="S845" s="70" t="n">
        <v>1629</v>
      </c>
      <c r="T845" s="71" t="n">
        <v>90452.75999999999</v>
      </c>
      <c r="U845" t="inlineStr">
        <is>
          <t>Low</t>
        </is>
      </c>
      <c r="V845">
        <f>IF(AND(OR(Dashboard!$C$6="All",E845=Dashboard!$C$6),OR(Dashboard!$F$6="All",G845=Dashboard!$F$6),OR(Dashboard!$I$6="All",H845=Dashboard!$I$6)),1,0)</f>
        <v/>
      </c>
    </row>
    <row r="846">
      <c r="A846" t="inlineStr">
        <is>
          <t>PF100837</t>
        </is>
      </c>
      <c r="B846" s="68" t="n">
        <v>45758</v>
      </c>
      <c r="C846" s="69" t="n">
        <v>2025</v>
      </c>
      <c r="D846" t="inlineStr">
        <is>
          <t>Apr</t>
        </is>
      </c>
      <c r="E846" t="inlineStr">
        <is>
          <t>International developed</t>
        </is>
      </c>
      <c r="F846" t="inlineStr">
        <is>
          <t>Canada</t>
        </is>
      </c>
      <c r="G846" t="inlineStr">
        <is>
          <t>Prevnar 20</t>
        </is>
      </c>
      <c r="H846" t="inlineStr">
        <is>
          <t>Retail pharmacy</t>
        </is>
      </c>
      <c r="I846" t="inlineStr">
        <is>
          <t>Public payer</t>
        </is>
      </c>
      <c r="J846" t="inlineStr">
        <is>
          <t>Mei Lin</t>
        </is>
      </c>
      <c r="K846" s="70" t="n">
        <v>742</v>
      </c>
      <c r="L846" s="71" t="n">
        <v>231.58</v>
      </c>
      <c r="M846" s="71" t="n">
        <v>171832.36</v>
      </c>
      <c r="N846" s="71" t="n">
        <v>34366.47</v>
      </c>
      <c r="O846" s="71" t="n">
        <v>137465.89</v>
      </c>
      <c r="P846" s="71" t="n">
        <v>52519.53</v>
      </c>
      <c r="Q846" s="71" t="n">
        <v>84946.36</v>
      </c>
      <c r="R846" t="inlineStr">
        <is>
          <t>Vaccines</t>
        </is>
      </c>
      <c r="S846" s="70" t="n">
        <v>595</v>
      </c>
      <c r="T846" s="71" t="n">
        <v>27854.13</v>
      </c>
      <c r="U846" t="inlineStr">
        <is>
          <t>Low</t>
        </is>
      </c>
      <c r="V846">
        <f>IF(AND(OR(Dashboard!$C$6="All",E846=Dashboard!$C$6),OR(Dashboard!$F$6="All",G846=Dashboard!$F$6),OR(Dashboard!$I$6="All",H846=Dashboard!$I$6)),1,0)</f>
        <v/>
      </c>
    </row>
    <row r="847">
      <c r="A847" t="inlineStr">
        <is>
          <t>PF100838</t>
        </is>
      </c>
      <c r="B847" s="68" t="n">
        <v>45758</v>
      </c>
      <c r="C847" s="69" t="n">
        <v>2025</v>
      </c>
      <c r="D847" t="inlineStr">
        <is>
          <t>Apr</t>
        </is>
      </c>
      <c r="E847" t="inlineStr">
        <is>
          <t>United States</t>
        </is>
      </c>
      <c r="F847" t="inlineStr">
        <is>
          <t>USA</t>
        </is>
      </c>
      <c r="G847" t="inlineStr">
        <is>
          <t>Paxlovid</t>
        </is>
      </c>
      <c r="H847" t="inlineStr">
        <is>
          <t>Hospital</t>
        </is>
      </c>
      <c r="I847" t="inlineStr">
        <is>
          <t>Private insurer</t>
        </is>
      </c>
      <c r="J847" t="inlineStr">
        <is>
          <t>Carlos Silva</t>
        </is>
      </c>
      <c r="K847" s="70" t="n">
        <v>1466</v>
      </c>
      <c r="L847" s="71" t="n">
        <v>1655.78</v>
      </c>
      <c r="M847" s="71" t="n">
        <v>2427373.48</v>
      </c>
      <c r="N847" s="71" t="n">
        <v>485474.7</v>
      </c>
      <c r="O847" s="71" t="n">
        <v>1941898.78</v>
      </c>
      <c r="P847" s="71" t="n">
        <v>394066.09</v>
      </c>
      <c r="Q847" s="71" t="n">
        <v>1547832.69</v>
      </c>
      <c r="R847" t="inlineStr">
        <is>
          <t>Antiviral</t>
        </is>
      </c>
      <c r="S847" s="70" t="n">
        <v>1237</v>
      </c>
      <c r="T847" s="71" t="n">
        <v>481045.9</v>
      </c>
      <c r="U847" t="inlineStr">
        <is>
          <t>Low</t>
        </is>
      </c>
      <c r="V847">
        <f>IF(AND(OR(Dashboard!$C$6="All",E847=Dashboard!$C$6),OR(Dashboard!$F$6="All",G847=Dashboard!$F$6),OR(Dashboard!$I$6="All",H847=Dashboard!$I$6)),1,0)</f>
        <v/>
      </c>
    </row>
    <row r="848">
      <c r="A848" t="inlineStr">
        <is>
          <t>PF100839</t>
        </is>
      </c>
      <c r="B848" s="68" t="n">
        <v>45758</v>
      </c>
      <c r="C848" s="69" t="n">
        <v>2025</v>
      </c>
      <c r="D848" t="inlineStr">
        <is>
          <t>Apr</t>
        </is>
      </c>
      <c r="E848" t="inlineStr">
        <is>
          <t>Emerging markets</t>
        </is>
      </c>
      <c r="F848" t="inlineStr">
        <is>
          <t>China</t>
        </is>
      </c>
      <c r="G848" t="inlineStr">
        <is>
          <t>Prevnar 20</t>
        </is>
      </c>
      <c r="H848" t="inlineStr">
        <is>
          <t>Retail pharmacy</t>
        </is>
      </c>
      <c r="I848" t="inlineStr">
        <is>
          <t>Public payer</t>
        </is>
      </c>
      <c r="J848" t="inlineStr">
        <is>
          <t>Zoya Ahmed</t>
        </is>
      </c>
      <c r="K848" s="70" t="n">
        <v>748</v>
      </c>
      <c r="L848" s="71" t="n">
        <v>211.39</v>
      </c>
      <c r="M848" s="71" t="n">
        <v>158119.72</v>
      </c>
      <c r="N848" s="71" t="n">
        <v>15811.97</v>
      </c>
      <c r="O848" s="71" t="n">
        <v>142307.75</v>
      </c>
      <c r="P848" s="71" t="n">
        <v>50814.94</v>
      </c>
      <c r="Q848" s="71" t="n">
        <v>91492.81</v>
      </c>
      <c r="R848" t="inlineStr">
        <is>
          <t>Vaccines</t>
        </is>
      </c>
      <c r="S848" s="70" t="n">
        <v>608</v>
      </c>
      <c r="T848" s="71" t="n">
        <v>20763.91</v>
      </c>
      <c r="U848" t="inlineStr">
        <is>
          <t>Low</t>
        </is>
      </c>
      <c r="V848">
        <f>IF(AND(OR(Dashboard!$C$6="All",E848=Dashboard!$C$6),OR(Dashboard!$F$6="All",G848=Dashboard!$F$6),OR(Dashboard!$I$6="All",H848=Dashboard!$I$6)),1,0)</f>
        <v/>
      </c>
    </row>
    <row r="849">
      <c r="A849" t="inlineStr">
        <is>
          <t>PF100840</t>
        </is>
      </c>
      <c r="B849" s="68" t="n">
        <v>45758</v>
      </c>
      <c r="C849" s="69" t="n">
        <v>2025</v>
      </c>
      <c r="D849" t="inlineStr">
        <is>
          <t>Apr</t>
        </is>
      </c>
      <c r="E849" t="inlineStr">
        <is>
          <t>United States</t>
        </is>
      </c>
      <c r="F849" t="inlineStr">
        <is>
          <t>USA</t>
        </is>
      </c>
      <c r="G849" t="inlineStr">
        <is>
          <t>Prevnar 20</t>
        </is>
      </c>
      <c r="H849" t="inlineStr">
        <is>
          <t>Retail pharmacy</t>
        </is>
      </c>
      <c r="I849" t="inlineStr">
        <is>
          <t>Public payer</t>
        </is>
      </c>
      <c r="J849" t="inlineStr">
        <is>
          <t>Yuki Sato</t>
        </is>
      </c>
      <c r="K849" s="70" t="n">
        <v>2769</v>
      </c>
      <c r="L849" s="71" t="n">
        <v>356.18</v>
      </c>
      <c r="M849" s="71" t="n">
        <v>986262.42</v>
      </c>
      <c r="N849" s="71" t="n">
        <v>147939.36</v>
      </c>
      <c r="O849" s="71" t="n">
        <v>838323.0600000001</v>
      </c>
      <c r="P849" s="71" t="n">
        <v>193696.82</v>
      </c>
      <c r="Q849" s="71" t="n">
        <v>644626.24</v>
      </c>
      <c r="R849" t="inlineStr">
        <is>
          <t>Vaccines</t>
        </is>
      </c>
      <c r="S849" s="70" t="n">
        <v>2004</v>
      </c>
      <c r="T849" s="71" t="n">
        <v>182721.48</v>
      </c>
      <c r="U849" t="inlineStr">
        <is>
          <t>Low</t>
        </is>
      </c>
      <c r="V849">
        <f>IF(AND(OR(Dashboard!$C$6="All",E849=Dashboard!$C$6),OR(Dashboard!$F$6="All",G849=Dashboard!$F$6),OR(Dashboard!$I$6="All",H849=Dashboard!$I$6)),1,0)</f>
        <v/>
      </c>
    </row>
    <row r="850">
      <c r="A850" t="inlineStr">
        <is>
          <t>PF100841</t>
        </is>
      </c>
      <c r="B850" s="68" t="n">
        <v>45758</v>
      </c>
      <c r="C850" s="69" t="n">
        <v>2025</v>
      </c>
      <c r="D850" t="inlineStr">
        <is>
          <t>Apr</t>
        </is>
      </c>
      <c r="E850" t="inlineStr">
        <is>
          <t>International developed</t>
        </is>
      </c>
      <c r="F850" t="inlineStr">
        <is>
          <t>Australia</t>
        </is>
      </c>
      <c r="G850" t="inlineStr">
        <is>
          <t>Abrysvo</t>
        </is>
      </c>
      <c r="H850" t="inlineStr">
        <is>
          <t>Retail pharmacy</t>
        </is>
      </c>
      <c r="I850" t="inlineStr">
        <is>
          <t>Public payer</t>
        </is>
      </c>
      <c r="J850" t="inlineStr">
        <is>
          <t>Ana Costa</t>
        </is>
      </c>
      <c r="K850" s="70" t="n">
        <v>1870</v>
      </c>
      <c r="L850" s="71" t="n">
        <v>270.6</v>
      </c>
      <c r="M850" s="71" t="n">
        <v>506022</v>
      </c>
      <c r="N850" s="71" t="n">
        <v>75903.3</v>
      </c>
      <c r="O850" s="71" t="n">
        <v>430118.7</v>
      </c>
      <c r="P850" s="71" t="n">
        <v>161850.6</v>
      </c>
      <c r="Q850" s="71" t="n">
        <v>268268.1</v>
      </c>
      <c r="R850" t="inlineStr">
        <is>
          <t>Vaccines</t>
        </is>
      </c>
      <c r="S850" s="70" t="n">
        <v>1205</v>
      </c>
      <c r="T850" s="71" t="n">
        <v>101586.38</v>
      </c>
      <c r="U850" t="inlineStr">
        <is>
          <t>Low</t>
        </is>
      </c>
      <c r="V850">
        <f>IF(AND(OR(Dashboard!$C$6="All",E850=Dashboard!$C$6),OR(Dashboard!$F$6="All",G850=Dashboard!$F$6),OR(Dashboard!$I$6="All",H850=Dashboard!$I$6)),1,0)</f>
        <v/>
      </c>
    </row>
    <row r="851">
      <c r="A851" t="inlineStr">
        <is>
          <t>PF100842</t>
        </is>
      </c>
      <c r="B851" s="68" t="n">
        <v>45759</v>
      </c>
      <c r="C851" s="69" t="n">
        <v>2025</v>
      </c>
      <c r="D851" t="inlineStr">
        <is>
          <t>Apr</t>
        </is>
      </c>
      <c r="E851" t="inlineStr">
        <is>
          <t>International developed</t>
        </is>
      </c>
      <c r="F851" t="inlineStr">
        <is>
          <t>Japan</t>
        </is>
      </c>
      <c r="G851" t="inlineStr">
        <is>
          <t>Eliquis</t>
        </is>
      </c>
      <c r="H851" t="inlineStr">
        <is>
          <t>Retail pharmacy</t>
        </is>
      </c>
      <c r="I851" t="inlineStr">
        <is>
          <t>Private insurer</t>
        </is>
      </c>
      <c r="J851" t="inlineStr">
        <is>
          <t>Emma Clarke</t>
        </is>
      </c>
      <c r="K851" s="70" t="n">
        <v>1531</v>
      </c>
      <c r="L851" s="71" t="n">
        <v>439.01</v>
      </c>
      <c r="M851" s="71" t="n">
        <v>672124.3100000001</v>
      </c>
      <c r="N851" s="71" t="n">
        <v>67212.42999999999</v>
      </c>
      <c r="O851" s="71" t="n">
        <v>604911.88</v>
      </c>
      <c r="P851" s="71" t="n">
        <v>118432.32</v>
      </c>
      <c r="Q851" s="71" t="n">
        <v>486479.56</v>
      </c>
      <c r="R851" t="inlineStr">
        <is>
          <t>Cardiology</t>
        </is>
      </c>
      <c r="S851" s="70" t="n">
        <v>1175</v>
      </c>
      <c r="T851" s="71" t="n">
        <v>132418.7</v>
      </c>
      <c r="U851" t="inlineStr">
        <is>
          <t>High</t>
        </is>
      </c>
      <c r="V851">
        <f>IF(AND(OR(Dashboard!$C$6="All",E851=Dashboard!$C$6),OR(Dashboard!$F$6="All",G851=Dashboard!$F$6),OR(Dashboard!$I$6="All",H851=Dashboard!$I$6)),1,0)</f>
        <v/>
      </c>
    </row>
    <row r="852">
      <c r="A852" t="inlineStr">
        <is>
          <t>PF100843</t>
        </is>
      </c>
      <c r="B852" s="68" t="n">
        <v>45759</v>
      </c>
      <c r="C852" s="69" t="n">
        <v>2025</v>
      </c>
      <c r="D852" t="inlineStr">
        <is>
          <t>Apr</t>
        </is>
      </c>
      <c r="E852" t="inlineStr">
        <is>
          <t>Europe</t>
        </is>
      </c>
      <c r="F852" t="inlineStr">
        <is>
          <t>France</t>
        </is>
      </c>
      <c r="G852" t="inlineStr">
        <is>
          <t>Vyndaqel</t>
        </is>
      </c>
      <c r="H852" t="inlineStr">
        <is>
          <t>Retail pharmacy</t>
        </is>
      </c>
      <c r="I852" t="inlineStr">
        <is>
          <t>Public payer</t>
        </is>
      </c>
      <c r="J852" t="inlineStr">
        <is>
          <t>Shraddha Kulkarni</t>
        </is>
      </c>
      <c r="K852" s="70" t="n">
        <v>282</v>
      </c>
      <c r="L852" s="71" t="n">
        <v>4894.8</v>
      </c>
      <c r="M852" s="71" t="n">
        <v>1380333.6</v>
      </c>
      <c r="N852" s="71" t="n">
        <v>207050.04</v>
      </c>
      <c r="O852" s="71" t="n">
        <v>1173283.56</v>
      </c>
      <c r="P852" s="71" t="n">
        <v>175512.21</v>
      </c>
      <c r="Q852" s="71" t="n">
        <v>997771.35</v>
      </c>
      <c r="R852" t="inlineStr">
        <is>
          <t>Rare disease</t>
        </is>
      </c>
      <c r="S852" s="70" t="n">
        <v>190</v>
      </c>
      <c r="T852" s="71" t="n">
        <v>192107.52</v>
      </c>
      <c r="U852" t="inlineStr">
        <is>
          <t>Medium</t>
        </is>
      </c>
      <c r="V852">
        <f>IF(AND(OR(Dashboard!$C$6="All",E852=Dashboard!$C$6),OR(Dashboard!$F$6="All",G852=Dashboard!$F$6),OR(Dashboard!$I$6="All",H852=Dashboard!$I$6)),1,0)</f>
        <v/>
      </c>
    </row>
    <row r="853">
      <c r="A853" t="inlineStr">
        <is>
          <t>PF100844</t>
        </is>
      </c>
      <c r="B853" s="68" t="n">
        <v>45759</v>
      </c>
      <c r="C853" s="69" t="n">
        <v>2025</v>
      </c>
      <c r="D853" t="inlineStr">
        <is>
          <t>Apr</t>
        </is>
      </c>
      <c r="E853" t="inlineStr">
        <is>
          <t>Europe</t>
        </is>
      </c>
      <c r="F853" t="inlineStr">
        <is>
          <t>Spain</t>
        </is>
      </c>
      <c r="G853" t="inlineStr">
        <is>
          <t>Eliquis</t>
        </is>
      </c>
      <c r="H853" t="inlineStr">
        <is>
          <t>Government / tender</t>
        </is>
      </c>
      <c r="I853" t="inlineStr">
        <is>
          <t>Private insurer</t>
        </is>
      </c>
      <c r="J853" t="inlineStr">
        <is>
          <t>Kofi Mensah</t>
        </is>
      </c>
      <c r="K853" s="70" t="n">
        <v>1735</v>
      </c>
      <c r="L853" s="71" t="n">
        <v>455.65</v>
      </c>
      <c r="M853" s="71" t="n">
        <v>790552.75</v>
      </c>
      <c r="N853" s="71" t="n">
        <v>79055.28</v>
      </c>
      <c r="O853" s="71" t="n">
        <v>711497.47</v>
      </c>
      <c r="P853" s="71" t="n">
        <v>132071.21</v>
      </c>
      <c r="Q853" s="71" t="n">
        <v>579426.26</v>
      </c>
      <c r="R853" t="inlineStr">
        <is>
          <t>Cardiology</t>
        </is>
      </c>
      <c r="S853" s="70" t="n">
        <v>1202</v>
      </c>
      <c r="T853" s="71" t="n">
        <v>165689.72</v>
      </c>
      <c r="U853" t="inlineStr">
        <is>
          <t>High</t>
        </is>
      </c>
      <c r="V853">
        <f>IF(AND(OR(Dashboard!$C$6="All",E853=Dashboard!$C$6),OR(Dashboard!$F$6="All",G853=Dashboard!$F$6),OR(Dashboard!$I$6="All",H853=Dashboard!$I$6)),1,0)</f>
        <v/>
      </c>
    </row>
    <row r="854">
      <c r="A854" t="inlineStr">
        <is>
          <t>PF100845</t>
        </is>
      </c>
      <c r="B854" s="68" t="n">
        <v>45759</v>
      </c>
      <c r="C854" s="69" t="n">
        <v>2025</v>
      </c>
      <c r="D854" t="inlineStr">
        <is>
          <t>Apr</t>
        </is>
      </c>
      <c r="E854" t="inlineStr">
        <is>
          <t>United States</t>
        </is>
      </c>
      <c r="F854" t="inlineStr">
        <is>
          <t>USA</t>
        </is>
      </c>
      <c r="G854" t="inlineStr">
        <is>
          <t>Comirnaty</t>
        </is>
      </c>
      <c r="H854" t="inlineStr">
        <is>
          <t>Government / tender</t>
        </is>
      </c>
      <c r="I854" t="inlineStr">
        <is>
          <t>Private insurer</t>
        </is>
      </c>
      <c r="J854" t="inlineStr">
        <is>
          <t>Ravindra Patil</t>
        </is>
      </c>
      <c r="K854" s="70" t="n">
        <v>105</v>
      </c>
      <c r="L854" s="71" t="n">
        <v>188.72</v>
      </c>
      <c r="M854" s="71" t="n">
        <v>19815.6</v>
      </c>
      <c r="N854" s="71" t="n">
        <v>5944.68</v>
      </c>
      <c r="O854" s="71" t="n">
        <v>13870.92</v>
      </c>
      <c r="P854" s="71" t="n">
        <v>3958.58</v>
      </c>
      <c r="Q854" s="71" t="n">
        <v>9912.34</v>
      </c>
      <c r="R854" t="inlineStr">
        <is>
          <t>Vaccines</t>
        </is>
      </c>
      <c r="S854" s="70" t="n">
        <v>84</v>
      </c>
      <c r="T854" s="71" t="n">
        <v>3214.5</v>
      </c>
      <c r="U854" t="inlineStr">
        <is>
          <t>Low</t>
        </is>
      </c>
      <c r="V854">
        <f>IF(AND(OR(Dashboard!$C$6="All",E854=Dashboard!$C$6),OR(Dashboard!$F$6="All",G854=Dashboard!$F$6),OR(Dashboard!$I$6="All",H854=Dashboard!$I$6)),1,0)</f>
        <v/>
      </c>
    </row>
    <row r="855">
      <c r="A855" t="inlineStr">
        <is>
          <t>PF100846</t>
        </is>
      </c>
      <c r="B855" s="68" t="n">
        <v>45759</v>
      </c>
      <c r="C855" s="69" t="n">
        <v>2025</v>
      </c>
      <c r="D855" t="inlineStr">
        <is>
          <t>Apr</t>
        </is>
      </c>
      <c r="E855" t="inlineStr">
        <is>
          <t>International developed</t>
        </is>
      </c>
      <c r="F855" t="inlineStr">
        <is>
          <t>Canada</t>
        </is>
      </c>
      <c r="G855" t="inlineStr">
        <is>
          <t>Comirnaty</t>
        </is>
      </c>
      <c r="H855" t="inlineStr">
        <is>
          <t>Hospital</t>
        </is>
      </c>
      <c r="I855" t="inlineStr">
        <is>
          <t>Public payer</t>
        </is>
      </c>
      <c r="J855" t="inlineStr">
        <is>
          <t>Lucas Martin</t>
        </is>
      </c>
      <c r="K855" s="70" t="n">
        <v>1554</v>
      </c>
      <c r="L855" s="71" t="n">
        <v>104.85</v>
      </c>
      <c r="M855" s="71" t="n">
        <v>162936.9</v>
      </c>
      <c r="N855" s="71" t="n">
        <v>16293.69</v>
      </c>
      <c r="O855" s="71" t="n">
        <v>146643.21</v>
      </c>
      <c r="P855" s="71" t="n">
        <v>58172.64</v>
      </c>
      <c r="Q855" s="71" t="n">
        <v>88470.57000000001</v>
      </c>
      <c r="R855" t="inlineStr">
        <is>
          <t>Vaccines</t>
        </is>
      </c>
      <c r="S855" s="70" t="n">
        <v>1043</v>
      </c>
      <c r="T855" s="71" t="n">
        <v>31853.56</v>
      </c>
      <c r="U855" t="inlineStr">
        <is>
          <t>Low</t>
        </is>
      </c>
      <c r="V855">
        <f>IF(AND(OR(Dashboard!$C$6="All",E855=Dashboard!$C$6),OR(Dashboard!$F$6="All",G855=Dashboard!$F$6),OR(Dashboard!$I$6="All",H855=Dashboard!$I$6)),1,0)</f>
        <v/>
      </c>
    </row>
    <row r="856">
      <c r="A856" t="inlineStr">
        <is>
          <t>PF100847</t>
        </is>
      </c>
      <c r="B856" s="68" t="n">
        <v>45759</v>
      </c>
      <c r="C856" s="69" t="n">
        <v>2025</v>
      </c>
      <c r="D856" t="inlineStr">
        <is>
          <t>Apr</t>
        </is>
      </c>
      <c r="E856" t="inlineStr">
        <is>
          <t>Europe</t>
        </is>
      </c>
      <c r="F856" t="inlineStr">
        <is>
          <t>UK</t>
        </is>
      </c>
      <c r="G856" t="inlineStr">
        <is>
          <t>Comirnaty</t>
        </is>
      </c>
      <c r="H856" t="inlineStr">
        <is>
          <t>Retail pharmacy</t>
        </is>
      </c>
      <c r="I856" t="inlineStr">
        <is>
          <t>Public payer</t>
        </is>
      </c>
      <c r="J856" t="inlineStr">
        <is>
          <t>Fatima Al-Saud</t>
        </is>
      </c>
      <c r="K856" s="70" t="n">
        <v>863</v>
      </c>
      <c r="L856" s="71" t="n">
        <v>100.79</v>
      </c>
      <c r="M856" s="71" t="n">
        <v>86981.77</v>
      </c>
      <c r="N856" s="71" t="n">
        <v>17396.35</v>
      </c>
      <c r="O856" s="71" t="n">
        <v>69585.42</v>
      </c>
      <c r="P856" s="71" t="n">
        <v>34410.88</v>
      </c>
      <c r="Q856" s="71" t="n">
        <v>35174.54</v>
      </c>
      <c r="R856" t="inlineStr">
        <is>
          <t>Vaccines</t>
        </is>
      </c>
      <c r="S856" s="70" t="n">
        <v>567</v>
      </c>
      <c r="T856" s="71" t="n">
        <v>16947.21</v>
      </c>
      <c r="U856" t="inlineStr">
        <is>
          <t>Low</t>
        </is>
      </c>
      <c r="V856">
        <f>IF(AND(OR(Dashboard!$C$6="All",E856=Dashboard!$C$6),OR(Dashboard!$F$6="All",G856=Dashboard!$F$6),OR(Dashboard!$I$6="All",H856=Dashboard!$I$6)),1,0)</f>
        <v/>
      </c>
    </row>
    <row r="857">
      <c r="A857" t="inlineStr">
        <is>
          <t>PF100848</t>
        </is>
      </c>
      <c r="B857" s="68" t="n">
        <v>45759</v>
      </c>
      <c r="C857" s="69" t="n">
        <v>2025</v>
      </c>
      <c r="D857" t="inlineStr">
        <is>
          <t>Apr</t>
        </is>
      </c>
      <c r="E857" t="inlineStr">
        <is>
          <t>United States</t>
        </is>
      </c>
      <c r="F857" t="inlineStr">
        <is>
          <t>USA</t>
        </is>
      </c>
      <c r="G857" t="inlineStr">
        <is>
          <t>Abrysvo</t>
        </is>
      </c>
      <c r="H857" t="inlineStr">
        <is>
          <t>Retail pharmacy</t>
        </is>
      </c>
      <c r="I857" t="inlineStr">
        <is>
          <t>Private insurer</t>
        </is>
      </c>
      <c r="J857" t="inlineStr">
        <is>
          <t>Yuki Sato</t>
        </is>
      </c>
      <c r="K857" s="70" t="n">
        <v>1576</v>
      </c>
      <c r="L857" s="71" t="n">
        <v>421.26</v>
      </c>
      <c r="M857" s="71" t="n">
        <v>663905.76</v>
      </c>
      <c r="N857" s="71" t="n">
        <v>232367.02</v>
      </c>
      <c r="O857" s="71" t="n">
        <v>431538.74</v>
      </c>
      <c r="P857" s="71" t="n">
        <v>132426</v>
      </c>
      <c r="Q857" s="71" t="n">
        <v>299112.74</v>
      </c>
      <c r="R857" t="inlineStr">
        <is>
          <t>Vaccines</t>
        </is>
      </c>
      <c r="S857" s="70" t="n">
        <v>1079</v>
      </c>
      <c r="T857" s="71" t="n">
        <v>106829.72</v>
      </c>
      <c r="U857" t="inlineStr">
        <is>
          <t>Low</t>
        </is>
      </c>
      <c r="V857">
        <f>IF(AND(OR(Dashboard!$C$6="All",E857=Dashboard!$C$6),OR(Dashboard!$F$6="All",G857=Dashboard!$F$6),OR(Dashboard!$I$6="All",H857=Dashboard!$I$6)),1,0)</f>
        <v/>
      </c>
    </row>
    <row r="858">
      <c r="A858" t="inlineStr">
        <is>
          <t>PF100849</t>
        </is>
      </c>
      <c r="B858" s="68" t="n">
        <v>45759</v>
      </c>
      <c r="C858" s="69" t="n">
        <v>2025</v>
      </c>
      <c r="D858" t="inlineStr">
        <is>
          <t>Apr</t>
        </is>
      </c>
      <c r="E858" t="inlineStr">
        <is>
          <t>Europe</t>
        </is>
      </c>
      <c r="F858" t="inlineStr">
        <is>
          <t>Italy</t>
        </is>
      </c>
      <c r="G858" t="inlineStr">
        <is>
          <t>Paxlovid</t>
        </is>
      </c>
      <c r="H858" t="inlineStr">
        <is>
          <t>Retail pharmacy</t>
        </is>
      </c>
      <c r="I858" t="inlineStr">
        <is>
          <t>Public payer</t>
        </is>
      </c>
      <c r="J858" t="inlineStr">
        <is>
          <t>Ana Costa</t>
        </is>
      </c>
      <c r="K858" s="70" t="n">
        <v>2792</v>
      </c>
      <c r="L858" s="71" t="n">
        <v>1118.81</v>
      </c>
      <c r="M858" s="71" t="n">
        <v>3123717.52</v>
      </c>
      <c r="N858" s="71" t="n">
        <v>468557.63</v>
      </c>
      <c r="O858" s="71" t="n">
        <v>2655159.89</v>
      </c>
      <c r="P858" s="71" t="n">
        <v>753595.8100000001</v>
      </c>
      <c r="Q858" s="71" t="n">
        <v>1901564.08</v>
      </c>
      <c r="R858" t="inlineStr">
        <is>
          <t>Antiviral</t>
        </is>
      </c>
      <c r="S858" s="70" t="n">
        <v>1796</v>
      </c>
      <c r="T858" s="71" t="n">
        <v>626028.83</v>
      </c>
      <c r="U858" t="inlineStr">
        <is>
          <t>Low</t>
        </is>
      </c>
      <c r="V858">
        <f>IF(AND(OR(Dashboard!$C$6="All",E858=Dashboard!$C$6),OR(Dashboard!$F$6="All",G858=Dashboard!$F$6),OR(Dashboard!$I$6="All",H858=Dashboard!$I$6)),1,0)</f>
        <v/>
      </c>
    </row>
    <row r="859">
      <c r="A859" t="inlineStr">
        <is>
          <t>PF100850</t>
        </is>
      </c>
      <c r="B859" s="68" t="n">
        <v>45759</v>
      </c>
      <c r="C859" s="69" t="n">
        <v>2025</v>
      </c>
      <c r="D859" t="inlineStr">
        <is>
          <t>Apr</t>
        </is>
      </c>
      <c r="E859" t="inlineStr">
        <is>
          <t>International developed</t>
        </is>
      </c>
      <c r="F859" t="inlineStr">
        <is>
          <t>Australia</t>
        </is>
      </c>
      <c r="G859" t="inlineStr">
        <is>
          <t>Prevnar 20</t>
        </is>
      </c>
      <c r="H859" t="inlineStr">
        <is>
          <t>Retail pharmacy</t>
        </is>
      </c>
      <c r="I859" t="inlineStr">
        <is>
          <t>Private insurer</t>
        </is>
      </c>
      <c r="J859" t="inlineStr">
        <is>
          <t>Fatima Al-Saud</t>
        </is>
      </c>
      <c r="K859" s="70" t="n">
        <v>1290</v>
      </c>
      <c r="L859" s="71" t="n">
        <v>249.22</v>
      </c>
      <c r="M859" s="71" t="n">
        <v>321493.8</v>
      </c>
      <c r="N859" s="71" t="n">
        <v>16074.69</v>
      </c>
      <c r="O859" s="71" t="n">
        <v>305419.11</v>
      </c>
      <c r="P859" s="71" t="n">
        <v>89015.92999999999</v>
      </c>
      <c r="Q859" s="71" t="n">
        <v>216403.18</v>
      </c>
      <c r="R859" t="inlineStr">
        <is>
          <t>Vaccines</t>
        </is>
      </c>
      <c r="S859" s="70" t="n">
        <v>1026</v>
      </c>
      <c r="T859" s="71" t="n">
        <v>56155.32</v>
      </c>
      <c r="U859" t="inlineStr">
        <is>
          <t>Low</t>
        </is>
      </c>
      <c r="V859">
        <f>IF(AND(OR(Dashboard!$C$6="All",E859=Dashboard!$C$6),OR(Dashboard!$F$6="All",G859=Dashboard!$F$6),OR(Dashboard!$I$6="All",H859=Dashboard!$I$6)),1,0)</f>
        <v/>
      </c>
    </row>
    <row r="860">
      <c r="A860" t="inlineStr">
        <is>
          <t>PF100851</t>
        </is>
      </c>
      <c r="B860" s="68" t="n">
        <v>45760</v>
      </c>
      <c r="C860" s="69" t="n">
        <v>2025</v>
      </c>
      <c r="D860" t="inlineStr">
        <is>
          <t>Apr</t>
        </is>
      </c>
      <c r="E860" t="inlineStr">
        <is>
          <t>Europe</t>
        </is>
      </c>
      <c r="F860" t="inlineStr">
        <is>
          <t>France</t>
        </is>
      </c>
      <c r="G860" t="inlineStr">
        <is>
          <t>Prevnar 20</t>
        </is>
      </c>
      <c r="H860" t="inlineStr">
        <is>
          <t>Retail pharmacy</t>
        </is>
      </c>
      <c r="I860" t="inlineStr">
        <is>
          <t>Private insurer</t>
        </is>
      </c>
      <c r="J860" t="inlineStr">
        <is>
          <t>Emma Clarke</t>
        </is>
      </c>
      <c r="K860" s="70" t="n">
        <v>2479</v>
      </c>
      <c r="L860" s="71" t="n">
        <v>223.85</v>
      </c>
      <c r="M860" s="71" t="n">
        <v>554924.15</v>
      </c>
      <c r="N860" s="71" t="n">
        <v>55492.42</v>
      </c>
      <c r="O860" s="71" t="n">
        <v>499431.73</v>
      </c>
      <c r="P860" s="71" t="n">
        <v>170585.65</v>
      </c>
      <c r="Q860" s="71" t="n">
        <v>328846.08</v>
      </c>
      <c r="R860" t="inlineStr">
        <is>
          <t>Vaccines</t>
        </is>
      </c>
      <c r="S860" s="70" t="n">
        <v>2426</v>
      </c>
      <c r="T860" s="71" t="n">
        <v>90812.92999999999</v>
      </c>
      <c r="U860" t="inlineStr">
        <is>
          <t>Low</t>
        </is>
      </c>
      <c r="V860">
        <f>IF(AND(OR(Dashboard!$C$6="All",E860=Dashboard!$C$6),OR(Dashboard!$F$6="All",G860=Dashboard!$F$6),OR(Dashboard!$I$6="All",H860=Dashboard!$I$6)),1,0)</f>
        <v/>
      </c>
    </row>
    <row r="861">
      <c r="A861" t="inlineStr">
        <is>
          <t>PF100852</t>
        </is>
      </c>
      <c r="B861" s="68" t="n">
        <v>45760</v>
      </c>
      <c r="C861" s="69" t="n">
        <v>2025</v>
      </c>
      <c r="D861" t="inlineStr">
        <is>
          <t>Apr</t>
        </is>
      </c>
      <c r="E861" t="inlineStr">
        <is>
          <t>United States</t>
        </is>
      </c>
      <c r="F861" t="inlineStr">
        <is>
          <t>USA</t>
        </is>
      </c>
      <c r="G861" t="inlineStr">
        <is>
          <t>Prevnar 20</t>
        </is>
      </c>
      <c r="H861" t="inlineStr">
        <is>
          <t>Retail pharmacy</t>
        </is>
      </c>
      <c r="I861" t="inlineStr">
        <is>
          <t>Private insurer</t>
        </is>
      </c>
      <c r="J861" t="inlineStr">
        <is>
          <t>Noah Smith</t>
        </is>
      </c>
      <c r="K861" s="70" t="n">
        <v>1342</v>
      </c>
      <c r="L861" s="71" t="n">
        <v>382.08</v>
      </c>
      <c r="M861" s="71" t="n">
        <v>512751.36</v>
      </c>
      <c r="N861" s="71" t="n">
        <v>102550.27</v>
      </c>
      <c r="O861" s="71" t="n">
        <v>410201.09</v>
      </c>
      <c r="P861" s="71" t="n">
        <v>89365.28</v>
      </c>
      <c r="Q861" s="71" t="n">
        <v>320835.81</v>
      </c>
      <c r="R861" t="inlineStr">
        <is>
          <t>Vaccines</t>
        </is>
      </c>
      <c r="S861" s="70" t="n">
        <v>1081</v>
      </c>
      <c r="T861" s="71" t="n">
        <v>100121.76</v>
      </c>
      <c r="U861" t="inlineStr">
        <is>
          <t>Low</t>
        </is>
      </c>
      <c r="V861">
        <f>IF(AND(OR(Dashboard!$C$6="All",E861=Dashboard!$C$6),OR(Dashboard!$F$6="All",G861=Dashboard!$F$6),OR(Dashboard!$I$6="All",H861=Dashboard!$I$6)),1,0)</f>
        <v/>
      </c>
    </row>
    <row r="862">
      <c r="A862" t="inlineStr">
        <is>
          <t>PF100853</t>
        </is>
      </c>
      <c r="B862" s="68" t="n">
        <v>45760</v>
      </c>
      <c r="C862" s="69" t="n">
        <v>2025</v>
      </c>
      <c r="D862" t="inlineStr">
        <is>
          <t>Apr</t>
        </is>
      </c>
      <c r="E862" t="inlineStr">
        <is>
          <t>Emerging markets</t>
        </is>
      </c>
      <c r="F862" t="inlineStr">
        <is>
          <t>Brazil</t>
        </is>
      </c>
      <c r="G862" t="inlineStr">
        <is>
          <t>Prevnar 20</t>
        </is>
      </c>
      <c r="H862" t="inlineStr">
        <is>
          <t>Hospital</t>
        </is>
      </c>
      <c r="I862" t="inlineStr">
        <is>
          <t>Private insurer</t>
        </is>
      </c>
      <c r="J862" t="inlineStr">
        <is>
          <t>Ravindra Patil</t>
        </is>
      </c>
      <c r="K862" s="70" t="n">
        <v>598</v>
      </c>
      <c r="L862" s="71" t="n">
        <v>229.05</v>
      </c>
      <c r="M862" s="71" t="n">
        <v>136971.9</v>
      </c>
      <c r="N862" s="71" t="n">
        <v>13697.19</v>
      </c>
      <c r="O862" s="71" t="n">
        <v>123274.71</v>
      </c>
      <c r="P862" s="71" t="n">
        <v>41322.4</v>
      </c>
      <c r="Q862" s="71" t="n">
        <v>81952.31</v>
      </c>
      <c r="R862" t="inlineStr">
        <is>
          <t>Vaccines</t>
        </is>
      </c>
      <c r="S862" s="70" t="n">
        <v>423</v>
      </c>
      <c r="T862" s="71" t="n">
        <v>17788.4</v>
      </c>
      <c r="U862" t="inlineStr">
        <is>
          <t>Low</t>
        </is>
      </c>
      <c r="V862">
        <f>IF(AND(OR(Dashboard!$C$6="All",E862=Dashboard!$C$6),OR(Dashboard!$F$6="All",G862=Dashboard!$F$6),OR(Dashboard!$I$6="All",H862=Dashboard!$I$6)),1,0)</f>
        <v/>
      </c>
    </row>
    <row r="863">
      <c r="A863" t="inlineStr">
        <is>
          <t>PF100854</t>
        </is>
      </c>
      <c r="B863" s="68" t="n">
        <v>45760</v>
      </c>
      <c r="C863" s="69" t="n">
        <v>2025</v>
      </c>
      <c r="D863" t="inlineStr">
        <is>
          <t>Apr</t>
        </is>
      </c>
      <c r="E863" t="inlineStr">
        <is>
          <t>United States</t>
        </is>
      </c>
      <c r="F863" t="inlineStr">
        <is>
          <t>USA</t>
        </is>
      </c>
      <c r="G863" t="inlineStr">
        <is>
          <t>Prevnar 20</t>
        </is>
      </c>
      <c r="H863" t="inlineStr">
        <is>
          <t>Retail pharmacy</t>
        </is>
      </c>
      <c r="I863" t="inlineStr">
        <is>
          <t>Private insurer</t>
        </is>
      </c>
      <c r="J863" t="inlineStr">
        <is>
          <t>Sara Rossi</t>
        </is>
      </c>
      <c r="K863" s="70" t="n">
        <v>178</v>
      </c>
      <c r="L863" s="71" t="n">
        <v>344.75</v>
      </c>
      <c r="M863" s="71" t="n">
        <v>61365.5</v>
      </c>
      <c r="N863" s="71" t="n">
        <v>15341.38</v>
      </c>
      <c r="O863" s="71" t="n">
        <v>46024.12</v>
      </c>
      <c r="P863" s="71" t="n">
        <v>12429.2</v>
      </c>
      <c r="Q863" s="71" t="n">
        <v>33594.92</v>
      </c>
      <c r="R863" t="inlineStr">
        <is>
          <t>Vaccines</t>
        </is>
      </c>
      <c r="S863" s="70" t="n">
        <v>125</v>
      </c>
      <c r="T863" s="71" t="n">
        <v>8381.610000000001</v>
      </c>
      <c r="U863" t="inlineStr">
        <is>
          <t>Low</t>
        </is>
      </c>
      <c r="V863">
        <f>IF(AND(OR(Dashboard!$C$6="All",E863=Dashboard!$C$6),OR(Dashboard!$F$6="All",G863=Dashboard!$F$6),OR(Dashboard!$I$6="All",H863=Dashboard!$I$6)),1,0)</f>
        <v/>
      </c>
    </row>
    <row r="864">
      <c r="A864" t="inlineStr">
        <is>
          <t>PF100855</t>
        </is>
      </c>
      <c r="B864" s="68" t="n">
        <v>45760</v>
      </c>
      <c r="C864" s="69" t="n">
        <v>2025</v>
      </c>
      <c r="D864" t="inlineStr">
        <is>
          <t>Apr</t>
        </is>
      </c>
      <c r="E864" t="inlineStr">
        <is>
          <t>United States</t>
        </is>
      </c>
      <c r="F864" t="inlineStr">
        <is>
          <t>USA</t>
        </is>
      </c>
      <c r="G864" t="inlineStr">
        <is>
          <t>Prevnar 20</t>
        </is>
      </c>
      <c r="H864" t="inlineStr">
        <is>
          <t>Hospital</t>
        </is>
      </c>
      <c r="I864" t="inlineStr">
        <is>
          <t>Private insurer</t>
        </is>
      </c>
      <c r="J864" t="inlineStr">
        <is>
          <t>Noah Smith</t>
        </is>
      </c>
      <c r="K864" s="70" t="n">
        <v>2566</v>
      </c>
      <c r="L864" s="71" t="n">
        <v>367.92</v>
      </c>
      <c r="M864" s="71" t="n">
        <v>944082.72</v>
      </c>
      <c r="N864" s="71" t="n">
        <v>141612.41</v>
      </c>
      <c r="O864" s="71" t="n">
        <v>802470.3100000001</v>
      </c>
      <c r="P864" s="71" t="n">
        <v>172525.48</v>
      </c>
      <c r="Q864" s="71" t="n">
        <v>629944.83</v>
      </c>
      <c r="R864" t="inlineStr">
        <is>
          <t>Vaccines</t>
        </is>
      </c>
      <c r="S864" s="70" t="n">
        <v>2265</v>
      </c>
      <c r="T864" s="71" t="n">
        <v>170269.08</v>
      </c>
      <c r="U864" t="inlineStr">
        <is>
          <t>Low</t>
        </is>
      </c>
      <c r="V864">
        <f>IF(AND(OR(Dashboard!$C$6="All",E864=Dashboard!$C$6),OR(Dashboard!$F$6="All",G864=Dashboard!$F$6),OR(Dashboard!$I$6="All",H864=Dashboard!$I$6)),1,0)</f>
        <v/>
      </c>
    </row>
    <row r="865">
      <c r="A865" t="inlineStr">
        <is>
          <t>PF100856</t>
        </is>
      </c>
      <c r="B865" s="68" t="n">
        <v>45760</v>
      </c>
      <c r="C865" s="69" t="n">
        <v>2025</v>
      </c>
      <c r="D865" t="inlineStr">
        <is>
          <t>Apr</t>
        </is>
      </c>
      <c r="E865" t="inlineStr">
        <is>
          <t>Emerging markets</t>
        </is>
      </c>
      <c r="F865" t="inlineStr">
        <is>
          <t>Brazil</t>
        </is>
      </c>
      <c r="G865" t="inlineStr">
        <is>
          <t>Prevnar 20</t>
        </is>
      </c>
      <c r="H865" t="inlineStr">
        <is>
          <t>Retail pharmacy</t>
        </is>
      </c>
      <c r="I865" t="inlineStr">
        <is>
          <t>Private insurer</t>
        </is>
      </c>
      <c r="J865" t="inlineStr">
        <is>
          <t>Emma Clarke</t>
        </is>
      </c>
      <c r="K865" s="70" t="n">
        <v>1079</v>
      </c>
      <c r="L865" s="71" t="n">
        <v>252.63</v>
      </c>
      <c r="M865" s="71" t="n">
        <v>272587.77</v>
      </c>
      <c r="N865" s="71" t="n">
        <v>68146.94</v>
      </c>
      <c r="O865" s="71" t="n">
        <v>204440.83</v>
      </c>
      <c r="P865" s="71" t="n">
        <v>76806.08</v>
      </c>
      <c r="Q865" s="71" t="n">
        <v>127634.75</v>
      </c>
      <c r="R865" t="inlineStr">
        <is>
          <t>Vaccines</t>
        </is>
      </c>
      <c r="S865" s="70" t="n">
        <v>1051</v>
      </c>
      <c r="T865" s="71" t="n">
        <v>34841.29</v>
      </c>
      <c r="U865" t="inlineStr">
        <is>
          <t>Low</t>
        </is>
      </c>
      <c r="V865">
        <f>IF(AND(OR(Dashboard!$C$6="All",E865=Dashboard!$C$6),OR(Dashboard!$F$6="All",G865=Dashboard!$F$6),OR(Dashboard!$I$6="All",H865=Dashboard!$I$6)),1,0)</f>
        <v/>
      </c>
    </row>
    <row r="866">
      <c r="A866" t="inlineStr">
        <is>
          <t>PF100857</t>
        </is>
      </c>
      <c r="B866" s="68" t="n">
        <v>45760</v>
      </c>
      <c r="C866" s="69" t="n">
        <v>2025</v>
      </c>
      <c r="D866" t="inlineStr">
        <is>
          <t>Apr</t>
        </is>
      </c>
      <c r="E866" t="inlineStr">
        <is>
          <t>Emerging markets</t>
        </is>
      </c>
      <c r="F866" t="inlineStr">
        <is>
          <t>Brazil</t>
        </is>
      </c>
      <c r="G866" t="inlineStr">
        <is>
          <t>Prevnar 20</t>
        </is>
      </c>
      <c r="H866" t="inlineStr">
        <is>
          <t>Government / tender</t>
        </is>
      </c>
      <c r="I866" t="inlineStr">
        <is>
          <t>Private insurer</t>
        </is>
      </c>
      <c r="J866" t="inlineStr">
        <is>
          <t>Omar Haddad</t>
        </is>
      </c>
      <c r="K866" s="70" t="n">
        <v>1498</v>
      </c>
      <c r="L866" s="71" t="n">
        <v>208.82</v>
      </c>
      <c r="M866" s="71" t="n">
        <v>312812.36</v>
      </c>
      <c r="N866" s="71" t="n">
        <v>78203.09</v>
      </c>
      <c r="O866" s="71" t="n">
        <v>234609.27</v>
      </c>
      <c r="P866" s="71" t="n">
        <v>107031.61</v>
      </c>
      <c r="Q866" s="71" t="n">
        <v>127577.66</v>
      </c>
      <c r="R866" t="inlineStr">
        <is>
          <t>Vaccines</t>
        </is>
      </c>
      <c r="S866" s="70" t="n">
        <v>1074</v>
      </c>
      <c r="T866" s="71" t="n">
        <v>61248.7</v>
      </c>
      <c r="U866" t="inlineStr">
        <is>
          <t>Low</t>
        </is>
      </c>
      <c r="V866">
        <f>IF(AND(OR(Dashboard!$C$6="All",E866=Dashboard!$C$6),OR(Dashboard!$F$6="All",G866=Dashboard!$F$6),OR(Dashboard!$I$6="All",H866=Dashboard!$I$6)),1,0)</f>
        <v/>
      </c>
    </row>
    <row r="867">
      <c r="A867" t="inlineStr">
        <is>
          <t>PF100858</t>
        </is>
      </c>
      <c r="B867" s="68" t="n">
        <v>45760</v>
      </c>
      <c r="C867" s="69" t="n">
        <v>2025</v>
      </c>
      <c r="D867" t="inlineStr">
        <is>
          <t>Apr</t>
        </is>
      </c>
      <c r="E867" t="inlineStr">
        <is>
          <t>United States</t>
        </is>
      </c>
      <c r="F867" t="inlineStr">
        <is>
          <t>USA</t>
        </is>
      </c>
      <c r="G867" t="inlineStr">
        <is>
          <t>Paxlovid</t>
        </is>
      </c>
      <c r="H867" t="inlineStr">
        <is>
          <t>Hospital</t>
        </is>
      </c>
      <c r="I867" t="inlineStr">
        <is>
          <t>Private insurer</t>
        </is>
      </c>
      <c r="J867" t="inlineStr">
        <is>
          <t>Ravindra Patil</t>
        </is>
      </c>
      <c r="K867" s="70" t="n">
        <v>2673</v>
      </c>
      <c r="L867" s="71" t="n">
        <v>1685.15</v>
      </c>
      <c r="M867" s="71" t="n">
        <v>4504405.95</v>
      </c>
      <c r="N867" s="71" t="n">
        <v>900881.1899999999</v>
      </c>
      <c r="O867" s="71" t="n">
        <v>3603524.76</v>
      </c>
      <c r="P867" s="71" t="n">
        <v>723078.1800000001</v>
      </c>
      <c r="Q867" s="71" t="n">
        <v>2880446.58</v>
      </c>
      <c r="R867" t="inlineStr">
        <is>
          <t>Antiviral</t>
        </is>
      </c>
      <c r="S867" s="70" t="n">
        <v>2055</v>
      </c>
      <c r="T867" s="71" t="n">
        <v>969208.0600000001</v>
      </c>
      <c r="U867" t="inlineStr">
        <is>
          <t>Low</t>
        </is>
      </c>
      <c r="V867">
        <f>IF(AND(OR(Dashboard!$C$6="All",E867=Dashboard!$C$6),OR(Dashboard!$F$6="All",G867=Dashboard!$F$6),OR(Dashboard!$I$6="All",H867=Dashboard!$I$6)),1,0)</f>
        <v/>
      </c>
    </row>
    <row r="868">
      <c r="A868" t="inlineStr">
        <is>
          <t>PF100859</t>
        </is>
      </c>
      <c r="B868" s="68" t="n">
        <v>45760</v>
      </c>
      <c r="C868" s="69" t="n">
        <v>2025</v>
      </c>
      <c r="D868" t="inlineStr">
        <is>
          <t>Apr</t>
        </is>
      </c>
      <c r="E868" t="inlineStr">
        <is>
          <t>United States</t>
        </is>
      </c>
      <c r="F868" t="inlineStr">
        <is>
          <t>USA</t>
        </is>
      </c>
      <c r="G868" t="inlineStr">
        <is>
          <t>Prevnar 20</t>
        </is>
      </c>
      <c r="H868" t="inlineStr">
        <is>
          <t>Hospital</t>
        </is>
      </c>
      <c r="I868" t="inlineStr">
        <is>
          <t>Private insurer</t>
        </is>
      </c>
      <c r="J868" t="inlineStr">
        <is>
          <t>Mei Lin</t>
        </is>
      </c>
      <c r="K868" s="70" t="n">
        <v>1171</v>
      </c>
      <c r="L868" s="71" t="n">
        <v>400.42</v>
      </c>
      <c r="M868" s="71" t="n">
        <v>468891.82</v>
      </c>
      <c r="N868" s="71" t="n">
        <v>117222.96</v>
      </c>
      <c r="O868" s="71" t="n">
        <v>351668.86</v>
      </c>
      <c r="P868" s="71" t="n">
        <v>81978.77</v>
      </c>
      <c r="Q868" s="71" t="n">
        <v>269690.09</v>
      </c>
      <c r="R868" t="inlineStr">
        <is>
          <t>Vaccines</t>
        </is>
      </c>
      <c r="S868" s="70" t="n">
        <v>1111</v>
      </c>
      <c r="T868" s="71" t="n">
        <v>103048.72</v>
      </c>
      <c r="U868" t="inlineStr">
        <is>
          <t>Low</t>
        </is>
      </c>
      <c r="V868">
        <f>IF(AND(OR(Dashboard!$C$6="All",E868=Dashboard!$C$6),OR(Dashboard!$F$6="All",G868=Dashboard!$F$6),OR(Dashboard!$I$6="All",H868=Dashboard!$I$6)),1,0)</f>
        <v/>
      </c>
    </row>
    <row r="869">
      <c r="A869" t="inlineStr">
        <is>
          <t>PF100860</t>
        </is>
      </c>
      <c r="B869" s="68" t="n">
        <v>45760</v>
      </c>
      <c r="C869" s="69" t="n">
        <v>2025</v>
      </c>
      <c r="D869" t="inlineStr">
        <is>
          <t>Apr</t>
        </is>
      </c>
      <c r="E869" t="inlineStr">
        <is>
          <t>Emerging markets</t>
        </is>
      </c>
      <c r="F869" t="inlineStr">
        <is>
          <t>Brazil</t>
        </is>
      </c>
      <c r="G869" t="inlineStr">
        <is>
          <t>Ibrance</t>
        </is>
      </c>
      <c r="H869" t="inlineStr">
        <is>
          <t>Hospital</t>
        </is>
      </c>
      <c r="I869" t="inlineStr">
        <is>
          <t>Private insurer</t>
        </is>
      </c>
      <c r="J869" t="inlineStr">
        <is>
          <t>Sara Rossi</t>
        </is>
      </c>
      <c r="K869" s="70" t="n">
        <v>1158</v>
      </c>
      <c r="L869" s="71" t="n">
        <v>3137.28</v>
      </c>
      <c r="M869" s="71" t="n">
        <v>3632970.24</v>
      </c>
      <c r="N869" s="71" t="n">
        <v>726594.05</v>
      </c>
      <c r="O869" s="71" t="n">
        <v>2906376.19</v>
      </c>
      <c r="P869" s="71" t="n">
        <v>502884.24</v>
      </c>
      <c r="Q869" s="71" t="n">
        <v>2403491.95</v>
      </c>
      <c r="R869" t="inlineStr">
        <is>
          <t>Oncology</t>
        </is>
      </c>
      <c r="S869" s="70" t="n">
        <v>794</v>
      </c>
      <c r="T869" s="71" t="n">
        <v>514899.51</v>
      </c>
      <c r="U869" t="inlineStr">
        <is>
          <t>High</t>
        </is>
      </c>
      <c r="V869">
        <f>IF(AND(OR(Dashboard!$C$6="All",E869=Dashboard!$C$6),OR(Dashboard!$F$6="All",G869=Dashboard!$F$6),OR(Dashboard!$I$6="All",H869=Dashboard!$I$6)),1,0)</f>
        <v/>
      </c>
    </row>
    <row r="870">
      <c r="A870" t="inlineStr">
        <is>
          <t>PF100861</t>
        </is>
      </c>
      <c r="B870" s="68" t="n">
        <v>45761</v>
      </c>
      <c r="C870" s="69" t="n">
        <v>2025</v>
      </c>
      <c r="D870" t="inlineStr">
        <is>
          <t>Apr</t>
        </is>
      </c>
      <c r="E870" t="inlineStr">
        <is>
          <t>United States</t>
        </is>
      </c>
      <c r="F870" t="inlineStr">
        <is>
          <t>USA</t>
        </is>
      </c>
      <c r="G870" t="inlineStr">
        <is>
          <t>Vyndaqel</t>
        </is>
      </c>
      <c r="H870" t="inlineStr">
        <is>
          <t>Hospital</t>
        </is>
      </c>
      <c r="I870" t="inlineStr">
        <is>
          <t>Public payer</t>
        </is>
      </c>
      <c r="J870" t="inlineStr">
        <is>
          <t>Mei Lin</t>
        </is>
      </c>
      <c r="K870" s="70" t="n">
        <v>292</v>
      </c>
      <c r="L870" s="71" t="n">
        <v>8904.77</v>
      </c>
      <c r="M870" s="71" t="n">
        <v>2600192.84</v>
      </c>
      <c r="N870" s="71" t="n">
        <v>520038.57</v>
      </c>
      <c r="O870" s="71" t="n">
        <v>2080154.27</v>
      </c>
      <c r="P870" s="71" t="n">
        <v>184812.95</v>
      </c>
      <c r="Q870" s="71" t="n">
        <v>1895341.32</v>
      </c>
      <c r="R870" t="inlineStr">
        <is>
          <t>Rare disease</t>
        </is>
      </c>
      <c r="S870" s="70" t="n">
        <v>208</v>
      </c>
      <c r="T870" s="71" t="n">
        <v>490336.62</v>
      </c>
      <c r="U870" t="inlineStr">
        <is>
          <t>Medium</t>
        </is>
      </c>
      <c r="V870">
        <f>IF(AND(OR(Dashboard!$C$6="All",E870=Dashboard!$C$6),OR(Dashboard!$F$6="All",G870=Dashboard!$F$6),OR(Dashboard!$I$6="All",H870=Dashboard!$I$6)),1,0)</f>
        <v/>
      </c>
    </row>
    <row r="871">
      <c r="A871" t="inlineStr">
        <is>
          <t>PF100862</t>
        </is>
      </c>
      <c r="B871" s="68" t="n">
        <v>45761</v>
      </c>
      <c r="C871" s="69" t="n">
        <v>2025</v>
      </c>
      <c r="D871" t="inlineStr">
        <is>
          <t>Apr</t>
        </is>
      </c>
      <c r="E871" t="inlineStr">
        <is>
          <t>Europe</t>
        </is>
      </c>
      <c r="F871" t="inlineStr">
        <is>
          <t>Spain</t>
        </is>
      </c>
      <c r="G871" t="inlineStr">
        <is>
          <t>Comirnaty</t>
        </is>
      </c>
      <c r="H871" t="inlineStr">
        <is>
          <t>Retail pharmacy</t>
        </is>
      </c>
      <c r="I871" t="inlineStr">
        <is>
          <t>Public payer</t>
        </is>
      </c>
      <c r="J871" t="inlineStr">
        <is>
          <t>Liam O'Brien</t>
        </is>
      </c>
      <c r="K871" s="70" t="n">
        <v>824</v>
      </c>
      <c r="L871" s="71" t="n">
        <v>120.71</v>
      </c>
      <c r="M871" s="71" t="n">
        <v>99465.03999999999</v>
      </c>
      <c r="N871" s="71" t="n">
        <v>19893.01</v>
      </c>
      <c r="O871" s="71" t="n">
        <v>79572.03</v>
      </c>
      <c r="P871" s="71" t="n">
        <v>32379.27</v>
      </c>
      <c r="Q871" s="71" t="n">
        <v>47192.76</v>
      </c>
      <c r="R871" t="inlineStr">
        <is>
          <t>Vaccines</t>
        </is>
      </c>
      <c r="S871" s="70" t="n">
        <v>600</v>
      </c>
      <c r="T871" s="71" t="n">
        <v>19952.17</v>
      </c>
      <c r="U871" t="inlineStr">
        <is>
          <t>Low</t>
        </is>
      </c>
      <c r="V871">
        <f>IF(AND(OR(Dashboard!$C$6="All",E871=Dashboard!$C$6),OR(Dashboard!$F$6="All",G871=Dashboard!$F$6),OR(Dashboard!$I$6="All",H871=Dashboard!$I$6)),1,0)</f>
        <v/>
      </c>
    </row>
    <row r="872">
      <c r="A872" t="inlineStr">
        <is>
          <t>PF100863</t>
        </is>
      </c>
      <c r="B872" s="68" t="n">
        <v>45761</v>
      </c>
      <c r="C872" s="69" t="n">
        <v>2025</v>
      </c>
      <c r="D872" t="inlineStr">
        <is>
          <t>Apr</t>
        </is>
      </c>
      <c r="E872" t="inlineStr">
        <is>
          <t>United States</t>
        </is>
      </c>
      <c r="F872" t="inlineStr">
        <is>
          <t>USA</t>
        </is>
      </c>
      <c r="G872" t="inlineStr">
        <is>
          <t>Abrysvo</t>
        </is>
      </c>
      <c r="H872" t="inlineStr">
        <is>
          <t>Retail pharmacy</t>
        </is>
      </c>
      <c r="I872" t="inlineStr">
        <is>
          <t>Public payer</t>
        </is>
      </c>
      <c r="J872" t="inlineStr">
        <is>
          <t>Zoya Ahmed</t>
        </is>
      </c>
      <c r="K872" s="70" t="n">
        <v>2503</v>
      </c>
      <c r="L872" s="71" t="n">
        <v>422.9</v>
      </c>
      <c r="M872" s="71" t="n">
        <v>1058518.7</v>
      </c>
      <c r="N872" s="71" t="n">
        <v>317555.61</v>
      </c>
      <c r="O872" s="71" t="n">
        <v>740963.09</v>
      </c>
      <c r="P872" s="71" t="n">
        <v>202174.72</v>
      </c>
      <c r="Q872" s="71" t="n">
        <v>538788.37</v>
      </c>
      <c r="R872" t="inlineStr">
        <is>
          <t>Vaccines</t>
        </is>
      </c>
      <c r="S872" s="70" t="n">
        <v>2316</v>
      </c>
      <c r="T872" s="71" t="n">
        <v>232569.05</v>
      </c>
      <c r="U872" t="inlineStr">
        <is>
          <t>Low</t>
        </is>
      </c>
      <c r="V872">
        <f>IF(AND(OR(Dashboard!$C$6="All",E872=Dashboard!$C$6),OR(Dashboard!$F$6="All",G872=Dashboard!$F$6),OR(Dashboard!$I$6="All",H872=Dashboard!$I$6)),1,0)</f>
        <v/>
      </c>
    </row>
    <row r="873">
      <c r="A873" t="inlineStr">
        <is>
          <t>PF100864</t>
        </is>
      </c>
      <c r="B873" s="68" t="n">
        <v>45761</v>
      </c>
      <c r="C873" s="69" t="n">
        <v>2025</v>
      </c>
      <c r="D873" t="inlineStr">
        <is>
          <t>Apr</t>
        </is>
      </c>
      <c r="E873" t="inlineStr">
        <is>
          <t>Europe</t>
        </is>
      </c>
      <c r="F873" t="inlineStr">
        <is>
          <t>Germany</t>
        </is>
      </c>
      <c r="G873" t="inlineStr">
        <is>
          <t>Xeljanz</t>
        </is>
      </c>
      <c r="H873" t="inlineStr">
        <is>
          <t>Retail pharmacy</t>
        </is>
      </c>
      <c r="I873" t="inlineStr">
        <is>
          <t>Public payer</t>
        </is>
      </c>
      <c r="J873" t="inlineStr">
        <is>
          <t>Wei Chen</t>
        </is>
      </c>
      <c r="K873" s="70" t="n">
        <v>1708</v>
      </c>
      <c r="L873" s="71" t="n">
        <v>1386.05</v>
      </c>
      <c r="M873" s="71" t="n">
        <v>2367373.4</v>
      </c>
      <c r="N873" s="71" t="n">
        <v>118368.67</v>
      </c>
      <c r="O873" s="71" t="n">
        <v>2249004.73</v>
      </c>
      <c r="P873" s="71" t="n">
        <v>421573.71</v>
      </c>
      <c r="Q873" s="71" t="n">
        <v>1827431.02</v>
      </c>
      <c r="R873" t="inlineStr">
        <is>
          <t>Inflammation</t>
        </is>
      </c>
      <c r="S873" s="70" t="n">
        <v>1464</v>
      </c>
      <c r="T873" s="71" t="n">
        <v>452152.4</v>
      </c>
      <c r="U873" t="inlineStr">
        <is>
          <t>High</t>
        </is>
      </c>
      <c r="V873">
        <f>IF(AND(OR(Dashboard!$C$6="All",E873=Dashboard!$C$6),OR(Dashboard!$F$6="All",G873=Dashboard!$F$6),OR(Dashboard!$I$6="All",H873=Dashboard!$I$6)),1,0)</f>
        <v/>
      </c>
    </row>
    <row r="874">
      <c r="A874" t="inlineStr">
        <is>
          <t>PF100865</t>
        </is>
      </c>
      <c r="B874" s="68" t="n">
        <v>45761</v>
      </c>
      <c r="C874" s="69" t="n">
        <v>2025</v>
      </c>
      <c r="D874" t="inlineStr">
        <is>
          <t>Apr</t>
        </is>
      </c>
      <c r="E874" t="inlineStr">
        <is>
          <t>International developed</t>
        </is>
      </c>
      <c r="F874" t="inlineStr">
        <is>
          <t>Japan</t>
        </is>
      </c>
      <c r="G874" t="inlineStr">
        <is>
          <t>Eliquis</t>
        </is>
      </c>
      <c r="H874" t="inlineStr">
        <is>
          <t>Government / tender</t>
        </is>
      </c>
      <c r="I874" t="inlineStr">
        <is>
          <t>Private insurer</t>
        </is>
      </c>
      <c r="J874" t="inlineStr">
        <is>
          <t>Amir Khan</t>
        </is>
      </c>
      <c r="K874" s="70" t="n">
        <v>182</v>
      </c>
      <c r="L874" s="71" t="n">
        <v>393.78</v>
      </c>
      <c r="M874" s="71" t="n">
        <v>71667.96000000001</v>
      </c>
      <c r="N874" s="71" t="n">
        <v>14333.59</v>
      </c>
      <c r="O874" s="71" t="n">
        <v>57334.37</v>
      </c>
      <c r="P874" s="71" t="n">
        <v>13408.89</v>
      </c>
      <c r="Q874" s="71" t="n">
        <v>43925.48</v>
      </c>
      <c r="R874" t="inlineStr">
        <is>
          <t>Cardiology</t>
        </is>
      </c>
      <c r="S874" s="70" t="n">
        <v>118</v>
      </c>
      <c r="T874" s="71" t="n">
        <v>8822.629999999999</v>
      </c>
      <c r="U874" t="inlineStr">
        <is>
          <t>High</t>
        </is>
      </c>
      <c r="V874">
        <f>IF(AND(OR(Dashboard!$C$6="All",E874=Dashboard!$C$6),OR(Dashboard!$F$6="All",G874=Dashboard!$F$6),OR(Dashboard!$I$6="All",H874=Dashboard!$I$6)),1,0)</f>
        <v/>
      </c>
    </row>
    <row r="875">
      <c r="A875" t="inlineStr">
        <is>
          <t>PF100866</t>
        </is>
      </c>
      <c r="B875" s="68" t="n">
        <v>45761</v>
      </c>
      <c r="C875" s="69" t="n">
        <v>2025</v>
      </c>
      <c r="D875" t="inlineStr">
        <is>
          <t>Apr</t>
        </is>
      </c>
      <c r="E875" t="inlineStr">
        <is>
          <t>Emerging markets</t>
        </is>
      </c>
      <c r="F875" t="inlineStr">
        <is>
          <t>India</t>
        </is>
      </c>
      <c r="G875" t="inlineStr">
        <is>
          <t>Xeljanz</t>
        </is>
      </c>
      <c r="H875" t="inlineStr">
        <is>
          <t>Hospital</t>
        </is>
      </c>
      <c r="I875" t="inlineStr">
        <is>
          <t>Public payer</t>
        </is>
      </c>
      <c r="J875" t="inlineStr">
        <is>
          <t>Liam O'Brien</t>
        </is>
      </c>
      <c r="K875" s="70" t="n">
        <v>654</v>
      </c>
      <c r="L875" s="71" t="n">
        <v>1425.62</v>
      </c>
      <c r="M875" s="71" t="n">
        <v>932355.48</v>
      </c>
      <c r="N875" s="71" t="n">
        <v>93235.55</v>
      </c>
      <c r="O875" s="71" t="n">
        <v>839119.9300000001</v>
      </c>
      <c r="P875" s="71" t="n">
        <v>161957.62</v>
      </c>
      <c r="Q875" s="71" t="n">
        <v>677162.3100000001</v>
      </c>
      <c r="R875" t="inlineStr">
        <is>
          <t>Inflammation</t>
        </is>
      </c>
      <c r="S875" s="70" t="n">
        <v>530</v>
      </c>
      <c r="T875" s="71" t="n">
        <v>198002.25</v>
      </c>
      <c r="U875" t="inlineStr">
        <is>
          <t>High</t>
        </is>
      </c>
      <c r="V875">
        <f>IF(AND(OR(Dashboard!$C$6="All",E875=Dashboard!$C$6),OR(Dashboard!$F$6="All",G875=Dashboard!$F$6),OR(Dashboard!$I$6="All",H875=Dashboard!$I$6)),1,0)</f>
        <v/>
      </c>
    </row>
    <row r="876">
      <c r="A876" t="inlineStr">
        <is>
          <t>PF100867</t>
        </is>
      </c>
      <c r="B876" s="68" t="n">
        <v>45761</v>
      </c>
      <c r="C876" s="69" t="n">
        <v>2025</v>
      </c>
      <c r="D876" t="inlineStr">
        <is>
          <t>Apr</t>
        </is>
      </c>
      <c r="E876" t="inlineStr">
        <is>
          <t>Emerging markets</t>
        </is>
      </c>
      <c r="F876" t="inlineStr">
        <is>
          <t>Mexico</t>
        </is>
      </c>
      <c r="G876" t="inlineStr">
        <is>
          <t>Abrysvo</t>
        </is>
      </c>
      <c r="H876" t="inlineStr">
        <is>
          <t>Government / tender</t>
        </is>
      </c>
      <c r="I876" t="inlineStr">
        <is>
          <t>Public payer</t>
        </is>
      </c>
      <c r="J876" t="inlineStr">
        <is>
          <t>Wei Chen</t>
        </is>
      </c>
      <c r="K876" s="70" t="n">
        <v>1567</v>
      </c>
      <c r="L876" s="71" t="n">
        <v>295.31</v>
      </c>
      <c r="M876" s="71" t="n">
        <v>462750.77</v>
      </c>
      <c r="N876" s="71" t="n">
        <v>69412.62</v>
      </c>
      <c r="O876" s="71" t="n">
        <v>393338.15</v>
      </c>
      <c r="P876" s="71" t="n">
        <v>131973.54</v>
      </c>
      <c r="Q876" s="71" t="n">
        <v>261364.61</v>
      </c>
      <c r="R876" t="inlineStr">
        <is>
          <t>Vaccines</t>
        </is>
      </c>
      <c r="S876" s="70" t="n">
        <v>1152</v>
      </c>
      <c r="T876" s="71" t="n">
        <v>57458.12</v>
      </c>
      <c r="U876" t="inlineStr">
        <is>
          <t>Low</t>
        </is>
      </c>
      <c r="V876">
        <f>IF(AND(OR(Dashboard!$C$6="All",E876=Dashboard!$C$6),OR(Dashboard!$F$6="All",G876=Dashboard!$F$6),OR(Dashboard!$I$6="All",H876=Dashboard!$I$6)),1,0)</f>
        <v/>
      </c>
    </row>
    <row r="877">
      <c r="A877" t="inlineStr">
        <is>
          <t>PF100868</t>
        </is>
      </c>
      <c r="B877" s="68" t="n">
        <v>45761</v>
      </c>
      <c r="C877" s="69" t="n">
        <v>2025</v>
      </c>
      <c r="D877" t="inlineStr">
        <is>
          <t>Apr</t>
        </is>
      </c>
      <c r="E877" t="inlineStr">
        <is>
          <t>Europe</t>
        </is>
      </c>
      <c r="F877" t="inlineStr">
        <is>
          <t>Germany</t>
        </is>
      </c>
      <c r="G877" t="inlineStr">
        <is>
          <t>Vyndaqel</t>
        </is>
      </c>
      <c r="H877" t="inlineStr">
        <is>
          <t>Hospital</t>
        </is>
      </c>
      <c r="I877" t="inlineStr">
        <is>
          <t>Public payer</t>
        </is>
      </c>
      <c r="J877" t="inlineStr">
        <is>
          <t>Amir Khan</t>
        </is>
      </c>
      <c r="K877" s="70" t="n">
        <v>2457</v>
      </c>
      <c r="L877" s="71" t="n">
        <v>4911.54</v>
      </c>
      <c r="M877" s="71" t="n">
        <v>12067653.78</v>
      </c>
      <c r="N877" s="71" t="n">
        <v>1206765.38</v>
      </c>
      <c r="O877" s="71" t="n">
        <v>10860888.4</v>
      </c>
      <c r="P877" s="71" t="n">
        <v>1542774.63</v>
      </c>
      <c r="Q877" s="71" t="n">
        <v>9318113.77</v>
      </c>
      <c r="R877" t="inlineStr">
        <is>
          <t>Rare disease</t>
        </is>
      </c>
      <c r="S877" s="70" t="n">
        <v>2093</v>
      </c>
      <c r="T877" s="71" t="n">
        <v>2235470.45</v>
      </c>
      <c r="U877" t="inlineStr">
        <is>
          <t>Medium</t>
        </is>
      </c>
      <c r="V877">
        <f>IF(AND(OR(Dashboard!$C$6="All",E877=Dashboard!$C$6),OR(Dashboard!$F$6="All",G877=Dashboard!$F$6),OR(Dashboard!$I$6="All",H877=Dashboard!$I$6)),1,0)</f>
        <v/>
      </c>
    </row>
    <row r="878">
      <c r="A878" t="inlineStr">
        <is>
          <t>PF100869</t>
        </is>
      </c>
      <c r="B878" s="68" t="n">
        <v>45761</v>
      </c>
      <c r="C878" s="69" t="n">
        <v>2025</v>
      </c>
      <c r="D878" t="inlineStr">
        <is>
          <t>Apr</t>
        </is>
      </c>
      <c r="E878" t="inlineStr">
        <is>
          <t>International developed</t>
        </is>
      </c>
      <c r="F878" t="inlineStr">
        <is>
          <t>Australia</t>
        </is>
      </c>
      <c r="G878" t="inlineStr">
        <is>
          <t>Paxlovid</t>
        </is>
      </c>
      <c r="H878" t="inlineStr">
        <is>
          <t>Retail pharmacy</t>
        </is>
      </c>
      <c r="I878" t="inlineStr">
        <is>
          <t>Private insurer</t>
        </is>
      </c>
      <c r="J878" t="inlineStr">
        <is>
          <t>Noah Smith</t>
        </is>
      </c>
      <c r="K878" s="70" t="n">
        <v>1506</v>
      </c>
      <c r="L878" s="71" t="n">
        <v>1084.93</v>
      </c>
      <c r="M878" s="71" t="n">
        <v>1633904.58</v>
      </c>
      <c r="N878" s="71" t="n">
        <v>408476.15</v>
      </c>
      <c r="O878" s="71" t="n">
        <v>1225428.43</v>
      </c>
      <c r="P878" s="71" t="n">
        <v>410218.19</v>
      </c>
      <c r="Q878" s="71" t="n">
        <v>815210.24</v>
      </c>
      <c r="R878" t="inlineStr">
        <is>
          <t>Antiviral</t>
        </is>
      </c>
      <c r="S878" s="70" t="n">
        <v>1291</v>
      </c>
      <c r="T878" s="71" t="n">
        <v>264745.81</v>
      </c>
      <c r="U878" t="inlineStr">
        <is>
          <t>Low</t>
        </is>
      </c>
      <c r="V878">
        <f>IF(AND(OR(Dashboard!$C$6="All",E878=Dashboard!$C$6),OR(Dashboard!$F$6="All",G878=Dashboard!$F$6),OR(Dashboard!$I$6="All",H878=Dashboard!$I$6)),1,0)</f>
        <v/>
      </c>
    </row>
    <row r="879">
      <c r="A879" t="inlineStr">
        <is>
          <t>PF100870</t>
        </is>
      </c>
      <c r="B879" s="68" t="n">
        <v>45761</v>
      </c>
      <c r="C879" s="69" t="n">
        <v>2025</v>
      </c>
      <c r="D879" t="inlineStr">
        <is>
          <t>Apr</t>
        </is>
      </c>
      <c r="E879" t="inlineStr">
        <is>
          <t>United States</t>
        </is>
      </c>
      <c r="F879" t="inlineStr">
        <is>
          <t>USA</t>
        </is>
      </c>
      <c r="G879" t="inlineStr">
        <is>
          <t>Prevnar 20</t>
        </is>
      </c>
      <c r="H879" t="inlineStr">
        <is>
          <t>Hospital</t>
        </is>
      </c>
      <c r="I879" t="inlineStr">
        <is>
          <t>Private insurer</t>
        </is>
      </c>
      <c r="J879" t="inlineStr">
        <is>
          <t>Sara Rossi</t>
        </is>
      </c>
      <c r="K879" s="70" t="n">
        <v>132</v>
      </c>
      <c r="L879" s="71" t="n">
        <v>334.14</v>
      </c>
      <c r="M879" s="71" t="n">
        <v>44106.48</v>
      </c>
      <c r="N879" s="71" t="n">
        <v>13231.94</v>
      </c>
      <c r="O879" s="71" t="n">
        <v>30874.54</v>
      </c>
      <c r="P879" s="71" t="n">
        <v>9310.9</v>
      </c>
      <c r="Q879" s="71" t="n">
        <v>21563.64</v>
      </c>
      <c r="R879" t="inlineStr">
        <is>
          <t>Vaccines</t>
        </is>
      </c>
      <c r="S879" s="70" t="n">
        <v>90</v>
      </c>
      <c r="T879" s="71" t="n">
        <v>8155.9</v>
      </c>
      <c r="U879" t="inlineStr">
        <is>
          <t>Low</t>
        </is>
      </c>
      <c r="V879">
        <f>IF(AND(OR(Dashboard!$C$6="All",E879=Dashboard!$C$6),OR(Dashboard!$F$6="All",G879=Dashboard!$F$6),OR(Dashboard!$I$6="All",H879=Dashboard!$I$6)),1,0)</f>
        <v/>
      </c>
    </row>
    <row r="880">
      <c r="A880" t="inlineStr">
        <is>
          <t>PF100871</t>
        </is>
      </c>
      <c r="B880" s="68" t="n">
        <v>45762</v>
      </c>
      <c r="C880" s="69" t="n">
        <v>2025</v>
      </c>
      <c r="D880" t="inlineStr">
        <is>
          <t>Apr</t>
        </is>
      </c>
      <c r="E880" t="inlineStr">
        <is>
          <t>Emerging markets</t>
        </is>
      </c>
      <c r="F880" t="inlineStr">
        <is>
          <t>China</t>
        </is>
      </c>
      <c r="G880" t="inlineStr">
        <is>
          <t>Eliquis</t>
        </is>
      </c>
      <c r="H880" t="inlineStr">
        <is>
          <t>Hospital</t>
        </is>
      </c>
      <c r="I880" t="inlineStr">
        <is>
          <t>Private insurer</t>
        </is>
      </c>
      <c r="J880" t="inlineStr">
        <is>
          <t>Noah Smith</t>
        </is>
      </c>
      <c r="K880" s="70" t="n">
        <v>1710</v>
      </c>
      <c r="L880" s="71" t="n">
        <v>457.12</v>
      </c>
      <c r="M880" s="71" t="n">
        <v>781675.2</v>
      </c>
      <c r="N880" s="71" t="n">
        <v>156335.04</v>
      </c>
      <c r="O880" s="71" t="n">
        <v>625340.16</v>
      </c>
      <c r="P880" s="71" t="n">
        <v>131955.34</v>
      </c>
      <c r="Q880" s="71" t="n">
        <v>493384.82</v>
      </c>
      <c r="R880" t="inlineStr">
        <is>
          <t>Cardiology</t>
        </is>
      </c>
      <c r="S880" s="70" t="n">
        <v>1616</v>
      </c>
      <c r="T880" s="71" t="n">
        <v>154416.9</v>
      </c>
      <c r="U880" t="inlineStr">
        <is>
          <t>High</t>
        </is>
      </c>
      <c r="V880">
        <f>IF(AND(OR(Dashboard!$C$6="All",E880=Dashboard!$C$6),OR(Dashboard!$F$6="All",G880=Dashboard!$F$6),OR(Dashboard!$I$6="All",H880=Dashboard!$I$6)),1,0)</f>
        <v/>
      </c>
    </row>
    <row r="881">
      <c r="A881" t="inlineStr">
        <is>
          <t>PF100872</t>
        </is>
      </c>
      <c r="B881" s="68" t="n">
        <v>45762</v>
      </c>
      <c r="C881" s="69" t="n">
        <v>2025</v>
      </c>
      <c r="D881" t="inlineStr">
        <is>
          <t>Apr</t>
        </is>
      </c>
      <c r="E881" t="inlineStr">
        <is>
          <t>Europe</t>
        </is>
      </c>
      <c r="F881" t="inlineStr">
        <is>
          <t>Germany</t>
        </is>
      </c>
      <c r="G881" t="inlineStr">
        <is>
          <t>Abrysvo</t>
        </is>
      </c>
      <c r="H881" t="inlineStr">
        <is>
          <t>Retail pharmacy</t>
        </is>
      </c>
      <c r="I881" t="inlineStr">
        <is>
          <t>Private insurer</t>
        </is>
      </c>
      <c r="J881" t="inlineStr">
        <is>
          <t>Sophie Müller</t>
        </is>
      </c>
      <c r="K881" s="70" t="n">
        <v>215</v>
      </c>
      <c r="L881" s="71" t="n">
        <v>282.72</v>
      </c>
      <c r="M881" s="71" t="n">
        <v>60784.8</v>
      </c>
      <c r="N881" s="71" t="n">
        <v>15196.2</v>
      </c>
      <c r="O881" s="71" t="n">
        <v>45588.6</v>
      </c>
      <c r="P881" s="71" t="n">
        <v>18398.78</v>
      </c>
      <c r="Q881" s="71" t="n">
        <v>27189.82</v>
      </c>
      <c r="R881" t="inlineStr">
        <is>
          <t>Vaccines</t>
        </is>
      </c>
      <c r="S881" s="70" t="n">
        <v>136</v>
      </c>
      <c r="T881" s="71" t="n">
        <v>11788.53</v>
      </c>
      <c r="U881" t="inlineStr">
        <is>
          <t>Low</t>
        </is>
      </c>
      <c r="V881">
        <f>IF(AND(OR(Dashboard!$C$6="All",E881=Dashboard!$C$6),OR(Dashboard!$F$6="All",G881=Dashboard!$F$6),OR(Dashboard!$I$6="All",H881=Dashboard!$I$6)),1,0)</f>
        <v/>
      </c>
    </row>
    <row r="882">
      <c r="A882" t="inlineStr">
        <is>
          <t>PF100873</t>
        </is>
      </c>
      <c r="B882" s="68" t="n">
        <v>45762</v>
      </c>
      <c r="C882" s="69" t="n">
        <v>2025</v>
      </c>
      <c r="D882" t="inlineStr">
        <is>
          <t>Apr</t>
        </is>
      </c>
      <c r="E882" t="inlineStr">
        <is>
          <t>International developed</t>
        </is>
      </c>
      <c r="F882" t="inlineStr">
        <is>
          <t>Canada</t>
        </is>
      </c>
      <c r="G882" t="inlineStr">
        <is>
          <t>Eliquis</t>
        </is>
      </c>
      <c r="H882" t="inlineStr">
        <is>
          <t>Retail pharmacy</t>
        </is>
      </c>
      <c r="I882" t="inlineStr">
        <is>
          <t>Private insurer</t>
        </is>
      </c>
      <c r="J882" t="inlineStr">
        <is>
          <t>Shraddha Kulkarni</t>
        </is>
      </c>
      <c r="K882" s="70" t="n">
        <v>204</v>
      </c>
      <c r="L882" s="71" t="n">
        <v>386.16</v>
      </c>
      <c r="M882" s="71" t="n">
        <v>78776.64</v>
      </c>
      <c r="N882" s="71" t="n">
        <v>15755.33</v>
      </c>
      <c r="O882" s="71" t="n">
        <v>63021.31</v>
      </c>
      <c r="P882" s="71" t="n">
        <v>14861.2</v>
      </c>
      <c r="Q882" s="71" t="n">
        <v>48160.11</v>
      </c>
      <c r="R882" t="inlineStr">
        <is>
          <t>Cardiology</t>
        </is>
      </c>
      <c r="S882" s="70" t="n">
        <v>140</v>
      </c>
      <c r="T882" s="71" t="n">
        <v>16626.54</v>
      </c>
      <c r="U882" t="inlineStr">
        <is>
          <t>High</t>
        </is>
      </c>
      <c r="V882">
        <f>IF(AND(OR(Dashboard!$C$6="All",E882=Dashboard!$C$6),OR(Dashboard!$F$6="All",G882=Dashboard!$F$6),OR(Dashboard!$I$6="All",H882=Dashboard!$I$6)),1,0)</f>
        <v/>
      </c>
    </row>
    <row r="883">
      <c r="A883" t="inlineStr">
        <is>
          <t>PF100874</t>
        </is>
      </c>
      <c r="B883" s="68" t="n">
        <v>45762</v>
      </c>
      <c r="C883" s="69" t="n">
        <v>2025</v>
      </c>
      <c r="D883" t="inlineStr">
        <is>
          <t>Apr</t>
        </is>
      </c>
      <c r="E883" t="inlineStr">
        <is>
          <t>United States</t>
        </is>
      </c>
      <c r="F883" t="inlineStr">
        <is>
          <t>USA</t>
        </is>
      </c>
      <c r="G883" t="inlineStr">
        <is>
          <t>Ibrance</t>
        </is>
      </c>
      <c r="H883" t="inlineStr">
        <is>
          <t>Hospital</t>
        </is>
      </c>
      <c r="I883" t="inlineStr">
        <is>
          <t>Public payer</t>
        </is>
      </c>
      <c r="J883" t="inlineStr">
        <is>
          <t>Mei Lin</t>
        </is>
      </c>
      <c r="K883" s="70" t="n">
        <v>343</v>
      </c>
      <c r="L883" s="71" t="n">
        <v>4902.85</v>
      </c>
      <c r="M883" s="71" t="n">
        <v>1681677.55</v>
      </c>
      <c r="N883" s="71" t="n">
        <v>252251.63</v>
      </c>
      <c r="O883" s="71" t="n">
        <v>1429425.92</v>
      </c>
      <c r="P883" s="71" t="n">
        <v>154121.48</v>
      </c>
      <c r="Q883" s="71" t="n">
        <v>1275304.44</v>
      </c>
      <c r="R883" t="inlineStr">
        <is>
          <t>Oncology</t>
        </is>
      </c>
      <c r="S883" s="70" t="n">
        <v>254</v>
      </c>
      <c r="T883" s="71" t="n">
        <v>252243.26</v>
      </c>
      <c r="U883" t="inlineStr">
        <is>
          <t>High</t>
        </is>
      </c>
      <c r="V883">
        <f>IF(AND(OR(Dashboard!$C$6="All",E883=Dashboard!$C$6),OR(Dashboard!$F$6="All",G883=Dashboard!$F$6),OR(Dashboard!$I$6="All",H883=Dashboard!$I$6)),1,0)</f>
        <v/>
      </c>
    </row>
    <row r="884">
      <c r="A884" t="inlineStr">
        <is>
          <t>PF100875</t>
        </is>
      </c>
      <c r="B884" s="68" t="n">
        <v>45762</v>
      </c>
      <c r="C884" s="69" t="n">
        <v>2025</v>
      </c>
      <c r="D884" t="inlineStr">
        <is>
          <t>Apr</t>
        </is>
      </c>
      <c r="E884" t="inlineStr">
        <is>
          <t>United States</t>
        </is>
      </c>
      <c r="F884" t="inlineStr">
        <is>
          <t>USA</t>
        </is>
      </c>
      <c r="G884" t="inlineStr">
        <is>
          <t>Abrysvo</t>
        </is>
      </c>
      <c r="H884" t="inlineStr">
        <is>
          <t>Retail pharmacy</t>
        </is>
      </c>
      <c r="I884" t="inlineStr">
        <is>
          <t>Public payer</t>
        </is>
      </c>
      <c r="J884" t="inlineStr">
        <is>
          <t>Amir Khan</t>
        </is>
      </c>
      <c r="K884" s="70" t="n">
        <v>532</v>
      </c>
      <c r="L884" s="71" t="n">
        <v>417.94</v>
      </c>
      <c r="M884" s="71" t="n">
        <v>222344.08</v>
      </c>
      <c r="N884" s="71" t="n">
        <v>66703.22</v>
      </c>
      <c r="O884" s="71" t="n">
        <v>155640.86</v>
      </c>
      <c r="P884" s="71" t="n">
        <v>43739.92</v>
      </c>
      <c r="Q884" s="71" t="n">
        <v>111900.94</v>
      </c>
      <c r="R884" t="inlineStr">
        <is>
          <t>Vaccines</t>
        </is>
      </c>
      <c r="S884" s="70" t="n">
        <v>372</v>
      </c>
      <c r="T884" s="71" t="n">
        <v>33768.11</v>
      </c>
      <c r="U884" t="inlineStr">
        <is>
          <t>Low</t>
        </is>
      </c>
      <c r="V884">
        <f>IF(AND(OR(Dashboard!$C$6="All",E884=Dashboard!$C$6),OR(Dashboard!$F$6="All",G884=Dashboard!$F$6),OR(Dashboard!$I$6="All",H884=Dashboard!$I$6)),1,0)</f>
        <v/>
      </c>
    </row>
    <row r="885">
      <c r="A885" t="inlineStr">
        <is>
          <t>PF100876</t>
        </is>
      </c>
      <c r="B885" s="68" t="n">
        <v>45762</v>
      </c>
      <c r="C885" s="69" t="n">
        <v>2025</v>
      </c>
      <c r="D885" t="inlineStr">
        <is>
          <t>Apr</t>
        </is>
      </c>
      <c r="E885" t="inlineStr">
        <is>
          <t>Emerging markets</t>
        </is>
      </c>
      <c r="F885" t="inlineStr">
        <is>
          <t>India</t>
        </is>
      </c>
      <c r="G885" t="inlineStr">
        <is>
          <t>Prevnar 20</t>
        </is>
      </c>
      <c r="H885" t="inlineStr">
        <is>
          <t>Retail pharmacy</t>
        </is>
      </c>
      <c r="I885" t="inlineStr">
        <is>
          <t>Public payer</t>
        </is>
      </c>
      <c r="J885" t="inlineStr">
        <is>
          <t>Zoya Ahmed</t>
        </is>
      </c>
      <c r="K885" s="70" t="n">
        <v>2373</v>
      </c>
      <c r="L885" s="71" t="n">
        <v>222.63</v>
      </c>
      <c r="M885" s="71" t="n">
        <v>528300.99</v>
      </c>
      <c r="N885" s="71" t="n">
        <v>79245.14999999999</v>
      </c>
      <c r="O885" s="71" t="n">
        <v>449055.84</v>
      </c>
      <c r="P885" s="71" t="n">
        <v>159442.23</v>
      </c>
      <c r="Q885" s="71" t="n">
        <v>289613.61</v>
      </c>
      <c r="R885" t="inlineStr">
        <is>
          <t>Vaccines</t>
        </is>
      </c>
      <c r="S885" s="70" t="n">
        <v>2106</v>
      </c>
      <c r="T885" s="71" t="n">
        <v>71277.73</v>
      </c>
      <c r="U885" t="inlineStr">
        <is>
          <t>Low</t>
        </is>
      </c>
      <c r="V885">
        <f>IF(AND(OR(Dashboard!$C$6="All",E885=Dashboard!$C$6),OR(Dashboard!$F$6="All",G885=Dashboard!$F$6),OR(Dashboard!$I$6="All",H885=Dashboard!$I$6)),1,0)</f>
        <v/>
      </c>
    </row>
    <row r="886">
      <c r="A886" t="inlineStr">
        <is>
          <t>PF100877</t>
        </is>
      </c>
      <c r="B886" s="68" t="n">
        <v>45762</v>
      </c>
      <c r="C886" s="69" t="n">
        <v>2025</v>
      </c>
      <c r="D886" t="inlineStr">
        <is>
          <t>Apr</t>
        </is>
      </c>
      <c r="E886" t="inlineStr">
        <is>
          <t>International developed</t>
        </is>
      </c>
      <c r="F886" t="inlineStr">
        <is>
          <t>Australia</t>
        </is>
      </c>
      <c r="G886" t="inlineStr">
        <is>
          <t>Eliquis</t>
        </is>
      </c>
      <c r="H886" t="inlineStr">
        <is>
          <t>Hospital</t>
        </is>
      </c>
      <c r="I886" t="inlineStr">
        <is>
          <t>Self-pay</t>
        </is>
      </c>
      <c r="J886" t="inlineStr">
        <is>
          <t>Aisha Bello</t>
        </is>
      </c>
      <c r="K886" s="70" t="n">
        <v>2606</v>
      </c>
      <c r="L886" s="71" t="n">
        <v>439.57</v>
      </c>
      <c r="M886" s="71" t="n">
        <v>1145519.42</v>
      </c>
      <c r="N886" s="71" t="n">
        <v>171827.91</v>
      </c>
      <c r="O886" s="71" t="n">
        <v>973691.51</v>
      </c>
      <c r="P886" s="71" t="n">
        <v>204566.65</v>
      </c>
      <c r="Q886" s="71" t="n">
        <v>769124.86</v>
      </c>
      <c r="R886" t="inlineStr">
        <is>
          <t>Cardiology</t>
        </is>
      </c>
      <c r="S886" s="70" t="n">
        <v>1923</v>
      </c>
      <c r="T886" s="71" t="n">
        <v>213717.57</v>
      </c>
      <c r="U886" t="inlineStr">
        <is>
          <t>High</t>
        </is>
      </c>
      <c r="V886">
        <f>IF(AND(OR(Dashboard!$C$6="All",E886=Dashboard!$C$6),OR(Dashboard!$F$6="All",G886=Dashboard!$F$6),OR(Dashboard!$I$6="All",H886=Dashboard!$I$6)),1,0)</f>
        <v/>
      </c>
    </row>
    <row r="887">
      <c r="A887" t="inlineStr">
        <is>
          <t>PF100878</t>
        </is>
      </c>
      <c r="B887" s="68" t="n">
        <v>45762</v>
      </c>
      <c r="C887" s="69" t="n">
        <v>2025</v>
      </c>
      <c r="D887" t="inlineStr">
        <is>
          <t>Apr</t>
        </is>
      </c>
      <c r="E887" t="inlineStr">
        <is>
          <t>United States</t>
        </is>
      </c>
      <c r="F887" t="inlineStr">
        <is>
          <t>USA</t>
        </is>
      </c>
      <c r="G887" t="inlineStr">
        <is>
          <t>Eliquis</t>
        </is>
      </c>
      <c r="H887" t="inlineStr">
        <is>
          <t>Retail pharmacy</t>
        </is>
      </c>
      <c r="I887" t="inlineStr">
        <is>
          <t>Private insurer</t>
        </is>
      </c>
      <c r="J887" t="inlineStr">
        <is>
          <t>Ruhi Shaikh</t>
        </is>
      </c>
      <c r="K887" s="70" t="n">
        <v>1400</v>
      </c>
      <c r="L887" s="71" t="n">
        <v>707.84</v>
      </c>
      <c r="M887" s="71" t="n">
        <v>990976</v>
      </c>
      <c r="N887" s="71" t="n">
        <v>346841.6</v>
      </c>
      <c r="O887" s="71" t="n">
        <v>644134.4</v>
      </c>
      <c r="P887" s="71" t="n">
        <v>109727.72</v>
      </c>
      <c r="Q887" s="71" t="n">
        <v>534406.6800000001</v>
      </c>
      <c r="R887" t="inlineStr">
        <is>
          <t>Cardiology</t>
        </is>
      </c>
      <c r="S887" s="70" t="n">
        <v>1181</v>
      </c>
      <c r="T887" s="71" t="n">
        <v>185525.42</v>
      </c>
      <c r="U887" t="inlineStr">
        <is>
          <t>High</t>
        </is>
      </c>
      <c r="V887">
        <f>IF(AND(OR(Dashboard!$C$6="All",E887=Dashboard!$C$6),OR(Dashboard!$F$6="All",G887=Dashboard!$F$6),OR(Dashboard!$I$6="All",H887=Dashboard!$I$6)),1,0)</f>
        <v/>
      </c>
    </row>
    <row r="888">
      <c r="A888" t="inlineStr">
        <is>
          <t>PF100879</t>
        </is>
      </c>
      <c r="B888" s="68" t="n">
        <v>45762</v>
      </c>
      <c r="C888" s="69" t="n">
        <v>2025</v>
      </c>
      <c r="D888" t="inlineStr">
        <is>
          <t>Apr</t>
        </is>
      </c>
      <c r="E888" t="inlineStr">
        <is>
          <t>Emerging markets</t>
        </is>
      </c>
      <c r="F888" t="inlineStr">
        <is>
          <t>India</t>
        </is>
      </c>
      <c r="G888" t="inlineStr">
        <is>
          <t>Paxlovid</t>
        </is>
      </c>
      <c r="H888" t="inlineStr">
        <is>
          <t>Retail pharmacy</t>
        </is>
      </c>
      <c r="I888" t="inlineStr">
        <is>
          <t>Public payer</t>
        </is>
      </c>
      <c r="J888" t="inlineStr">
        <is>
          <t>Mei Lin</t>
        </is>
      </c>
      <c r="K888" s="70" t="n">
        <v>1616</v>
      </c>
      <c r="L888" s="71" t="n">
        <v>1020.67</v>
      </c>
      <c r="M888" s="71" t="n">
        <v>1649402.72</v>
      </c>
      <c r="N888" s="71" t="n">
        <v>329880.54</v>
      </c>
      <c r="O888" s="71" t="n">
        <v>1319522.18</v>
      </c>
      <c r="P888" s="71" t="n">
        <v>449504.23</v>
      </c>
      <c r="Q888" s="71" t="n">
        <v>870017.95</v>
      </c>
      <c r="R888" t="inlineStr">
        <is>
          <t>Antiviral</t>
        </is>
      </c>
      <c r="S888" s="70" t="n">
        <v>1014</v>
      </c>
      <c r="T888" s="71" t="n">
        <v>337460.18</v>
      </c>
      <c r="U888" t="inlineStr">
        <is>
          <t>Low</t>
        </is>
      </c>
      <c r="V888">
        <f>IF(AND(OR(Dashboard!$C$6="All",E888=Dashboard!$C$6),OR(Dashboard!$F$6="All",G888=Dashboard!$F$6),OR(Dashboard!$I$6="All",H888=Dashboard!$I$6)),1,0)</f>
        <v/>
      </c>
    </row>
    <row r="889">
      <c r="A889" t="inlineStr">
        <is>
          <t>PF100880</t>
        </is>
      </c>
      <c r="B889" s="68" t="n">
        <v>45762</v>
      </c>
      <c r="C889" s="69" t="n">
        <v>2025</v>
      </c>
      <c r="D889" t="inlineStr">
        <is>
          <t>Apr</t>
        </is>
      </c>
      <c r="E889" t="inlineStr">
        <is>
          <t>Europe</t>
        </is>
      </c>
      <c r="F889" t="inlineStr">
        <is>
          <t>UK</t>
        </is>
      </c>
      <c r="G889" t="inlineStr">
        <is>
          <t>Eliquis</t>
        </is>
      </c>
      <c r="H889" t="inlineStr">
        <is>
          <t>Retail pharmacy</t>
        </is>
      </c>
      <c r="I889" t="inlineStr">
        <is>
          <t>Public payer</t>
        </is>
      </c>
      <c r="J889" t="inlineStr">
        <is>
          <t>Shraddha Kulkarni</t>
        </is>
      </c>
      <c r="K889" s="70" t="n">
        <v>2124</v>
      </c>
      <c r="L889" s="71" t="n">
        <v>428.82</v>
      </c>
      <c r="M889" s="71" t="n">
        <v>910813.6800000001</v>
      </c>
      <c r="N889" s="71" t="n">
        <v>45540.68</v>
      </c>
      <c r="O889" s="71" t="n">
        <v>865273</v>
      </c>
      <c r="P889" s="71" t="n">
        <v>158493.15</v>
      </c>
      <c r="Q889" s="71" t="n">
        <v>706779.85</v>
      </c>
      <c r="R889" t="inlineStr">
        <is>
          <t>Cardiology</t>
        </is>
      </c>
      <c r="S889" s="70" t="n">
        <v>1580</v>
      </c>
      <c r="T889" s="71" t="n">
        <v>135286.74</v>
      </c>
      <c r="U889" t="inlineStr">
        <is>
          <t>High</t>
        </is>
      </c>
      <c r="V889">
        <f>IF(AND(OR(Dashboard!$C$6="All",E889=Dashboard!$C$6),OR(Dashboard!$F$6="All",G889=Dashboard!$F$6),OR(Dashboard!$I$6="All",H889=Dashboard!$I$6)),1,0)</f>
        <v/>
      </c>
    </row>
    <row r="890">
      <c r="A890" t="inlineStr">
        <is>
          <t>PF100881</t>
        </is>
      </c>
      <c r="B890" s="68" t="n">
        <v>45762</v>
      </c>
      <c r="C890" s="69" t="n">
        <v>2025</v>
      </c>
      <c r="D890" t="inlineStr">
        <is>
          <t>Apr</t>
        </is>
      </c>
      <c r="E890" t="inlineStr">
        <is>
          <t>United States</t>
        </is>
      </c>
      <c r="F890" t="inlineStr">
        <is>
          <t>USA</t>
        </is>
      </c>
      <c r="G890" t="inlineStr">
        <is>
          <t>Eliquis</t>
        </is>
      </c>
      <c r="H890" t="inlineStr">
        <is>
          <t>Retail pharmacy</t>
        </is>
      </c>
      <c r="I890" t="inlineStr">
        <is>
          <t>Private insurer</t>
        </is>
      </c>
      <c r="J890" t="inlineStr">
        <is>
          <t>Yuki Sato</t>
        </is>
      </c>
      <c r="K890" s="70" t="n">
        <v>74</v>
      </c>
      <c r="L890" s="71" t="n">
        <v>675.8200000000001</v>
      </c>
      <c r="M890" s="71" t="n">
        <v>50010.68</v>
      </c>
      <c r="N890" s="71" t="n">
        <v>17503.74</v>
      </c>
      <c r="O890" s="71" t="n">
        <v>32506.94</v>
      </c>
      <c r="P890" s="71" t="n">
        <v>5712.23</v>
      </c>
      <c r="Q890" s="71" t="n">
        <v>26794.71</v>
      </c>
      <c r="R890" t="inlineStr">
        <is>
          <t>Cardiology</t>
        </is>
      </c>
      <c r="S890" s="70" t="n">
        <v>62</v>
      </c>
      <c r="T890" s="71" t="n">
        <v>9028.25</v>
      </c>
      <c r="U890" t="inlineStr">
        <is>
          <t>High</t>
        </is>
      </c>
      <c r="V890">
        <f>IF(AND(OR(Dashboard!$C$6="All",E890=Dashboard!$C$6),OR(Dashboard!$F$6="All",G890=Dashboard!$F$6),OR(Dashboard!$I$6="All",H890=Dashboard!$I$6)),1,0)</f>
        <v/>
      </c>
    </row>
    <row r="891">
      <c r="A891" t="inlineStr">
        <is>
          <t>PF100882</t>
        </is>
      </c>
      <c r="B891" s="68" t="n">
        <v>45763</v>
      </c>
      <c r="C891" s="69" t="n">
        <v>2025</v>
      </c>
      <c r="D891" t="inlineStr">
        <is>
          <t>Apr</t>
        </is>
      </c>
      <c r="E891" t="inlineStr">
        <is>
          <t>Europe</t>
        </is>
      </c>
      <c r="F891" t="inlineStr">
        <is>
          <t>Italy</t>
        </is>
      </c>
      <c r="G891" t="inlineStr">
        <is>
          <t>Ibrance</t>
        </is>
      </c>
      <c r="H891" t="inlineStr">
        <is>
          <t>Hospital</t>
        </is>
      </c>
      <c r="I891" t="inlineStr">
        <is>
          <t>Public payer</t>
        </is>
      </c>
      <c r="J891" t="inlineStr">
        <is>
          <t>Kofi Mensah</t>
        </is>
      </c>
      <c r="K891" s="70" t="n">
        <v>219</v>
      </c>
      <c r="L891" s="71" t="n">
        <v>2643.7</v>
      </c>
      <c r="M891" s="71" t="n">
        <v>578970.3</v>
      </c>
      <c r="N891" s="71" t="n">
        <v>115794.06</v>
      </c>
      <c r="O891" s="71" t="n">
        <v>463176.24</v>
      </c>
      <c r="P891" s="71" t="n">
        <v>99061.7</v>
      </c>
      <c r="Q891" s="71" t="n">
        <v>364114.54</v>
      </c>
      <c r="R891" t="inlineStr">
        <is>
          <t>Oncology</t>
        </is>
      </c>
      <c r="S891" s="70" t="n">
        <v>210</v>
      </c>
      <c r="T891" s="71" t="n">
        <v>114639.26</v>
      </c>
      <c r="U891" t="inlineStr">
        <is>
          <t>High</t>
        </is>
      </c>
      <c r="V891">
        <f>IF(AND(OR(Dashboard!$C$6="All",E891=Dashboard!$C$6),OR(Dashboard!$F$6="All",G891=Dashboard!$F$6),OR(Dashboard!$I$6="All",H891=Dashboard!$I$6)),1,0)</f>
        <v/>
      </c>
    </row>
    <row r="892">
      <c r="A892" t="inlineStr">
        <is>
          <t>PF100883</t>
        </is>
      </c>
      <c r="B892" s="68" t="n">
        <v>45763</v>
      </c>
      <c r="C892" s="69" t="n">
        <v>2025</v>
      </c>
      <c r="D892" t="inlineStr">
        <is>
          <t>Apr</t>
        </is>
      </c>
      <c r="E892" t="inlineStr">
        <is>
          <t>United States</t>
        </is>
      </c>
      <c r="F892" t="inlineStr">
        <is>
          <t>USA</t>
        </is>
      </c>
      <c r="G892" t="inlineStr">
        <is>
          <t>Paxlovid</t>
        </is>
      </c>
      <c r="H892" t="inlineStr">
        <is>
          <t>Government / tender</t>
        </is>
      </c>
      <c r="I892" t="inlineStr">
        <is>
          <t>Public payer</t>
        </is>
      </c>
      <c r="J892" t="inlineStr">
        <is>
          <t>Liam O'Brien</t>
        </is>
      </c>
      <c r="K892" s="70" t="n">
        <v>1735</v>
      </c>
      <c r="L892" s="71" t="n">
        <v>1795.31</v>
      </c>
      <c r="M892" s="71" t="n">
        <v>3114862.85</v>
      </c>
      <c r="N892" s="71" t="n">
        <v>622972.5699999999</v>
      </c>
      <c r="O892" s="71" t="n">
        <v>2491890.28</v>
      </c>
      <c r="P892" s="71" t="n">
        <v>487238.19</v>
      </c>
      <c r="Q892" s="71" t="n">
        <v>2004652.09</v>
      </c>
      <c r="R892" t="inlineStr">
        <is>
          <t>Antiviral</t>
        </is>
      </c>
      <c r="S892" s="70" t="n">
        <v>1686</v>
      </c>
      <c r="T892" s="71" t="n">
        <v>579183.64</v>
      </c>
      <c r="U892" t="inlineStr">
        <is>
          <t>Low</t>
        </is>
      </c>
      <c r="V892">
        <f>IF(AND(OR(Dashboard!$C$6="All",E892=Dashboard!$C$6),OR(Dashboard!$F$6="All",G892=Dashboard!$F$6),OR(Dashboard!$I$6="All",H892=Dashboard!$I$6)),1,0)</f>
        <v/>
      </c>
    </row>
    <row r="893">
      <c r="A893" t="inlineStr">
        <is>
          <t>PF100884</t>
        </is>
      </c>
      <c r="B893" s="68" t="n">
        <v>45763</v>
      </c>
      <c r="C893" s="69" t="n">
        <v>2025</v>
      </c>
      <c r="D893" t="inlineStr">
        <is>
          <t>Apr</t>
        </is>
      </c>
      <c r="E893" t="inlineStr">
        <is>
          <t>Europe</t>
        </is>
      </c>
      <c r="F893" t="inlineStr">
        <is>
          <t>Spain</t>
        </is>
      </c>
      <c r="G893" t="inlineStr">
        <is>
          <t>Eliquis</t>
        </is>
      </c>
      <c r="H893" t="inlineStr">
        <is>
          <t>Hospital</t>
        </is>
      </c>
      <c r="I893" t="inlineStr">
        <is>
          <t>Private insurer</t>
        </is>
      </c>
      <c r="J893" t="inlineStr">
        <is>
          <t>Aisha Bello</t>
        </is>
      </c>
      <c r="K893" s="70" t="n">
        <v>2499</v>
      </c>
      <c r="L893" s="71" t="n">
        <v>380.73</v>
      </c>
      <c r="M893" s="71" t="n">
        <v>951444.27</v>
      </c>
      <c r="N893" s="71" t="n">
        <v>95144.42999999999</v>
      </c>
      <c r="O893" s="71" t="n">
        <v>856299.84</v>
      </c>
      <c r="P893" s="71" t="n">
        <v>191291.45</v>
      </c>
      <c r="Q893" s="71" t="n">
        <v>665008.39</v>
      </c>
      <c r="R893" t="inlineStr">
        <is>
          <t>Cardiology</t>
        </is>
      </c>
      <c r="S893" s="70" t="n">
        <v>1833</v>
      </c>
      <c r="T893" s="71" t="n">
        <v>189436.14</v>
      </c>
      <c r="U893" t="inlineStr">
        <is>
          <t>High</t>
        </is>
      </c>
      <c r="V893">
        <f>IF(AND(OR(Dashboard!$C$6="All",E893=Dashboard!$C$6),OR(Dashboard!$F$6="All",G893=Dashboard!$F$6),OR(Dashboard!$I$6="All",H893=Dashboard!$I$6)),1,0)</f>
        <v/>
      </c>
    </row>
    <row r="894">
      <c r="A894" t="inlineStr">
        <is>
          <t>PF100885</t>
        </is>
      </c>
      <c r="B894" s="68" t="n">
        <v>45763</v>
      </c>
      <c r="C894" s="69" t="n">
        <v>2025</v>
      </c>
      <c r="D894" t="inlineStr">
        <is>
          <t>Apr</t>
        </is>
      </c>
      <c r="E894" t="inlineStr">
        <is>
          <t>International developed</t>
        </is>
      </c>
      <c r="F894" t="inlineStr">
        <is>
          <t>Canada</t>
        </is>
      </c>
      <c r="G894" t="inlineStr">
        <is>
          <t>Comirnaty</t>
        </is>
      </c>
      <c r="H894" t="inlineStr">
        <is>
          <t>Government / tender</t>
        </is>
      </c>
      <c r="I894" t="inlineStr">
        <is>
          <t>Public payer</t>
        </is>
      </c>
      <c r="J894" t="inlineStr">
        <is>
          <t>Kofi Mensah</t>
        </is>
      </c>
      <c r="K894" s="70" t="n">
        <v>1477</v>
      </c>
      <c r="L894" s="71" t="n">
        <v>118.07</v>
      </c>
      <c r="M894" s="71" t="n">
        <v>174389.39</v>
      </c>
      <c r="N894" s="71" t="n">
        <v>8719.469999999999</v>
      </c>
      <c r="O894" s="71" t="n">
        <v>165669.92</v>
      </c>
      <c r="P894" s="71" t="n">
        <v>55663.74</v>
      </c>
      <c r="Q894" s="71" t="n">
        <v>110006.18</v>
      </c>
      <c r="R894" t="inlineStr">
        <is>
          <t>Vaccines</t>
        </is>
      </c>
      <c r="S894" s="70" t="n">
        <v>1289</v>
      </c>
      <c r="T894" s="71" t="n">
        <v>25640.46</v>
      </c>
      <c r="U894" t="inlineStr">
        <is>
          <t>Low</t>
        </is>
      </c>
      <c r="V894">
        <f>IF(AND(OR(Dashboard!$C$6="All",E894=Dashboard!$C$6),OR(Dashboard!$F$6="All",G894=Dashboard!$F$6),OR(Dashboard!$I$6="All",H894=Dashboard!$I$6)),1,0)</f>
        <v/>
      </c>
    </row>
    <row r="895">
      <c r="A895" t="inlineStr">
        <is>
          <t>PF100886</t>
        </is>
      </c>
      <c r="B895" s="68" t="n">
        <v>45763</v>
      </c>
      <c r="C895" s="69" t="n">
        <v>2025</v>
      </c>
      <c r="D895" t="inlineStr">
        <is>
          <t>Apr</t>
        </is>
      </c>
      <c r="E895" t="inlineStr">
        <is>
          <t>International developed</t>
        </is>
      </c>
      <c r="F895" t="inlineStr">
        <is>
          <t>Australia</t>
        </is>
      </c>
      <c r="G895" t="inlineStr">
        <is>
          <t>Comirnaty</t>
        </is>
      </c>
      <c r="H895" t="inlineStr">
        <is>
          <t>Retail pharmacy</t>
        </is>
      </c>
      <c r="I895" t="inlineStr">
        <is>
          <t>Public payer</t>
        </is>
      </c>
      <c r="J895" t="inlineStr">
        <is>
          <t>Ravindra Patil</t>
        </is>
      </c>
      <c r="K895" s="70" t="n">
        <v>2601</v>
      </c>
      <c r="L895" s="71" t="n">
        <v>99.26000000000001</v>
      </c>
      <c r="M895" s="71" t="n">
        <v>258175.26</v>
      </c>
      <c r="N895" s="71" t="n">
        <v>51635.05</v>
      </c>
      <c r="O895" s="71" t="n">
        <v>206540.21</v>
      </c>
      <c r="P895" s="71" t="n">
        <v>101691.46</v>
      </c>
      <c r="Q895" s="71" t="n">
        <v>104848.75</v>
      </c>
      <c r="R895" t="inlineStr">
        <is>
          <t>Vaccines</t>
        </is>
      </c>
      <c r="S895" s="70" t="n">
        <v>1766</v>
      </c>
      <c r="T895" s="71" t="n">
        <v>49475.8</v>
      </c>
      <c r="U895" t="inlineStr">
        <is>
          <t>Low</t>
        </is>
      </c>
      <c r="V895">
        <f>IF(AND(OR(Dashboard!$C$6="All",E895=Dashboard!$C$6),OR(Dashboard!$F$6="All",G895=Dashboard!$F$6),OR(Dashboard!$I$6="All",H895=Dashboard!$I$6)),1,0)</f>
        <v/>
      </c>
    </row>
    <row r="896">
      <c r="A896" t="inlineStr">
        <is>
          <t>PF100887</t>
        </is>
      </c>
      <c r="B896" s="68" t="n">
        <v>45763</v>
      </c>
      <c r="C896" s="69" t="n">
        <v>2025</v>
      </c>
      <c r="D896" t="inlineStr">
        <is>
          <t>Apr</t>
        </is>
      </c>
      <c r="E896" t="inlineStr">
        <is>
          <t>United States</t>
        </is>
      </c>
      <c r="F896" t="inlineStr">
        <is>
          <t>USA</t>
        </is>
      </c>
      <c r="G896" t="inlineStr">
        <is>
          <t>Xeljanz</t>
        </is>
      </c>
      <c r="H896" t="inlineStr">
        <is>
          <t>Retail pharmacy</t>
        </is>
      </c>
      <c r="I896" t="inlineStr">
        <is>
          <t>Private insurer</t>
        </is>
      </c>
      <c r="J896" t="inlineStr">
        <is>
          <t>Fatima Al-Saud</t>
        </is>
      </c>
      <c r="K896" s="70" t="n">
        <v>1556</v>
      </c>
      <c r="L896" s="71" t="n">
        <v>2202</v>
      </c>
      <c r="M896" s="71" t="n">
        <v>3426312</v>
      </c>
      <c r="N896" s="71" t="n">
        <v>1027893.6</v>
      </c>
      <c r="O896" s="71" t="n">
        <v>2398418.4</v>
      </c>
      <c r="P896" s="71" t="n">
        <v>396145.81</v>
      </c>
      <c r="Q896" s="71" t="n">
        <v>2002272.59</v>
      </c>
      <c r="R896" t="inlineStr">
        <is>
          <t>Inflammation</t>
        </is>
      </c>
      <c r="S896" s="70" t="n">
        <v>1243</v>
      </c>
      <c r="T896" s="71" t="n">
        <v>468057.81</v>
      </c>
      <c r="U896" t="inlineStr">
        <is>
          <t>High</t>
        </is>
      </c>
      <c r="V896">
        <f>IF(AND(OR(Dashboard!$C$6="All",E896=Dashboard!$C$6),OR(Dashboard!$F$6="All",G896=Dashboard!$F$6),OR(Dashboard!$I$6="All",H896=Dashboard!$I$6)),1,0)</f>
        <v/>
      </c>
    </row>
    <row r="897">
      <c r="A897" t="inlineStr">
        <is>
          <t>PF100888</t>
        </is>
      </c>
      <c r="B897" s="68" t="n">
        <v>45763</v>
      </c>
      <c r="C897" s="69" t="n">
        <v>2025</v>
      </c>
      <c r="D897" t="inlineStr">
        <is>
          <t>Apr</t>
        </is>
      </c>
      <c r="E897" t="inlineStr">
        <is>
          <t>Emerging markets</t>
        </is>
      </c>
      <c r="F897" t="inlineStr">
        <is>
          <t>India</t>
        </is>
      </c>
      <c r="G897" t="inlineStr">
        <is>
          <t>Ibrance</t>
        </is>
      </c>
      <c r="H897" t="inlineStr">
        <is>
          <t>Retail pharmacy</t>
        </is>
      </c>
      <c r="I897" t="inlineStr">
        <is>
          <t>Private insurer</t>
        </is>
      </c>
      <c r="J897" t="inlineStr">
        <is>
          <t>Hiroshi Tanaka</t>
        </is>
      </c>
      <c r="K897" s="70" t="n">
        <v>780</v>
      </c>
      <c r="L897" s="71" t="n">
        <v>2641.41</v>
      </c>
      <c r="M897" s="71" t="n">
        <v>2060299.8</v>
      </c>
      <c r="N897" s="71" t="n">
        <v>309044.97</v>
      </c>
      <c r="O897" s="71" t="n">
        <v>1751254.83</v>
      </c>
      <c r="P897" s="71" t="n">
        <v>350263.85</v>
      </c>
      <c r="Q897" s="71" t="n">
        <v>1400990.98</v>
      </c>
      <c r="R897" t="inlineStr">
        <is>
          <t>Oncology</t>
        </is>
      </c>
      <c r="S897" s="70" t="n">
        <v>586</v>
      </c>
      <c r="T897" s="71" t="n">
        <v>325672.1</v>
      </c>
      <c r="U897" t="inlineStr">
        <is>
          <t>High</t>
        </is>
      </c>
      <c r="V897">
        <f>IF(AND(OR(Dashboard!$C$6="All",E897=Dashboard!$C$6),OR(Dashboard!$F$6="All",G897=Dashboard!$F$6),OR(Dashboard!$I$6="All",H897=Dashboard!$I$6)),1,0)</f>
        <v/>
      </c>
    </row>
    <row r="898">
      <c r="A898" t="inlineStr">
        <is>
          <t>PF100889</t>
        </is>
      </c>
      <c r="B898" s="68" t="n">
        <v>45763</v>
      </c>
      <c r="C898" s="69" t="n">
        <v>2025</v>
      </c>
      <c r="D898" t="inlineStr">
        <is>
          <t>Apr</t>
        </is>
      </c>
      <c r="E898" t="inlineStr">
        <is>
          <t>United States</t>
        </is>
      </c>
      <c r="F898" t="inlineStr">
        <is>
          <t>USA</t>
        </is>
      </c>
      <c r="G898" t="inlineStr">
        <is>
          <t>Paxlovid</t>
        </is>
      </c>
      <c r="H898" t="inlineStr">
        <is>
          <t>Retail pharmacy</t>
        </is>
      </c>
      <c r="I898" t="inlineStr">
        <is>
          <t>Public payer</t>
        </is>
      </c>
      <c r="J898" t="inlineStr">
        <is>
          <t>Ana Costa</t>
        </is>
      </c>
      <c r="K898" s="70" t="n">
        <v>2128</v>
      </c>
      <c r="L898" s="71" t="n">
        <v>1639.2</v>
      </c>
      <c r="M898" s="71" t="n">
        <v>3488217.6</v>
      </c>
      <c r="N898" s="71" t="n">
        <v>1220876.16</v>
      </c>
      <c r="O898" s="71" t="n">
        <v>2267341.44</v>
      </c>
      <c r="P898" s="71" t="n">
        <v>601365.08</v>
      </c>
      <c r="Q898" s="71" t="n">
        <v>1665976.36</v>
      </c>
      <c r="R898" t="inlineStr">
        <is>
          <t>Antiviral</t>
        </is>
      </c>
      <c r="S898" s="70" t="n">
        <v>1749</v>
      </c>
      <c r="T898" s="71" t="n">
        <v>666992.88</v>
      </c>
      <c r="U898" t="inlineStr">
        <is>
          <t>Low</t>
        </is>
      </c>
      <c r="V898">
        <f>IF(AND(OR(Dashboard!$C$6="All",E898=Dashboard!$C$6),OR(Dashboard!$F$6="All",G898=Dashboard!$F$6),OR(Dashboard!$I$6="All",H898=Dashboard!$I$6)),1,0)</f>
        <v/>
      </c>
    </row>
    <row r="899">
      <c r="A899" t="inlineStr">
        <is>
          <t>PF100890</t>
        </is>
      </c>
      <c r="B899" s="68" t="n">
        <v>45763</v>
      </c>
      <c r="C899" s="69" t="n">
        <v>2025</v>
      </c>
      <c r="D899" t="inlineStr">
        <is>
          <t>Apr</t>
        </is>
      </c>
      <c r="E899" t="inlineStr">
        <is>
          <t>United States</t>
        </is>
      </c>
      <c r="F899" t="inlineStr">
        <is>
          <t>USA</t>
        </is>
      </c>
      <c r="G899" t="inlineStr">
        <is>
          <t>Prevnar 20</t>
        </is>
      </c>
      <c r="H899" t="inlineStr">
        <is>
          <t>Retail pharmacy</t>
        </is>
      </c>
      <c r="I899" t="inlineStr">
        <is>
          <t>Private insurer</t>
        </is>
      </c>
      <c r="J899" t="inlineStr">
        <is>
          <t>Ravindra Patil</t>
        </is>
      </c>
      <c r="K899" s="70" t="n">
        <v>1369</v>
      </c>
      <c r="L899" s="71" t="n">
        <v>399.81</v>
      </c>
      <c r="M899" s="71" t="n">
        <v>547339.89</v>
      </c>
      <c r="N899" s="71" t="n">
        <v>82100.98</v>
      </c>
      <c r="O899" s="71" t="n">
        <v>465238.91</v>
      </c>
      <c r="P899" s="71" t="n">
        <v>95892.92</v>
      </c>
      <c r="Q899" s="71" t="n">
        <v>369345.99</v>
      </c>
      <c r="R899" t="inlineStr">
        <is>
          <t>Vaccines</t>
        </is>
      </c>
      <c r="S899" s="70" t="n">
        <v>906</v>
      </c>
      <c r="T899" s="71" t="n">
        <v>70036.44</v>
      </c>
      <c r="U899" t="inlineStr">
        <is>
          <t>Low</t>
        </is>
      </c>
      <c r="V899">
        <f>IF(AND(OR(Dashboard!$C$6="All",E899=Dashboard!$C$6),OR(Dashboard!$F$6="All",G899=Dashboard!$F$6),OR(Dashboard!$I$6="All",H899=Dashboard!$I$6)),1,0)</f>
        <v/>
      </c>
    </row>
    <row r="900">
      <c r="A900" t="inlineStr">
        <is>
          <t>PF100891</t>
        </is>
      </c>
      <c r="B900" s="68" t="n">
        <v>45764</v>
      </c>
      <c r="C900" s="69" t="n">
        <v>2025</v>
      </c>
      <c r="D900" t="inlineStr">
        <is>
          <t>Apr</t>
        </is>
      </c>
      <c r="E900" t="inlineStr">
        <is>
          <t>Emerging markets</t>
        </is>
      </c>
      <c r="F900" t="inlineStr">
        <is>
          <t>Mexico</t>
        </is>
      </c>
      <c r="G900" t="inlineStr">
        <is>
          <t>Eliquis</t>
        </is>
      </c>
      <c r="H900" t="inlineStr">
        <is>
          <t>Government / tender</t>
        </is>
      </c>
      <c r="I900" t="inlineStr">
        <is>
          <t>Public payer</t>
        </is>
      </c>
      <c r="J900" t="inlineStr">
        <is>
          <t>Ruhi Shaikh</t>
        </is>
      </c>
      <c r="K900" s="70" t="n">
        <v>48</v>
      </c>
      <c r="L900" s="71" t="n">
        <v>419.41</v>
      </c>
      <c r="M900" s="71" t="n">
        <v>20131.68</v>
      </c>
      <c r="N900" s="71" t="n">
        <v>4026.34</v>
      </c>
      <c r="O900" s="71" t="n">
        <v>16105.34</v>
      </c>
      <c r="P900" s="71" t="n">
        <v>3717.02</v>
      </c>
      <c r="Q900" s="71" t="n">
        <v>12388.32</v>
      </c>
      <c r="R900" t="inlineStr">
        <is>
          <t>Cardiology</t>
        </is>
      </c>
      <c r="S900" s="70" t="n">
        <v>36</v>
      </c>
      <c r="T900" s="71" t="n">
        <v>3200.07</v>
      </c>
      <c r="U900" t="inlineStr">
        <is>
          <t>High</t>
        </is>
      </c>
      <c r="V900">
        <f>IF(AND(OR(Dashboard!$C$6="All",E900=Dashboard!$C$6),OR(Dashboard!$F$6="All",G900=Dashboard!$F$6),OR(Dashboard!$I$6="All",H900=Dashboard!$I$6)),1,0)</f>
        <v/>
      </c>
    </row>
    <row r="901">
      <c r="A901" t="inlineStr">
        <is>
          <t>PF100892</t>
        </is>
      </c>
      <c r="B901" s="68" t="n">
        <v>45764</v>
      </c>
      <c r="C901" s="69" t="n">
        <v>2025</v>
      </c>
      <c r="D901" t="inlineStr">
        <is>
          <t>Apr</t>
        </is>
      </c>
      <c r="E901" t="inlineStr">
        <is>
          <t>United States</t>
        </is>
      </c>
      <c r="F901" t="inlineStr">
        <is>
          <t>USA</t>
        </is>
      </c>
      <c r="G901" t="inlineStr">
        <is>
          <t>Ibrance</t>
        </is>
      </c>
      <c r="H901" t="inlineStr">
        <is>
          <t>Retail pharmacy</t>
        </is>
      </c>
      <c r="I901" t="inlineStr">
        <is>
          <t>Self-pay</t>
        </is>
      </c>
      <c r="J901" t="inlineStr">
        <is>
          <t>Zoya Ahmed</t>
        </is>
      </c>
      <c r="K901" s="70" t="n">
        <v>2763</v>
      </c>
      <c r="L901" s="71" t="n">
        <v>4992.06</v>
      </c>
      <c r="M901" s="71" t="n">
        <v>13793061.78</v>
      </c>
      <c r="N901" s="71" t="n">
        <v>4827571.62</v>
      </c>
      <c r="O901" s="71" t="n">
        <v>8965490.16</v>
      </c>
      <c r="P901" s="71" t="n">
        <v>1236292.55</v>
      </c>
      <c r="Q901" s="71" t="n">
        <v>7729197.61</v>
      </c>
      <c r="R901" t="inlineStr">
        <is>
          <t>Oncology</t>
        </is>
      </c>
      <c r="S901" s="70" t="n">
        <v>2422</v>
      </c>
      <c r="T901" s="71" t="n">
        <v>2735655.04</v>
      </c>
      <c r="U901" t="inlineStr">
        <is>
          <t>High</t>
        </is>
      </c>
      <c r="V901">
        <f>IF(AND(OR(Dashboard!$C$6="All",E901=Dashboard!$C$6),OR(Dashboard!$F$6="All",G901=Dashboard!$F$6),OR(Dashboard!$I$6="All",H901=Dashboard!$I$6)),1,0)</f>
        <v/>
      </c>
    </row>
    <row r="902">
      <c r="A902" t="inlineStr">
        <is>
          <t>PF100893</t>
        </is>
      </c>
      <c r="B902" s="68" t="n">
        <v>45764</v>
      </c>
      <c r="C902" s="69" t="n">
        <v>2025</v>
      </c>
      <c r="D902" t="inlineStr">
        <is>
          <t>Apr</t>
        </is>
      </c>
      <c r="E902" t="inlineStr">
        <is>
          <t>United States</t>
        </is>
      </c>
      <c r="F902" t="inlineStr">
        <is>
          <t>USA</t>
        </is>
      </c>
      <c r="G902" t="inlineStr">
        <is>
          <t>Eliquis</t>
        </is>
      </c>
      <c r="H902" t="inlineStr">
        <is>
          <t>Hospital</t>
        </is>
      </c>
      <c r="I902" t="inlineStr">
        <is>
          <t>Private insurer</t>
        </is>
      </c>
      <c r="J902" t="inlineStr">
        <is>
          <t>Aisha Bello</t>
        </is>
      </c>
      <c r="K902" s="70" t="n">
        <v>1720</v>
      </c>
      <c r="L902" s="71" t="n">
        <v>735.89</v>
      </c>
      <c r="M902" s="71" t="n">
        <v>1265730.8</v>
      </c>
      <c r="N902" s="71" t="n">
        <v>253146.16</v>
      </c>
      <c r="O902" s="71" t="n">
        <v>1012584.64</v>
      </c>
      <c r="P902" s="71" t="n">
        <v>125159.05</v>
      </c>
      <c r="Q902" s="71" t="n">
        <v>887425.59</v>
      </c>
      <c r="R902" t="inlineStr">
        <is>
          <t>Cardiology</t>
        </is>
      </c>
      <c r="S902" s="70" t="n">
        <v>1168</v>
      </c>
      <c r="T902" s="71" t="n">
        <v>270189.02</v>
      </c>
      <c r="U902" t="inlineStr">
        <is>
          <t>High</t>
        </is>
      </c>
      <c r="V902">
        <f>IF(AND(OR(Dashboard!$C$6="All",E902=Dashboard!$C$6),OR(Dashboard!$F$6="All",G902=Dashboard!$F$6),OR(Dashboard!$I$6="All",H902=Dashboard!$I$6)),1,0)</f>
        <v/>
      </c>
    </row>
    <row r="903">
      <c r="A903" t="inlineStr">
        <is>
          <t>PF100894</t>
        </is>
      </c>
      <c r="B903" s="68" t="n">
        <v>45764</v>
      </c>
      <c r="C903" s="69" t="n">
        <v>2025</v>
      </c>
      <c r="D903" t="inlineStr">
        <is>
          <t>Apr</t>
        </is>
      </c>
      <c r="E903" t="inlineStr">
        <is>
          <t>United States</t>
        </is>
      </c>
      <c r="F903" t="inlineStr">
        <is>
          <t>USA</t>
        </is>
      </c>
      <c r="G903" t="inlineStr">
        <is>
          <t>Eliquis</t>
        </is>
      </c>
      <c r="H903" t="inlineStr">
        <is>
          <t>Retail pharmacy</t>
        </is>
      </c>
      <c r="I903" t="inlineStr">
        <is>
          <t>Self-pay</t>
        </is>
      </c>
      <c r="J903" t="inlineStr">
        <is>
          <t>Ruhi Shaikh</t>
        </is>
      </c>
      <c r="K903" s="70" t="n">
        <v>1057</v>
      </c>
      <c r="L903" s="71" t="n">
        <v>713.76</v>
      </c>
      <c r="M903" s="71" t="n">
        <v>754444.3199999999</v>
      </c>
      <c r="N903" s="71" t="n">
        <v>264055.51</v>
      </c>
      <c r="O903" s="71" t="n">
        <v>490388.81</v>
      </c>
      <c r="P903" s="71" t="n">
        <v>80350.12</v>
      </c>
      <c r="Q903" s="71" t="n">
        <v>410038.69</v>
      </c>
      <c r="R903" t="inlineStr">
        <is>
          <t>Cardiology</t>
        </is>
      </c>
      <c r="S903" s="70" t="n">
        <v>732</v>
      </c>
      <c r="T903" s="71" t="n">
        <v>148519.01</v>
      </c>
      <c r="U903" t="inlineStr">
        <is>
          <t>High</t>
        </is>
      </c>
      <c r="V903">
        <f>IF(AND(OR(Dashboard!$C$6="All",E903=Dashboard!$C$6),OR(Dashboard!$F$6="All",G903=Dashboard!$F$6),OR(Dashboard!$I$6="All",H903=Dashboard!$I$6)),1,0)</f>
        <v/>
      </c>
    </row>
    <row r="904">
      <c r="A904" t="inlineStr">
        <is>
          <t>PF100895</t>
        </is>
      </c>
      <c r="B904" s="68" t="n">
        <v>45764</v>
      </c>
      <c r="C904" s="69" t="n">
        <v>2025</v>
      </c>
      <c r="D904" t="inlineStr">
        <is>
          <t>Apr</t>
        </is>
      </c>
      <c r="E904" t="inlineStr">
        <is>
          <t>United States</t>
        </is>
      </c>
      <c r="F904" t="inlineStr">
        <is>
          <t>USA</t>
        </is>
      </c>
      <c r="G904" t="inlineStr">
        <is>
          <t>Abrysvo</t>
        </is>
      </c>
      <c r="H904" t="inlineStr">
        <is>
          <t>Retail pharmacy</t>
        </is>
      </c>
      <c r="I904" t="inlineStr">
        <is>
          <t>Private insurer</t>
        </is>
      </c>
      <c r="J904" t="inlineStr">
        <is>
          <t>Priya Nair</t>
        </is>
      </c>
      <c r="K904" s="70" t="n">
        <v>2771</v>
      </c>
      <c r="L904" s="71" t="n">
        <v>475.23</v>
      </c>
      <c r="M904" s="71" t="n">
        <v>1316862.33</v>
      </c>
      <c r="N904" s="71" t="n">
        <v>395058.7</v>
      </c>
      <c r="O904" s="71" t="n">
        <v>921803.63</v>
      </c>
      <c r="P904" s="71" t="n">
        <v>236781.21</v>
      </c>
      <c r="Q904" s="71" t="n">
        <v>685022.42</v>
      </c>
      <c r="R904" t="inlineStr">
        <is>
          <t>Vaccines</t>
        </is>
      </c>
      <c r="S904" s="70" t="n">
        <v>2378</v>
      </c>
      <c r="T904" s="71" t="n">
        <v>249093.04</v>
      </c>
      <c r="U904" t="inlineStr">
        <is>
          <t>Low</t>
        </is>
      </c>
      <c r="V904">
        <f>IF(AND(OR(Dashboard!$C$6="All",E904=Dashboard!$C$6),OR(Dashboard!$F$6="All",G904=Dashboard!$F$6),OR(Dashboard!$I$6="All",H904=Dashboard!$I$6)),1,0)</f>
        <v/>
      </c>
    </row>
    <row r="905">
      <c r="A905" t="inlineStr">
        <is>
          <t>PF100896</t>
        </is>
      </c>
      <c r="B905" s="68" t="n">
        <v>45765</v>
      </c>
      <c r="C905" s="69" t="n">
        <v>2025</v>
      </c>
      <c r="D905" t="inlineStr">
        <is>
          <t>Apr</t>
        </is>
      </c>
      <c r="E905" t="inlineStr">
        <is>
          <t>Europe</t>
        </is>
      </c>
      <c r="F905" t="inlineStr">
        <is>
          <t>France</t>
        </is>
      </c>
      <c r="G905" t="inlineStr">
        <is>
          <t>Comirnaty</t>
        </is>
      </c>
      <c r="H905" t="inlineStr">
        <is>
          <t>Government / tender</t>
        </is>
      </c>
      <c r="I905" t="inlineStr">
        <is>
          <t>Private insurer</t>
        </is>
      </c>
      <c r="J905" t="inlineStr">
        <is>
          <t>Sophie Müller</t>
        </is>
      </c>
      <c r="K905" s="70" t="n">
        <v>1987</v>
      </c>
      <c r="L905" s="71" t="n">
        <v>100.55</v>
      </c>
      <c r="M905" s="71" t="n">
        <v>199792.85</v>
      </c>
      <c r="N905" s="71" t="n">
        <v>49948.21</v>
      </c>
      <c r="O905" s="71" t="n">
        <v>149844.64</v>
      </c>
      <c r="P905" s="71" t="n">
        <v>74140.78999999999</v>
      </c>
      <c r="Q905" s="71" t="n">
        <v>75703.85000000001</v>
      </c>
      <c r="R905" t="inlineStr">
        <is>
          <t>Vaccines</t>
        </is>
      </c>
      <c r="S905" s="70" t="n">
        <v>1893</v>
      </c>
      <c r="T905" s="71" t="n">
        <v>30499.25</v>
      </c>
      <c r="U905" t="inlineStr">
        <is>
          <t>Low</t>
        </is>
      </c>
      <c r="V905">
        <f>IF(AND(OR(Dashboard!$C$6="All",E905=Dashboard!$C$6),OR(Dashboard!$F$6="All",G905=Dashboard!$F$6),OR(Dashboard!$I$6="All",H905=Dashboard!$I$6)),1,0)</f>
        <v/>
      </c>
    </row>
    <row r="906">
      <c r="A906" t="inlineStr">
        <is>
          <t>PF100897</t>
        </is>
      </c>
      <c r="B906" s="68" t="n">
        <v>45765</v>
      </c>
      <c r="C906" s="69" t="n">
        <v>2025</v>
      </c>
      <c r="D906" t="inlineStr">
        <is>
          <t>Apr</t>
        </is>
      </c>
      <c r="E906" t="inlineStr">
        <is>
          <t>Emerging markets</t>
        </is>
      </c>
      <c r="F906" t="inlineStr">
        <is>
          <t>Mexico</t>
        </is>
      </c>
      <c r="G906" t="inlineStr">
        <is>
          <t>Comirnaty</t>
        </is>
      </c>
      <c r="H906" t="inlineStr">
        <is>
          <t>Government / tender</t>
        </is>
      </c>
      <c r="I906" t="inlineStr">
        <is>
          <t>Private insurer</t>
        </is>
      </c>
      <c r="J906" t="inlineStr">
        <is>
          <t>Wei Chen</t>
        </is>
      </c>
      <c r="K906" s="70" t="n">
        <v>2785</v>
      </c>
      <c r="L906" s="71" t="n">
        <v>116.75</v>
      </c>
      <c r="M906" s="71" t="n">
        <v>325148.75</v>
      </c>
      <c r="N906" s="71" t="n">
        <v>81287.19</v>
      </c>
      <c r="O906" s="71" t="n">
        <v>243861.56</v>
      </c>
      <c r="P906" s="71" t="n">
        <v>106388.01</v>
      </c>
      <c r="Q906" s="71" t="n">
        <v>137473.55</v>
      </c>
      <c r="R906" t="inlineStr">
        <is>
          <t>Vaccines</t>
        </is>
      </c>
      <c r="S906" s="70" t="n">
        <v>2192</v>
      </c>
      <c r="T906" s="71" t="n">
        <v>45606.12</v>
      </c>
      <c r="U906" t="inlineStr">
        <is>
          <t>Low</t>
        </is>
      </c>
      <c r="V906">
        <f>IF(AND(OR(Dashboard!$C$6="All",E906=Dashboard!$C$6),OR(Dashboard!$F$6="All",G906=Dashboard!$F$6),OR(Dashboard!$I$6="All",H906=Dashboard!$I$6)),1,0)</f>
        <v/>
      </c>
    </row>
    <row r="907">
      <c r="A907" t="inlineStr">
        <is>
          <t>PF100898</t>
        </is>
      </c>
      <c r="B907" s="68" t="n">
        <v>45765</v>
      </c>
      <c r="C907" s="69" t="n">
        <v>2025</v>
      </c>
      <c r="D907" t="inlineStr">
        <is>
          <t>Apr</t>
        </is>
      </c>
      <c r="E907" t="inlineStr">
        <is>
          <t>Europe</t>
        </is>
      </c>
      <c r="F907" t="inlineStr">
        <is>
          <t>UK</t>
        </is>
      </c>
      <c r="G907" t="inlineStr">
        <is>
          <t>Eliquis</t>
        </is>
      </c>
      <c r="H907" t="inlineStr">
        <is>
          <t>Retail pharmacy</t>
        </is>
      </c>
      <c r="I907" t="inlineStr">
        <is>
          <t>Public payer</t>
        </is>
      </c>
      <c r="J907" t="inlineStr">
        <is>
          <t>Emma Clarke</t>
        </is>
      </c>
      <c r="K907" s="70" t="n">
        <v>882</v>
      </c>
      <c r="L907" s="71" t="n">
        <v>423.61</v>
      </c>
      <c r="M907" s="71" t="n">
        <v>373624.02</v>
      </c>
      <c r="N907" s="71" t="n">
        <v>93406.00999999999</v>
      </c>
      <c r="O907" s="71" t="n">
        <v>280218.01</v>
      </c>
      <c r="P907" s="71" t="n">
        <v>65499.18</v>
      </c>
      <c r="Q907" s="71" t="n">
        <v>214718.83</v>
      </c>
      <c r="R907" t="inlineStr">
        <is>
          <t>Cardiology</t>
        </is>
      </c>
      <c r="S907" s="70" t="n">
        <v>841</v>
      </c>
      <c r="T907" s="71" t="n">
        <v>66547.02</v>
      </c>
      <c r="U907" t="inlineStr">
        <is>
          <t>High</t>
        </is>
      </c>
      <c r="V907">
        <f>IF(AND(OR(Dashboard!$C$6="All",E907=Dashboard!$C$6),OR(Dashboard!$F$6="All",G907=Dashboard!$F$6),OR(Dashboard!$I$6="All",H907=Dashboard!$I$6)),1,0)</f>
        <v/>
      </c>
    </row>
    <row r="908">
      <c r="A908" t="inlineStr">
        <is>
          <t>PF100899</t>
        </is>
      </c>
      <c r="B908" s="68" t="n">
        <v>45766</v>
      </c>
      <c r="C908" s="69" t="n">
        <v>2025</v>
      </c>
      <c r="D908" t="inlineStr">
        <is>
          <t>Apr</t>
        </is>
      </c>
      <c r="E908" t="inlineStr">
        <is>
          <t>United States</t>
        </is>
      </c>
      <c r="F908" t="inlineStr">
        <is>
          <t>USA</t>
        </is>
      </c>
      <c r="G908" t="inlineStr">
        <is>
          <t>Abrysvo</t>
        </is>
      </c>
      <c r="H908" t="inlineStr">
        <is>
          <t>Retail pharmacy</t>
        </is>
      </c>
      <c r="I908" t="inlineStr">
        <is>
          <t>Private insurer</t>
        </is>
      </c>
      <c r="J908" t="inlineStr">
        <is>
          <t>Fatima Al-Saud</t>
        </is>
      </c>
      <c r="K908" s="70" t="n">
        <v>2723</v>
      </c>
      <c r="L908" s="71" t="n">
        <v>430.26</v>
      </c>
      <c r="M908" s="71" t="n">
        <v>1171597.98</v>
      </c>
      <c r="N908" s="71" t="n">
        <v>351479.39</v>
      </c>
      <c r="O908" s="71" t="n">
        <v>820118.59</v>
      </c>
      <c r="P908" s="71" t="n">
        <v>228278.83</v>
      </c>
      <c r="Q908" s="71" t="n">
        <v>591839.76</v>
      </c>
      <c r="R908" t="inlineStr">
        <is>
          <t>Vaccines</t>
        </is>
      </c>
      <c r="S908" s="70" t="n">
        <v>1977</v>
      </c>
      <c r="T908" s="71" t="n">
        <v>187185.02</v>
      </c>
      <c r="U908" t="inlineStr">
        <is>
          <t>Low</t>
        </is>
      </c>
      <c r="V908">
        <f>IF(AND(OR(Dashboard!$C$6="All",E908=Dashboard!$C$6),OR(Dashboard!$F$6="All",G908=Dashboard!$F$6),OR(Dashboard!$I$6="All",H908=Dashboard!$I$6)),1,0)</f>
        <v/>
      </c>
    </row>
    <row r="909">
      <c r="A909" t="inlineStr">
        <is>
          <t>PF100900</t>
        </is>
      </c>
      <c r="B909" s="68" t="n">
        <v>45766</v>
      </c>
      <c r="C909" s="69" t="n">
        <v>2025</v>
      </c>
      <c r="D909" t="inlineStr">
        <is>
          <t>Apr</t>
        </is>
      </c>
      <c r="E909" t="inlineStr">
        <is>
          <t>United States</t>
        </is>
      </c>
      <c r="F909" t="inlineStr">
        <is>
          <t>USA</t>
        </is>
      </c>
      <c r="G909" t="inlineStr">
        <is>
          <t>Paxlovid</t>
        </is>
      </c>
      <c r="H909" t="inlineStr">
        <is>
          <t>Hospital</t>
        </is>
      </c>
      <c r="I909" t="inlineStr">
        <is>
          <t>Public payer</t>
        </is>
      </c>
      <c r="J909" t="inlineStr">
        <is>
          <t>Liam O'Brien</t>
        </is>
      </c>
      <c r="K909" s="70" t="n">
        <v>1887</v>
      </c>
      <c r="L909" s="71" t="n">
        <v>1814.29</v>
      </c>
      <c r="M909" s="71" t="n">
        <v>3423565.23</v>
      </c>
      <c r="N909" s="71" t="n">
        <v>855891.3100000001</v>
      </c>
      <c r="O909" s="71" t="n">
        <v>2567673.92</v>
      </c>
      <c r="P909" s="71" t="n">
        <v>513901.03</v>
      </c>
      <c r="Q909" s="71" t="n">
        <v>2053772.89</v>
      </c>
      <c r="R909" t="inlineStr">
        <is>
          <t>Antiviral</t>
        </is>
      </c>
      <c r="S909" s="70" t="n">
        <v>1801</v>
      </c>
      <c r="T909" s="71" t="n">
        <v>629023.97</v>
      </c>
      <c r="U909" t="inlineStr">
        <is>
          <t>Low</t>
        </is>
      </c>
      <c r="V909">
        <f>IF(AND(OR(Dashboard!$C$6="All",E909=Dashboard!$C$6),OR(Dashboard!$F$6="All",G909=Dashboard!$F$6),OR(Dashboard!$I$6="All",H909=Dashboard!$I$6)),1,0)</f>
        <v/>
      </c>
    </row>
    <row r="910">
      <c r="A910" t="inlineStr">
        <is>
          <t>PF100901</t>
        </is>
      </c>
      <c r="B910" s="68" t="n">
        <v>45766</v>
      </c>
      <c r="C910" s="69" t="n">
        <v>2025</v>
      </c>
      <c r="D910" t="inlineStr">
        <is>
          <t>Apr</t>
        </is>
      </c>
      <c r="E910" t="inlineStr">
        <is>
          <t>Emerging markets</t>
        </is>
      </c>
      <c r="F910" t="inlineStr">
        <is>
          <t>Brazil</t>
        </is>
      </c>
      <c r="G910" t="inlineStr">
        <is>
          <t>Xeljanz</t>
        </is>
      </c>
      <c r="H910" t="inlineStr">
        <is>
          <t>Hospital</t>
        </is>
      </c>
      <c r="I910" t="inlineStr">
        <is>
          <t>Private insurer</t>
        </is>
      </c>
      <c r="J910" t="inlineStr">
        <is>
          <t>Lucas Martin</t>
        </is>
      </c>
      <c r="K910" s="70" t="n">
        <v>2175</v>
      </c>
      <c r="L910" s="71" t="n">
        <v>1306.04</v>
      </c>
      <c r="M910" s="71" t="n">
        <v>2840637</v>
      </c>
      <c r="N910" s="71" t="n">
        <v>284063.7</v>
      </c>
      <c r="O910" s="71" t="n">
        <v>2556573.3</v>
      </c>
      <c r="P910" s="71" t="n">
        <v>536576.1800000001</v>
      </c>
      <c r="Q910" s="71" t="n">
        <v>2019997.12</v>
      </c>
      <c r="R910" t="inlineStr">
        <is>
          <t>Inflammation</t>
        </is>
      </c>
      <c r="S910" s="70" t="n">
        <v>2123</v>
      </c>
      <c r="T910" s="71" t="n">
        <v>581637.54</v>
      </c>
      <c r="U910" t="inlineStr">
        <is>
          <t>High</t>
        </is>
      </c>
      <c r="V910">
        <f>IF(AND(OR(Dashboard!$C$6="All",E910=Dashboard!$C$6),OR(Dashboard!$F$6="All",G910=Dashboard!$F$6),OR(Dashboard!$I$6="All",H910=Dashboard!$I$6)),1,0)</f>
        <v/>
      </c>
    </row>
    <row r="911">
      <c r="A911" t="inlineStr">
        <is>
          <t>PF100902</t>
        </is>
      </c>
      <c r="B911" s="68" t="n">
        <v>45766</v>
      </c>
      <c r="C911" s="69" t="n">
        <v>2025</v>
      </c>
      <c r="D911" t="inlineStr">
        <is>
          <t>Apr</t>
        </is>
      </c>
      <c r="E911" t="inlineStr">
        <is>
          <t>Europe</t>
        </is>
      </c>
      <c r="F911" t="inlineStr">
        <is>
          <t>Germany</t>
        </is>
      </c>
      <c r="G911" t="inlineStr">
        <is>
          <t>Xeljanz</t>
        </is>
      </c>
      <c r="H911" t="inlineStr">
        <is>
          <t>Hospital</t>
        </is>
      </c>
      <c r="I911" t="inlineStr">
        <is>
          <t>Private insurer</t>
        </is>
      </c>
      <c r="J911" t="inlineStr">
        <is>
          <t>Liam O'Brien</t>
        </is>
      </c>
      <c r="K911" s="70" t="n">
        <v>2673</v>
      </c>
      <c r="L911" s="71" t="n">
        <v>1537.71</v>
      </c>
      <c r="M911" s="71" t="n">
        <v>4110298.83</v>
      </c>
      <c r="N911" s="71" t="n">
        <v>822059.77</v>
      </c>
      <c r="O911" s="71" t="n">
        <v>3288239.06</v>
      </c>
      <c r="P911" s="71" t="n">
        <v>699472.88</v>
      </c>
      <c r="Q911" s="71" t="n">
        <v>2588766.18</v>
      </c>
      <c r="R911" t="inlineStr">
        <is>
          <t>Inflammation</t>
        </is>
      </c>
      <c r="S911" s="70" t="n">
        <v>1935</v>
      </c>
      <c r="T911" s="71" t="n">
        <v>640520.14</v>
      </c>
      <c r="U911" t="inlineStr">
        <is>
          <t>High</t>
        </is>
      </c>
      <c r="V911">
        <f>IF(AND(OR(Dashboard!$C$6="All",E911=Dashboard!$C$6),OR(Dashboard!$F$6="All",G911=Dashboard!$F$6),OR(Dashboard!$I$6="All",H911=Dashboard!$I$6)),1,0)</f>
        <v/>
      </c>
    </row>
    <row r="912">
      <c r="A912" t="inlineStr">
        <is>
          <t>PF100903</t>
        </is>
      </c>
      <c r="B912" s="68" t="n">
        <v>45766</v>
      </c>
      <c r="C912" s="69" t="n">
        <v>2025</v>
      </c>
      <c r="D912" t="inlineStr">
        <is>
          <t>Apr</t>
        </is>
      </c>
      <c r="E912" t="inlineStr">
        <is>
          <t>Emerging markets</t>
        </is>
      </c>
      <c r="F912" t="inlineStr">
        <is>
          <t>China</t>
        </is>
      </c>
      <c r="G912" t="inlineStr">
        <is>
          <t>Prevnar 20</t>
        </is>
      </c>
      <c r="H912" t="inlineStr">
        <is>
          <t>Government / tender</t>
        </is>
      </c>
      <c r="I912" t="inlineStr">
        <is>
          <t>Public payer</t>
        </is>
      </c>
      <c r="J912" t="inlineStr">
        <is>
          <t>Amir Khan</t>
        </is>
      </c>
      <c r="K912" s="70" t="n">
        <v>249</v>
      </c>
      <c r="L912" s="71" t="n">
        <v>207.59</v>
      </c>
      <c r="M912" s="71" t="n">
        <v>51689.91</v>
      </c>
      <c r="N912" s="71" t="n">
        <v>10337.98</v>
      </c>
      <c r="O912" s="71" t="n">
        <v>41351.93</v>
      </c>
      <c r="P912" s="71" t="n">
        <v>17427.94</v>
      </c>
      <c r="Q912" s="71" t="n">
        <v>23923.99</v>
      </c>
      <c r="R912" t="inlineStr">
        <is>
          <t>Vaccines</t>
        </is>
      </c>
      <c r="S912" s="70" t="n">
        <v>212</v>
      </c>
      <c r="T912" s="71" t="n">
        <v>7228.81</v>
      </c>
      <c r="U912" t="inlineStr">
        <is>
          <t>Low</t>
        </is>
      </c>
      <c r="V912">
        <f>IF(AND(OR(Dashboard!$C$6="All",E912=Dashboard!$C$6),OR(Dashboard!$F$6="All",G912=Dashboard!$F$6),OR(Dashboard!$I$6="All",H912=Dashboard!$I$6)),1,0)</f>
        <v/>
      </c>
    </row>
    <row r="913">
      <c r="A913" t="inlineStr">
        <is>
          <t>PF100904</t>
        </is>
      </c>
      <c r="B913" s="68" t="n">
        <v>45766</v>
      </c>
      <c r="C913" s="69" t="n">
        <v>2025</v>
      </c>
      <c r="D913" t="inlineStr">
        <is>
          <t>Apr</t>
        </is>
      </c>
      <c r="E913" t="inlineStr">
        <is>
          <t>United States</t>
        </is>
      </c>
      <c r="F913" t="inlineStr">
        <is>
          <t>USA</t>
        </is>
      </c>
      <c r="G913" t="inlineStr">
        <is>
          <t>Eliquis</t>
        </is>
      </c>
      <c r="H913" t="inlineStr">
        <is>
          <t>Government / tender</t>
        </is>
      </c>
      <c r="I913" t="inlineStr">
        <is>
          <t>Private insurer</t>
        </is>
      </c>
      <c r="J913" t="inlineStr">
        <is>
          <t>Priya Nair</t>
        </is>
      </c>
      <c r="K913" s="70" t="n">
        <v>1297</v>
      </c>
      <c r="L913" s="71" t="n">
        <v>701.71</v>
      </c>
      <c r="M913" s="71" t="n">
        <v>910117.87</v>
      </c>
      <c r="N913" s="71" t="n">
        <v>136517.68</v>
      </c>
      <c r="O913" s="71" t="n">
        <v>773600.1899999999</v>
      </c>
      <c r="P913" s="71" t="n">
        <v>94537.45</v>
      </c>
      <c r="Q913" s="71" t="n">
        <v>679062.74</v>
      </c>
      <c r="R913" t="inlineStr">
        <is>
          <t>Cardiology</t>
        </is>
      </c>
      <c r="S913" s="70" t="n">
        <v>1144</v>
      </c>
      <c r="T913" s="71" t="n">
        <v>154294.13</v>
      </c>
      <c r="U913" t="inlineStr">
        <is>
          <t>High</t>
        </is>
      </c>
      <c r="V913">
        <f>IF(AND(OR(Dashboard!$C$6="All",E913=Dashboard!$C$6),OR(Dashboard!$F$6="All",G913=Dashboard!$F$6),OR(Dashboard!$I$6="All",H913=Dashboard!$I$6)),1,0)</f>
        <v/>
      </c>
    </row>
    <row r="914">
      <c r="A914" t="inlineStr">
        <is>
          <t>PF100905</t>
        </is>
      </c>
      <c r="B914" s="68" t="n">
        <v>45766</v>
      </c>
      <c r="C914" s="69" t="n">
        <v>2025</v>
      </c>
      <c r="D914" t="inlineStr">
        <is>
          <t>Apr</t>
        </is>
      </c>
      <c r="E914" t="inlineStr">
        <is>
          <t>United States</t>
        </is>
      </c>
      <c r="F914" t="inlineStr">
        <is>
          <t>USA</t>
        </is>
      </c>
      <c r="G914" t="inlineStr">
        <is>
          <t>Xeljanz</t>
        </is>
      </c>
      <c r="H914" t="inlineStr">
        <is>
          <t>Retail pharmacy</t>
        </is>
      </c>
      <c r="I914" t="inlineStr">
        <is>
          <t>Public payer</t>
        </is>
      </c>
      <c r="J914" t="inlineStr">
        <is>
          <t>Amir Khan</t>
        </is>
      </c>
      <c r="K914" s="70" t="n">
        <v>136</v>
      </c>
      <c r="L914" s="71" t="n">
        <v>2043.33</v>
      </c>
      <c r="M914" s="71" t="n">
        <v>277892.88</v>
      </c>
      <c r="N914" s="71" t="n">
        <v>69473.22</v>
      </c>
      <c r="O914" s="71" t="n">
        <v>208419.66</v>
      </c>
      <c r="P914" s="71" t="n">
        <v>35594.72</v>
      </c>
      <c r="Q914" s="71" t="n">
        <v>172824.94</v>
      </c>
      <c r="R914" t="inlineStr">
        <is>
          <t>Inflammation</t>
        </is>
      </c>
      <c r="S914" s="70" t="n">
        <v>91</v>
      </c>
      <c r="T914" s="71" t="n">
        <v>48932.65</v>
      </c>
      <c r="U914" t="inlineStr">
        <is>
          <t>High</t>
        </is>
      </c>
      <c r="V914">
        <f>IF(AND(OR(Dashboard!$C$6="All",E914=Dashboard!$C$6),OR(Dashboard!$F$6="All",G914=Dashboard!$F$6),OR(Dashboard!$I$6="All",H914=Dashboard!$I$6)),1,0)</f>
        <v/>
      </c>
    </row>
    <row r="915">
      <c r="A915" t="inlineStr">
        <is>
          <t>PF100906</t>
        </is>
      </c>
      <c r="B915" s="68" t="n">
        <v>45766</v>
      </c>
      <c r="C915" s="69" t="n">
        <v>2025</v>
      </c>
      <c r="D915" t="inlineStr">
        <is>
          <t>Apr</t>
        </is>
      </c>
      <c r="E915" t="inlineStr">
        <is>
          <t>United States</t>
        </is>
      </c>
      <c r="F915" t="inlineStr">
        <is>
          <t>USA</t>
        </is>
      </c>
      <c r="G915" t="inlineStr">
        <is>
          <t>Paxlovid</t>
        </is>
      </c>
      <c r="H915" t="inlineStr">
        <is>
          <t>Hospital</t>
        </is>
      </c>
      <c r="I915" t="inlineStr">
        <is>
          <t>Public payer</t>
        </is>
      </c>
      <c r="J915" t="inlineStr">
        <is>
          <t>Priya Nair</t>
        </is>
      </c>
      <c r="K915" s="70" t="n">
        <v>2206</v>
      </c>
      <c r="L915" s="71" t="n">
        <v>1887.04</v>
      </c>
      <c r="M915" s="71" t="n">
        <v>4162810.24</v>
      </c>
      <c r="N915" s="71" t="n">
        <v>1040702.56</v>
      </c>
      <c r="O915" s="71" t="n">
        <v>3122107.68</v>
      </c>
      <c r="P915" s="71" t="n">
        <v>592459.4</v>
      </c>
      <c r="Q915" s="71" t="n">
        <v>2529648.28</v>
      </c>
      <c r="R915" t="inlineStr">
        <is>
          <t>Antiviral</t>
        </is>
      </c>
      <c r="S915" s="70" t="n">
        <v>1589</v>
      </c>
      <c r="T915" s="71" t="n">
        <v>733173.5</v>
      </c>
      <c r="U915" t="inlineStr">
        <is>
          <t>Low</t>
        </is>
      </c>
      <c r="V915">
        <f>IF(AND(OR(Dashboard!$C$6="All",E915=Dashboard!$C$6),OR(Dashboard!$F$6="All",G915=Dashboard!$F$6),OR(Dashboard!$I$6="All",H915=Dashboard!$I$6)),1,0)</f>
        <v/>
      </c>
    </row>
    <row r="916">
      <c r="A916" t="inlineStr">
        <is>
          <t>PF100907</t>
        </is>
      </c>
      <c r="B916" s="68" t="n">
        <v>45766</v>
      </c>
      <c r="C916" s="69" t="n">
        <v>2025</v>
      </c>
      <c r="D916" t="inlineStr">
        <is>
          <t>Apr</t>
        </is>
      </c>
      <c r="E916" t="inlineStr">
        <is>
          <t>United States</t>
        </is>
      </c>
      <c r="F916" t="inlineStr">
        <is>
          <t>USA</t>
        </is>
      </c>
      <c r="G916" t="inlineStr">
        <is>
          <t>Ibrance</t>
        </is>
      </c>
      <c r="H916" t="inlineStr">
        <is>
          <t>Government / tender</t>
        </is>
      </c>
      <c r="I916" t="inlineStr">
        <is>
          <t>Public payer</t>
        </is>
      </c>
      <c r="J916" t="inlineStr">
        <is>
          <t>Lucas Martin</t>
        </is>
      </c>
      <c r="K916" s="70" t="n">
        <v>2544</v>
      </c>
      <c r="L916" s="71" t="n">
        <v>4760.48</v>
      </c>
      <c r="M916" s="71" t="n">
        <v>12110661.12</v>
      </c>
      <c r="N916" s="71" t="n">
        <v>1816599.17</v>
      </c>
      <c r="O916" s="71" t="n">
        <v>10294061.95</v>
      </c>
      <c r="P916" s="71" t="n">
        <v>1126901.57</v>
      </c>
      <c r="Q916" s="71" t="n">
        <v>9167160.380000001</v>
      </c>
      <c r="R916" t="inlineStr">
        <is>
          <t>Oncology</t>
        </is>
      </c>
      <c r="S916" s="70" t="n">
        <v>2062</v>
      </c>
      <c r="T916" s="71" t="n">
        <v>2079203.81</v>
      </c>
      <c r="U916" t="inlineStr">
        <is>
          <t>High</t>
        </is>
      </c>
      <c r="V916">
        <f>IF(AND(OR(Dashboard!$C$6="All",E916=Dashboard!$C$6),OR(Dashboard!$F$6="All",G916=Dashboard!$F$6),OR(Dashboard!$I$6="All",H916=Dashboard!$I$6)),1,0)</f>
        <v/>
      </c>
    </row>
    <row r="917">
      <c r="A917" t="inlineStr">
        <is>
          <t>PF100908</t>
        </is>
      </c>
      <c r="B917" s="68" t="n">
        <v>45766</v>
      </c>
      <c r="C917" s="69" t="n">
        <v>2025</v>
      </c>
      <c r="D917" t="inlineStr">
        <is>
          <t>Apr</t>
        </is>
      </c>
      <c r="E917" t="inlineStr">
        <is>
          <t>Emerging markets</t>
        </is>
      </c>
      <c r="F917" t="inlineStr">
        <is>
          <t>Brazil</t>
        </is>
      </c>
      <c r="G917" t="inlineStr">
        <is>
          <t>Eliquis</t>
        </is>
      </c>
      <c r="H917" t="inlineStr">
        <is>
          <t>Government / tender</t>
        </is>
      </c>
      <c r="I917" t="inlineStr">
        <is>
          <t>Self-pay</t>
        </is>
      </c>
      <c r="J917" t="inlineStr">
        <is>
          <t>Wei Chen</t>
        </is>
      </c>
      <c r="K917" s="70" t="n">
        <v>2594</v>
      </c>
      <c r="L917" s="71" t="n">
        <v>395.1</v>
      </c>
      <c r="M917" s="71" t="n">
        <v>1024889.4</v>
      </c>
      <c r="N917" s="71" t="n">
        <v>102488.94</v>
      </c>
      <c r="O917" s="71" t="n">
        <v>922400.46</v>
      </c>
      <c r="P917" s="71" t="n">
        <v>203409.26</v>
      </c>
      <c r="Q917" s="71" t="n">
        <v>718991.2</v>
      </c>
      <c r="R917" t="inlineStr">
        <is>
          <t>Cardiology</t>
        </is>
      </c>
      <c r="S917" s="70" t="n">
        <v>1889</v>
      </c>
      <c r="T917" s="71" t="n">
        <v>149017.68</v>
      </c>
      <c r="U917" t="inlineStr">
        <is>
          <t>High</t>
        </is>
      </c>
      <c r="V917">
        <f>IF(AND(OR(Dashboard!$C$6="All",E917=Dashboard!$C$6),OR(Dashboard!$F$6="All",G917=Dashboard!$F$6),OR(Dashboard!$I$6="All",H917=Dashboard!$I$6)),1,0)</f>
        <v/>
      </c>
    </row>
    <row r="918">
      <c r="A918" t="inlineStr">
        <is>
          <t>PF100909</t>
        </is>
      </c>
      <c r="B918" s="68" t="n">
        <v>45766</v>
      </c>
      <c r="C918" s="69" t="n">
        <v>2025</v>
      </c>
      <c r="D918" t="inlineStr">
        <is>
          <t>Apr</t>
        </is>
      </c>
      <c r="E918" t="inlineStr">
        <is>
          <t>United States</t>
        </is>
      </c>
      <c r="F918" t="inlineStr">
        <is>
          <t>USA</t>
        </is>
      </c>
      <c r="G918" t="inlineStr">
        <is>
          <t>Ibrance</t>
        </is>
      </c>
      <c r="H918" t="inlineStr">
        <is>
          <t>Retail pharmacy</t>
        </is>
      </c>
      <c r="I918" t="inlineStr">
        <is>
          <t>Self-pay</t>
        </is>
      </c>
      <c r="J918" t="inlineStr">
        <is>
          <t>Ruhi Shaikh</t>
        </is>
      </c>
      <c r="K918" s="70" t="n">
        <v>564</v>
      </c>
      <c r="L918" s="71" t="n">
        <v>4592.14</v>
      </c>
      <c r="M918" s="71" t="n">
        <v>2589966.96</v>
      </c>
      <c r="N918" s="71" t="n">
        <v>776990.09</v>
      </c>
      <c r="O918" s="71" t="n">
        <v>1812976.87</v>
      </c>
      <c r="P918" s="71" t="n">
        <v>248806.86</v>
      </c>
      <c r="Q918" s="71" t="n">
        <v>1564170.01</v>
      </c>
      <c r="R918" t="inlineStr">
        <is>
          <t>Oncology</t>
        </is>
      </c>
      <c r="S918" s="70" t="n">
        <v>514</v>
      </c>
      <c r="T918" s="71" t="n">
        <v>318695.1</v>
      </c>
      <c r="U918" t="inlineStr">
        <is>
          <t>High</t>
        </is>
      </c>
      <c r="V918">
        <f>IF(AND(OR(Dashboard!$C$6="All",E918=Dashboard!$C$6),OR(Dashboard!$F$6="All",G918=Dashboard!$F$6),OR(Dashboard!$I$6="All",H918=Dashboard!$I$6)),1,0)</f>
        <v/>
      </c>
    </row>
    <row r="919">
      <c r="A919" t="inlineStr">
        <is>
          <t>PF100910</t>
        </is>
      </c>
      <c r="B919" s="68" t="n">
        <v>45767</v>
      </c>
      <c r="C919" s="69" t="n">
        <v>2025</v>
      </c>
      <c r="D919" t="inlineStr">
        <is>
          <t>Apr</t>
        </is>
      </c>
      <c r="E919" t="inlineStr">
        <is>
          <t>International developed</t>
        </is>
      </c>
      <c r="F919" t="inlineStr">
        <is>
          <t>Australia</t>
        </is>
      </c>
      <c r="G919" t="inlineStr">
        <is>
          <t>Prevnar 20</t>
        </is>
      </c>
      <c r="H919" t="inlineStr">
        <is>
          <t>Retail pharmacy</t>
        </is>
      </c>
      <c r="I919" t="inlineStr">
        <is>
          <t>Private insurer</t>
        </is>
      </c>
      <c r="J919" t="inlineStr">
        <is>
          <t>Ana Costa</t>
        </is>
      </c>
      <c r="K919" s="70" t="n">
        <v>2510</v>
      </c>
      <c r="L919" s="71" t="n">
        <v>244.4</v>
      </c>
      <c r="M919" s="71" t="n">
        <v>613444</v>
      </c>
      <c r="N919" s="71" t="n">
        <v>153361</v>
      </c>
      <c r="O919" s="71" t="n">
        <v>460083</v>
      </c>
      <c r="P919" s="71" t="n">
        <v>171094.32</v>
      </c>
      <c r="Q919" s="71" t="n">
        <v>288988.68</v>
      </c>
      <c r="R919" t="inlineStr">
        <is>
          <t>Vaccines</t>
        </is>
      </c>
      <c r="S919" s="70" t="n">
        <v>1695</v>
      </c>
      <c r="T919" s="71" t="n">
        <v>93618.63</v>
      </c>
      <c r="U919" t="inlineStr">
        <is>
          <t>Low</t>
        </is>
      </c>
      <c r="V919">
        <f>IF(AND(OR(Dashboard!$C$6="All",E919=Dashboard!$C$6),OR(Dashboard!$F$6="All",G919=Dashboard!$F$6),OR(Dashboard!$I$6="All",H919=Dashboard!$I$6)),1,0)</f>
        <v/>
      </c>
    </row>
    <row r="920">
      <c r="A920" t="inlineStr">
        <is>
          <t>PF100911</t>
        </is>
      </c>
      <c r="B920" s="68" t="n">
        <v>45767</v>
      </c>
      <c r="C920" s="69" t="n">
        <v>2025</v>
      </c>
      <c r="D920" t="inlineStr">
        <is>
          <t>Apr</t>
        </is>
      </c>
      <c r="E920" t="inlineStr">
        <is>
          <t>United States</t>
        </is>
      </c>
      <c r="F920" t="inlineStr">
        <is>
          <t>USA</t>
        </is>
      </c>
      <c r="G920" t="inlineStr">
        <is>
          <t>Comirnaty</t>
        </is>
      </c>
      <c r="H920" t="inlineStr">
        <is>
          <t>Retail pharmacy</t>
        </is>
      </c>
      <c r="I920" t="inlineStr">
        <is>
          <t>Private insurer</t>
        </is>
      </c>
      <c r="J920" t="inlineStr">
        <is>
          <t>Lucas Martin</t>
        </is>
      </c>
      <c r="K920" s="70" t="n">
        <v>2183</v>
      </c>
      <c r="L920" s="71" t="n">
        <v>170.75</v>
      </c>
      <c r="M920" s="71" t="n">
        <v>372747.25</v>
      </c>
      <c r="N920" s="71" t="n">
        <v>55912.09</v>
      </c>
      <c r="O920" s="71" t="n">
        <v>316835.16</v>
      </c>
      <c r="P920" s="71" t="n">
        <v>87283.92999999999</v>
      </c>
      <c r="Q920" s="71" t="n">
        <v>229551.23</v>
      </c>
      <c r="R920" t="inlineStr">
        <is>
          <t>Vaccines</t>
        </is>
      </c>
      <c r="S920" s="70" t="n">
        <v>1640</v>
      </c>
      <c r="T920" s="71" t="n">
        <v>70023.19</v>
      </c>
      <c r="U920" t="inlineStr">
        <is>
          <t>Low</t>
        </is>
      </c>
      <c r="V920">
        <f>IF(AND(OR(Dashboard!$C$6="All",E920=Dashboard!$C$6),OR(Dashboard!$F$6="All",G920=Dashboard!$F$6),OR(Dashboard!$I$6="All",H920=Dashboard!$I$6)),1,0)</f>
        <v/>
      </c>
    </row>
    <row r="921">
      <c r="A921" t="inlineStr">
        <is>
          <t>PF100912</t>
        </is>
      </c>
      <c r="B921" s="68" t="n">
        <v>45767</v>
      </c>
      <c r="C921" s="69" t="n">
        <v>2025</v>
      </c>
      <c r="D921" t="inlineStr">
        <is>
          <t>Apr</t>
        </is>
      </c>
      <c r="E921" t="inlineStr">
        <is>
          <t>United States</t>
        </is>
      </c>
      <c r="F921" t="inlineStr">
        <is>
          <t>USA</t>
        </is>
      </c>
      <c r="G921" t="inlineStr">
        <is>
          <t>Ibrance</t>
        </is>
      </c>
      <c r="H921" t="inlineStr">
        <is>
          <t>Retail pharmacy</t>
        </is>
      </c>
      <c r="I921" t="inlineStr">
        <is>
          <t>Self-pay</t>
        </is>
      </c>
      <c r="J921" t="inlineStr">
        <is>
          <t>Arjun Mehta</t>
        </is>
      </c>
      <c r="K921" s="70" t="n">
        <v>347</v>
      </c>
      <c r="L921" s="71" t="n">
        <v>4663.31</v>
      </c>
      <c r="M921" s="71" t="n">
        <v>1618168.57</v>
      </c>
      <c r="N921" s="71" t="n">
        <v>242725.29</v>
      </c>
      <c r="O921" s="71" t="n">
        <v>1375443.28</v>
      </c>
      <c r="P921" s="71" t="n">
        <v>147577.54</v>
      </c>
      <c r="Q921" s="71" t="n">
        <v>1227865.74</v>
      </c>
      <c r="R921" t="inlineStr">
        <is>
          <t>Oncology</t>
        </is>
      </c>
      <c r="S921" s="70" t="n">
        <v>223</v>
      </c>
      <c r="T921" s="71" t="n">
        <v>277809.01</v>
      </c>
      <c r="U921" t="inlineStr">
        <is>
          <t>High</t>
        </is>
      </c>
      <c r="V921">
        <f>IF(AND(OR(Dashboard!$C$6="All",E921=Dashboard!$C$6),OR(Dashboard!$F$6="All",G921=Dashboard!$F$6),OR(Dashboard!$I$6="All",H921=Dashboard!$I$6)),1,0)</f>
        <v/>
      </c>
    </row>
    <row r="922">
      <c r="A922" t="inlineStr">
        <is>
          <t>PF100913</t>
        </is>
      </c>
      <c r="B922" s="68" t="n">
        <v>45767</v>
      </c>
      <c r="C922" s="69" t="n">
        <v>2025</v>
      </c>
      <c r="D922" t="inlineStr">
        <is>
          <t>Apr</t>
        </is>
      </c>
      <c r="E922" t="inlineStr">
        <is>
          <t>United States</t>
        </is>
      </c>
      <c r="F922" t="inlineStr">
        <is>
          <t>USA</t>
        </is>
      </c>
      <c r="G922" t="inlineStr">
        <is>
          <t>Eliquis</t>
        </is>
      </c>
      <c r="H922" t="inlineStr">
        <is>
          <t>Hospital</t>
        </is>
      </c>
      <c r="I922" t="inlineStr">
        <is>
          <t>Private insurer</t>
        </is>
      </c>
      <c r="J922" t="inlineStr">
        <is>
          <t>Wei Chen</t>
        </is>
      </c>
      <c r="K922" s="70" t="n">
        <v>1150</v>
      </c>
      <c r="L922" s="71" t="n">
        <v>664.38</v>
      </c>
      <c r="M922" s="71" t="n">
        <v>764037</v>
      </c>
      <c r="N922" s="71" t="n">
        <v>267412.95</v>
      </c>
      <c r="O922" s="71" t="n">
        <v>496624.05</v>
      </c>
      <c r="P922" s="71" t="n">
        <v>86651.00999999999</v>
      </c>
      <c r="Q922" s="71" t="n">
        <v>409973.04</v>
      </c>
      <c r="R922" t="inlineStr">
        <is>
          <t>Cardiology</t>
        </is>
      </c>
      <c r="S922" s="70" t="n">
        <v>894</v>
      </c>
      <c r="T922" s="71" t="n">
        <v>108038</v>
      </c>
      <c r="U922" t="inlineStr">
        <is>
          <t>High</t>
        </is>
      </c>
      <c r="V922">
        <f>IF(AND(OR(Dashboard!$C$6="All",E922=Dashboard!$C$6),OR(Dashboard!$F$6="All",G922=Dashboard!$F$6),OR(Dashboard!$I$6="All",H922=Dashboard!$I$6)),1,0)</f>
        <v/>
      </c>
    </row>
    <row r="923">
      <c r="A923" t="inlineStr">
        <is>
          <t>PF100914</t>
        </is>
      </c>
      <c r="B923" s="68" t="n">
        <v>45767</v>
      </c>
      <c r="C923" s="69" t="n">
        <v>2025</v>
      </c>
      <c r="D923" t="inlineStr">
        <is>
          <t>Apr</t>
        </is>
      </c>
      <c r="E923" t="inlineStr">
        <is>
          <t>United States</t>
        </is>
      </c>
      <c r="F923" t="inlineStr">
        <is>
          <t>USA</t>
        </is>
      </c>
      <c r="G923" t="inlineStr">
        <is>
          <t>Eliquis</t>
        </is>
      </c>
      <c r="H923" t="inlineStr">
        <is>
          <t>Government / tender</t>
        </is>
      </c>
      <c r="I923" t="inlineStr">
        <is>
          <t>Private insurer</t>
        </is>
      </c>
      <c r="J923" t="inlineStr">
        <is>
          <t>Ana Costa</t>
        </is>
      </c>
      <c r="K923" s="70" t="n">
        <v>2581</v>
      </c>
      <c r="L923" s="71" t="n">
        <v>667.97</v>
      </c>
      <c r="M923" s="71" t="n">
        <v>1724030.57</v>
      </c>
      <c r="N923" s="71" t="n">
        <v>431007.64</v>
      </c>
      <c r="O923" s="71" t="n">
        <v>1293022.93</v>
      </c>
      <c r="P923" s="71" t="n">
        <v>189683.29</v>
      </c>
      <c r="Q923" s="71" t="n">
        <v>1103339.64</v>
      </c>
      <c r="R923" t="inlineStr">
        <is>
          <t>Cardiology</t>
        </is>
      </c>
      <c r="S923" s="70" t="n">
        <v>2280</v>
      </c>
      <c r="T923" s="71" t="n">
        <v>284893.74</v>
      </c>
      <c r="U923" t="inlineStr">
        <is>
          <t>High</t>
        </is>
      </c>
      <c r="V923">
        <f>IF(AND(OR(Dashboard!$C$6="All",E923=Dashboard!$C$6),OR(Dashboard!$F$6="All",G923=Dashboard!$F$6),OR(Dashboard!$I$6="All",H923=Dashboard!$I$6)),1,0)</f>
        <v/>
      </c>
    </row>
    <row r="924">
      <c r="A924" t="inlineStr">
        <is>
          <t>PF100915</t>
        </is>
      </c>
      <c r="B924" s="68" t="n">
        <v>45767</v>
      </c>
      <c r="C924" s="69" t="n">
        <v>2025</v>
      </c>
      <c r="D924" t="inlineStr">
        <is>
          <t>Apr</t>
        </is>
      </c>
      <c r="E924" t="inlineStr">
        <is>
          <t>Europe</t>
        </is>
      </c>
      <c r="F924" t="inlineStr">
        <is>
          <t>Spain</t>
        </is>
      </c>
      <c r="G924" t="inlineStr">
        <is>
          <t>Paxlovid</t>
        </is>
      </c>
      <c r="H924" t="inlineStr">
        <is>
          <t>Government / tender</t>
        </is>
      </c>
      <c r="I924" t="inlineStr">
        <is>
          <t>Private insurer</t>
        </is>
      </c>
      <c r="J924" t="inlineStr">
        <is>
          <t>Hiroshi Tanaka</t>
        </is>
      </c>
      <c r="K924" s="70" t="n">
        <v>838</v>
      </c>
      <c r="L924" s="71" t="n">
        <v>1147.29</v>
      </c>
      <c r="M924" s="71" t="n">
        <v>961429.02</v>
      </c>
      <c r="N924" s="71" t="n">
        <v>192285.8</v>
      </c>
      <c r="O924" s="71" t="n">
        <v>769143.22</v>
      </c>
      <c r="P924" s="71" t="n">
        <v>230502.9</v>
      </c>
      <c r="Q924" s="71" t="n">
        <v>538640.3199999999</v>
      </c>
      <c r="R924" t="inlineStr">
        <is>
          <t>Antiviral</t>
        </is>
      </c>
      <c r="S924" s="70" t="n">
        <v>589</v>
      </c>
      <c r="T924" s="71" t="n">
        <v>141931.43</v>
      </c>
      <c r="U924" t="inlineStr">
        <is>
          <t>Low</t>
        </is>
      </c>
      <c r="V924">
        <f>IF(AND(OR(Dashboard!$C$6="All",E924=Dashboard!$C$6),OR(Dashboard!$F$6="All",G924=Dashboard!$F$6),OR(Dashboard!$I$6="All",H924=Dashboard!$I$6)),1,0)</f>
        <v/>
      </c>
    </row>
    <row r="925">
      <c r="A925" t="inlineStr">
        <is>
          <t>PF100916</t>
        </is>
      </c>
      <c r="B925" s="68" t="n">
        <v>45768</v>
      </c>
      <c r="C925" s="69" t="n">
        <v>2025</v>
      </c>
      <c r="D925" t="inlineStr">
        <is>
          <t>Apr</t>
        </is>
      </c>
      <c r="E925" t="inlineStr">
        <is>
          <t>Emerging markets</t>
        </is>
      </c>
      <c r="F925" t="inlineStr">
        <is>
          <t>India</t>
        </is>
      </c>
      <c r="G925" t="inlineStr">
        <is>
          <t>Xeljanz</t>
        </is>
      </c>
      <c r="H925" t="inlineStr">
        <is>
          <t>Hospital</t>
        </is>
      </c>
      <c r="I925" t="inlineStr">
        <is>
          <t>Public payer</t>
        </is>
      </c>
      <c r="J925" t="inlineStr">
        <is>
          <t>Ana Costa</t>
        </is>
      </c>
      <c r="K925" s="70" t="n">
        <v>2824</v>
      </c>
      <c r="L925" s="71" t="n">
        <v>1443.16</v>
      </c>
      <c r="M925" s="71" t="n">
        <v>4075483.84</v>
      </c>
      <c r="N925" s="71" t="n">
        <v>815096.77</v>
      </c>
      <c r="O925" s="71" t="n">
        <v>3260387.07</v>
      </c>
      <c r="P925" s="71" t="n">
        <v>709419.4399999999</v>
      </c>
      <c r="Q925" s="71" t="n">
        <v>2550967.63</v>
      </c>
      <c r="R925" t="inlineStr">
        <is>
          <t>Inflammation</t>
        </is>
      </c>
      <c r="S925" s="70" t="n">
        <v>1987</v>
      </c>
      <c r="T925" s="71" t="n">
        <v>591193.26</v>
      </c>
      <c r="U925" t="inlineStr">
        <is>
          <t>High</t>
        </is>
      </c>
      <c r="V925">
        <f>IF(AND(OR(Dashboard!$C$6="All",E925=Dashboard!$C$6),OR(Dashboard!$F$6="All",G925=Dashboard!$F$6),OR(Dashboard!$I$6="All",H925=Dashboard!$I$6)),1,0)</f>
        <v/>
      </c>
    </row>
    <row r="926">
      <c r="A926" t="inlineStr">
        <is>
          <t>PF100917</t>
        </is>
      </c>
      <c r="B926" s="68" t="n">
        <v>45768</v>
      </c>
      <c r="C926" s="69" t="n">
        <v>2025</v>
      </c>
      <c r="D926" t="inlineStr">
        <is>
          <t>Apr</t>
        </is>
      </c>
      <c r="E926" t="inlineStr">
        <is>
          <t>United States</t>
        </is>
      </c>
      <c r="F926" t="inlineStr">
        <is>
          <t>USA</t>
        </is>
      </c>
      <c r="G926" t="inlineStr">
        <is>
          <t>Paxlovid</t>
        </is>
      </c>
      <c r="H926" t="inlineStr">
        <is>
          <t>Government / tender</t>
        </is>
      </c>
      <c r="I926" t="inlineStr">
        <is>
          <t>Self-pay</t>
        </is>
      </c>
      <c r="J926" t="inlineStr">
        <is>
          <t>Kofi Mensah</t>
        </is>
      </c>
      <c r="K926" s="70" t="n">
        <v>587</v>
      </c>
      <c r="L926" s="71" t="n">
        <v>1612.37</v>
      </c>
      <c r="M926" s="71" t="n">
        <v>946461.1899999999</v>
      </c>
      <c r="N926" s="71" t="n">
        <v>283938.36</v>
      </c>
      <c r="O926" s="71" t="n">
        <v>662522.83</v>
      </c>
      <c r="P926" s="71" t="n">
        <v>161146.06</v>
      </c>
      <c r="Q926" s="71" t="n">
        <v>501376.77</v>
      </c>
      <c r="R926" t="inlineStr">
        <is>
          <t>Antiviral</t>
        </is>
      </c>
      <c r="S926" s="70" t="n">
        <v>400</v>
      </c>
      <c r="T926" s="71" t="n">
        <v>201766.21</v>
      </c>
      <c r="U926" t="inlineStr">
        <is>
          <t>Low</t>
        </is>
      </c>
      <c r="V926">
        <f>IF(AND(OR(Dashboard!$C$6="All",E926=Dashboard!$C$6),OR(Dashboard!$F$6="All",G926=Dashboard!$F$6),OR(Dashboard!$I$6="All",H926=Dashboard!$I$6)),1,0)</f>
        <v/>
      </c>
    </row>
    <row r="927">
      <c r="A927" t="inlineStr">
        <is>
          <t>PF100918</t>
        </is>
      </c>
      <c r="B927" s="68" t="n">
        <v>45768</v>
      </c>
      <c r="C927" s="69" t="n">
        <v>2025</v>
      </c>
      <c r="D927" t="inlineStr">
        <is>
          <t>Apr</t>
        </is>
      </c>
      <c r="E927" t="inlineStr">
        <is>
          <t>United States</t>
        </is>
      </c>
      <c r="F927" t="inlineStr">
        <is>
          <t>USA</t>
        </is>
      </c>
      <c r="G927" t="inlineStr">
        <is>
          <t>Paxlovid</t>
        </is>
      </c>
      <c r="H927" t="inlineStr">
        <is>
          <t>Retail pharmacy</t>
        </is>
      </c>
      <c r="I927" t="inlineStr">
        <is>
          <t>Public payer</t>
        </is>
      </c>
      <c r="J927" t="inlineStr">
        <is>
          <t>Mei Lin</t>
        </is>
      </c>
      <c r="K927" s="70" t="n">
        <v>1587</v>
      </c>
      <c r="L927" s="71" t="n">
        <v>1843.12</v>
      </c>
      <c r="M927" s="71" t="n">
        <v>2925031.44</v>
      </c>
      <c r="N927" s="71" t="n">
        <v>438754.72</v>
      </c>
      <c r="O927" s="71" t="n">
        <v>2486276.72</v>
      </c>
      <c r="P927" s="71" t="n">
        <v>422024.5</v>
      </c>
      <c r="Q927" s="71" t="n">
        <v>2064252.22</v>
      </c>
      <c r="R927" t="inlineStr">
        <is>
          <t>Antiviral</t>
        </is>
      </c>
      <c r="S927" s="70" t="n">
        <v>1035</v>
      </c>
      <c r="T927" s="71" t="n">
        <v>360335.89</v>
      </c>
      <c r="U927" t="inlineStr">
        <is>
          <t>Low</t>
        </is>
      </c>
      <c r="V927">
        <f>IF(AND(OR(Dashboard!$C$6="All",E927=Dashboard!$C$6),OR(Dashboard!$F$6="All",G927=Dashboard!$F$6),OR(Dashboard!$I$6="All",H927=Dashboard!$I$6)),1,0)</f>
        <v/>
      </c>
    </row>
    <row r="928">
      <c r="A928" t="inlineStr">
        <is>
          <t>PF100919</t>
        </is>
      </c>
      <c r="B928" s="68" t="n">
        <v>45768</v>
      </c>
      <c r="C928" s="69" t="n">
        <v>2025</v>
      </c>
      <c r="D928" t="inlineStr">
        <is>
          <t>Apr</t>
        </is>
      </c>
      <c r="E928" t="inlineStr">
        <is>
          <t>Europe</t>
        </is>
      </c>
      <c r="F928" t="inlineStr">
        <is>
          <t>UK</t>
        </is>
      </c>
      <c r="G928" t="inlineStr">
        <is>
          <t>Vyndaqel</t>
        </is>
      </c>
      <c r="H928" t="inlineStr">
        <is>
          <t>Retail pharmacy</t>
        </is>
      </c>
      <c r="I928" t="inlineStr">
        <is>
          <t>Private insurer</t>
        </is>
      </c>
      <c r="J928" t="inlineStr">
        <is>
          <t>Aisha Bello</t>
        </is>
      </c>
      <c r="K928" s="70" t="n">
        <v>955</v>
      </c>
      <c r="L928" s="71" t="n">
        <v>5390.57</v>
      </c>
      <c r="M928" s="71" t="n">
        <v>5147994.35</v>
      </c>
      <c r="N928" s="71" t="n">
        <v>1286998.59</v>
      </c>
      <c r="O928" s="71" t="n">
        <v>3860995.76</v>
      </c>
      <c r="P928" s="71" t="n">
        <v>602817.89</v>
      </c>
      <c r="Q928" s="71" t="n">
        <v>3258177.87</v>
      </c>
      <c r="R928" t="inlineStr">
        <is>
          <t>Rare disease</t>
        </is>
      </c>
      <c r="S928" s="70" t="n">
        <v>830</v>
      </c>
      <c r="T928" s="71" t="n">
        <v>897824.8199999999</v>
      </c>
      <c r="U928" t="inlineStr">
        <is>
          <t>Medium</t>
        </is>
      </c>
      <c r="V928">
        <f>IF(AND(OR(Dashboard!$C$6="All",E928=Dashboard!$C$6),OR(Dashboard!$F$6="All",G928=Dashboard!$F$6),OR(Dashboard!$I$6="All",H928=Dashboard!$I$6)),1,0)</f>
        <v/>
      </c>
    </row>
    <row r="929">
      <c r="A929" t="inlineStr">
        <is>
          <t>PF100920</t>
        </is>
      </c>
      <c r="B929" s="68" t="n">
        <v>45768</v>
      </c>
      <c r="C929" s="69" t="n">
        <v>2025</v>
      </c>
      <c r="D929" t="inlineStr">
        <is>
          <t>Apr</t>
        </is>
      </c>
      <c r="E929" t="inlineStr">
        <is>
          <t>Emerging markets</t>
        </is>
      </c>
      <c r="F929" t="inlineStr">
        <is>
          <t>China</t>
        </is>
      </c>
      <c r="G929" t="inlineStr">
        <is>
          <t>Comirnaty</t>
        </is>
      </c>
      <c r="H929" t="inlineStr">
        <is>
          <t>Retail pharmacy</t>
        </is>
      </c>
      <c r="I929" t="inlineStr">
        <is>
          <t>Private insurer</t>
        </is>
      </c>
      <c r="J929" t="inlineStr">
        <is>
          <t>Amir Khan</t>
        </is>
      </c>
      <c r="K929" s="70" t="n">
        <v>1670</v>
      </c>
      <c r="L929" s="71" t="n">
        <v>102.09</v>
      </c>
      <c r="M929" s="71" t="n">
        <v>170490.3</v>
      </c>
      <c r="N929" s="71" t="n">
        <v>25573.54</v>
      </c>
      <c r="O929" s="71" t="n">
        <v>144916.76</v>
      </c>
      <c r="P929" s="71" t="n">
        <v>65929.09</v>
      </c>
      <c r="Q929" s="71" t="n">
        <v>78987.67</v>
      </c>
      <c r="R929" t="inlineStr">
        <is>
          <t>Vaccines</t>
        </is>
      </c>
      <c r="S929" s="70" t="n">
        <v>1336</v>
      </c>
      <c r="T929" s="71" t="n">
        <v>30987.1</v>
      </c>
      <c r="U929" t="inlineStr">
        <is>
          <t>Low</t>
        </is>
      </c>
      <c r="V929">
        <f>IF(AND(OR(Dashboard!$C$6="All",E929=Dashboard!$C$6),OR(Dashboard!$F$6="All",G929=Dashboard!$F$6),OR(Dashboard!$I$6="All",H929=Dashboard!$I$6)),1,0)</f>
        <v/>
      </c>
    </row>
    <row r="930">
      <c r="A930" t="inlineStr">
        <is>
          <t>PF100921</t>
        </is>
      </c>
      <c r="B930" s="68" t="n">
        <v>45768</v>
      </c>
      <c r="C930" s="69" t="n">
        <v>2025</v>
      </c>
      <c r="D930" t="inlineStr">
        <is>
          <t>Apr</t>
        </is>
      </c>
      <c r="E930" t="inlineStr">
        <is>
          <t>Emerging markets</t>
        </is>
      </c>
      <c r="F930" t="inlineStr">
        <is>
          <t>Brazil</t>
        </is>
      </c>
      <c r="G930" t="inlineStr">
        <is>
          <t>Ibrance</t>
        </is>
      </c>
      <c r="H930" t="inlineStr">
        <is>
          <t>Hospital</t>
        </is>
      </c>
      <c r="I930" t="inlineStr">
        <is>
          <t>Self-pay</t>
        </is>
      </c>
      <c r="J930" t="inlineStr">
        <is>
          <t>Ravindra Patil</t>
        </is>
      </c>
      <c r="K930" s="70" t="n">
        <v>1600</v>
      </c>
      <c r="L930" s="71" t="n">
        <v>3162.74</v>
      </c>
      <c r="M930" s="71" t="n">
        <v>5060384</v>
      </c>
      <c r="N930" s="71" t="n">
        <v>759057.6</v>
      </c>
      <c r="O930" s="71" t="n">
        <v>4301326.4</v>
      </c>
      <c r="P930" s="71" t="n">
        <v>715893.49</v>
      </c>
      <c r="Q930" s="71" t="n">
        <v>3585432.91</v>
      </c>
      <c r="R930" t="inlineStr">
        <is>
          <t>Oncology</t>
        </is>
      </c>
      <c r="S930" s="70" t="n">
        <v>1294</v>
      </c>
      <c r="T930" s="71" t="n">
        <v>1053294.5</v>
      </c>
      <c r="U930" t="inlineStr">
        <is>
          <t>High</t>
        </is>
      </c>
      <c r="V930">
        <f>IF(AND(OR(Dashboard!$C$6="All",E930=Dashboard!$C$6),OR(Dashboard!$F$6="All",G930=Dashboard!$F$6),OR(Dashboard!$I$6="All",H930=Dashboard!$I$6)),1,0)</f>
        <v/>
      </c>
    </row>
    <row r="931">
      <c r="A931" t="inlineStr">
        <is>
          <t>PF100922</t>
        </is>
      </c>
      <c r="B931" s="68" t="n">
        <v>45768</v>
      </c>
      <c r="C931" s="69" t="n">
        <v>2025</v>
      </c>
      <c r="D931" t="inlineStr">
        <is>
          <t>Apr</t>
        </is>
      </c>
      <c r="E931" t="inlineStr">
        <is>
          <t>Emerging markets</t>
        </is>
      </c>
      <c r="F931" t="inlineStr">
        <is>
          <t>China</t>
        </is>
      </c>
      <c r="G931" t="inlineStr">
        <is>
          <t>Prevnar 20</t>
        </is>
      </c>
      <c r="H931" t="inlineStr">
        <is>
          <t>Government / tender</t>
        </is>
      </c>
      <c r="I931" t="inlineStr">
        <is>
          <t>Private insurer</t>
        </is>
      </c>
      <c r="J931" t="inlineStr">
        <is>
          <t>Lucas Martin</t>
        </is>
      </c>
      <c r="K931" s="70" t="n">
        <v>1310</v>
      </c>
      <c r="L931" s="71" t="n">
        <v>220.37</v>
      </c>
      <c r="M931" s="71" t="n">
        <v>288684.7</v>
      </c>
      <c r="N931" s="71" t="n">
        <v>72171.17999999999</v>
      </c>
      <c r="O931" s="71" t="n">
        <v>216513.52</v>
      </c>
      <c r="P931" s="71" t="n">
        <v>89216</v>
      </c>
      <c r="Q931" s="71" t="n">
        <v>127297.52</v>
      </c>
      <c r="R931" t="inlineStr">
        <is>
          <t>Vaccines</t>
        </is>
      </c>
      <c r="S931" s="70" t="n">
        <v>881</v>
      </c>
      <c r="T931" s="71" t="n">
        <v>55053.8</v>
      </c>
      <c r="U931" t="inlineStr">
        <is>
          <t>Low</t>
        </is>
      </c>
      <c r="V931">
        <f>IF(AND(OR(Dashboard!$C$6="All",E931=Dashboard!$C$6),OR(Dashboard!$F$6="All",G931=Dashboard!$F$6),OR(Dashboard!$I$6="All",H931=Dashboard!$I$6)),1,0)</f>
        <v/>
      </c>
    </row>
    <row r="932">
      <c r="A932" t="inlineStr">
        <is>
          <t>PF100923</t>
        </is>
      </c>
      <c r="B932" s="68" t="n">
        <v>45768</v>
      </c>
      <c r="C932" s="69" t="n">
        <v>2025</v>
      </c>
      <c r="D932" t="inlineStr">
        <is>
          <t>Apr</t>
        </is>
      </c>
      <c r="E932" t="inlineStr">
        <is>
          <t>International developed</t>
        </is>
      </c>
      <c r="F932" t="inlineStr">
        <is>
          <t>Australia</t>
        </is>
      </c>
      <c r="G932" t="inlineStr">
        <is>
          <t>Prevnar 20</t>
        </is>
      </c>
      <c r="H932" t="inlineStr">
        <is>
          <t>Retail pharmacy</t>
        </is>
      </c>
      <c r="I932" t="inlineStr">
        <is>
          <t>Private insurer</t>
        </is>
      </c>
      <c r="J932" t="inlineStr">
        <is>
          <t>Aisha Bello</t>
        </is>
      </c>
      <c r="K932" s="70" t="n">
        <v>2110</v>
      </c>
      <c r="L932" s="71" t="n">
        <v>229.96</v>
      </c>
      <c r="M932" s="71" t="n">
        <v>485215.6</v>
      </c>
      <c r="N932" s="71" t="n">
        <v>97043.12</v>
      </c>
      <c r="O932" s="71" t="n">
        <v>388172.48</v>
      </c>
      <c r="P932" s="71" t="n">
        <v>144196.4</v>
      </c>
      <c r="Q932" s="71" t="n">
        <v>243976.08</v>
      </c>
      <c r="R932" t="inlineStr">
        <is>
          <t>Vaccines</t>
        </is>
      </c>
      <c r="S932" s="70" t="n">
        <v>1603</v>
      </c>
      <c r="T932" s="71" t="n">
        <v>97311.17999999999</v>
      </c>
      <c r="U932" t="inlineStr">
        <is>
          <t>Low</t>
        </is>
      </c>
      <c r="V932">
        <f>IF(AND(OR(Dashboard!$C$6="All",E932=Dashboard!$C$6),OR(Dashboard!$F$6="All",G932=Dashboard!$F$6),OR(Dashboard!$I$6="All",H932=Dashboard!$I$6)),1,0)</f>
        <v/>
      </c>
    </row>
    <row r="933">
      <c r="A933" t="inlineStr">
        <is>
          <t>PF100924</t>
        </is>
      </c>
      <c r="B933" s="68" t="n">
        <v>45768</v>
      </c>
      <c r="C933" s="69" t="n">
        <v>2025</v>
      </c>
      <c r="D933" t="inlineStr">
        <is>
          <t>Apr</t>
        </is>
      </c>
      <c r="E933" t="inlineStr">
        <is>
          <t>United States</t>
        </is>
      </c>
      <c r="F933" t="inlineStr">
        <is>
          <t>USA</t>
        </is>
      </c>
      <c r="G933" t="inlineStr">
        <is>
          <t>Eliquis</t>
        </is>
      </c>
      <c r="H933" t="inlineStr">
        <is>
          <t>Retail pharmacy</t>
        </is>
      </c>
      <c r="I933" t="inlineStr">
        <is>
          <t>Self-pay</t>
        </is>
      </c>
      <c r="J933" t="inlineStr">
        <is>
          <t>Shraddha Kulkarni</t>
        </is>
      </c>
      <c r="K933" s="70" t="n">
        <v>1399</v>
      </c>
      <c r="L933" s="71" t="n">
        <v>610.88</v>
      </c>
      <c r="M933" s="71" t="n">
        <v>854621.12</v>
      </c>
      <c r="N933" s="71" t="n">
        <v>170924.22</v>
      </c>
      <c r="O933" s="71" t="n">
        <v>683696.9</v>
      </c>
      <c r="P933" s="71" t="n">
        <v>105705.04</v>
      </c>
      <c r="Q933" s="71" t="n">
        <v>577991.86</v>
      </c>
      <c r="R933" t="inlineStr">
        <is>
          <t>Cardiology</t>
        </is>
      </c>
      <c r="S933" s="70" t="n">
        <v>1048</v>
      </c>
      <c r="T933" s="71" t="n">
        <v>119067.2</v>
      </c>
      <c r="U933" t="inlineStr">
        <is>
          <t>High</t>
        </is>
      </c>
      <c r="V933">
        <f>IF(AND(OR(Dashboard!$C$6="All",E933=Dashboard!$C$6),OR(Dashboard!$F$6="All",G933=Dashboard!$F$6),OR(Dashboard!$I$6="All",H933=Dashboard!$I$6)),1,0)</f>
        <v/>
      </c>
    </row>
    <row r="934">
      <c r="A934" t="inlineStr">
        <is>
          <t>PF100925</t>
        </is>
      </c>
      <c r="B934" s="68" t="n">
        <v>45768</v>
      </c>
      <c r="C934" s="69" t="n">
        <v>2025</v>
      </c>
      <c r="D934" t="inlineStr">
        <is>
          <t>Apr</t>
        </is>
      </c>
      <c r="E934" t="inlineStr">
        <is>
          <t>United States</t>
        </is>
      </c>
      <c r="F934" t="inlineStr">
        <is>
          <t>USA</t>
        </is>
      </c>
      <c r="G934" t="inlineStr">
        <is>
          <t>Vyndaqel</t>
        </is>
      </c>
      <c r="H934" t="inlineStr">
        <is>
          <t>Hospital</t>
        </is>
      </c>
      <c r="I934" t="inlineStr">
        <is>
          <t>Private insurer</t>
        </is>
      </c>
      <c r="J934" t="inlineStr">
        <is>
          <t>Sophie Müller</t>
        </is>
      </c>
      <c r="K934" s="70" t="n">
        <v>792</v>
      </c>
      <c r="L934" s="71" t="n">
        <v>7504.75</v>
      </c>
      <c r="M934" s="71" t="n">
        <v>5943762</v>
      </c>
      <c r="N934" s="71" t="n">
        <v>1485940.5</v>
      </c>
      <c r="O934" s="71" t="n">
        <v>4457821.5</v>
      </c>
      <c r="P934" s="71" t="n">
        <v>483251.84</v>
      </c>
      <c r="Q934" s="71" t="n">
        <v>3974569.66</v>
      </c>
      <c r="R934" t="inlineStr">
        <is>
          <t>Rare disease</t>
        </is>
      </c>
      <c r="S934" s="70" t="n">
        <v>732</v>
      </c>
      <c r="T934" s="71" t="n">
        <v>831231.97</v>
      </c>
      <c r="U934" t="inlineStr">
        <is>
          <t>Medium</t>
        </is>
      </c>
      <c r="V934">
        <f>IF(AND(OR(Dashboard!$C$6="All",E934=Dashboard!$C$6),OR(Dashboard!$F$6="All",G934=Dashboard!$F$6),OR(Dashboard!$I$6="All",H934=Dashboard!$I$6)),1,0)</f>
        <v/>
      </c>
    </row>
    <row r="935">
      <c r="A935" t="inlineStr">
        <is>
          <t>PF100926</t>
        </is>
      </c>
      <c r="B935" s="68" t="n">
        <v>45769</v>
      </c>
      <c r="C935" s="69" t="n">
        <v>2025</v>
      </c>
      <c r="D935" t="inlineStr">
        <is>
          <t>Apr</t>
        </is>
      </c>
      <c r="E935" t="inlineStr">
        <is>
          <t>Europe</t>
        </is>
      </c>
      <c r="F935" t="inlineStr">
        <is>
          <t>UK</t>
        </is>
      </c>
      <c r="G935" t="inlineStr">
        <is>
          <t>Xeljanz</t>
        </is>
      </c>
      <c r="H935" t="inlineStr">
        <is>
          <t>Hospital</t>
        </is>
      </c>
      <c r="I935" t="inlineStr">
        <is>
          <t>Self-pay</t>
        </is>
      </c>
      <c r="J935" t="inlineStr">
        <is>
          <t>Liam O'Brien</t>
        </is>
      </c>
      <c r="K935" s="70" t="n">
        <v>69</v>
      </c>
      <c r="L935" s="71" t="n">
        <v>1384.49</v>
      </c>
      <c r="M935" s="71" t="n">
        <v>95529.81</v>
      </c>
      <c r="N935" s="71" t="n">
        <v>14329.47</v>
      </c>
      <c r="O935" s="71" t="n">
        <v>81200.34</v>
      </c>
      <c r="P935" s="71" t="n">
        <v>17960.39</v>
      </c>
      <c r="Q935" s="71" t="n">
        <v>63239.95</v>
      </c>
      <c r="R935" t="inlineStr">
        <is>
          <t>Inflammation</t>
        </is>
      </c>
      <c r="S935" s="70" t="n">
        <v>46</v>
      </c>
      <c r="T935" s="71" t="n">
        <v>18943.47</v>
      </c>
      <c r="U935" t="inlineStr">
        <is>
          <t>High</t>
        </is>
      </c>
      <c r="V935">
        <f>IF(AND(OR(Dashboard!$C$6="All",E935=Dashboard!$C$6),OR(Dashboard!$F$6="All",G935=Dashboard!$F$6),OR(Dashboard!$I$6="All",H935=Dashboard!$I$6)),1,0)</f>
        <v/>
      </c>
    </row>
    <row r="936">
      <c r="A936" t="inlineStr">
        <is>
          <t>PF100927</t>
        </is>
      </c>
      <c r="B936" s="68" t="n">
        <v>45769</v>
      </c>
      <c r="C936" s="69" t="n">
        <v>2025</v>
      </c>
      <c r="D936" t="inlineStr">
        <is>
          <t>Apr</t>
        </is>
      </c>
      <c r="E936" t="inlineStr">
        <is>
          <t>United States</t>
        </is>
      </c>
      <c r="F936" t="inlineStr">
        <is>
          <t>USA</t>
        </is>
      </c>
      <c r="G936" t="inlineStr">
        <is>
          <t>Ibrance</t>
        </is>
      </c>
      <c r="H936" t="inlineStr">
        <is>
          <t>Retail pharmacy</t>
        </is>
      </c>
      <c r="I936" t="inlineStr">
        <is>
          <t>Private insurer</t>
        </is>
      </c>
      <c r="J936" t="inlineStr">
        <is>
          <t>Shraddha Kulkarni</t>
        </is>
      </c>
      <c r="K936" s="70" t="n">
        <v>974</v>
      </c>
      <c r="L936" s="71" t="n">
        <v>4852.22</v>
      </c>
      <c r="M936" s="71" t="n">
        <v>4726062.28</v>
      </c>
      <c r="N936" s="71" t="n">
        <v>1417818.68</v>
      </c>
      <c r="O936" s="71" t="n">
        <v>3308243.6</v>
      </c>
      <c r="P936" s="71" t="n">
        <v>426712.42</v>
      </c>
      <c r="Q936" s="71" t="n">
        <v>2881531.18</v>
      </c>
      <c r="R936" t="inlineStr">
        <is>
          <t>Oncology</t>
        </is>
      </c>
      <c r="S936" s="70" t="n">
        <v>721</v>
      </c>
      <c r="T936" s="71" t="n">
        <v>918735.63</v>
      </c>
      <c r="U936" t="inlineStr">
        <is>
          <t>High</t>
        </is>
      </c>
      <c r="V936">
        <f>IF(AND(OR(Dashboard!$C$6="All",E936=Dashboard!$C$6),OR(Dashboard!$F$6="All",G936=Dashboard!$F$6),OR(Dashboard!$I$6="All",H936=Dashboard!$I$6)),1,0)</f>
        <v/>
      </c>
    </row>
    <row r="937">
      <c r="A937" t="inlineStr">
        <is>
          <t>PF100928</t>
        </is>
      </c>
      <c r="B937" s="68" t="n">
        <v>45769</v>
      </c>
      <c r="C937" s="69" t="n">
        <v>2025</v>
      </c>
      <c r="D937" t="inlineStr">
        <is>
          <t>Apr</t>
        </is>
      </c>
      <c r="E937" t="inlineStr">
        <is>
          <t>Europe</t>
        </is>
      </c>
      <c r="F937" t="inlineStr">
        <is>
          <t>France</t>
        </is>
      </c>
      <c r="G937" t="inlineStr">
        <is>
          <t>Comirnaty</t>
        </is>
      </c>
      <c r="H937" t="inlineStr">
        <is>
          <t>Hospital</t>
        </is>
      </c>
      <c r="I937" t="inlineStr">
        <is>
          <t>Public payer</t>
        </is>
      </c>
      <c r="J937" t="inlineStr">
        <is>
          <t>Lucas Martin</t>
        </is>
      </c>
      <c r="K937" s="70" t="n">
        <v>1637</v>
      </c>
      <c r="L937" s="71" t="n">
        <v>117.23</v>
      </c>
      <c r="M937" s="71" t="n">
        <v>191905.51</v>
      </c>
      <c r="N937" s="71" t="n">
        <v>47976.38</v>
      </c>
      <c r="O937" s="71" t="n">
        <v>143929.13</v>
      </c>
      <c r="P937" s="71" t="n">
        <v>61613.69</v>
      </c>
      <c r="Q937" s="71" t="n">
        <v>82315.44</v>
      </c>
      <c r="R937" t="inlineStr">
        <is>
          <t>Vaccines</t>
        </is>
      </c>
      <c r="S937" s="70" t="n">
        <v>1225</v>
      </c>
      <c r="T937" s="71" t="n">
        <v>40818.92</v>
      </c>
      <c r="U937" t="inlineStr">
        <is>
          <t>Low</t>
        </is>
      </c>
      <c r="V937">
        <f>IF(AND(OR(Dashboard!$C$6="All",E937=Dashboard!$C$6),OR(Dashboard!$F$6="All",G937=Dashboard!$F$6),OR(Dashboard!$I$6="All",H937=Dashboard!$I$6)),1,0)</f>
        <v/>
      </c>
    </row>
    <row r="938">
      <c r="A938" t="inlineStr">
        <is>
          <t>PF100929</t>
        </is>
      </c>
      <c r="B938" s="68" t="n">
        <v>45769</v>
      </c>
      <c r="C938" s="69" t="n">
        <v>2025</v>
      </c>
      <c r="D938" t="inlineStr">
        <is>
          <t>Apr</t>
        </is>
      </c>
      <c r="E938" t="inlineStr">
        <is>
          <t>Emerging markets</t>
        </is>
      </c>
      <c r="F938" t="inlineStr">
        <is>
          <t>Brazil</t>
        </is>
      </c>
      <c r="G938" t="inlineStr">
        <is>
          <t>Eliquis</t>
        </is>
      </c>
      <c r="H938" t="inlineStr">
        <is>
          <t>Hospital</t>
        </is>
      </c>
      <c r="I938" t="inlineStr">
        <is>
          <t>Private insurer</t>
        </is>
      </c>
      <c r="J938" t="inlineStr">
        <is>
          <t>Hiroshi Tanaka</t>
        </is>
      </c>
      <c r="K938" s="70" t="n">
        <v>1865</v>
      </c>
      <c r="L938" s="71" t="n">
        <v>380.19</v>
      </c>
      <c r="M938" s="71" t="n">
        <v>709054.35</v>
      </c>
      <c r="N938" s="71" t="n">
        <v>141810.87</v>
      </c>
      <c r="O938" s="71" t="n">
        <v>567243.48</v>
      </c>
      <c r="P938" s="71" t="n">
        <v>139365.55</v>
      </c>
      <c r="Q938" s="71" t="n">
        <v>427877.93</v>
      </c>
      <c r="R938" t="inlineStr">
        <is>
          <t>Cardiology</t>
        </is>
      </c>
      <c r="S938" s="70" t="n">
        <v>1317</v>
      </c>
      <c r="T938" s="71" t="n">
        <v>152873.05</v>
      </c>
      <c r="U938" t="inlineStr">
        <is>
          <t>High</t>
        </is>
      </c>
      <c r="V938">
        <f>IF(AND(OR(Dashboard!$C$6="All",E938=Dashboard!$C$6),OR(Dashboard!$F$6="All",G938=Dashboard!$F$6),OR(Dashboard!$I$6="All",H938=Dashboard!$I$6)),1,0)</f>
        <v/>
      </c>
    </row>
    <row r="939">
      <c r="A939" t="inlineStr">
        <is>
          <t>PF100930</t>
        </is>
      </c>
      <c r="B939" s="68" t="n">
        <v>45769</v>
      </c>
      <c r="C939" s="69" t="n">
        <v>2025</v>
      </c>
      <c r="D939" t="inlineStr">
        <is>
          <t>Apr</t>
        </is>
      </c>
      <c r="E939" t="inlineStr">
        <is>
          <t>Europe</t>
        </is>
      </c>
      <c r="F939" t="inlineStr">
        <is>
          <t>Spain</t>
        </is>
      </c>
      <c r="G939" t="inlineStr">
        <is>
          <t>Prevnar 20</t>
        </is>
      </c>
      <c r="H939" t="inlineStr">
        <is>
          <t>Hospital</t>
        </is>
      </c>
      <c r="I939" t="inlineStr">
        <is>
          <t>Public payer</t>
        </is>
      </c>
      <c r="J939" t="inlineStr">
        <is>
          <t>Emma Clarke</t>
        </is>
      </c>
      <c r="K939" s="70" t="n">
        <v>1455</v>
      </c>
      <c r="L939" s="71" t="n">
        <v>222.71</v>
      </c>
      <c r="M939" s="71" t="n">
        <v>324043.05</v>
      </c>
      <c r="N939" s="71" t="n">
        <v>81010.75999999999</v>
      </c>
      <c r="O939" s="71" t="n">
        <v>243032.29</v>
      </c>
      <c r="P939" s="71" t="n">
        <v>97859.96000000001</v>
      </c>
      <c r="Q939" s="71" t="n">
        <v>145172.33</v>
      </c>
      <c r="R939" t="inlineStr">
        <is>
          <t>Vaccines</t>
        </is>
      </c>
      <c r="S939" s="70" t="n">
        <v>1174</v>
      </c>
      <c r="T939" s="71" t="n">
        <v>67634.57000000001</v>
      </c>
      <c r="U939" t="inlineStr">
        <is>
          <t>Low</t>
        </is>
      </c>
      <c r="V939">
        <f>IF(AND(OR(Dashboard!$C$6="All",E939=Dashboard!$C$6),OR(Dashboard!$F$6="All",G939=Dashboard!$F$6),OR(Dashboard!$I$6="All",H939=Dashboard!$I$6)),1,0)</f>
        <v/>
      </c>
    </row>
    <row r="940">
      <c r="A940" t="inlineStr">
        <is>
          <t>PF100931</t>
        </is>
      </c>
      <c r="B940" s="68" t="n">
        <v>45770</v>
      </c>
      <c r="C940" s="69" t="n">
        <v>2025</v>
      </c>
      <c r="D940" t="inlineStr">
        <is>
          <t>Apr</t>
        </is>
      </c>
      <c r="E940" t="inlineStr">
        <is>
          <t>Emerging markets</t>
        </is>
      </c>
      <c r="F940" t="inlineStr">
        <is>
          <t>Mexico</t>
        </is>
      </c>
      <c r="G940" t="inlineStr">
        <is>
          <t>Comirnaty</t>
        </is>
      </c>
      <c r="H940" t="inlineStr">
        <is>
          <t>Retail pharmacy</t>
        </is>
      </c>
      <c r="I940" t="inlineStr">
        <is>
          <t>Private insurer</t>
        </is>
      </c>
      <c r="J940" t="inlineStr">
        <is>
          <t>Emma Clarke</t>
        </is>
      </c>
      <c r="K940" s="70" t="n">
        <v>2259</v>
      </c>
      <c r="L940" s="71" t="n">
        <v>104.8</v>
      </c>
      <c r="M940" s="71" t="n">
        <v>236743.2</v>
      </c>
      <c r="N940" s="71" t="n">
        <v>35511.48</v>
      </c>
      <c r="O940" s="71" t="n">
        <v>201231.72</v>
      </c>
      <c r="P940" s="71" t="n">
        <v>87553.42999999999</v>
      </c>
      <c r="Q940" s="71" t="n">
        <v>113678.29</v>
      </c>
      <c r="R940" t="inlineStr">
        <is>
          <t>Vaccines</t>
        </is>
      </c>
      <c r="S940" s="70" t="n">
        <v>1701</v>
      </c>
      <c r="T940" s="71" t="n">
        <v>37901.63</v>
      </c>
      <c r="U940" t="inlineStr">
        <is>
          <t>Low</t>
        </is>
      </c>
      <c r="V940">
        <f>IF(AND(OR(Dashboard!$C$6="All",E940=Dashboard!$C$6),OR(Dashboard!$F$6="All",G940=Dashboard!$F$6),OR(Dashboard!$I$6="All",H940=Dashboard!$I$6)),1,0)</f>
        <v/>
      </c>
    </row>
    <row r="941">
      <c r="A941" t="inlineStr">
        <is>
          <t>PF100932</t>
        </is>
      </c>
      <c r="B941" s="68" t="n">
        <v>45770</v>
      </c>
      <c r="C941" s="69" t="n">
        <v>2025</v>
      </c>
      <c r="D941" t="inlineStr">
        <is>
          <t>Apr</t>
        </is>
      </c>
      <c r="E941" t="inlineStr">
        <is>
          <t>Europe</t>
        </is>
      </c>
      <c r="F941" t="inlineStr">
        <is>
          <t>Germany</t>
        </is>
      </c>
      <c r="G941" t="inlineStr">
        <is>
          <t>Comirnaty</t>
        </is>
      </c>
      <c r="H941" t="inlineStr">
        <is>
          <t>Retail pharmacy</t>
        </is>
      </c>
      <c r="I941" t="inlineStr">
        <is>
          <t>Private insurer</t>
        </is>
      </c>
      <c r="J941" t="inlineStr">
        <is>
          <t>Shraddha Kulkarni</t>
        </is>
      </c>
      <c r="K941" s="70" t="n">
        <v>2862</v>
      </c>
      <c r="L941" s="71" t="n">
        <v>114.05</v>
      </c>
      <c r="M941" s="71" t="n">
        <v>326411.1</v>
      </c>
      <c r="N941" s="71" t="n">
        <v>81602.77</v>
      </c>
      <c r="O941" s="71" t="n">
        <v>244808.33</v>
      </c>
      <c r="P941" s="71" t="n">
        <v>109188.81</v>
      </c>
      <c r="Q941" s="71" t="n">
        <v>135619.52</v>
      </c>
      <c r="R941" t="inlineStr">
        <is>
          <t>Vaccines</t>
        </is>
      </c>
      <c r="S941" s="70" t="n">
        <v>1980</v>
      </c>
      <c r="T941" s="71" t="n">
        <v>49335.98</v>
      </c>
      <c r="U941" t="inlineStr">
        <is>
          <t>Low</t>
        </is>
      </c>
      <c r="V941">
        <f>IF(AND(OR(Dashboard!$C$6="All",E941=Dashboard!$C$6),OR(Dashboard!$F$6="All",G941=Dashboard!$F$6),OR(Dashboard!$I$6="All",H941=Dashboard!$I$6)),1,0)</f>
        <v/>
      </c>
    </row>
    <row r="942">
      <c r="A942" t="inlineStr">
        <is>
          <t>PF100933</t>
        </is>
      </c>
      <c r="B942" s="68" t="n">
        <v>45770</v>
      </c>
      <c r="C942" s="69" t="n">
        <v>2025</v>
      </c>
      <c r="D942" t="inlineStr">
        <is>
          <t>Apr</t>
        </is>
      </c>
      <c r="E942" t="inlineStr">
        <is>
          <t>United States</t>
        </is>
      </c>
      <c r="F942" t="inlineStr">
        <is>
          <t>USA</t>
        </is>
      </c>
      <c r="G942" t="inlineStr">
        <is>
          <t>Paxlovid</t>
        </is>
      </c>
      <c r="H942" t="inlineStr">
        <is>
          <t>Government / tender</t>
        </is>
      </c>
      <c r="I942" t="inlineStr">
        <is>
          <t>Public payer</t>
        </is>
      </c>
      <c r="J942" t="inlineStr">
        <is>
          <t>Olivia Brown</t>
        </is>
      </c>
      <c r="K942" s="70" t="n">
        <v>1096</v>
      </c>
      <c r="L942" s="71" t="n">
        <v>1725.92</v>
      </c>
      <c r="M942" s="71" t="n">
        <v>1891608.32</v>
      </c>
      <c r="N942" s="71" t="n">
        <v>472902.08</v>
      </c>
      <c r="O942" s="71" t="n">
        <v>1418706.24</v>
      </c>
      <c r="P942" s="71" t="n">
        <v>292961.38</v>
      </c>
      <c r="Q942" s="71" t="n">
        <v>1125744.86</v>
      </c>
      <c r="R942" t="inlineStr">
        <is>
          <t>Antiviral</t>
        </is>
      </c>
      <c r="S942" s="70" t="n">
        <v>882</v>
      </c>
      <c r="T942" s="71" t="n">
        <v>396763.62</v>
      </c>
      <c r="U942" t="inlineStr">
        <is>
          <t>Low</t>
        </is>
      </c>
      <c r="V942">
        <f>IF(AND(OR(Dashboard!$C$6="All",E942=Dashboard!$C$6),OR(Dashboard!$F$6="All",G942=Dashboard!$F$6),OR(Dashboard!$I$6="All",H942=Dashboard!$I$6)),1,0)</f>
        <v/>
      </c>
    </row>
    <row r="943">
      <c r="A943" t="inlineStr">
        <is>
          <t>PF100934</t>
        </is>
      </c>
      <c r="B943" s="68" t="n">
        <v>45770</v>
      </c>
      <c r="C943" s="69" t="n">
        <v>2025</v>
      </c>
      <c r="D943" t="inlineStr">
        <is>
          <t>Apr</t>
        </is>
      </c>
      <c r="E943" t="inlineStr">
        <is>
          <t>United States</t>
        </is>
      </c>
      <c r="F943" t="inlineStr">
        <is>
          <t>USA</t>
        </is>
      </c>
      <c r="G943" t="inlineStr">
        <is>
          <t>Ibrance</t>
        </is>
      </c>
      <c r="H943" t="inlineStr">
        <is>
          <t>Retail pharmacy</t>
        </is>
      </c>
      <c r="I943" t="inlineStr">
        <is>
          <t>Public payer</t>
        </is>
      </c>
      <c r="J943" t="inlineStr">
        <is>
          <t>Mei Lin</t>
        </is>
      </c>
      <c r="K943" s="70" t="n">
        <v>1348</v>
      </c>
      <c r="L943" s="71" t="n">
        <v>4336.38</v>
      </c>
      <c r="M943" s="71" t="n">
        <v>5845440.24</v>
      </c>
      <c r="N943" s="71" t="n">
        <v>1169088.05</v>
      </c>
      <c r="O943" s="71" t="n">
        <v>4676352.19</v>
      </c>
      <c r="P943" s="71" t="n">
        <v>575535.73</v>
      </c>
      <c r="Q943" s="71" t="n">
        <v>4100816.46</v>
      </c>
      <c r="R943" t="inlineStr">
        <is>
          <t>Oncology</t>
        </is>
      </c>
      <c r="S943" s="70" t="n">
        <v>1036</v>
      </c>
      <c r="T943" s="71" t="n">
        <v>937297.53</v>
      </c>
      <c r="U943" t="inlineStr">
        <is>
          <t>High</t>
        </is>
      </c>
      <c r="V943">
        <f>IF(AND(OR(Dashboard!$C$6="All",E943=Dashboard!$C$6),OR(Dashboard!$F$6="All",G943=Dashboard!$F$6),OR(Dashboard!$I$6="All",H943=Dashboard!$I$6)),1,0)</f>
        <v/>
      </c>
    </row>
    <row r="944">
      <c r="A944" t="inlineStr">
        <is>
          <t>PF100935</t>
        </is>
      </c>
      <c r="B944" s="68" t="n">
        <v>45770</v>
      </c>
      <c r="C944" s="69" t="n">
        <v>2025</v>
      </c>
      <c r="D944" t="inlineStr">
        <is>
          <t>Apr</t>
        </is>
      </c>
      <c r="E944" t="inlineStr">
        <is>
          <t>Europe</t>
        </is>
      </c>
      <c r="F944" t="inlineStr">
        <is>
          <t>France</t>
        </is>
      </c>
      <c r="G944" t="inlineStr">
        <is>
          <t>Vyndaqel</t>
        </is>
      </c>
      <c r="H944" t="inlineStr">
        <is>
          <t>Hospital</t>
        </is>
      </c>
      <c r="I944" t="inlineStr">
        <is>
          <t>Public payer</t>
        </is>
      </c>
      <c r="J944" t="inlineStr">
        <is>
          <t>Ana Costa</t>
        </is>
      </c>
      <c r="K944" s="70" t="n">
        <v>478</v>
      </c>
      <c r="L944" s="71" t="n">
        <v>4701.17</v>
      </c>
      <c r="M944" s="71" t="n">
        <v>2247159.26</v>
      </c>
      <c r="N944" s="71" t="n">
        <v>224715.93</v>
      </c>
      <c r="O944" s="71" t="n">
        <v>2022443.33</v>
      </c>
      <c r="P944" s="71" t="n">
        <v>308576.04</v>
      </c>
      <c r="Q944" s="71" t="n">
        <v>1713867.29</v>
      </c>
      <c r="R944" t="inlineStr">
        <is>
          <t>Rare disease</t>
        </is>
      </c>
      <c r="S944" s="70" t="n">
        <v>442</v>
      </c>
      <c r="T944" s="71" t="n">
        <v>335212.69</v>
      </c>
      <c r="U944" t="inlineStr">
        <is>
          <t>Medium</t>
        </is>
      </c>
      <c r="V944">
        <f>IF(AND(OR(Dashboard!$C$6="All",E944=Dashboard!$C$6),OR(Dashboard!$F$6="All",G944=Dashboard!$F$6),OR(Dashboard!$I$6="All",H944=Dashboard!$I$6)),1,0)</f>
        <v/>
      </c>
    </row>
    <row r="945">
      <c r="A945" t="inlineStr">
        <is>
          <t>PF100936</t>
        </is>
      </c>
      <c r="B945" s="68" t="n">
        <v>45770</v>
      </c>
      <c r="C945" s="69" t="n">
        <v>2025</v>
      </c>
      <c r="D945" t="inlineStr">
        <is>
          <t>Apr</t>
        </is>
      </c>
      <c r="E945" t="inlineStr">
        <is>
          <t>International developed</t>
        </is>
      </c>
      <c r="F945" t="inlineStr">
        <is>
          <t>Japan</t>
        </is>
      </c>
      <c r="G945" t="inlineStr">
        <is>
          <t>Ibrance</t>
        </is>
      </c>
      <c r="H945" t="inlineStr">
        <is>
          <t>Retail pharmacy</t>
        </is>
      </c>
      <c r="I945" t="inlineStr">
        <is>
          <t>Public payer</t>
        </is>
      </c>
      <c r="J945" t="inlineStr">
        <is>
          <t>Lucas Martin</t>
        </is>
      </c>
      <c r="K945" s="70" t="n">
        <v>440</v>
      </c>
      <c r="L945" s="71" t="n">
        <v>2663.57</v>
      </c>
      <c r="M945" s="71" t="n">
        <v>1171970.8</v>
      </c>
      <c r="N945" s="71" t="n">
        <v>234394.16</v>
      </c>
      <c r="O945" s="71" t="n">
        <v>937576.64</v>
      </c>
      <c r="P945" s="71" t="n">
        <v>189877.68</v>
      </c>
      <c r="Q945" s="71" t="n">
        <v>747698.96</v>
      </c>
      <c r="R945" t="inlineStr">
        <is>
          <t>Oncology</t>
        </is>
      </c>
      <c r="S945" s="70" t="n">
        <v>276</v>
      </c>
      <c r="T945" s="71" t="n">
        <v>177592.61</v>
      </c>
      <c r="U945" t="inlineStr">
        <is>
          <t>High</t>
        </is>
      </c>
      <c r="V945">
        <f>IF(AND(OR(Dashboard!$C$6="All",E945=Dashboard!$C$6),OR(Dashboard!$F$6="All",G945=Dashboard!$F$6),OR(Dashboard!$I$6="All",H945=Dashboard!$I$6)),1,0)</f>
        <v/>
      </c>
    </row>
    <row r="946">
      <c r="A946" t="inlineStr">
        <is>
          <t>PF100937</t>
        </is>
      </c>
      <c r="B946" s="68" t="n">
        <v>45771</v>
      </c>
      <c r="C946" s="69" t="n">
        <v>2025</v>
      </c>
      <c r="D946" t="inlineStr">
        <is>
          <t>Apr</t>
        </is>
      </c>
      <c r="E946" t="inlineStr">
        <is>
          <t>United States</t>
        </is>
      </c>
      <c r="F946" t="inlineStr">
        <is>
          <t>USA</t>
        </is>
      </c>
      <c r="G946" t="inlineStr">
        <is>
          <t>Paxlovid</t>
        </is>
      </c>
      <c r="H946" t="inlineStr">
        <is>
          <t>Hospital</t>
        </is>
      </c>
      <c r="I946" t="inlineStr">
        <is>
          <t>Public payer</t>
        </is>
      </c>
      <c r="J946" t="inlineStr">
        <is>
          <t>Carlos Silva</t>
        </is>
      </c>
      <c r="K946" s="70" t="n">
        <v>214</v>
      </c>
      <c r="L946" s="71" t="n">
        <v>1749.34</v>
      </c>
      <c r="M946" s="71" t="n">
        <v>374358.76</v>
      </c>
      <c r="N946" s="71" t="n">
        <v>56153.81</v>
      </c>
      <c r="O946" s="71" t="n">
        <v>318204.95</v>
      </c>
      <c r="P946" s="71" t="n">
        <v>59693.4</v>
      </c>
      <c r="Q946" s="71" t="n">
        <v>258511.55</v>
      </c>
      <c r="R946" t="inlineStr">
        <is>
          <t>Antiviral</t>
        </is>
      </c>
      <c r="S946" s="70" t="n">
        <v>185</v>
      </c>
      <c r="T946" s="71" t="n">
        <v>80366.17999999999</v>
      </c>
      <c r="U946" t="inlineStr">
        <is>
          <t>Low</t>
        </is>
      </c>
      <c r="V946">
        <f>IF(AND(OR(Dashboard!$C$6="All",E946=Dashboard!$C$6),OR(Dashboard!$F$6="All",G946=Dashboard!$F$6),OR(Dashboard!$I$6="All",H946=Dashboard!$I$6)),1,0)</f>
        <v/>
      </c>
    </row>
    <row r="947">
      <c r="A947" t="inlineStr">
        <is>
          <t>PF100938</t>
        </is>
      </c>
      <c r="B947" s="68" t="n">
        <v>45771</v>
      </c>
      <c r="C947" s="69" t="n">
        <v>2025</v>
      </c>
      <c r="D947" t="inlineStr">
        <is>
          <t>Apr</t>
        </is>
      </c>
      <c r="E947" t="inlineStr">
        <is>
          <t>International developed</t>
        </is>
      </c>
      <c r="F947" t="inlineStr">
        <is>
          <t>Japan</t>
        </is>
      </c>
      <c r="G947" t="inlineStr">
        <is>
          <t>Abrysvo</t>
        </is>
      </c>
      <c r="H947" t="inlineStr">
        <is>
          <t>Hospital</t>
        </is>
      </c>
      <c r="I947" t="inlineStr">
        <is>
          <t>Private insurer</t>
        </is>
      </c>
      <c r="J947" t="inlineStr">
        <is>
          <t>Carlos Silva</t>
        </is>
      </c>
      <c r="K947" s="70" t="n">
        <v>196</v>
      </c>
      <c r="L947" s="71" t="n">
        <v>301.75</v>
      </c>
      <c r="M947" s="71" t="n">
        <v>59143</v>
      </c>
      <c r="N947" s="71" t="n">
        <v>8871.450000000001</v>
      </c>
      <c r="O947" s="71" t="n">
        <v>50271.55</v>
      </c>
      <c r="P947" s="71" t="n">
        <v>15978.22</v>
      </c>
      <c r="Q947" s="71" t="n">
        <v>34293.33</v>
      </c>
      <c r="R947" t="inlineStr">
        <is>
          <t>Vaccines</t>
        </is>
      </c>
      <c r="S947" s="70" t="n">
        <v>165</v>
      </c>
      <c r="T947" s="71" t="n">
        <v>10559.19</v>
      </c>
      <c r="U947" t="inlineStr">
        <is>
          <t>Low</t>
        </is>
      </c>
      <c r="V947">
        <f>IF(AND(OR(Dashboard!$C$6="All",E947=Dashboard!$C$6),OR(Dashboard!$F$6="All",G947=Dashboard!$F$6),OR(Dashboard!$I$6="All",H947=Dashboard!$I$6)),1,0)</f>
        <v/>
      </c>
    </row>
    <row r="948">
      <c r="A948" t="inlineStr">
        <is>
          <t>PF100939</t>
        </is>
      </c>
      <c r="B948" s="68" t="n">
        <v>45771</v>
      </c>
      <c r="C948" s="69" t="n">
        <v>2025</v>
      </c>
      <c r="D948" t="inlineStr">
        <is>
          <t>Apr</t>
        </is>
      </c>
      <c r="E948" t="inlineStr">
        <is>
          <t>United States</t>
        </is>
      </c>
      <c r="F948" t="inlineStr">
        <is>
          <t>USA</t>
        </is>
      </c>
      <c r="G948" t="inlineStr">
        <is>
          <t>Comirnaty</t>
        </is>
      </c>
      <c r="H948" t="inlineStr">
        <is>
          <t>Retail pharmacy</t>
        </is>
      </c>
      <c r="I948" t="inlineStr">
        <is>
          <t>Private insurer</t>
        </is>
      </c>
      <c r="J948" t="inlineStr">
        <is>
          <t>Olivia Brown</t>
        </is>
      </c>
      <c r="K948" s="70" t="n">
        <v>2232</v>
      </c>
      <c r="L948" s="71" t="n">
        <v>193.36</v>
      </c>
      <c r="M948" s="71" t="n">
        <v>431579.52</v>
      </c>
      <c r="N948" s="71" t="n">
        <v>151052.83</v>
      </c>
      <c r="O948" s="71" t="n">
        <v>280526.69</v>
      </c>
      <c r="P948" s="71" t="n">
        <v>88095.60000000001</v>
      </c>
      <c r="Q948" s="71" t="n">
        <v>192431.09</v>
      </c>
      <c r="R948" t="inlineStr">
        <is>
          <t>Vaccines</t>
        </is>
      </c>
      <c r="S948" s="70" t="n">
        <v>2068</v>
      </c>
      <c r="T948" s="71" t="n">
        <v>92351.23</v>
      </c>
      <c r="U948" t="inlineStr">
        <is>
          <t>Low</t>
        </is>
      </c>
      <c r="V948">
        <f>IF(AND(OR(Dashboard!$C$6="All",E948=Dashboard!$C$6),OR(Dashboard!$F$6="All",G948=Dashboard!$F$6),OR(Dashboard!$I$6="All",H948=Dashboard!$I$6)),1,0)</f>
        <v/>
      </c>
    </row>
    <row r="949">
      <c r="A949" t="inlineStr">
        <is>
          <t>PF100940</t>
        </is>
      </c>
      <c r="B949" s="68" t="n">
        <v>45771</v>
      </c>
      <c r="C949" s="69" t="n">
        <v>2025</v>
      </c>
      <c r="D949" t="inlineStr">
        <is>
          <t>Apr</t>
        </is>
      </c>
      <c r="E949" t="inlineStr">
        <is>
          <t>Europe</t>
        </is>
      </c>
      <c r="F949" t="inlineStr">
        <is>
          <t>Spain</t>
        </is>
      </c>
      <c r="G949" t="inlineStr">
        <is>
          <t>Eliquis</t>
        </is>
      </c>
      <c r="H949" t="inlineStr">
        <is>
          <t>Hospital</t>
        </is>
      </c>
      <c r="I949" t="inlineStr">
        <is>
          <t>Private insurer</t>
        </is>
      </c>
      <c r="J949" t="inlineStr">
        <is>
          <t>Noah Smith</t>
        </is>
      </c>
      <c r="K949" s="70" t="n">
        <v>1191</v>
      </c>
      <c r="L949" s="71" t="n">
        <v>399.25</v>
      </c>
      <c r="M949" s="71" t="n">
        <v>475506.75</v>
      </c>
      <c r="N949" s="71" t="n">
        <v>118876.69</v>
      </c>
      <c r="O949" s="71" t="n">
        <v>356630.06</v>
      </c>
      <c r="P949" s="71" t="n">
        <v>88238.64</v>
      </c>
      <c r="Q949" s="71" t="n">
        <v>268391.42</v>
      </c>
      <c r="R949" t="inlineStr">
        <is>
          <t>Cardiology</t>
        </is>
      </c>
      <c r="S949" s="70" t="n">
        <v>1173</v>
      </c>
      <c r="T949" s="71" t="n">
        <v>65036.91</v>
      </c>
      <c r="U949" t="inlineStr">
        <is>
          <t>High</t>
        </is>
      </c>
      <c r="V949">
        <f>IF(AND(OR(Dashboard!$C$6="All",E949=Dashboard!$C$6),OR(Dashboard!$F$6="All",G949=Dashboard!$F$6),OR(Dashboard!$I$6="All",H949=Dashboard!$I$6)),1,0)</f>
        <v/>
      </c>
    </row>
    <row r="950">
      <c r="A950" t="inlineStr">
        <is>
          <t>PF100941</t>
        </is>
      </c>
      <c r="B950" s="68" t="n">
        <v>45771</v>
      </c>
      <c r="C950" s="69" t="n">
        <v>2025</v>
      </c>
      <c r="D950" t="inlineStr">
        <is>
          <t>Apr</t>
        </is>
      </c>
      <c r="E950" t="inlineStr">
        <is>
          <t>International developed</t>
        </is>
      </c>
      <c r="F950" t="inlineStr">
        <is>
          <t>Canada</t>
        </is>
      </c>
      <c r="G950" t="inlineStr">
        <is>
          <t>Xeljanz</t>
        </is>
      </c>
      <c r="H950" t="inlineStr">
        <is>
          <t>Hospital</t>
        </is>
      </c>
      <c r="I950" t="inlineStr">
        <is>
          <t>Public payer</t>
        </is>
      </c>
      <c r="J950" t="inlineStr">
        <is>
          <t>Zoya Ahmed</t>
        </is>
      </c>
      <c r="K950" s="70" t="n">
        <v>1311</v>
      </c>
      <c r="L950" s="71" t="n">
        <v>1501.02</v>
      </c>
      <c r="M950" s="71" t="n">
        <v>1967837.22</v>
      </c>
      <c r="N950" s="71" t="n">
        <v>491959.3</v>
      </c>
      <c r="O950" s="71" t="n">
        <v>1475877.92</v>
      </c>
      <c r="P950" s="71" t="n">
        <v>326993.04</v>
      </c>
      <c r="Q950" s="71" t="n">
        <v>1148884.88</v>
      </c>
      <c r="R950" t="inlineStr">
        <is>
          <t>Inflammation</t>
        </is>
      </c>
      <c r="S950" s="70" t="n">
        <v>875</v>
      </c>
      <c r="T950" s="71" t="n">
        <v>285011.11</v>
      </c>
      <c r="U950" t="inlineStr">
        <is>
          <t>High</t>
        </is>
      </c>
      <c r="V950">
        <f>IF(AND(OR(Dashboard!$C$6="All",E950=Dashboard!$C$6),OR(Dashboard!$F$6="All",G950=Dashboard!$F$6),OR(Dashboard!$I$6="All",H950=Dashboard!$I$6)),1,0)</f>
        <v/>
      </c>
    </row>
    <row r="951">
      <c r="A951" t="inlineStr">
        <is>
          <t>PF100942</t>
        </is>
      </c>
      <c r="B951" s="68" t="n">
        <v>45771</v>
      </c>
      <c r="C951" s="69" t="n">
        <v>2025</v>
      </c>
      <c r="D951" t="inlineStr">
        <is>
          <t>Apr</t>
        </is>
      </c>
      <c r="E951" t="inlineStr">
        <is>
          <t>United States</t>
        </is>
      </c>
      <c r="F951" t="inlineStr">
        <is>
          <t>USA</t>
        </is>
      </c>
      <c r="G951" t="inlineStr">
        <is>
          <t>Vyndaqel</t>
        </is>
      </c>
      <c r="H951" t="inlineStr">
        <is>
          <t>Hospital</t>
        </is>
      </c>
      <c r="I951" t="inlineStr">
        <is>
          <t>Public payer</t>
        </is>
      </c>
      <c r="J951" t="inlineStr">
        <is>
          <t>Ravindra Patil</t>
        </is>
      </c>
      <c r="K951" s="70" t="n">
        <v>384</v>
      </c>
      <c r="L951" s="71" t="n">
        <v>9091.52</v>
      </c>
      <c r="M951" s="71" t="n">
        <v>3491143.68</v>
      </c>
      <c r="N951" s="71" t="n">
        <v>523671.55</v>
      </c>
      <c r="O951" s="71" t="n">
        <v>2967472.13</v>
      </c>
      <c r="P951" s="71" t="n">
        <v>247452.15</v>
      </c>
      <c r="Q951" s="71" t="n">
        <v>2720019.98</v>
      </c>
      <c r="R951" t="inlineStr">
        <is>
          <t>Rare disease</t>
        </is>
      </c>
      <c r="S951" s="70" t="n">
        <v>355</v>
      </c>
      <c r="T951" s="71" t="n">
        <v>560841.21</v>
      </c>
      <c r="U951" t="inlineStr">
        <is>
          <t>Medium</t>
        </is>
      </c>
      <c r="V951">
        <f>IF(AND(OR(Dashboard!$C$6="All",E951=Dashboard!$C$6),OR(Dashboard!$F$6="All",G951=Dashboard!$F$6),OR(Dashboard!$I$6="All",H951=Dashboard!$I$6)),1,0)</f>
        <v/>
      </c>
    </row>
    <row r="952">
      <c r="A952" t="inlineStr">
        <is>
          <t>PF100943</t>
        </is>
      </c>
      <c r="B952" s="68" t="n">
        <v>45771</v>
      </c>
      <c r="C952" s="69" t="n">
        <v>2025</v>
      </c>
      <c r="D952" t="inlineStr">
        <is>
          <t>Apr</t>
        </is>
      </c>
      <c r="E952" t="inlineStr">
        <is>
          <t>Europe</t>
        </is>
      </c>
      <c r="F952" t="inlineStr">
        <is>
          <t>Spain</t>
        </is>
      </c>
      <c r="G952" t="inlineStr">
        <is>
          <t>Paxlovid</t>
        </is>
      </c>
      <c r="H952" t="inlineStr">
        <is>
          <t>Hospital</t>
        </is>
      </c>
      <c r="I952" t="inlineStr">
        <is>
          <t>Public payer</t>
        </is>
      </c>
      <c r="J952" t="inlineStr">
        <is>
          <t>Yuki Sato</t>
        </is>
      </c>
      <c r="K952" s="70" t="n">
        <v>1464</v>
      </c>
      <c r="L952" s="71" t="n">
        <v>1003.83</v>
      </c>
      <c r="M952" s="71" t="n">
        <v>1469607.12</v>
      </c>
      <c r="N952" s="71" t="n">
        <v>367401.78</v>
      </c>
      <c r="O952" s="71" t="n">
        <v>1102205.34</v>
      </c>
      <c r="P952" s="71" t="n">
        <v>411450.25</v>
      </c>
      <c r="Q952" s="71" t="n">
        <v>690755.09</v>
      </c>
      <c r="R952" t="inlineStr">
        <is>
          <t>Antiviral</t>
        </is>
      </c>
      <c r="S952" s="70" t="n">
        <v>1014</v>
      </c>
      <c r="T952" s="71" t="n">
        <v>250469.65</v>
      </c>
      <c r="U952" t="inlineStr">
        <is>
          <t>Low</t>
        </is>
      </c>
      <c r="V952">
        <f>IF(AND(OR(Dashboard!$C$6="All",E952=Dashboard!$C$6),OR(Dashboard!$F$6="All",G952=Dashboard!$F$6),OR(Dashboard!$I$6="All",H952=Dashboard!$I$6)),1,0)</f>
        <v/>
      </c>
    </row>
    <row r="953">
      <c r="A953" t="inlineStr">
        <is>
          <t>PF100944</t>
        </is>
      </c>
      <c r="B953" s="68" t="n">
        <v>45771</v>
      </c>
      <c r="C953" s="69" t="n">
        <v>2025</v>
      </c>
      <c r="D953" t="inlineStr">
        <is>
          <t>Apr</t>
        </is>
      </c>
      <c r="E953" t="inlineStr">
        <is>
          <t>United States</t>
        </is>
      </c>
      <c r="F953" t="inlineStr">
        <is>
          <t>USA</t>
        </is>
      </c>
      <c r="G953" t="inlineStr">
        <is>
          <t>Prevnar 20</t>
        </is>
      </c>
      <c r="H953" t="inlineStr">
        <is>
          <t>Retail pharmacy</t>
        </is>
      </c>
      <c r="I953" t="inlineStr">
        <is>
          <t>Private insurer</t>
        </is>
      </c>
      <c r="J953" t="inlineStr">
        <is>
          <t>Omar Haddad</t>
        </is>
      </c>
      <c r="K953" s="70" t="n">
        <v>640</v>
      </c>
      <c r="L953" s="71" t="n">
        <v>380.72</v>
      </c>
      <c r="M953" s="71" t="n">
        <v>243660.8</v>
      </c>
      <c r="N953" s="71" t="n">
        <v>60915.2</v>
      </c>
      <c r="O953" s="71" t="n">
        <v>182745.6</v>
      </c>
      <c r="P953" s="71" t="n">
        <v>42794.7</v>
      </c>
      <c r="Q953" s="71" t="n">
        <v>139950.9</v>
      </c>
      <c r="R953" t="inlineStr">
        <is>
          <t>Vaccines</t>
        </is>
      </c>
      <c r="S953" s="70" t="n">
        <v>465</v>
      </c>
      <c r="T953" s="71" t="n">
        <v>30488.02</v>
      </c>
      <c r="U953" t="inlineStr">
        <is>
          <t>Low</t>
        </is>
      </c>
      <c r="V953">
        <f>IF(AND(OR(Dashboard!$C$6="All",E953=Dashboard!$C$6),OR(Dashboard!$F$6="All",G953=Dashboard!$F$6),OR(Dashboard!$I$6="All",H953=Dashboard!$I$6)),1,0)</f>
        <v/>
      </c>
    </row>
    <row r="954">
      <c r="A954" t="inlineStr">
        <is>
          <t>PF100945</t>
        </is>
      </c>
      <c r="B954" s="68" t="n">
        <v>45772</v>
      </c>
      <c r="C954" s="69" t="n">
        <v>2025</v>
      </c>
      <c r="D954" t="inlineStr">
        <is>
          <t>Apr</t>
        </is>
      </c>
      <c r="E954" t="inlineStr">
        <is>
          <t>Europe</t>
        </is>
      </c>
      <c r="F954" t="inlineStr">
        <is>
          <t>France</t>
        </is>
      </c>
      <c r="G954" t="inlineStr">
        <is>
          <t>Xeljanz</t>
        </is>
      </c>
      <c r="H954" t="inlineStr">
        <is>
          <t>Government / tender</t>
        </is>
      </c>
      <c r="I954" t="inlineStr">
        <is>
          <t>Private insurer</t>
        </is>
      </c>
      <c r="J954" t="inlineStr">
        <is>
          <t>Yuki Sato</t>
        </is>
      </c>
      <c r="K954" s="70" t="n">
        <v>2541</v>
      </c>
      <c r="L954" s="71" t="n">
        <v>1390.21</v>
      </c>
      <c r="M954" s="71" t="n">
        <v>3532523.61</v>
      </c>
      <c r="N954" s="71" t="n">
        <v>176626.18</v>
      </c>
      <c r="O954" s="71" t="n">
        <v>3355897.43</v>
      </c>
      <c r="P954" s="71" t="n">
        <v>635584.87</v>
      </c>
      <c r="Q954" s="71" t="n">
        <v>2720312.56</v>
      </c>
      <c r="R954" t="inlineStr">
        <is>
          <t>Inflammation</t>
        </is>
      </c>
      <c r="S954" s="70" t="n">
        <v>1846</v>
      </c>
      <c r="T954" s="71" t="n">
        <v>672400.89</v>
      </c>
      <c r="U954" t="inlineStr">
        <is>
          <t>High</t>
        </is>
      </c>
      <c r="V954">
        <f>IF(AND(OR(Dashboard!$C$6="All",E954=Dashboard!$C$6),OR(Dashboard!$F$6="All",G954=Dashboard!$F$6),OR(Dashboard!$I$6="All",H954=Dashboard!$I$6)),1,0)</f>
        <v/>
      </c>
    </row>
    <row r="955">
      <c r="A955" t="inlineStr">
        <is>
          <t>PF100946</t>
        </is>
      </c>
      <c r="B955" s="68" t="n">
        <v>45772</v>
      </c>
      <c r="C955" s="69" t="n">
        <v>2025</v>
      </c>
      <c r="D955" t="inlineStr">
        <is>
          <t>Apr</t>
        </is>
      </c>
      <c r="E955" t="inlineStr">
        <is>
          <t>United States</t>
        </is>
      </c>
      <c r="F955" t="inlineStr">
        <is>
          <t>USA</t>
        </is>
      </c>
      <c r="G955" t="inlineStr">
        <is>
          <t>Prevnar 20</t>
        </is>
      </c>
      <c r="H955" t="inlineStr">
        <is>
          <t>Retail pharmacy</t>
        </is>
      </c>
      <c r="I955" t="inlineStr">
        <is>
          <t>Private insurer</t>
        </is>
      </c>
      <c r="J955" t="inlineStr">
        <is>
          <t>Emma Clarke</t>
        </is>
      </c>
      <c r="K955" s="70" t="n">
        <v>2614</v>
      </c>
      <c r="L955" s="71" t="n">
        <v>359.87</v>
      </c>
      <c r="M955" s="71" t="n">
        <v>940700.1800000001</v>
      </c>
      <c r="N955" s="71" t="n">
        <v>141105.03</v>
      </c>
      <c r="O955" s="71" t="n">
        <v>799595.15</v>
      </c>
      <c r="P955" s="71" t="n">
        <v>186185.92</v>
      </c>
      <c r="Q955" s="71" t="n">
        <v>613409.23</v>
      </c>
      <c r="R955" t="inlineStr">
        <is>
          <t>Vaccines</t>
        </is>
      </c>
      <c r="S955" s="70" t="n">
        <v>2390</v>
      </c>
      <c r="T955" s="71" t="n">
        <v>203127.48</v>
      </c>
      <c r="U955" t="inlineStr">
        <is>
          <t>Low</t>
        </is>
      </c>
      <c r="V955">
        <f>IF(AND(OR(Dashboard!$C$6="All",E955=Dashboard!$C$6),OR(Dashboard!$F$6="All",G955=Dashboard!$F$6),OR(Dashboard!$I$6="All",H955=Dashboard!$I$6)),1,0)</f>
        <v/>
      </c>
    </row>
    <row r="956">
      <c r="A956" t="inlineStr">
        <is>
          <t>PF100947</t>
        </is>
      </c>
      <c r="B956" s="68" t="n">
        <v>45772</v>
      </c>
      <c r="C956" s="69" t="n">
        <v>2025</v>
      </c>
      <c r="D956" t="inlineStr">
        <is>
          <t>Apr</t>
        </is>
      </c>
      <c r="E956" t="inlineStr">
        <is>
          <t>United States</t>
        </is>
      </c>
      <c r="F956" t="inlineStr">
        <is>
          <t>USA</t>
        </is>
      </c>
      <c r="G956" t="inlineStr">
        <is>
          <t>Eliquis</t>
        </is>
      </c>
      <c r="H956" t="inlineStr">
        <is>
          <t>Hospital</t>
        </is>
      </c>
      <c r="I956" t="inlineStr">
        <is>
          <t>Private insurer</t>
        </is>
      </c>
      <c r="J956" t="inlineStr">
        <is>
          <t>Arjun Mehta</t>
        </is>
      </c>
      <c r="K956" s="70" t="n">
        <v>2361</v>
      </c>
      <c r="L956" s="71" t="n">
        <v>674.67</v>
      </c>
      <c r="M956" s="71" t="n">
        <v>1592895.87</v>
      </c>
      <c r="N956" s="71" t="n">
        <v>238934.38</v>
      </c>
      <c r="O956" s="71" t="n">
        <v>1353961.49</v>
      </c>
      <c r="P956" s="71" t="n">
        <v>176173.16</v>
      </c>
      <c r="Q956" s="71" t="n">
        <v>1177788.33</v>
      </c>
      <c r="R956" t="inlineStr">
        <is>
          <t>Cardiology</t>
        </is>
      </c>
      <c r="S956" s="70" t="n">
        <v>1819</v>
      </c>
      <c r="T956" s="71" t="n">
        <v>315153.8</v>
      </c>
      <c r="U956" t="inlineStr">
        <is>
          <t>High</t>
        </is>
      </c>
      <c r="V956">
        <f>IF(AND(OR(Dashboard!$C$6="All",E956=Dashboard!$C$6),OR(Dashboard!$F$6="All",G956=Dashboard!$F$6),OR(Dashboard!$I$6="All",H956=Dashboard!$I$6)),1,0)</f>
        <v/>
      </c>
    </row>
    <row r="957">
      <c r="A957" t="inlineStr">
        <is>
          <t>PF100948</t>
        </is>
      </c>
      <c r="B957" s="68" t="n">
        <v>45772</v>
      </c>
      <c r="C957" s="69" t="n">
        <v>2025</v>
      </c>
      <c r="D957" t="inlineStr">
        <is>
          <t>Apr</t>
        </is>
      </c>
      <c r="E957" t="inlineStr">
        <is>
          <t>United States</t>
        </is>
      </c>
      <c r="F957" t="inlineStr">
        <is>
          <t>USA</t>
        </is>
      </c>
      <c r="G957" t="inlineStr">
        <is>
          <t>Prevnar 20</t>
        </is>
      </c>
      <c r="H957" t="inlineStr">
        <is>
          <t>Retail pharmacy</t>
        </is>
      </c>
      <c r="I957" t="inlineStr">
        <is>
          <t>Public payer</t>
        </is>
      </c>
      <c r="J957" t="inlineStr">
        <is>
          <t>Kofi Mensah</t>
        </is>
      </c>
      <c r="K957" s="70" t="n">
        <v>1371</v>
      </c>
      <c r="L957" s="71" t="n">
        <v>334.88</v>
      </c>
      <c r="M957" s="71" t="n">
        <v>459120.48</v>
      </c>
      <c r="N957" s="71" t="n">
        <v>160692.17</v>
      </c>
      <c r="O957" s="71" t="n">
        <v>298428.31</v>
      </c>
      <c r="P957" s="71" t="n">
        <v>94692.48</v>
      </c>
      <c r="Q957" s="71" t="n">
        <v>203735.83</v>
      </c>
      <c r="R957" t="inlineStr">
        <is>
          <t>Vaccines</t>
        </is>
      </c>
      <c r="S957" s="70" t="n">
        <v>991</v>
      </c>
      <c r="T957" s="71" t="n">
        <v>79763.97</v>
      </c>
      <c r="U957" t="inlineStr">
        <is>
          <t>Low</t>
        </is>
      </c>
      <c r="V957">
        <f>IF(AND(OR(Dashboard!$C$6="All",E957=Dashboard!$C$6),OR(Dashboard!$F$6="All",G957=Dashboard!$F$6),OR(Dashboard!$I$6="All",H957=Dashboard!$I$6)),1,0)</f>
        <v/>
      </c>
    </row>
    <row r="958">
      <c r="A958" t="inlineStr">
        <is>
          <t>PF100949</t>
        </is>
      </c>
      <c r="B958" s="68" t="n">
        <v>45772</v>
      </c>
      <c r="C958" s="69" t="n">
        <v>2025</v>
      </c>
      <c r="D958" t="inlineStr">
        <is>
          <t>Apr</t>
        </is>
      </c>
      <c r="E958" t="inlineStr">
        <is>
          <t>United States</t>
        </is>
      </c>
      <c r="F958" t="inlineStr">
        <is>
          <t>USA</t>
        </is>
      </c>
      <c r="G958" t="inlineStr">
        <is>
          <t>Comirnaty</t>
        </is>
      </c>
      <c r="H958" t="inlineStr">
        <is>
          <t>Retail pharmacy</t>
        </is>
      </c>
      <c r="I958" t="inlineStr">
        <is>
          <t>Private insurer</t>
        </is>
      </c>
      <c r="J958" t="inlineStr">
        <is>
          <t>Emma Clarke</t>
        </is>
      </c>
      <c r="K958" s="70" t="n">
        <v>1147</v>
      </c>
      <c r="L958" s="71" t="n">
        <v>174.58</v>
      </c>
      <c r="M958" s="71" t="n">
        <v>200243.26</v>
      </c>
      <c r="N958" s="71" t="n">
        <v>70085.14</v>
      </c>
      <c r="O958" s="71" t="n">
        <v>130158.12</v>
      </c>
      <c r="P958" s="71" t="n">
        <v>44572.98</v>
      </c>
      <c r="Q958" s="71" t="n">
        <v>85585.14</v>
      </c>
      <c r="R958" t="inlineStr">
        <is>
          <t>Vaccines</t>
        </is>
      </c>
      <c r="S958" s="70" t="n">
        <v>718</v>
      </c>
      <c r="T958" s="71" t="n">
        <v>29690.16</v>
      </c>
      <c r="U958" t="inlineStr">
        <is>
          <t>Low</t>
        </is>
      </c>
      <c r="V958">
        <f>IF(AND(OR(Dashboard!$C$6="All",E958=Dashboard!$C$6),OR(Dashboard!$F$6="All",G958=Dashboard!$F$6),OR(Dashboard!$I$6="All",H958=Dashboard!$I$6)),1,0)</f>
        <v/>
      </c>
    </row>
    <row r="959">
      <c r="A959" t="inlineStr">
        <is>
          <t>PF100950</t>
        </is>
      </c>
      <c r="B959" s="68" t="n">
        <v>45772</v>
      </c>
      <c r="C959" s="69" t="n">
        <v>2025</v>
      </c>
      <c r="D959" t="inlineStr">
        <is>
          <t>Apr</t>
        </is>
      </c>
      <c r="E959" t="inlineStr">
        <is>
          <t>United States</t>
        </is>
      </c>
      <c r="F959" t="inlineStr">
        <is>
          <t>USA</t>
        </is>
      </c>
      <c r="G959" t="inlineStr">
        <is>
          <t>Xeljanz</t>
        </is>
      </c>
      <c r="H959" t="inlineStr">
        <is>
          <t>Hospital</t>
        </is>
      </c>
      <c r="I959" t="inlineStr">
        <is>
          <t>Public payer</t>
        </is>
      </c>
      <c r="J959" t="inlineStr">
        <is>
          <t>Aisha Bello</t>
        </is>
      </c>
      <c r="K959" s="70" t="n">
        <v>1714</v>
      </c>
      <c r="L959" s="71" t="n">
        <v>2309.39</v>
      </c>
      <c r="M959" s="71" t="n">
        <v>3958294.46</v>
      </c>
      <c r="N959" s="71" t="n">
        <v>1385403.06</v>
      </c>
      <c r="O959" s="71" t="n">
        <v>2572891.4</v>
      </c>
      <c r="P959" s="71" t="n">
        <v>435811</v>
      </c>
      <c r="Q959" s="71" t="n">
        <v>2137080.4</v>
      </c>
      <c r="R959" t="inlineStr">
        <is>
          <t>Inflammation</t>
        </is>
      </c>
      <c r="S959" s="70" t="n">
        <v>1111</v>
      </c>
      <c r="T959" s="71" t="n">
        <v>836082.03</v>
      </c>
      <c r="U959" t="inlineStr">
        <is>
          <t>High</t>
        </is>
      </c>
      <c r="V959">
        <f>IF(AND(OR(Dashboard!$C$6="All",E959=Dashboard!$C$6),OR(Dashboard!$F$6="All",G959=Dashboard!$F$6),OR(Dashboard!$I$6="All",H959=Dashboard!$I$6)),1,0)</f>
        <v/>
      </c>
    </row>
    <row r="960">
      <c r="A960" t="inlineStr">
        <is>
          <t>PF100951</t>
        </is>
      </c>
      <c r="B960" s="68" t="n">
        <v>45772</v>
      </c>
      <c r="C960" s="69" t="n">
        <v>2025</v>
      </c>
      <c r="D960" t="inlineStr">
        <is>
          <t>Apr</t>
        </is>
      </c>
      <c r="E960" t="inlineStr">
        <is>
          <t>International developed</t>
        </is>
      </c>
      <c r="F960" t="inlineStr">
        <is>
          <t>Japan</t>
        </is>
      </c>
      <c r="G960" t="inlineStr">
        <is>
          <t>Xeljanz</t>
        </is>
      </c>
      <c r="H960" t="inlineStr">
        <is>
          <t>Retail pharmacy</t>
        </is>
      </c>
      <c r="I960" t="inlineStr">
        <is>
          <t>Public payer</t>
        </is>
      </c>
      <c r="J960" t="inlineStr">
        <is>
          <t>Mei Lin</t>
        </is>
      </c>
      <c r="K960" s="70" t="n">
        <v>1332</v>
      </c>
      <c r="L960" s="71" t="n">
        <v>1522.16</v>
      </c>
      <c r="M960" s="71" t="n">
        <v>2027517.12</v>
      </c>
      <c r="N960" s="71" t="n">
        <v>405503.42</v>
      </c>
      <c r="O960" s="71" t="n">
        <v>1622013.7</v>
      </c>
      <c r="P960" s="71" t="n">
        <v>346323.44</v>
      </c>
      <c r="Q960" s="71" t="n">
        <v>1275690.26</v>
      </c>
      <c r="R960" t="inlineStr">
        <is>
          <t>Inflammation</t>
        </is>
      </c>
      <c r="S960" s="70" t="n">
        <v>1163</v>
      </c>
      <c r="T960" s="71" t="n">
        <v>372831.42</v>
      </c>
      <c r="U960" t="inlineStr">
        <is>
          <t>High</t>
        </is>
      </c>
      <c r="V960">
        <f>IF(AND(OR(Dashboard!$C$6="All",E960=Dashboard!$C$6),OR(Dashboard!$F$6="All",G960=Dashboard!$F$6),OR(Dashboard!$I$6="All",H960=Dashboard!$I$6)),1,0)</f>
        <v/>
      </c>
    </row>
    <row r="961">
      <c r="A961" t="inlineStr">
        <is>
          <t>PF100952</t>
        </is>
      </c>
      <c r="B961" s="68" t="n">
        <v>45773</v>
      </c>
      <c r="C961" s="69" t="n">
        <v>2025</v>
      </c>
      <c r="D961" t="inlineStr">
        <is>
          <t>Apr</t>
        </is>
      </c>
      <c r="E961" t="inlineStr">
        <is>
          <t>United States</t>
        </is>
      </c>
      <c r="F961" t="inlineStr">
        <is>
          <t>USA</t>
        </is>
      </c>
      <c r="G961" t="inlineStr">
        <is>
          <t>Vyndaqel</t>
        </is>
      </c>
      <c r="H961" t="inlineStr">
        <is>
          <t>Retail pharmacy</t>
        </is>
      </c>
      <c r="I961" t="inlineStr">
        <is>
          <t>Public payer</t>
        </is>
      </c>
      <c r="J961" t="inlineStr">
        <is>
          <t>Liam O'Brien</t>
        </is>
      </c>
      <c r="K961" s="70" t="n">
        <v>1837</v>
      </c>
      <c r="L961" s="71" t="n">
        <v>8748.75</v>
      </c>
      <c r="M961" s="71" t="n">
        <v>16071453.75</v>
      </c>
      <c r="N961" s="71" t="n">
        <v>4017863.44</v>
      </c>
      <c r="O961" s="71" t="n">
        <v>12053590.31</v>
      </c>
      <c r="P961" s="71" t="n">
        <v>1117027.68</v>
      </c>
      <c r="Q961" s="71" t="n">
        <v>10936562.63</v>
      </c>
      <c r="R961" t="inlineStr">
        <is>
          <t>Rare disease</t>
        </is>
      </c>
      <c r="S961" s="70" t="n">
        <v>1569</v>
      </c>
      <c r="T961" s="71" t="n">
        <v>1971796.12</v>
      </c>
      <c r="U961" t="inlineStr">
        <is>
          <t>Medium</t>
        </is>
      </c>
      <c r="V961">
        <f>IF(AND(OR(Dashboard!$C$6="All",E961=Dashboard!$C$6),OR(Dashboard!$F$6="All",G961=Dashboard!$F$6),OR(Dashboard!$I$6="All",H961=Dashboard!$I$6)),1,0)</f>
        <v/>
      </c>
    </row>
    <row r="962">
      <c r="A962" t="inlineStr">
        <is>
          <t>PF100953</t>
        </is>
      </c>
      <c r="B962" s="68" t="n">
        <v>45773</v>
      </c>
      <c r="C962" s="69" t="n">
        <v>2025</v>
      </c>
      <c r="D962" t="inlineStr">
        <is>
          <t>Apr</t>
        </is>
      </c>
      <c r="E962" t="inlineStr">
        <is>
          <t>Emerging markets</t>
        </is>
      </c>
      <c r="F962" t="inlineStr">
        <is>
          <t>China</t>
        </is>
      </c>
      <c r="G962" t="inlineStr">
        <is>
          <t>Ibrance</t>
        </is>
      </c>
      <c r="H962" t="inlineStr">
        <is>
          <t>Retail pharmacy</t>
        </is>
      </c>
      <c r="I962" t="inlineStr">
        <is>
          <t>Private insurer</t>
        </is>
      </c>
      <c r="J962" t="inlineStr">
        <is>
          <t>Ana Costa</t>
        </is>
      </c>
      <c r="K962" s="70" t="n">
        <v>92</v>
      </c>
      <c r="L962" s="71" t="n">
        <v>2996.25</v>
      </c>
      <c r="M962" s="71" t="n">
        <v>275655</v>
      </c>
      <c r="N962" s="71" t="n">
        <v>13782.75</v>
      </c>
      <c r="O962" s="71" t="n">
        <v>261872.25</v>
      </c>
      <c r="P962" s="71" t="n">
        <v>40683.85</v>
      </c>
      <c r="Q962" s="71" t="n">
        <v>221188.4</v>
      </c>
      <c r="R962" t="inlineStr">
        <is>
          <t>Oncology</t>
        </is>
      </c>
      <c r="S962" s="70" t="n">
        <v>77</v>
      </c>
      <c r="T962" s="71" t="n">
        <v>57779.37</v>
      </c>
      <c r="U962" t="inlineStr">
        <is>
          <t>High</t>
        </is>
      </c>
      <c r="V962">
        <f>IF(AND(OR(Dashboard!$C$6="All",E962=Dashboard!$C$6),OR(Dashboard!$F$6="All",G962=Dashboard!$F$6),OR(Dashboard!$I$6="All",H962=Dashboard!$I$6)),1,0)</f>
        <v/>
      </c>
    </row>
    <row r="963">
      <c r="A963" t="inlineStr">
        <is>
          <t>PF100954</t>
        </is>
      </c>
      <c r="B963" s="68" t="n">
        <v>45773</v>
      </c>
      <c r="C963" s="69" t="n">
        <v>2025</v>
      </c>
      <c r="D963" t="inlineStr">
        <is>
          <t>Apr</t>
        </is>
      </c>
      <c r="E963" t="inlineStr">
        <is>
          <t>Emerging markets</t>
        </is>
      </c>
      <c r="F963" t="inlineStr">
        <is>
          <t>China</t>
        </is>
      </c>
      <c r="G963" t="inlineStr">
        <is>
          <t>Paxlovid</t>
        </is>
      </c>
      <c r="H963" t="inlineStr">
        <is>
          <t>Government / tender</t>
        </is>
      </c>
      <c r="I963" t="inlineStr">
        <is>
          <t>Private insurer</t>
        </is>
      </c>
      <c r="J963" t="inlineStr">
        <is>
          <t>Fatima Al-Saud</t>
        </is>
      </c>
      <c r="K963" s="70" t="n">
        <v>584</v>
      </c>
      <c r="L963" s="71" t="n">
        <v>1155.36</v>
      </c>
      <c r="M963" s="71" t="n">
        <v>674730.24</v>
      </c>
      <c r="N963" s="71" t="n">
        <v>33736.51</v>
      </c>
      <c r="O963" s="71" t="n">
        <v>640993.73</v>
      </c>
      <c r="P963" s="71" t="n">
        <v>156231.48</v>
      </c>
      <c r="Q963" s="71" t="n">
        <v>484762.25</v>
      </c>
      <c r="R963" t="inlineStr">
        <is>
          <t>Antiviral</t>
        </is>
      </c>
      <c r="S963" s="70" t="n">
        <v>570</v>
      </c>
      <c r="T963" s="71" t="n">
        <v>102338.28</v>
      </c>
      <c r="U963" t="inlineStr">
        <is>
          <t>Low</t>
        </is>
      </c>
      <c r="V963">
        <f>IF(AND(OR(Dashboard!$C$6="All",E963=Dashboard!$C$6),OR(Dashboard!$F$6="All",G963=Dashboard!$F$6),OR(Dashboard!$I$6="All",H963=Dashboard!$I$6)),1,0)</f>
        <v/>
      </c>
    </row>
    <row r="964">
      <c r="A964" t="inlineStr">
        <is>
          <t>PF100955</t>
        </is>
      </c>
      <c r="B964" s="68" t="n">
        <v>45773</v>
      </c>
      <c r="C964" s="69" t="n">
        <v>2025</v>
      </c>
      <c r="D964" t="inlineStr">
        <is>
          <t>Apr</t>
        </is>
      </c>
      <c r="E964" t="inlineStr">
        <is>
          <t>Emerging markets</t>
        </is>
      </c>
      <c r="F964" t="inlineStr">
        <is>
          <t>China</t>
        </is>
      </c>
      <c r="G964" t="inlineStr">
        <is>
          <t>Prevnar 20</t>
        </is>
      </c>
      <c r="H964" t="inlineStr">
        <is>
          <t>Retail pharmacy</t>
        </is>
      </c>
      <c r="I964" t="inlineStr">
        <is>
          <t>Private insurer</t>
        </is>
      </c>
      <c r="J964" t="inlineStr">
        <is>
          <t>Olivia Brown</t>
        </is>
      </c>
      <c r="K964" s="70" t="n">
        <v>971</v>
      </c>
      <c r="L964" s="71" t="n">
        <v>234.98</v>
      </c>
      <c r="M964" s="71" t="n">
        <v>228165.58</v>
      </c>
      <c r="N964" s="71" t="n">
        <v>22816.56</v>
      </c>
      <c r="O964" s="71" t="n">
        <v>205349.02</v>
      </c>
      <c r="P964" s="71" t="n">
        <v>66448.23</v>
      </c>
      <c r="Q964" s="71" t="n">
        <v>138900.79</v>
      </c>
      <c r="R964" t="inlineStr">
        <is>
          <t>Vaccines</t>
        </is>
      </c>
      <c r="S964" s="70" t="n">
        <v>686</v>
      </c>
      <c r="T964" s="71" t="n">
        <v>29119.71</v>
      </c>
      <c r="U964" t="inlineStr">
        <is>
          <t>Low</t>
        </is>
      </c>
      <c r="V964">
        <f>IF(AND(OR(Dashboard!$C$6="All",E964=Dashboard!$C$6),OR(Dashboard!$F$6="All",G964=Dashboard!$F$6),OR(Dashboard!$I$6="All",H964=Dashboard!$I$6)),1,0)</f>
        <v/>
      </c>
    </row>
    <row r="965">
      <c r="A965" t="inlineStr">
        <is>
          <t>PF100956</t>
        </is>
      </c>
      <c r="B965" s="68" t="n">
        <v>45773</v>
      </c>
      <c r="C965" s="69" t="n">
        <v>2025</v>
      </c>
      <c r="D965" t="inlineStr">
        <is>
          <t>Apr</t>
        </is>
      </c>
      <c r="E965" t="inlineStr">
        <is>
          <t>United States</t>
        </is>
      </c>
      <c r="F965" t="inlineStr">
        <is>
          <t>USA</t>
        </is>
      </c>
      <c r="G965" t="inlineStr">
        <is>
          <t>Paxlovid</t>
        </is>
      </c>
      <c r="H965" t="inlineStr">
        <is>
          <t>Retail pharmacy</t>
        </is>
      </c>
      <c r="I965" t="inlineStr">
        <is>
          <t>Self-pay</t>
        </is>
      </c>
      <c r="J965" t="inlineStr">
        <is>
          <t>Carlos Silva</t>
        </is>
      </c>
      <c r="K965" s="70" t="n">
        <v>1190</v>
      </c>
      <c r="L965" s="71" t="n">
        <v>1917.18</v>
      </c>
      <c r="M965" s="71" t="n">
        <v>2281444.2</v>
      </c>
      <c r="N965" s="71" t="n">
        <v>684433.26</v>
      </c>
      <c r="O965" s="71" t="n">
        <v>1597010.94</v>
      </c>
      <c r="P965" s="71" t="n">
        <v>338721.01</v>
      </c>
      <c r="Q965" s="71" t="n">
        <v>1258289.93</v>
      </c>
      <c r="R965" t="inlineStr">
        <is>
          <t>Antiviral</t>
        </is>
      </c>
      <c r="S965" s="70" t="n">
        <v>951</v>
      </c>
      <c r="T965" s="71" t="n">
        <v>456614.42</v>
      </c>
      <c r="U965" t="inlineStr">
        <is>
          <t>Low</t>
        </is>
      </c>
      <c r="V965">
        <f>IF(AND(OR(Dashboard!$C$6="All",E965=Dashboard!$C$6),OR(Dashboard!$F$6="All",G965=Dashboard!$F$6),OR(Dashboard!$I$6="All",H965=Dashboard!$I$6)),1,0)</f>
        <v/>
      </c>
    </row>
    <row r="966">
      <c r="A966" t="inlineStr">
        <is>
          <t>PF100957</t>
        </is>
      </c>
      <c r="B966" s="68" t="n">
        <v>45773</v>
      </c>
      <c r="C966" s="69" t="n">
        <v>2025</v>
      </c>
      <c r="D966" t="inlineStr">
        <is>
          <t>Apr</t>
        </is>
      </c>
      <c r="E966" t="inlineStr">
        <is>
          <t>United States</t>
        </is>
      </c>
      <c r="F966" t="inlineStr">
        <is>
          <t>USA</t>
        </is>
      </c>
      <c r="G966" t="inlineStr">
        <is>
          <t>Paxlovid</t>
        </is>
      </c>
      <c r="H966" t="inlineStr">
        <is>
          <t>Retail pharmacy</t>
        </is>
      </c>
      <c r="I966" t="inlineStr">
        <is>
          <t>Private insurer</t>
        </is>
      </c>
      <c r="J966" t="inlineStr">
        <is>
          <t>Lucas Martin</t>
        </is>
      </c>
      <c r="K966" s="70" t="n">
        <v>2183</v>
      </c>
      <c r="L966" s="71" t="n">
        <v>1835.58</v>
      </c>
      <c r="M966" s="71" t="n">
        <v>4007071.14</v>
      </c>
      <c r="N966" s="71" t="n">
        <v>601060.67</v>
      </c>
      <c r="O966" s="71" t="n">
        <v>3406010.47</v>
      </c>
      <c r="P966" s="71" t="n">
        <v>621976.08</v>
      </c>
      <c r="Q966" s="71" t="n">
        <v>2784034.39</v>
      </c>
      <c r="R966" t="inlineStr">
        <is>
          <t>Antiviral</t>
        </is>
      </c>
      <c r="S966" s="70" t="n">
        <v>1592</v>
      </c>
      <c r="T966" s="71" t="n">
        <v>517699.28</v>
      </c>
      <c r="U966" t="inlineStr">
        <is>
          <t>Low</t>
        </is>
      </c>
      <c r="V966">
        <f>IF(AND(OR(Dashboard!$C$6="All",E966=Dashboard!$C$6),OR(Dashboard!$F$6="All",G966=Dashboard!$F$6),OR(Dashboard!$I$6="All",H966=Dashboard!$I$6)),1,0)</f>
        <v/>
      </c>
    </row>
    <row r="967">
      <c r="A967" t="inlineStr">
        <is>
          <t>PF100958</t>
        </is>
      </c>
      <c r="B967" s="68" t="n">
        <v>45773</v>
      </c>
      <c r="C967" s="69" t="n">
        <v>2025</v>
      </c>
      <c r="D967" t="inlineStr">
        <is>
          <t>Apr</t>
        </is>
      </c>
      <c r="E967" t="inlineStr">
        <is>
          <t>United States</t>
        </is>
      </c>
      <c r="F967" t="inlineStr">
        <is>
          <t>USA</t>
        </is>
      </c>
      <c r="G967" t="inlineStr">
        <is>
          <t>Prevnar 20</t>
        </is>
      </c>
      <c r="H967" t="inlineStr">
        <is>
          <t>Hospital</t>
        </is>
      </c>
      <c r="I967" t="inlineStr">
        <is>
          <t>Private insurer</t>
        </is>
      </c>
      <c r="J967" t="inlineStr">
        <is>
          <t>Lucas Martin</t>
        </is>
      </c>
      <c r="K967" s="70" t="n">
        <v>2051</v>
      </c>
      <c r="L967" s="71" t="n">
        <v>403.07</v>
      </c>
      <c r="M967" s="71" t="n">
        <v>826696.5699999999</v>
      </c>
      <c r="N967" s="71" t="n">
        <v>124004.49</v>
      </c>
      <c r="O967" s="71" t="n">
        <v>702692.08</v>
      </c>
      <c r="P967" s="71" t="n">
        <v>141591.01</v>
      </c>
      <c r="Q967" s="71" t="n">
        <v>561101.0699999999</v>
      </c>
      <c r="R967" t="inlineStr">
        <is>
          <t>Vaccines</t>
        </is>
      </c>
      <c r="S967" s="70" t="n">
        <v>1555</v>
      </c>
      <c r="T967" s="71" t="n">
        <v>162352.54</v>
      </c>
      <c r="U967" t="inlineStr">
        <is>
          <t>Low</t>
        </is>
      </c>
      <c r="V967">
        <f>IF(AND(OR(Dashboard!$C$6="All",E967=Dashboard!$C$6),OR(Dashboard!$F$6="All",G967=Dashboard!$F$6),OR(Dashboard!$I$6="All",H967=Dashboard!$I$6)),1,0)</f>
        <v/>
      </c>
    </row>
    <row r="968">
      <c r="A968" t="inlineStr">
        <is>
          <t>PF100959</t>
        </is>
      </c>
      <c r="B968" s="68" t="n">
        <v>45773</v>
      </c>
      <c r="C968" s="69" t="n">
        <v>2025</v>
      </c>
      <c r="D968" t="inlineStr">
        <is>
          <t>Apr</t>
        </is>
      </c>
      <c r="E968" t="inlineStr">
        <is>
          <t>Emerging markets</t>
        </is>
      </c>
      <c r="F968" t="inlineStr">
        <is>
          <t>India</t>
        </is>
      </c>
      <c r="G968" t="inlineStr">
        <is>
          <t>Eliquis</t>
        </is>
      </c>
      <c r="H968" t="inlineStr">
        <is>
          <t>Government / tender</t>
        </is>
      </c>
      <c r="I968" t="inlineStr">
        <is>
          <t>Public payer</t>
        </is>
      </c>
      <c r="J968" t="inlineStr">
        <is>
          <t>Arjun Mehta</t>
        </is>
      </c>
      <c r="K968" s="70" t="n">
        <v>1468</v>
      </c>
      <c r="L968" s="71" t="n">
        <v>438.96</v>
      </c>
      <c r="M968" s="71" t="n">
        <v>644393.28</v>
      </c>
      <c r="N968" s="71" t="n">
        <v>161098.32</v>
      </c>
      <c r="O968" s="71" t="n">
        <v>483294.96</v>
      </c>
      <c r="P968" s="71" t="n">
        <v>112889.15</v>
      </c>
      <c r="Q968" s="71" t="n">
        <v>370405.81</v>
      </c>
      <c r="R968" t="inlineStr">
        <is>
          <t>Cardiology</t>
        </is>
      </c>
      <c r="S968" s="70" t="n">
        <v>947</v>
      </c>
      <c r="T968" s="71" t="n">
        <v>117409.1</v>
      </c>
      <c r="U968" t="inlineStr">
        <is>
          <t>High</t>
        </is>
      </c>
      <c r="V968">
        <f>IF(AND(OR(Dashboard!$C$6="All",E968=Dashboard!$C$6),OR(Dashboard!$F$6="All",G968=Dashboard!$F$6),OR(Dashboard!$I$6="All",H968=Dashboard!$I$6)),1,0)</f>
        <v/>
      </c>
    </row>
    <row r="969">
      <c r="A969" t="inlineStr">
        <is>
          <t>PF100960</t>
        </is>
      </c>
      <c r="B969" s="68" t="n">
        <v>45773</v>
      </c>
      <c r="C969" s="69" t="n">
        <v>2025</v>
      </c>
      <c r="D969" t="inlineStr">
        <is>
          <t>Apr</t>
        </is>
      </c>
      <c r="E969" t="inlineStr">
        <is>
          <t>Europe</t>
        </is>
      </c>
      <c r="F969" t="inlineStr">
        <is>
          <t>UK</t>
        </is>
      </c>
      <c r="G969" t="inlineStr">
        <is>
          <t>Eliquis</t>
        </is>
      </c>
      <c r="H969" t="inlineStr">
        <is>
          <t>Government / tender</t>
        </is>
      </c>
      <c r="I969" t="inlineStr">
        <is>
          <t>Private insurer</t>
        </is>
      </c>
      <c r="J969" t="inlineStr">
        <is>
          <t>Yuki Sato</t>
        </is>
      </c>
      <c r="K969" s="70" t="n">
        <v>876</v>
      </c>
      <c r="L969" s="71" t="n">
        <v>428.32</v>
      </c>
      <c r="M969" s="71" t="n">
        <v>375208.32</v>
      </c>
      <c r="N969" s="71" t="n">
        <v>37520.83</v>
      </c>
      <c r="O969" s="71" t="n">
        <v>337687.49</v>
      </c>
      <c r="P969" s="71" t="n">
        <v>65645.56</v>
      </c>
      <c r="Q969" s="71" t="n">
        <v>272041.93</v>
      </c>
      <c r="R969" t="inlineStr">
        <is>
          <t>Cardiology</t>
        </is>
      </c>
      <c r="S969" s="70" t="n">
        <v>651</v>
      </c>
      <c r="T969" s="71" t="n">
        <v>75771.11</v>
      </c>
      <c r="U969" t="inlineStr">
        <is>
          <t>High</t>
        </is>
      </c>
      <c r="V969">
        <f>IF(AND(OR(Dashboard!$C$6="All",E969=Dashboard!$C$6),OR(Dashboard!$F$6="All",G969=Dashboard!$F$6),OR(Dashboard!$I$6="All",H969=Dashboard!$I$6)),1,0)</f>
        <v/>
      </c>
    </row>
    <row r="970">
      <c r="A970" t="inlineStr">
        <is>
          <t>PF100961</t>
        </is>
      </c>
      <c r="B970" s="68" t="n">
        <v>45773</v>
      </c>
      <c r="C970" s="69" t="n">
        <v>2025</v>
      </c>
      <c r="D970" t="inlineStr">
        <is>
          <t>Apr</t>
        </is>
      </c>
      <c r="E970" t="inlineStr">
        <is>
          <t>Europe</t>
        </is>
      </c>
      <c r="F970" t="inlineStr">
        <is>
          <t>Germany</t>
        </is>
      </c>
      <c r="G970" t="inlineStr">
        <is>
          <t>Eliquis</t>
        </is>
      </c>
      <c r="H970" t="inlineStr">
        <is>
          <t>Retail pharmacy</t>
        </is>
      </c>
      <c r="I970" t="inlineStr">
        <is>
          <t>Private insurer</t>
        </is>
      </c>
      <c r="J970" t="inlineStr">
        <is>
          <t>Ana Costa</t>
        </is>
      </c>
      <c r="K970" s="70" t="n">
        <v>2167</v>
      </c>
      <c r="L970" s="71" t="n">
        <v>435.91</v>
      </c>
      <c r="M970" s="71" t="n">
        <v>944616.97</v>
      </c>
      <c r="N970" s="71" t="n">
        <v>47230.85</v>
      </c>
      <c r="O970" s="71" t="n">
        <v>897386.12</v>
      </c>
      <c r="P970" s="71" t="n">
        <v>158741.43</v>
      </c>
      <c r="Q970" s="71" t="n">
        <v>738644.6899999999</v>
      </c>
      <c r="R970" t="inlineStr">
        <is>
          <t>Cardiology</t>
        </is>
      </c>
      <c r="S970" s="70" t="n">
        <v>1379</v>
      </c>
      <c r="T970" s="71" t="n">
        <v>180165.54</v>
      </c>
      <c r="U970" t="inlineStr">
        <is>
          <t>High</t>
        </is>
      </c>
      <c r="V970">
        <f>IF(AND(OR(Dashboard!$C$6="All",E970=Dashboard!$C$6),OR(Dashboard!$F$6="All",G970=Dashboard!$F$6),OR(Dashboard!$I$6="All",H970=Dashboard!$I$6)),1,0)</f>
        <v/>
      </c>
    </row>
    <row r="971">
      <c r="A971" t="inlineStr">
        <is>
          <t>PF100962</t>
        </is>
      </c>
      <c r="B971" s="68" t="n">
        <v>45773</v>
      </c>
      <c r="C971" s="69" t="n">
        <v>2025</v>
      </c>
      <c r="D971" t="inlineStr">
        <is>
          <t>Apr</t>
        </is>
      </c>
      <c r="E971" t="inlineStr">
        <is>
          <t>International developed</t>
        </is>
      </c>
      <c r="F971" t="inlineStr">
        <is>
          <t>Japan</t>
        </is>
      </c>
      <c r="G971" t="inlineStr">
        <is>
          <t>Prevnar 20</t>
        </is>
      </c>
      <c r="H971" t="inlineStr">
        <is>
          <t>Retail pharmacy</t>
        </is>
      </c>
      <c r="I971" t="inlineStr">
        <is>
          <t>Private insurer</t>
        </is>
      </c>
      <c r="J971" t="inlineStr">
        <is>
          <t>Amir Khan</t>
        </is>
      </c>
      <c r="K971" s="70" t="n">
        <v>914</v>
      </c>
      <c r="L971" s="71" t="n">
        <v>224.49</v>
      </c>
      <c r="M971" s="71" t="n">
        <v>205183.86</v>
      </c>
      <c r="N971" s="71" t="n">
        <v>30777.58</v>
      </c>
      <c r="O971" s="71" t="n">
        <v>174406.28</v>
      </c>
      <c r="P971" s="71" t="n">
        <v>63785.85</v>
      </c>
      <c r="Q971" s="71" t="n">
        <v>110620.43</v>
      </c>
      <c r="R971" t="inlineStr">
        <is>
          <t>Vaccines</t>
        </is>
      </c>
      <c r="S971" s="70" t="n">
        <v>651</v>
      </c>
      <c r="T971" s="71" t="n">
        <v>45067.62</v>
      </c>
      <c r="U971" t="inlineStr">
        <is>
          <t>Low</t>
        </is>
      </c>
      <c r="V971">
        <f>IF(AND(OR(Dashboard!$C$6="All",E971=Dashboard!$C$6),OR(Dashboard!$F$6="All",G971=Dashboard!$F$6),OR(Dashboard!$I$6="All",H971=Dashboard!$I$6)),1,0)</f>
        <v/>
      </c>
    </row>
    <row r="972">
      <c r="A972" t="inlineStr">
        <is>
          <t>PF100963</t>
        </is>
      </c>
      <c r="B972" s="68" t="n">
        <v>45773</v>
      </c>
      <c r="C972" s="69" t="n">
        <v>2025</v>
      </c>
      <c r="D972" t="inlineStr">
        <is>
          <t>Apr</t>
        </is>
      </c>
      <c r="E972" t="inlineStr">
        <is>
          <t>Europe</t>
        </is>
      </c>
      <c r="F972" t="inlineStr">
        <is>
          <t>France</t>
        </is>
      </c>
      <c r="G972" t="inlineStr">
        <is>
          <t>Prevnar 20</t>
        </is>
      </c>
      <c r="H972" t="inlineStr">
        <is>
          <t>Retail pharmacy</t>
        </is>
      </c>
      <c r="I972" t="inlineStr">
        <is>
          <t>Public payer</t>
        </is>
      </c>
      <c r="J972" t="inlineStr">
        <is>
          <t>Sophie Müller</t>
        </is>
      </c>
      <c r="K972" s="70" t="n">
        <v>2589</v>
      </c>
      <c r="L972" s="71" t="n">
        <v>245</v>
      </c>
      <c r="M972" s="71" t="n">
        <v>634305</v>
      </c>
      <c r="N972" s="71" t="n">
        <v>63430.5</v>
      </c>
      <c r="O972" s="71" t="n">
        <v>570874.5</v>
      </c>
      <c r="P972" s="71" t="n">
        <v>180315.8</v>
      </c>
      <c r="Q972" s="71" t="n">
        <v>390558.7</v>
      </c>
      <c r="R972" t="inlineStr">
        <is>
          <t>Vaccines</t>
        </is>
      </c>
      <c r="S972" s="70" t="n">
        <v>1685</v>
      </c>
      <c r="T972" s="71" t="n">
        <v>101939.11</v>
      </c>
      <c r="U972" t="inlineStr">
        <is>
          <t>Low</t>
        </is>
      </c>
      <c r="V972">
        <f>IF(AND(OR(Dashboard!$C$6="All",E972=Dashboard!$C$6),OR(Dashboard!$F$6="All",G972=Dashboard!$F$6),OR(Dashboard!$I$6="All",H972=Dashboard!$I$6)),1,0)</f>
        <v/>
      </c>
    </row>
    <row r="973">
      <c r="A973" t="inlineStr">
        <is>
          <t>PF100964</t>
        </is>
      </c>
      <c r="B973" s="68" t="n">
        <v>45774</v>
      </c>
      <c r="C973" s="69" t="n">
        <v>2025</v>
      </c>
      <c r="D973" t="inlineStr">
        <is>
          <t>Apr</t>
        </is>
      </c>
      <c r="E973" t="inlineStr">
        <is>
          <t>United States</t>
        </is>
      </c>
      <c r="F973" t="inlineStr">
        <is>
          <t>USA</t>
        </is>
      </c>
      <c r="G973" t="inlineStr">
        <is>
          <t>Comirnaty</t>
        </is>
      </c>
      <c r="H973" t="inlineStr">
        <is>
          <t>Hospital</t>
        </is>
      </c>
      <c r="I973" t="inlineStr">
        <is>
          <t>Public payer</t>
        </is>
      </c>
      <c r="J973" t="inlineStr">
        <is>
          <t>Kofi Mensah</t>
        </is>
      </c>
      <c r="K973" s="70" t="n">
        <v>726</v>
      </c>
      <c r="L973" s="71" t="n">
        <v>172.43</v>
      </c>
      <c r="M973" s="71" t="n">
        <v>125184.18</v>
      </c>
      <c r="N973" s="71" t="n">
        <v>43814.46</v>
      </c>
      <c r="O973" s="71" t="n">
        <v>81369.72</v>
      </c>
      <c r="P973" s="71" t="n">
        <v>28759.12</v>
      </c>
      <c r="Q973" s="71" t="n">
        <v>52610.6</v>
      </c>
      <c r="R973" t="inlineStr">
        <is>
          <t>Vaccines</t>
        </is>
      </c>
      <c r="S973" s="70" t="n">
        <v>513</v>
      </c>
      <c r="T973" s="71" t="n">
        <v>25991.97</v>
      </c>
      <c r="U973" t="inlineStr">
        <is>
          <t>Low</t>
        </is>
      </c>
      <c r="V973">
        <f>IF(AND(OR(Dashboard!$C$6="All",E973=Dashboard!$C$6),OR(Dashboard!$F$6="All",G973=Dashboard!$F$6),OR(Dashboard!$I$6="All",H973=Dashboard!$I$6)),1,0)</f>
        <v/>
      </c>
    </row>
    <row r="974">
      <c r="A974" t="inlineStr">
        <is>
          <t>PF100965</t>
        </is>
      </c>
      <c r="B974" s="68" t="n">
        <v>45774</v>
      </c>
      <c r="C974" s="69" t="n">
        <v>2025</v>
      </c>
      <c r="D974" t="inlineStr">
        <is>
          <t>Apr</t>
        </is>
      </c>
      <c r="E974" t="inlineStr">
        <is>
          <t>Europe</t>
        </is>
      </c>
      <c r="F974" t="inlineStr">
        <is>
          <t>Germany</t>
        </is>
      </c>
      <c r="G974" t="inlineStr">
        <is>
          <t>Comirnaty</t>
        </is>
      </c>
      <c r="H974" t="inlineStr">
        <is>
          <t>Hospital</t>
        </is>
      </c>
      <c r="I974" t="inlineStr">
        <is>
          <t>Public payer</t>
        </is>
      </c>
      <c r="J974" t="inlineStr">
        <is>
          <t>Noah Smith</t>
        </is>
      </c>
      <c r="K974" s="70" t="n">
        <v>2896</v>
      </c>
      <c r="L974" s="71" t="n">
        <v>103.22</v>
      </c>
      <c r="M974" s="71" t="n">
        <v>298925.12</v>
      </c>
      <c r="N974" s="71" t="n">
        <v>29892.51</v>
      </c>
      <c r="O974" s="71" t="n">
        <v>269032.61</v>
      </c>
      <c r="P974" s="71" t="n">
        <v>112005.3</v>
      </c>
      <c r="Q974" s="71" t="n">
        <v>157027.31</v>
      </c>
      <c r="R974" t="inlineStr">
        <is>
          <t>Vaccines</t>
        </is>
      </c>
      <c r="S974" s="70" t="n">
        <v>2203</v>
      </c>
      <c r="T974" s="71" t="n">
        <v>51610.98</v>
      </c>
      <c r="U974" t="inlineStr">
        <is>
          <t>Low</t>
        </is>
      </c>
      <c r="V974">
        <f>IF(AND(OR(Dashboard!$C$6="All",E974=Dashboard!$C$6),OR(Dashboard!$F$6="All",G974=Dashboard!$F$6),OR(Dashboard!$I$6="All",H974=Dashboard!$I$6)),1,0)</f>
        <v/>
      </c>
    </row>
    <row r="975">
      <c r="A975" t="inlineStr">
        <is>
          <t>PF100966</t>
        </is>
      </c>
      <c r="B975" s="68" t="n">
        <v>45774</v>
      </c>
      <c r="C975" s="69" t="n">
        <v>2025</v>
      </c>
      <c r="D975" t="inlineStr">
        <is>
          <t>Apr</t>
        </is>
      </c>
      <c r="E975" t="inlineStr">
        <is>
          <t>United States</t>
        </is>
      </c>
      <c r="F975" t="inlineStr">
        <is>
          <t>USA</t>
        </is>
      </c>
      <c r="G975" t="inlineStr">
        <is>
          <t>Paxlovid</t>
        </is>
      </c>
      <c r="H975" t="inlineStr">
        <is>
          <t>Retail pharmacy</t>
        </is>
      </c>
      <c r="I975" t="inlineStr">
        <is>
          <t>Self-pay</t>
        </is>
      </c>
      <c r="J975" t="inlineStr">
        <is>
          <t>Ana Costa</t>
        </is>
      </c>
      <c r="K975" s="70" t="n">
        <v>223</v>
      </c>
      <c r="L975" s="71" t="n">
        <v>1765.92</v>
      </c>
      <c r="M975" s="71" t="n">
        <v>393800.16</v>
      </c>
      <c r="N975" s="71" t="n">
        <v>118140.05</v>
      </c>
      <c r="O975" s="71" t="n">
        <v>275660.11</v>
      </c>
      <c r="P975" s="71" t="n">
        <v>62711.66</v>
      </c>
      <c r="Q975" s="71" t="n">
        <v>212948.45</v>
      </c>
      <c r="R975" t="inlineStr">
        <is>
          <t>Antiviral</t>
        </is>
      </c>
      <c r="S975" s="70" t="n">
        <v>201</v>
      </c>
      <c r="T975" s="71" t="n">
        <v>49723.8</v>
      </c>
      <c r="U975" t="inlineStr">
        <is>
          <t>Low</t>
        </is>
      </c>
      <c r="V975">
        <f>IF(AND(OR(Dashboard!$C$6="All",E975=Dashboard!$C$6),OR(Dashboard!$F$6="All",G975=Dashboard!$F$6),OR(Dashboard!$I$6="All",H975=Dashboard!$I$6)),1,0)</f>
        <v/>
      </c>
    </row>
    <row r="976">
      <c r="A976" t="inlineStr">
        <is>
          <t>PF100967</t>
        </is>
      </c>
      <c r="B976" s="68" t="n">
        <v>45774</v>
      </c>
      <c r="C976" s="69" t="n">
        <v>2025</v>
      </c>
      <c r="D976" t="inlineStr">
        <is>
          <t>Apr</t>
        </is>
      </c>
      <c r="E976" t="inlineStr">
        <is>
          <t>United States</t>
        </is>
      </c>
      <c r="F976" t="inlineStr">
        <is>
          <t>USA</t>
        </is>
      </c>
      <c r="G976" t="inlineStr">
        <is>
          <t>Paxlovid</t>
        </is>
      </c>
      <c r="H976" t="inlineStr">
        <is>
          <t>Hospital</t>
        </is>
      </c>
      <c r="I976" t="inlineStr">
        <is>
          <t>Private insurer</t>
        </is>
      </c>
      <c r="J976" t="inlineStr">
        <is>
          <t>Ravindra Patil</t>
        </is>
      </c>
      <c r="K976" s="70" t="n">
        <v>689</v>
      </c>
      <c r="L976" s="71" t="n">
        <v>1665.82</v>
      </c>
      <c r="M976" s="71" t="n">
        <v>1147749.98</v>
      </c>
      <c r="N976" s="71" t="n">
        <v>229550</v>
      </c>
      <c r="O976" s="71" t="n">
        <v>918199.98</v>
      </c>
      <c r="P976" s="71" t="n">
        <v>194826.34</v>
      </c>
      <c r="Q976" s="71" t="n">
        <v>723373.64</v>
      </c>
      <c r="R976" t="inlineStr">
        <is>
          <t>Antiviral</t>
        </is>
      </c>
      <c r="S976" s="70" t="n">
        <v>606</v>
      </c>
      <c r="T976" s="71" t="n">
        <v>174832.25</v>
      </c>
      <c r="U976" t="inlineStr">
        <is>
          <t>Low</t>
        </is>
      </c>
      <c r="V976">
        <f>IF(AND(OR(Dashboard!$C$6="All",E976=Dashboard!$C$6),OR(Dashboard!$F$6="All",G976=Dashboard!$F$6),OR(Dashboard!$I$6="All",H976=Dashboard!$I$6)),1,0)</f>
        <v/>
      </c>
    </row>
    <row r="977">
      <c r="A977" t="inlineStr">
        <is>
          <t>PF100968</t>
        </is>
      </c>
      <c r="B977" s="68" t="n">
        <v>45774</v>
      </c>
      <c r="C977" s="69" t="n">
        <v>2025</v>
      </c>
      <c r="D977" t="inlineStr">
        <is>
          <t>Apr</t>
        </is>
      </c>
      <c r="E977" t="inlineStr">
        <is>
          <t>International developed</t>
        </is>
      </c>
      <c r="F977" t="inlineStr">
        <is>
          <t>Canada</t>
        </is>
      </c>
      <c r="G977" t="inlineStr">
        <is>
          <t>Eliquis</t>
        </is>
      </c>
      <c r="H977" t="inlineStr">
        <is>
          <t>Hospital</t>
        </is>
      </c>
      <c r="I977" t="inlineStr">
        <is>
          <t>Private insurer</t>
        </is>
      </c>
      <c r="J977" t="inlineStr">
        <is>
          <t>Ruhi Shaikh</t>
        </is>
      </c>
      <c r="K977" s="70" t="n">
        <v>2745</v>
      </c>
      <c r="L977" s="71" t="n">
        <v>460.02</v>
      </c>
      <c r="M977" s="71" t="n">
        <v>1262754.9</v>
      </c>
      <c r="N977" s="71" t="n">
        <v>126275.49</v>
      </c>
      <c r="O977" s="71" t="n">
        <v>1136479.41</v>
      </c>
      <c r="P977" s="71" t="n">
        <v>203254.91</v>
      </c>
      <c r="Q977" s="71" t="n">
        <v>933224.5</v>
      </c>
      <c r="R977" t="inlineStr">
        <is>
          <t>Cardiology</t>
        </is>
      </c>
      <c r="S977" s="70" t="n">
        <v>2128</v>
      </c>
      <c r="T977" s="71" t="n">
        <v>172350.06</v>
      </c>
      <c r="U977" t="inlineStr">
        <is>
          <t>High</t>
        </is>
      </c>
      <c r="V977">
        <f>IF(AND(OR(Dashboard!$C$6="All",E977=Dashboard!$C$6),OR(Dashboard!$F$6="All",G977=Dashboard!$F$6),OR(Dashboard!$I$6="All",H977=Dashboard!$I$6)),1,0)</f>
        <v/>
      </c>
    </row>
    <row r="978">
      <c r="A978" t="inlineStr">
        <is>
          <t>PF100969</t>
        </is>
      </c>
      <c r="B978" s="68" t="n">
        <v>45774</v>
      </c>
      <c r="C978" s="69" t="n">
        <v>2025</v>
      </c>
      <c r="D978" t="inlineStr">
        <is>
          <t>Apr</t>
        </is>
      </c>
      <c r="E978" t="inlineStr">
        <is>
          <t>Emerging markets</t>
        </is>
      </c>
      <c r="F978" t="inlineStr">
        <is>
          <t>Brazil</t>
        </is>
      </c>
      <c r="G978" t="inlineStr">
        <is>
          <t>Prevnar 20</t>
        </is>
      </c>
      <c r="H978" t="inlineStr">
        <is>
          <t>Retail pharmacy</t>
        </is>
      </c>
      <c r="I978" t="inlineStr">
        <is>
          <t>Public payer</t>
        </is>
      </c>
      <c r="J978" t="inlineStr">
        <is>
          <t>Yuki Sato</t>
        </is>
      </c>
      <c r="K978" s="70" t="n">
        <v>565</v>
      </c>
      <c r="L978" s="71" t="n">
        <v>216.69</v>
      </c>
      <c r="M978" s="71" t="n">
        <v>122429.85</v>
      </c>
      <c r="N978" s="71" t="n">
        <v>18364.48</v>
      </c>
      <c r="O978" s="71" t="n">
        <v>104065.37</v>
      </c>
      <c r="P978" s="71" t="n">
        <v>38906.24</v>
      </c>
      <c r="Q978" s="71" t="n">
        <v>65159.13</v>
      </c>
      <c r="R978" t="inlineStr">
        <is>
          <t>Vaccines</t>
        </is>
      </c>
      <c r="S978" s="70" t="n">
        <v>527</v>
      </c>
      <c r="T978" s="71" t="n">
        <v>18365.09</v>
      </c>
      <c r="U978" t="inlineStr">
        <is>
          <t>Low</t>
        </is>
      </c>
      <c r="V978">
        <f>IF(AND(OR(Dashboard!$C$6="All",E978=Dashboard!$C$6),OR(Dashboard!$F$6="All",G978=Dashboard!$F$6),OR(Dashboard!$I$6="All",H978=Dashboard!$I$6)),1,0)</f>
        <v/>
      </c>
    </row>
    <row r="979">
      <c r="A979" t="inlineStr">
        <is>
          <t>PF100970</t>
        </is>
      </c>
      <c r="B979" s="68" t="n">
        <v>45774</v>
      </c>
      <c r="C979" s="69" t="n">
        <v>2025</v>
      </c>
      <c r="D979" t="inlineStr">
        <is>
          <t>Apr</t>
        </is>
      </c>
      <c r="E979" t="inlineStr">
        <is>
          <t>Europe</t>
        </is>
      </c>
      <c r="F979" t="inlineStr">
        <is>
          <t>Spain</t>
        </is>
      </c>
      <c r="G979" t="inlineStr">
        <is>
          <t>Eliquis</t>
        </is>
      </c>
      <c r="H979" t="inlineStr">
        <is>
          <t>Hospital</t>
        </is>
      </c>
      <c r="I979" t="inlineStr">
        <is>
          <t>Private insurer</t>
        </is>
      </c>
      <c r="J979" t="inlineStr">
        <is>
          <t>Omar Haddad</t>
        </is>
      </c>
      <c r="K979" s="70" t="n">
        <v>1857</v>
      </c>
      <c r="L979" s="71" t="n">
        <v>403.21</v>
      </c>
      <c r="M979" s="71" t="n">
        <v>748760.97</v>
      </c>
      <c r="N979" s="71" t="n">
        <v>112314.15</v>
      </c>
      <c r="O979" s="71" t="n">
        <v>636446.8199999999</v>
      </c>
      <c r="P979" s="71" t="n">
        <v>142190.83</v>
      </c>
      <c r="Q979" s="71" t="n">
        <v>494255.99</v>
      </c>
      <c r="R979" t="inlineStr">
        <is>
          <t>Cardiology</t>
        </is>
      </c>
      <c r="S979" s="70" t="n">
        <v>1278</v>
      </c>
      <c r="T979" s="71" t="n">
        <v>134669.99</v>
      </c>
      <c r="U979" t="inlineStr">
        <is>
          <t>High</t>
        </is>
      </c>
      <c r="V979">
        <f>IF(AND(OR(Dashboard!$C$6="All",E979=Dashboard!$C$6),OR(Dashboard!$F$6="All",G979=Dashboard!$F$6),OR(Dashboard!$I$6="All",H979=Dashboard!$I$6)),1,0)</f>
        <v/>
      </c>
    </row>
    <row r="980">
      <c r="A980" t="inlineStr">
        <is>
          <t>PF100971</t>
        </is>
      </c>
      <c r="B980" s="68" t="n">
        <v>45775</v>
      </c>
      <c r="C980" s="69" t="n">
        <v>2025</v>
      </c>
      <c r="D980" t="inlineStr">
        <is>
          <t>Apr</t>
        </is>
      </c>
      <c r="E980" t="inlineStr">
        <is>
          <t>United States</t>
        </is>
      </c>
      <c r="F980" t="inlineStr">
        <is>
          <t>USA</t>
        </is>
      </c>
      <c r="G980" t="inlineStr">
        <is>
          <t>Comirnaty</t>
        </is>
      </c>
      <c r="H980" t="inlineStr">
        <is>
          <t>Retail pharmacy</t>
        </is>
      </c>
      <c r="I980" t="inlineStr">
        <is>
          <t>Public payer</t>
        </is>
      </c>
      <c r="J980" t="inlineStr">
        <is>
          <t>Aisha Bello</t>
        </is>
      </c>
      <c r="K980" s="70" t="n">
        <v>2814</v>
      </c>
      <c r="L980" s="71" t="n">
        <v>192.96</v>
      </c>
      <c r="M980" s="71" t="n">
        <v>542989.4399999999</v>
      </c>
      <c r="N980" s="71" t="n">
        <v>108597.89</v>
      </c>
      <c r="O980" s="71" t="n">
        <v>434391.55</v>
      </c>
      <c r="P980" s="71" t="n">
        <v>106839.25</v>
      </c>
      <c r="Q980" s="71" t="n">
        <v>327552.3</v>
      </c>
      <c r="R980" t="inlineStr">
        <is>
          <t>Vaccines</t>
        </is>
      </c>
      <c r="S980" s="70" t="n">
        <v>2356</v>
      </c>
      <c r="T980" s="71" t="n">
        <v>82858.25</v>
      </c>
      <c r="U980" t="inlineStr">
        <is>
          <t>Low</t>
        </is>
      </c>
      <c r="V980">
        <f>IF(AND(OR(Dashboard!$C$6="All",E980=Dashboard!$C$6),OR(Dashboard!$F$6="All",G980=Dashboard!$F$6),OR(Dashboard!$I$6="All",H980=Dashboard!$I$6)),1,0)</f>
        <v/>
      </c>
    </row>
    <row r="981">
      <c r="A981" t="inlineStr">
        <is>
          <t>PF100972</t>
        </is>
      </c>
      <c r="B981" s="68" t="n">
        <v>45775</v>
      </c>
      <c r="C981" s="69" t="n">
        <v>2025</v>
      </c>
      <c r="D981" t="inlineStr">
        <is>
          <t>Apr</t>
        </is>
      </c>
      <c r="E981" t="inlineStr">
        <is>
          <t>Europe</t>
        </is>
      </c>
      <c r="F981" t="inlineStr">
        <is>
          <t>Italy</t>
        </is>
      </c>
      <c r="G981" t="inlineStr">
        <is>
          <t>Vyndaqel</t>
        </is>
      </c>
      <c r="H981" t="inlineStr">
        <is>
          <t>Retail pharmacy</t>
        </is>
      </c>
      <c r="I981" t="inlineStr">
        <is>
          <t>Public payer</t>
        </is>
      </c>
      <c r="J981" t="inlineStr">
        <is>
          <t>Wei Chen</t>
        </is>
      </c>
      <c r="K981" s="70" t="n">
        <v>627</v>
      </c>
      <c r="L981" s="71" t="n">
        <v>5385.67</v>
      </c>
      <c r="M981" s="71" t="n">
        <v>3376815.09</v>
      </c>
      <c r="N981" s="71" t="n">
        <v>506522.26</v>
      </c>
      <c r="O981" s="71" t="n">
        <v>2870292.83</v>
      </c>
      <c r="P981" s="71" t="n">
        <v>386622.51</v>
      </c>
      <c r="Q981" s="71" t="n">
        <v>2483670.32</v>
      </c>
      <c r="R981" t="inlineStr">
        <is>
          <t>Rare disease</t>
        </is>
      </c>
      <c r="S981" s="70" t="n">
        <v>489</v>
      </c>
      <c r="T981" s="71" t="n">
        <v>417425.85</v>
      </c>
      <c r="U981" t="inlineStr">
        <is>
          <t>Medium</t>
        </is>
      </c>
      <c r="V981">
        <f>IF(AND(OR(Dashboard!$C$6="All",E981=Dashboard!$C$6),OR(Dashboard!$F$6="All",G981=Dashboard!$F$6),OR(Dashboard!$I$6="All",H981=Dashboard!$I$6)),1,0)</f>
        <v/>
      </c>
    </row>
    <row r="982">
      <c r="A982" t="inlineStr">
        <is>
          <t>PF100973</t>
        </is>
      </c>
      <c r="B982" s="68" t="n">
        <v>45775</v>
      </c>
      <c r="C982" s="69" t="n">
        <v>2025</v>
      </c>
      <c r="D982" t="inlineStr">
        <is>
          <t>Apr</t>
        </is>
      </c>
      <c r="E982" t="inlineStr">
        <is>
          <t>Emerging markets</t>
        </is>
      </c>
      <c r="F982" t="inlineStr">
        <is>
          <t>China</t>
        </is>
      </c>
      <c r="G982" t="inlineStr">
        <is>
          <t>Vyndaqel</t>
        </is>
      </c>
      <c r="H982" t="inlineStr">
        <is>
          <t>Hospital</t>
        </is>
      </c>
      <c r="I982" t="inlineStr">
        <is>
          <t>Private insurer</t>
        </is>
      </c>
      <c r="J982" t="inlineStr">
        <is>
          <t>Omar Haddad</t>
        </is>
      </c>
      <c r="K982" s="70" t="n">
        <v>2203</v>
      </c>
      <c r="L982" s="71" t="n">
        <v>5328.73</v>
      </c>
      <c r="M982" s="71" t="n">
        <v>11739192.19</v>
      </c>
      <c r="N982" s="71" t="n">
        <v>1173919.22</v>
      </c>
      <c r="O982" s="71" t="n">
        <v>10565272.97</v>
      </c>
      <c r="P982" s="71" t="n">
        <v>1391983.77</v>
      </c>
      <c r="Q982" s="71" t="n">
        <v>9173289.199999999</v>
      </c>
      <c r="R982" t="inlineStr">
        <is>
          <t>Rare disease</t>
        </is>
      </c>
      <c r="S982" s="70" t="n">
        <v>1828</v>
      </c>
      <c r="T982" s="71" t="n">
        <v>2114492</v>
      </c>
      <c r="U982" t="inlineStr">
        <is>
          <t>Medium</t>
        </is>
      </c>
      <c r="V982">
        <f>IF(AND(OR(Dashboard!$C$6="All",E982=Dashboard!$C$6),OR(Dashboard!$F$6="All",G982=Dashboard!$F$6),OR(Dashboard!$I$6="All",H982=Dashboard!$I$6)),1,0)</f>
        <v/>
      </c>
    </row>
    <row r="983">
      <c r="A983" t="inlineStr">
        <is>
          <t>PF100974</t>
        </is>
      </c>
      <c r="B983" s="68" t="n">
        <v>45775</v>
      </c>
      <c r="C983" s="69" t="n">
        <v>2025</v>
      </c>
      <c r="D983" t="inlineStr">
        <is>
          <t>Apr</t>
        </is>
      </c>
      <c r="E983" t="inlineStr">
        <is>
          <t>United States</t>
        </is>
      </c>
      <c r="F983" t="inlineStr">
        <is>
          <t>USA</t>
        </is>
      </c>
      <c r="G983" t="inlineStr">
        <is>
          <t>Eliquis</t>
        </is>
      </c>
      <c r="H983" t="inlineStr">
        <is>
          <t>Government / tender</t>
        </is>
      </c>
      <c r="I983" t="inlineStr">
        <is>
          <t>Private insurer</t>
        </is>
      </c>
      <c r="J983" t="inlineStr">
        <is>
          <t>Carlos Silva</t>
        </is>
      </c>
      <c r="K983" s="70" t="n">
        <v>1732</v>
      </c>
      <c r="L983" s="71" t="n">
        <v>708.8</v>
      </c>
      <c r="M983" s="71" t="n">
        <v>1227641.6</v>
      </c>
      <c r="N983" s="71" t="n">
        <v>306910.4</v>
      </c>
      <c r="O983" s="71" t="n">
        <v>920731.2</v>
      </c>
      <c r="P983" s="71" t="n">
        <v>134165.15</v>
      </c>
      <c r="Q983" s="71" t="n">
        <v>786566.05</v>
      </c>
      <c r="R983" t="inlineStr">
        <is>
          <t>Cardiology</t>
        </is>
      </c>
      <c r="S983" s="70" t="n">
        <v>1131</v>
      </c>
      <c r="T983" s="71" t="n">
        <v>232431.91</v>
      </c>
      <c r="U983" t="inlineStr">
        <is>
          <t>High</t>
        </is>
      </c>
      <c r="V983">
        <f>IF(AND(OR(Dashboard!$C$6="All",E983=Dashboard!$C$6),OR(Dashboard!$F$6="All",G983=Dashboard!$F$6),OR(Dashboard!$I$6="All",H983=Dashboard!$I$6)),1,0)</f>
        <v/>
      </c>
    </row>
    <row r="984">
      <c r="A984" t="inlineStr">
        <is>
          <t>PF100975</t>
        </is>
      </c>
      <c r="B984" s="68" t="n">
        <v>45775</v>
      </c>
      <c r="C984" s="69" t="n">
        <v>2025</v>
      </c>
      <c r="D984" t="inlineStr">
        <is>
          <t>Apr</t>
        </is>
      </c>
      <c r="E984" t="inlineStr">
        <is>
          <t>Europe</t>
        </is>
      </c>
      <c r="F984" t="inlineStr">
        <is>
          <t>Germany</t>
        </is>
      </c>
      <c r="G984" t="inlineStr">
        <is>
          <t>Eliquis</t>
        </is>
      </c>
      <c r="H984" t="inlineStr">
        <is>
          <t>Hospital</t>
        </is>
      </c>
      <c r="I984" t="inlineStr">
        <is>
          <t>Public payer</t>
        </is>
      </c>
      <c r="J984" t="inlineStr">
        <is>
          <t>Kofi Mensah</t>
        </is>
      </c>
      <c r="K984" s="70" t="n">
        <v>1096</v>
      </c>
      <c r="L984" s="71" t="n">
        <v>410.22</v>
      </c>
      <c r="M984" s="71" t="n">
        <v>449601.12</v>
      </c>
      <c r="N984" s="71" t="n">
        <v>67440.17</v>
      </c>
      <c r="O984" s="71" t="n">
        <v>382160.95</v>
      </c>
      <c r="P984" s="71" t="n">
        <v>81857.11</v>
      </c>
      <c r="Q984" s="71" t="n">
        <v>300303.84</v>
      </c>
      <c r="R984" t="inlineStr">
        <is>
          <t>Cardiology</t>
        </is>
      </c>
      <c r="S984" s="70" t="n">
        <v>731</v>
      </c>
      <c r="T984" s="71" t="n">
        <v>75231</v>
      </c>
      <c r="U984" t="inlineStr">
        <is>
          <t>High</t>
        </is>
      </c>
      <c r="V984">
        <f>IF(AND(OR(Dashboard!$C$6="All",E984=Dashboard!$C$6),OR(Dashboard!$F$6="All",G984=Dashboard!$F$6),OR(Dashboard!$I$6="All",H984=Dashboard!$I$6)),1,0)</f>
        <v/>
      </c>
    </row>
    <row r="985">
      <c r="A985" t="inlineStr">
        <is>
          <t>PF100976</t>
        </is>
      </c>
      <c r="B985" s="68" t="n">
        <v>45775</v>
      </c>
      <c r="C985" s="69" t="n">
        <v>2025</v>
      </c>
      <c r="D985" t="inlineStr">
        <is>
          <t>Apr</t>
        </is>
      </c>
      <c r="E985" t="inlineStr">
        <is>
          <t>United States</t>
        </is>
      </c>
      <c r="F985" t="inlineStr">
        <is>
          <t>USA</t>
        </is>
      </c>
      <c r="G985" t="inlineStr">
        <is>
          <t>Abrysvo</t>
        </is>
      </c>
      <c r="H985" t="inlineStr">
        <is>
          <t>Retail pharmacy</t>
        </is>
      </c>
      <c r="I985" t="inlineStr">
        <is>
          <t>Private insurer</t>
        </is>
      </c>
      <c r="J985" t="inlineStr">
        <is>
          <t>Fatima Al-Saud</t>
        </is>
      </c>
      <c r="K985" s="70" t="n">
        <v>1742</v>
      </c>
      <c r="L985" s="71" t="n">
        <v>430.86</v>
      </c>
      <c r="M985" s="71" t="n">
        <v>750558.12</v>
      </c>
      <c r="N985" s="71" t="n">
        <v>262695.34</v>
      </c>
      <c r="O985" s="71" t="n">
        <v>487862.78</v>
      </c>
      <c r="P985" s="71" t="n">
        <v>142749.09</v>
      </c>
      <c r="Q985" s="71" t="n">
        <v>345113.69</v>
      </c>
      <c r="R985" t="inlineStr">
        <is>
          <t>Vaccines</t>
        </is>
      </c>
      <c r="S985" s="70" t="n">
        <v>1319</v>
      </c>
      <c r="T985" s="71" t="n">
        <v>96294.60000000001</v>
      </c>
      <c r="U985" t="inlineStr">
        <is>
          <t>Low</t>
        </is>
      </c>
      <c r="V985">
        <f>IF(AND(OR(Dashboard!$C$6="All",E985=Dashboard!$C$6),OR(Dashboard!$F$6="All",G985=Dashboard!$F$6),OR(Dashboard!$I$6="All",H985=Dashboard!$I$6)),1,0)</f>
        <v/>
      </c>
    </row>
    <row r="986">
      <c r="A986" t="inlineStr">
        <is>
          <t>PF100977</t>
        </is>
      </c>
      <c r="B986" s="68" t="n">
        <v>45775</v>
      </c>
      <c r="C986" s="69" t="n">
        <v>2025</v>
      </c>
      <c r="D986" t="inlineStr">
        <is>
          <t>Apr</t>
        </is>
      </c>
      <c r="E986" t="inlineStr">
        <is>
          <t>Emerging markets</t>
        </is>
      </c>
      <c r="F986" t="inlineStr">
        <is>
          <t>China</t>
        </is>
      </c>
      <c r="G986" t="inlineStr">
        <is>
          <t>Eliquis</t>
        </is>
      </c>
      <c r="H986" t="inlineStr">
        <is>
          <t>Hospital</t>
        </is>
      </c>
      <c r="I986" t="inlineStr">
        <is>
          <t>Private insurer</t>
        </is>
      </c>
      <c r="J986" t="inlineStr">
        <is>
          <t>Zoya Ahmed</t>
        </is>
      </c>
      <c r="K986" s="70" t="n">
        <v>351</v>
      </c>
      <c r="L986" s="71" t="n">
        <v>458.9</v>
      </c>
      <c r="M986" s="71" t="n">
        <v>161073.9</v>
      </c>
      <c r="N986" s="71" t="n">
        <v>16107.39</v>
      </c>
      <c r="O986" s="71" t="n">
        <v>144966.51</v>
      </c>
      <c r="P986" s="71" t="n">
        <v>26682.61</v>
      </c>
      <c r="Q986" s="71" t="n">
        <v>118283.9</v>
      </c>
      <c r="R986" t="inlineStr">
        <is>
          <t>Cardiology</t>
        </is>
      </c>
      <c r="S986" s="70" t="n">
        <v>259</v>
      </c>
      <c r="T986" s="71" t="n">
        <v>26000.11</v>
      </c>
      <c r="U986" t="inlineStr">
        <is>
          <t>High</t>
        </is>
      </c>
      <c r="V986">
        <f>IF(AND(OR(Dashboard!$C$6="All",E986=Dashboard!$C$6),OR(Dashboard!$F$6="All",G986=Dashboard!$F$6),OR(Dashboard!$I$6="All",H986=Dashboard!$I$6)),1,0)</f>
        <v/>
      </c>
    </row>
    <row r="987">
      <c r="A987" t="inlineStr">
        <is>
          <t>PF100978</t>
        </is>
      </c>
      <c r="B987" s="68" t="n">
        <v>45778</v>
      </c>
      <c r="C987" s="69" t="n">
        <v>2025</v>
      </c>
      <c r="D987" t="inlineStr">
        <is>
          <t>May</t>
        </is>
      </c>
      <c r="E987" t="inlineStr">
        <is>
          <t>Emerging markets</t>
        </is>
      </c>
      <c r="F987" t="inlineStr">
        <is>
          <t>China</t>
        </is>
      </c>
      <c r="G987" t="inlineStr">
        <is>
          <t>Eliquis</t>
        </is>
      </c>
      <c r="H987" t="inlineStr">
        <is>
          <t>Retail pharmacy</t>
        </is>
      </c>
      <c r="I987" t="inlineStr">
        <is>
          <t>Private insurer</t>
        </is>
      </c>
      <c r="J987" t="inlineStr">
        <is>
          <t>Fatima Al-Saud</t>
        </is>
      </c>
      <c r="K987" s="70" t="n">
        <v>2097</v>
      </c>
      <c r="L987" s="71" t="n">
        <v>435.06</v>
      </c>
      <c r="M987" s="71" t="n">
        <v>912320.8199999999</v>
      </c>
      <c r="N987" s="71" t="n">
        <v>182464.16</v>
      </c>
      <c r="O987" s="71" t="n">
        <v>729856.66</v>
      </c>
      <c r="P987" s="71" t="n">
        <v>153747.74</v>
      </c>
      <c r="Q987" s="71" t="n">
        <v>576108.92</v>
      </c>
      <c r="R987" t="inlineStr">
        <is>
          <t>Cardiology</t>
        </is>
      </c>
      <c r="S987" s="70" t="n">
        <v>1455</v>
      </c>
      <c r="T987" s="71" t="n">
        <v>136283.37</v>
      </c>
      <c r="U987" t="inlineStr">
        <is>
          <t>High</t>
        </is>
      </c>
      <c r="V987">
        <f>IF(AND(OR(Dashboard!$C$6="All",E987=Dashboard!$C$6),OR(Dashboard!$F$6="All",G987=Dashboard!$F$6),OR(Dashboard!$I$6="All",H987=Dashboard!$I$6)),1,0)</f>
        <v/>
      </c>
    </row>
    <row r="988">
      <c r="A988" t="inlineStr">
        <is>
          <t>PF100979</t>
        </is>
      </c>
      <c r="B988" s="68" t="n">
        <v>45778</v>
      </c>
      <c r="C988" s="69" t="n">
        <v>2025</v>
      </c>
      <c r="D988" t="inlineStr">
        <is>
          <t>May</t>
        </is>
      </c>
      <c r="E988" t="inlineStr">
        <is>
          <t>Emerging markets</t>
        </is>
      </c>
      <c r="F988" t="inlineStr">
        <is>
          <t>Brazil</t>
        </is>
      </c>
      <c r="G988" t="inlineStr">
        <is>
          <t>Vyndaqel</t>
        </is>
      </c>
      <c r="H988" t="inlineStr">
        <is>
          <t>Retail pharmacy</t>
        </is>
      </c>
      <c r="I988" t="inlineStr">
        <is>
          <t>Public payer</t>
        </is>
      </c>
      <c r="J988" t="inlineStr">
        <is>
          <t>Hiroshi Tanaka</t>
        </is>
      </c>
      <c r="K988" s="70" t="n">
        <v>2184</v>
      </c>
      <c r="L988" s="71" t="n">
        <v>5261.3</v>
      </c>
      <c r="M988" s="71" t="n">
        <v>11490679.2</v>
      </c>
      <c r="N988" s="71" t="n">
        <v>2872669.8</v>
      </c>
      <c r="O988" s="71" t="n">
        <v>8618009.4</v>
      </c>
      <c r="P988" s="71" t="n">
        <v>1372138.23</v>
      </c>
      <c r="Q988" s="71" t="n">
        <v>7245871.17</v>
      </c>
      <c r="R988" t="inlineStr">
        <is>
          <t>Rare disease</t>
        </is>
      </c>
      <c r="S988" s="70" t="n">
        <v>1551</v>
      </c>
      <c r="T988" s="71" t="n">
        <v>1567400.3</v>
      </c>
      <c r="U988" t="inlineStr">
        <is>
          <t>Medium</t>
        </is>
      </c>
      <c r="V988">
        <f>IF(AND(OR(Dashboard!$C$6="All",E988=Dashboard!$C$6),OR(Dashboard!$F$6="All",G988=Dashboard!$F$6),OR(Dashboard!$I$6="All",H988=Dashboard!$I$6)),1,0)</f>
        <v/>
      </c>
    </row>
    <row r="989">
      <c r="A989" t="inlineStr">
        <is>
          <t>PF100980</t>
        </is>
      </c>
      <c r="B989" s="68" t="n">
        <v>45778</v>
      </c>
      <c r="C989" s="69" t="n">
        <v>2025</v>
      </c>
      <c r="D989" t="inlineStr">
        <is>
          <t>May</t>
        </is>
      </c>
      <c r="E989" t="inlineStr">
        <is>
          <t>United States</t>
        </is>
      </c>
      <c r="F989" t="inlineStr">
        <is>
          <t>USA</t>
        </is>
      </c>
      <c r="G989" t="inlineStr">
        <is>
          <t>Ibrance</t>
        </is>
      </c>
      <c r="H989" t="inlineStr">
        <is>
          <t>Retail pharmacy</t>
        </is>
      </c>
      <c r="I989" t="inlineStr">
        <is>
          <t>Self-pay</t>
        </is>
      </c>
      <c r="J989" t="inlineStr">
        <is>
          <t>Hiroshi Tanaka</t>
        </is>
      </c>
      <c r="K989" s="70" t="n">
        <v>1943</v>
      </c>
      <c r="L989" s="71" t="n">
        <v>4380.45</v>
      </c>
      <c r="M989" s="71" t="n">
        <v>8511214.35</v>
      </c>
      <c r="N989" s="71" t="n">
        <v>2978925.02</v>
      </c>
      <c r="O989" s="71" t="n">
        <v>5532289.33</v>
      </c>
      <c r="P989" s="71" t="n">
        <v>841793.27</v>
      </c>
      <c r="Q989" s="71" t="n">
        <v>4690496.06</v>
      </c>
      <c r="R989" t="inlineStr">
        <is>
          <t>Oncology</t>
        </is>
      </c>
      <c r="S989" s="70" t="n">
        <v>1333</v>
      </c>
      <c r="T989" s="71" t="n">
        <v>1305552.8</v>
      </c>
      <c r="U989" t="inlineStr">
        <is>
          <t>High</t>
        </is>
      </c>
      <c r="V989">
        <f>IF(AND(OR(Dashboard!$C$6="All",E989=Dashboard!$C$6),OR(Dashboard!$F$6="All",G989=Dashboard!$F$6),OR(Dashboard!$I$6="All",H989=Dashboard!$I$6)),1,0)</f>
        <v/>
      </c>
    </row>
    <row r="990">
      <c r="A990" t="inlineStr">
        <is>
          <t>PF100981</t>
        </is>
      </c>
      <c r="B990" s="68" t="n">
        <v>45778</v>
      </c>
      <c r="C990" s="69" t="n">
        <v>2025</v>
      </c>
      <c r="D990" t="inlineStr">
        <is>
          <t>May</t>
        </is>
      </c>
      <c r="E990" t="inlineStr">
        <is>
          <t>Europe</t>
        </is>
      </c>
      <c r="F990" t="inlineStr">
        <is>
          <t>UK</t>
        </is>
      </c>
      <c r="G990" t="inlineStr">
        <is>
          <t>Vyndaqel</t>
        </is>
      </c>
      <c r="H990" t="inlineStr">
        <is>
          <t>Retail pharmacy</t>
        </is>
      </c>
      <c r="I990" t="inlineStr">
        <is>
          <t>Self-pay</t>
        </is>
      </c>
      <c r="J990" t="inlineStr">
        <is>
          <t>Fatima Al-Saud</t>
        </is>
      </c>
      <c r="K990" s="70" t="n">
        <v>2378</v>
      </c>
      <c r="L990" s="71" t="n">
        <v>5372.89</v>
      </c>
      <c r="M990" s="71" t="n">
        <v>12776732.42</v>
      </c>
      <c r="N990" s="71" t="n">
        <v>2555346.48</v>
      </c>
      <c r="O990" s="71" t="n">
        <v>10221385.94</v>
      </c>
      <c r="P990" s="71" t="n">
        <v>1476009.46</v>
      </c>
      <c r="Q990" s="71" t="n">
        <v>8745376.48</v>
      </c>
      <c r="R990" t="inlineStr">
        <is>
          <t>Rare disease</t>
        </is>
      </c>
      <c r="S990" s="70" t="n">
        <v>2187</v>
      </c>
      <c r="T990" s="71" t="n">
        <v>2086406.91</v>
      </c>
      <c r="U990" t="inlineStr">
        <is>
          <t>Medium</t>
        </is>
      </c>
      <c r="V990">
        <f>IF(AND(OR(Dashboard!$C$6="All",E990=Dashboard!$C$6),OR(Dashboard!$F$6="All",G990=Dashboard!$F$6),OR(Dashboard!$I$6="All",H990=Dashboard!$I$6)),1,0)</f>
        <v/>
      </c>
    </row>
    <row r="991">
      <c r="A991" t="inlineStr">
        <is>
          <t>PF100982</t>
        </is>
      </c>
      <c r="B991" s="68" t="n">
        <v>45778</v>
      </c>
      <c r="C991" s="69" t="n">
        <v>2025</v>
      </c>
      <c r="D991" t="inlineStr">
        <is>
          <t>May</t>
        </is>
      </c>
      <c r="E991" t="inlineStr">
        <is>
          <t>Europe</t>
        </is>
      </c>
      <c r="F991" t="inlineStr">
        <is>
          <t>UK</t>
        </is>
      </c>
      <c r="G991" t="inlineStr">
        <is>
          <t>Vyndaqel</t>
        </is>
      </c>
      <c r="H991" t="inlineStr">
        <is>
          <t>Government / tender</t>
        </is>
      </c>
      <c r="I991" t="inlineStr">
        <is>
          <t>Private insurer</t>
        </is>
      </c>
      <c r="J991" t="inlineStr">
        <is>
          <t>Ruhi Shaikh</t>
        </is>
      </c>
      <c r="K991" s="70" t="n">
        <v>2574</v>
      </c>
      <c r="L991" s="71" t="n">
        <v>5238.52</v>
      </c>
      <c r="M991" s="71" t="n">
        <v>13483950.48</v>
      </c>
      <c r="N991" s="71" t="n">
        <v>3370987.62</v>
      </c>
      <c r="O991" s="71" t="n">
        <v>10112962.86</v>
      </c>
      <c r="P991" s="71" t="n">
        <v>1635816.36</v>
      </c>
      <c r="Q991" s="71" t="n">
        <v>8477146.5</v>
      </c>
      <c r="R991" t="inlineStr">
        <is>
          <t>Rare disease</t>
        </is>
      </c>
      <c r="S991" s="70" t="n">
        <v>2152</v>
      </c>
      <c r="T991" s="71" t="n">
        <v>1941813.42</v>
      </c>
      <c r="U991" t="inlineStr">
        <is>
          <t>Medium</t>
        </is>
      </c>
      <c r="V991">
        <f>IF(AND(OR(Dashboard!$C$6="All",E991=Dashboard!$C$6),OR(Dashboard!$F$6="All",G991=Dashboard!$F$6),OR(Dashboard!$I$6="All",H991=Dashboard!$I$6)),1,0)</f>
        <v/>
      </c>
    </row>
    <row r="992">
      <c r="A992" t="inlineStr">
        <is>
          <t>PF100983</t>
        </is>
      </c>
      <c r="B992" s="68" t="n">
        <v>45778</v>
      </c>
      <c r="C992" s="69" t="n">
        <v>2025</v>
      </c>
      <c r="D992" t="inlineStr">
        <is>
          <t>May</t>
        </is>
      </c>
      <c r="E992" t="inlineStr">
        <is>
          <t>Emerging markets</t>
        </is>
      </c>
      <c r="F992" t="inlineStr">
        <is>
          <t>China</t>
        </is>
      </c>
      <c r="G992" t="inlineStr">
        <is>
          <t>Comirnaty</t>
        </is>
      </c>
      <c r="H992" t="inlineStr">
        <is>
          <t>Government / tender</t>
        </is>
      </c>
      <c r="I992" t="inlineStr">
        <is>
          <t>Public payer</t>
        </is>
      </c>
      <c r="J992" t="inlineStr">
        <is>
          <t>Ruhi Shaikh</t>
        </is>
      </c>
      <c r="K992" s="70" t="n">
        <v>1210</v>
      </c>
      <c r="L992" s="71" t="n">
        <v>100.49</v>
      </c>
      <c r="M992" s="71" t="n">
        <v>121592.9</v>
      </c>
      <c r="N992" s="71" t="n">
        <v>24318.58</v>
      </c>
      <c r="O992" s="71" t="n">
        <v>97274.32000000001</v>
      </c>
      <c r="P992" s="71" t="n">
        <v>45901.94</v>
      </c>
      <c r="Q992" s="71" t="n">
        <v>51372.38</v>
      </c>
      <c r="R992" t="inlineStr">
        <is>
          <t>Vaccines</t>
        </is>
      </c>
      <c r="S992" s="70" t="n">
        <v>778</v>
      </c>
      <c r="T992" s="71" t="n">
        <v>19759.31</v>
      </c>
      <c r="U992" t="inlineStr">
        <is>
          <t>Low</t>
        </is>
      </c>
      <c r="V992">
        <f>IF(AND(OR(Dashboard!$C$6="All",E992=Dashboard!$C$6),OR(Dashboard!$F$6="All",G992=Dashboard!$F$6),OR(Dashboard!$I$6="All",H992=Dashboard!$I$6)),1,0)</f>
        <v/>
      </c>
    </row>
    <row r="993">
      <c r="A993" t="inlineStr">
        <is>
          <t>PF100984</t>
        </is>
      </c>
      <c r="B993" s="68" t="n">
        <v>45778</v>
      </c>
      <c r="C993" s="69" t="n">
        <v>2025</v>
      </c>
      <c r="D993" t="inlineStr">
        <is>
          <t>May</t>
        </is>
      </c>
      <c r="E993" t="inlineStr">
        <is>
          <t>Europe</t>
        </is>
      </c>
      <c r="F993" t="inlineStr">
        <is>
          <t>UK</t>
        </is>
      </c>
      <c r="G993" t="inlineStr">
        <is>
          <t>Vyndaqel</t>
        </is>
      </c>
      <c r="H993" t="inlineStr">
        <is>
          <t>Retail pharmacy</t>
        </is>
      </c>
      <c r="I993" t="inlineStr">
        <is>
          <t>Public payer</t>
        </is>
      </c>
      <c r="J993" t="inlineStr">
        <is>
          <t>Zoya Ahmed</t>
        </is>
      </c>
      <c r="K993" s="70" t="n">
        <v>544</v>
      </c>
      <c r="L993" s="71" t="n">
        <v>5574.59</v>
      </c>
      <c r="M993" s="71" t="n">
        <v>3032576.96</v>
      </c>
      <c r="N993" s="71" t="n">
        <v>151628.85</v>
      </c>
      <c r="O993" s="71" t="n">
        <v>2880948.11</v>
      </c>
      <c r="P993" s="71" t="n">
        <v>337482.66</v>
      </c>
      <c r="Q993" s="71" t="n">
        <v>2543465.45</v>
      </c>
      <c r="R993" t="inlineStr">
        <is>
          <t>Rare disease</t>
        </is>
      </c>
      <c r="S993" s="70" t="n">
        <v>449</v>
      </c>
      <c r="T993" s="71" t="n">
        <v>395420.73</v>
      </c>
      <c r="U993" t="inlineStr">
        <is>
          <t>Medium</t>
        </is>
      </c>
      <c r="V993">
        <f>IF(AND(OR(Dashboard!$C$6="All",E993=Dashboard!$C$6),OR(Dashboard!$F$6="All",G993=Dashboard!$F$6),OR(Dashboard!$I$6="All",H993=Dashboard!$I$6)),1,0)</f>
        <v/>
      </c>
    </row>
    <row r="994">
      <c r="A994" t="inlineStr">
        <is>
          <t>PF100985</t>
        </is>
      </c>
      <c r="B994" s="68" t="n">
        <v>45779</v>
      </c>
      <c r="C994" s="69" t="n">
        <v>2025</v>
      </c>
      <c r="D994" t="inlineStr">
        <is>
          <t>May</t>
        </is>
      </c>
      <c r="E994" t="inlineStr">
        <is>
          <t>United States</t>
        </is>
      </c>
      <c r="F994" t="inlineStr">
        <is>
          <t>USA</t>
        </is>
      </c>
      <c r="G994" t="inlineStr">
        <is>
          <t>Paxlovid</t>
        </is>
      </c>
      <c r="H994" t="inlineStr">
        <is>
          <t>Retail pharmacy</t>
        </is>
      </c>
      <c r="I994" t="inlineStr">
        <is>
          <t>Private insurer</t>
        </is>
      </c>
      <c r="J994" t="inlineStr">
        <is>
          <t>Noah Smith</t>
        </is>
      </c>
      <c r="K994" s="70" t="n">
        <v>1571</v>
      </c>
      <c r="L994" s="71" t="n">
        <v>1694.9</v>
      </c>
      <c r="M994" s="71" t="n">
        <v>2662687.9</v>
      </c>
      <c r="N994" s="71" t="n">
        <v>532537.58</v>
      </c>
      <c r="O994" s="71" t="n">
        <v>2130150.32</v>
      </c>
      <c r="P994" s="71" t="n">
        <v>428911.72</v>
      </c>
      <c r="Q994" s="71" t="n">
        <v>1701238.6</v>
      </c>
      <c r="R994" t="inlineStr">
        <is>
          <t>Antiviral</t>
        </is>
      </c>
      <c r="S994" s="70" t="n">
        <v>1169</v>
      </c>
      <c r="T994" s="71" t="n">
        <v>441099.37</v>
      </c>
      <c r="U994" t="inlineStr">
        <is>
          <t>Low</t>
        </is>
      </c>
      <c r="V994">
        <f>IF(AND(OR(Dashboard!$C$6="All",E994=Dashboard!$C$6),OR(Dashboard!$F$6="All",G994=Dashboard!$F$6),OR(Dashboard!$I$6="All",H994=Dashboard!$I$6)),1,0)</f>
        <v/>
      </c>
    </row>
    <row r="995">
      <c r="A995" t="inlineStr">
        <is>
          <t>PF100986</t>
        </is>
      </c>
      <c r="B995" s="68" t="n">
        <v>45779</v>
      </c>
      <c r="C995" s="69" t="n">
        <v>2025</v>
      </c>
      <c r="D995" t="inlineStr">
        <is>
          <t>May</t>
        </is>
      </c>
      <c r="E995" t="inlineStr">
        <is>
          <t>Emerging markets</t>
        </is>
      </c>
      <c r="F995" t="inlineStr">
        <is>
          <t>Brazil</t>
        </is>
      </c>
      <c r="G995" t="inlineStr">
        <is>
          <t>Comirnaty</t>
        </is>
      </c>
      <c r="H995" t="inlineStr">
        <is>
          <t>Retail pharmacy</t>
        </is>
      </c>
      <c r="I995" t="inlineStr">
        <is>
          <t>Self-pay</t>
        </is>
      </c>
      <c r="J995" t="inlineStr">
        <is>
          <t>Sophie Müller</t>
        </is>
      </c>
      <c r="K995" s="70" t="n">
        <v>527</v>
      </c>
      <c r="L995" s="71" t="n">
        <v>119.74</v>
      </c>
      <c r="M995" s="71" t="n">
        <v>63102.98</v>
      </c>
      <c r="N995" s="71" t="n">
        <v>15775.75</v>
      </c>
      <c r="O995" s="71" t="n">
        <v>47327.23</v>
      </c>
      <c r="P995" s="71" t="n">
        <v>20712.41</v>
      </c>
      <c r="Q995" s="71" t="n">
        <v>26614.82</v>
      </c>
      <c r="R995" t="inlineStr">
        <is>
          <t>Vaccines</t>
        </is>
      </c>
      <c r="S995" s="70" t="n">
        <v>366</v>
      </c>
      <c r="T995" s="71" t="n">
        <v>8418.32</v>
      </c>
      <c r="U995" t="inlineStr">
        <is>
          <t>Low</t>
        </is>
      </c>
      <c r="V995">
        <f>IF(AND(OR(Dashboard!$C$6="All",E995=Dashboard!$C$6),OR(Dashboard!$F$6="All",G995=Dashboard!$F$6),OR(Dashboard!$I$6="All",H995=Dashboard!$I$6)),1,0)</f>
        <v/>
      </c>
    </row>
    <row r="996">
      <c r="A996" t="inlineStr">
        <is>
          <t>PF100987</t>
        </is>
      </c>
      <c r="B996" s="68" t="n">
        <v>45779</v>
      </c>
      <c r="C996" s="69" t="n">
        <v>2025</v>
      </c>
      <c r="D996" t="inlineStr">
        <is>
          <t>May</t>
        </is>
      </c>
      <c r="E996" t="inlineStr">
        <is>
          <t>International developed</t>
        </is>
      </c>
      <c r="F996" t="inlineStr">
        <is>
          <t>Japan</t>
        </is>
      </c>
      <c r="G996" t="inlineStr">
        <is>
          <t>Eliquis</t>
        </is>
      </c>
      <c r="H996" t="inlineStr">
        <is>
          <t>Hospital</t>
        </is>
      </c>
      <c r="I996" t="inlineStr">
        <is>
          <t>Public payer</t>
        </is>
      </c>
      <c r="J996" t="inlineStr">
        <is>
          <t>Aisha Bello</t>
        </is>
      </c>
      <c r="K996" s="70" t="n">
        <v>240</v>
      </c>
      <c r="L996" s="71" t="n">
        <v>449.9</v>
      </c>
      <c r="M996" s="71" t="n">
        <v>107976</v>
      </c>
      <c r="N996" s="71" t="n">
        <v>16196.4</v>
      </c>
      <c r="O996" s="71" t="n">
        <v>91779.60000000001</v>
      </c>
      <c r="P996" s="71" t="n">
        <v>18652.09</v>
      </c>
      <c r="Q996" s="71" t="n">
        <v>73127.50999999999</v>
      </c>
      <c r="R996" t="inlineStr">
        <is>
          <t>Cardiology</t>
        </is>
      </c>
      <c r="S996" s="70" t="n">
        <v>190</v>
      </c>
      <c r="T996" s="71" t="n">
        <v>17316.85</v>
      </c>
      <c r="U996" t="inlineStr">
        <is>
          <t>High</t>
        </is>
      </c>
      <c r="V996">
        <f>IF(AND(OR(Dashboard!$C$6="All",E996=Dashboard!$C$6),OR(Dashboard!$F$6="All",G996=Dashboard!$F$6),OR(Dashboard!$I$6="All",H996=Dashboard!$I$6)),1,0)</f>
        <v/>
      </c>
    </row>
    <row r="997">
      <c r="A997" t="inlineStr">
        <is>
          <t>PF100988</t>
        </is>
      </c>
      <c r="B997" s="68" t="n">
        <v>45779</v>
      </c>
      <c r="C997" s="69" t="n">
        <v>2025</v>
      </c>
      <c r="D997" t="inlineStr">
        <is>
          <t>May</t>
        </is>
      </c>
      <c r="E997" t="inlineStr">
        <is>
          <t>International developed</t>
        </is>
      </c>
      <c r="F997" t="inlineStr">
        <is>
          <t>Canada</t>
        </is>
      </c>
      <c r="G997" t="inlineStr">
        <is>
          <t>Eliquis</t>
        </is>
      </c>
      <c r="H997" t="inlineStr">
        <is>
          <t>Government / tender</t>
        </is>
      </c>
      <c r="I997" t="inlineStr">
        <is>
          <t>Self-pay</t>
        </is>
      </c>
      <c r="J997" t="inlineStr">
        <is>
          <t>Wei Chen</t>
        </is>
      </c>
      <c r="K997" s="70" t="n">
        <v>489</v>
      </c>
      <c r="L997" s="71" t="n">
        <v>425.43</v>
      </c>
      <c r="M997" s="71" t="n">
        <v>208035.27</v>
      </c>
      <c r="N997" s="71" t="n">
        <v>31205.29</v>
      </c>
      <c r="O997" s="71" t="n">
        <v>176829.98</v>
      </c>
      <c r="P997" s="71" t="n">
        <v>38133.7</v>
      </c>
      <c r="Q997" s="71" t="n">
        <v>138696.28</v>
      </c>
      <c r="R997" t="inlineStr">
        <is>
          <t>Cardiology</t>
        </is>
      </c>
      <c r="S997" s="70" t="n">
        <v>383</v>
      </c>
      <c r="T997" s="71" t="n">
        <v>43098.08</v>
      </c>
      <c r="U997" t="inlineStr">
        <is>
          <t>High</t>
        </is>
      </c>
      <c r="V997">
        <f>IF(AND(OR(Dashboard!$C$6="All",E997=Dashboard!$C$6),OR(Dashboard!$F$6="All",G997=Dashboard!$F$6),OR(Dashboard!$I$6="All",H997=Dashboard!$I$6)),1,0)</f>
        <v/>
      </c>
    </row>
    <row r="998">
      <c r="A998" t="inlineStr">
        <is>
          <t>PF100989</t>
        </is>
      </c>
      <c r="B998" s="68" t="n">
        <v>45779</v>
      </c>
      <c r="C998" s="69" t="n">
        <v>2025</v>
      </c>
      <c r="D998" t="inlineStr">
        <is>
          <t>May</t>
        </is>
      </c>
      <c r="E998" t="inlineStr">
        <is>
          <t>United States</t>
        </is>
      </c>
      <c r="F998" t="inlineStr">
        <is>
          <t>USA</t>
        </is>
      </c>
      <c r="G998" t="inlineStr">
        <is>
          <t>Comirnaty</t>
        </is>
      </c>
      <c r="H998" t="inlineStr">
        <is>
          <t>Government / tender</t>
        </is>
      </c>
      <c r="I998" t="inlineStr">
        <is>
          <t>Public payer</t>
        </is>
      </c>
      <c r="J998" t="inlineStr">
        <is>
          <t>Aisha Bello</t>
        </is>
      </c>
      <c r="K998" s="70" t="n">
        <v>2364</v>
      </c>
      <c r="L998" s="71" t="n">
        <v>187.12</v>
      </c>
      <c r="M998" s="71" t="n">
        <v>442351.68</v>
      </c>
      <c r="N998" s="71" t="n">
        <v>110587.92</v>
      </c>
      <c r="O998" s="71" t="n">
        <v>331763.76</v>
      </c>
      <c r="P998" s="71" t="n">
        <v>91693.67999999999</v>
      </c>
      <c r="Q998" s="71" t="n">
        <v>240070.08</v>
      </c>
      <c r="R998" t="inlineStr">
        <is>
          <t>Vaccines</t>
        </is>
      </c>
      <c r="S998" s="70" t="n">
        <v>2127</v>
      </c>
      <c r="T998" s="71" t="n">
        <v>81439.13</v>
      </c>
      <c r="U998" t="inlineStr">
        <is>
          <t>Low</t>
        </is>
      </c>
      <c r="V998">
        <f>IF(AND(OR(Dashboard!$C$6="All",E998=Dashboard!$C$6),OR(Dashboard!$F$6="All",G998=Dashboard!$F$6),OR(Dashboard!$I$6="All",H998=Dashboard!$I$6)),1,0)</f>
        <v/>
      </c>
    </row>
    <row r="999">
      <c r="A999" t="inlineStr">
        <is>
          <t>PF100990</t>
        </is>
      </c>
      <c r="B999" s="68" t="n">
        <v>45779</v>
      </c>
      <c r="C999" s="69" t="n">
        <v>2025</v>
      </c>
      <c r="D999" t="inlineStr">
        <is>
          <t>May</t>
        </is>
      </c>
      <c r="E999" t="inlineStr">
        <is>
          <t>Emerging markets</t>
        </is>
      </c>
      <c r="F999" t="inlineStr">
        <is>
          <t>Mexico</t>
        </is>
      </c>
      <c r="G999" t="inlineStr">
        <is>
          <t>Eliquis</t>
        </is>
      </c>
      <c r="H999" t="inlineStr">
        <is>
          <t>Retail pharmacy</t>
        </is>
      </c>
      <c r="I999" t="inlineStr">
        <is>
          <t>Public payer</t>
        </is>
      </c>
      <c r="J999" t="inlineStr">
        <is>
          <t>Olivia Brown</t>
        </is>
      </c>
      <c r="K999" s="70" t="n">
        <v>2297</v>
      </c>
      <c r="L999" s="71" t="n">
        <v>453.33</v>
      </c>
      <c r="M999" s="71" t="n">
        <v>1041299.01</v>
      </c>
      <c r="N999" s="71" t="n">
        <v>260324.75</v>
      </c>
      <c r="O999" s="71" t="n">
        <v>780974.26</v>
      </c>
      <c r="P999" s="71" t="n">
        <v>174259.26</v>
      </c>
      <c r="Q999" s="71" t="n">
        <v>606715</v>
      </c>
      <c r="R999" t="inlineStr">
        <is>
          <t>Cardiology</t>
        </is>
      </c>
      <c r="S999" s="70" t="n">
        <v>1673</v>
      </c>
      <c r="T999" s="71" t="n">
        <v>197996.52</v>
      </c>
      <c r="U999" t="inlineStr">
        <is>
          <t>High</t>
        </is>
      </c>
      <c r="V999">
        <f>IF(AND(OR(Dashboard!$C$6="All",E999=Dashboard!$C$6),OR(Dashboard!$F$6="All",G999=Dashboard!$F$6),OR(Dashboard!$I$6="All",H999=Dashboard!$I$6)),1,0)</f>
        <v/>
      </c>
    </row>
    <row r="1000">
      <c r="A1000" t="inlineStr">
        <is>
          <t>PF100991</t>
        </is>
      </c>
      <c r="B1000" s="68" t="n">
        <v>45779</v>
      </c>
      <c r="C1000" s="69" t="n">
        <v>2025</v>
      </c>
      <c r="D1000" t="inlineStr">
        <is>
          <t>May</t>
        </is>
      </c>
      <c r="E1000" t="inlineStr">
        <is>
          <t>United States</t>
        </is>
      </c>
      <c r="F1000" t="inlineStr">
        <is>
          <t>USA</t>
        </is>
      </c>
      <c r="G1000" t="inlineStr">
        <is>
          <t>Ibrance</t>
        </is>
      </c>
      <c r="H1000" t="inlineStr">
        <is>
          <t>Retail pharmacy</t>
        </is>
      </c>
      <c r="I1000" t="inlineStr">
        <is>
          <t>Private insurer</t>
        </is>
      </c>
      <c r="J1000" t="inlineStr">
        <is>
          <t>Ana Costa</t>
        </is>
      </c>
      <c r="K1000" s="70" t="n">
        <v>1058</v>
      </c>
      <c r="L1000" s="71" t="n">
        <v>4817.07</v>
      </c>
      <c r="M1000" s="71" t="n">
        <v>5096460.06</v>
      </c>
      <c r="N1000" s="71" t="n">
        <v>1528938.02</v>
      </c>
      <c r="O1000" s="71" t="n">
        <v>3567522.04</v>
      </c>
      <c r="P1000" s="71" t="n">
        <v>443215.07</v>
      </c>
      <c r="Q1000" s="71" t="n">
        <v>3124306.97</v>
      </c>
      <c r="R1000" t="inlineStr">
        <is>
          <t>Oncology</t>
        </is>
      </c>
      <c r="S1000" s="70" t="n">
        <v>991</v>
      </c>
      <c r="T1000" s="71" t="n">
        <v>972928.6</v>
      </c>
      <c r="U1000" t="inlineStr">
        <is>
          <t>High</t>
        </is>
      </c>
      <c r="V1000">
        <f>IF(AND(OR(Dashboard!$C$6="All",E1000=Dashboard!$C$6),OR(Dashboard!$F$6="All",G1000=Dashboard!$F$6),OR(Dashboard!$I$6="All",H1000=Dashboard!$I$6)),1,0)</f>
        <v/>
      </c>
    </row>
    <row r="1001">
      <c r="A1001" t="inlineStr">
        <is>
          <t>PF100992</t>
        </is>
      </c>
      <c r="B1001" s="68" t="n">
        <v>45779</v>
      </c>
      <c r="C1001" s="69" t="n">
        <v>2025</v>
      </c>
      <c r="D1001" t="inlineStr">
        <is>
          <t>May</t>
        </is>
      </c>
      <c r="E1001" t="inlineStr">
        <is>
          <t>Emerging markets</t>
        </is>
      </c>
      <c r="F1001" t="inlineStr">
        <is>
          <t>Mexico</t>
        </is>
      </c>
      <c r="G1001" t="inlineStr">
        <is>
          <t>Vyndaqel</t>
        </is>
      </c>
      <c r="H1001" t="inlineStr">
        <is>
          <t>Hospital</t>
        </is>
      </c>
      <c r="I1001" t="inlineStr">
        <is>
          <t>Public payer</t>
        </is>
      </c>
      <c r="J1001" t="inlineStr">
        <is>
          <t>Lucas Martin</t>
        </is>
      </c>
      <c r="K1001" s="70" t="n">
        <v>2230</v>
      </c>
      <c r="L1001" s="71" t="n">
        <v>5393.11</v>
      </c>
      <c r="M1001" s="71" t="n">
        <v>12026635.3</v>
      </c>
      <c r="N1001" s="71" t="n">
        <v>601331.77</v>
      </c>
      <c r="O1001" s="71" t="n">
        <v>11425303.53</v>
      </c>
      <c r="P1001" s="71" t="n">
        <v>1393624.75</v>
      </c>
      <c r="Q1001" s="71" t="n">
        <v>10031678.78</v>
      </c>
      <c r="R1001" t="inlineStr">
        <is>
          <t>Rare disease</t>
        </is>
      </c>
      <c r="S1001" s="70" t="n">
        <v>2088</v>
      </c>
      <c r="T1001" s="71" t="n">
        <v>1638057.69</v>
      </c>
      <c r="U1001" t="inlineStr">
        <is>
          <t>Medium</t>
        </is>
      </c>
      <c r="V1001">
        <f>IF(AND(OR(Dashboard!$C$6="All",E1001=Dashboard!$C$6),OR(Dashboard!$F$6="All",G1001=Dashboard!$F$6),OR(Dashboard!$I$6="All",H1001=Dashboard!$I$6)),1,0)</f>
        <v/>
      </c>
    </row>
    <row r="1002">
      <c r="A1002" t="inlineStr">
        <is>
          <t>PF100993</t>
        </is>
      </c>
      <c r="B1002" s="68" t="n">
        <v>45779</v>
      </c>
      <c r="C1002" s="69" t="n">
        <v>2025</v>
      </c>
      <c r="D1002" t="inlineStr">
        <is>
          <t>May</t>
        </is>
      </c>
      <c r="E1002" t="inlineStr">
        <is>
          <t>Emerging markets</t>
        </is>
      </c>
      <c r="F1002" t="inlineStr">
        <is>
          <t>China</t>
        </is>
      </c>
      <c r="G1002" t="inlineStr">
        <is>
          <t>Eliquis</t>
        </is>
      </c>
      <c r="H1002" t="inlineStr">
        <is>
          <t>Hospital</t>
        </is>
      </c>
      <c r="I1002" t="inlineStr">
        <is>
          <t>Public payer</t>
        </is>
      </c>
      <c r="J1002" t="inlineStr">
        <is>
          <t>Ravindra Patil</t>
        </is>
      </c>
      <c r="K1002" s="70" t="n">
        <v>1096</v>
      </c>
      <c r="L1002" s="71" t="n">
        <v>446.52</v>
      </c>
      <c r="M1002" s="71" t="n">
        <v>489385.92</v>
      </c>
      <c r="N1002" s="71" t="n">
        <v>24469.3</v>
      </c>
      <c r="O1002" s="71" t="n">
        <v>464916.62</v>
      </c>
      <c r="P1002" s="71" t="n">
        <v>80906.53</v>
      </c>
      <c r="Q1002" s="71" t="n">
        <v>384010.09</v>
      </c>
      <c r="R1002" t="inlineStr">
        <is>
          <t>Cardiology</t>
        </is>
      </c>
      <c r="S1002" s="70" t="n">
        <v>739</v>
      </c>
      <c r="T1002" s="71" t="n">
        <v>71013.66</v>
      </c>
      <c r="U1002" t="inlineStr">
        <is>
          <t>High</t>
        </is>
      </c>
      <c r="V1002">
        <f>IF(AND(OR(Dashboard!$C$6="All",E1002=Dashboard!$C$6),OR(Dashboard!$F$6="All",G1002=Dashboard!$F$6),OR(Dashboard!$I$6="All",H1002=Dashboard!$I$6)),1,0)</f>
        <v/>
      </c>
    </row>
    <row r="1003">
      <c r="A1003" t="inlineStr">
        <is>
          <t>PF100994</t>
        </is>
      </c>
      <c r="B1003" s="68" t="n">
        <v>45779</v>
      </c>
      <c r="C1003" s="69" t="n">
        <v>2025</v>
      </c>
      <c r="D1003" t="inlineStr">
        <is>
          <t>May</t>
        </is>
      </c>
      <c r="E1003" t="inlineStr">
        <is>
          <t>Emerging markets</t>
        </is>
      </c>
      <c r="F1003" t="inlineStr">
        <is>
          <t>China</t>
        </is>
      </c>
      <c r="G1003" t="inlineStr">
        <is>
          <t>Comirnaty</t>
        </is>
      </c>
      <c r="H1003" t="inlineStr">
        <is>
          <t>Hospital</t>
        </is>
      </c>
      <c r="I1003" t="inlineStr">
        <is>
          <t>Private insurer</t>
        </is>
      </c>
      <c r="J1003" t="inlineStr">
        <is>
          <t>Arjun Mehta</t>
        </is>
      </c>
      <c r="K1003" s="70" t="n">
        <v>1048</v>
      </c>
      <c r="L1003" s="71" t="n">
        <v>118.92</v>
      </c>
      <c r="M1003" s="71" t="n">
        <v>124628.16</v>
      </c>
      <c r="N1003" s="71" t="n">
        <v>31157.04</v>
      </c>
      <c r="O1003" s="71" t="n">
        <v>93471.12</v>
      </c>
      <c r="P1003" s="71" t="n">
        <v>40453.67</v>
      </c>
      <c r="Q1003" s="71" t="n">
        <v>53017.45</v>
      </c>
      <c r="R1003" t="inlineStr">
        <is>
          <t>Vaccines</t>
        </is>
      </c>
      <c r="S1003" s="70" t="n">
        <v>961</v>
      </c>
      <c r="T1003" s="71" t="n">
        <v>24926.64</v>
      </c>
      <c r="U1003" t="inlineStr">
        <is>
          <t>Low</t>
        </is>
      </c>
      <c r="V1003">
        <f>IF(AND(OR(Dashboard!$C$6="All",E1003=Dashboard!$C$6),OR(Dashboard!$F$6="All",G1003=Dashboard!$F$6),OR(Dashboard!$I$6="All",H1003=Dashboard!$I$6)),1,0)</f>
        <v/>
      </c>
    </row>
    <row r="1004">
      <c r="A1004" t="inlineStr">
        <is>
          <t>PF100995</t>
        </is>
      </c>
      <c r="B1004" s="68" t="n">
        <v>45779</v>
      </c>
      <c r="C1004" s="69" t="n">
        <v>2025</v>
      </c>
      <c r="D1004" t="inlineStr">
        <is>
          <t>May</t>
        </is>
      </c>
      <c r="E1004" t="inlineStr">
        <is>
          <t>International developed</t>
        </is>
      </c>
      <c r="F1004" t="inlineStr">
        <is>
          <t>Japan</t>
        </is>
      </c>
      <c r="G1004" t="inlineStr">
        <is>
          <t>Prevnar 20</t>
        </is>
      </c>
      <c r="H1004" t="inlineStr">
        <is>
          <t>Retail pharmacy</t>
        </is>
      </c>
      <c r="I1004" t="inlineStr">
        <is>
          <t>Public payer</t>
        </is>
      </c>
      <c r="J1004" t="inlineStr">
        <is>
          <t>Olivia Brown</t>
        </is>
      </c>
      <c r="K1004" s="70" t="n">
        <v>1675</v>
      </c>
      <c r="L1004" s="71" t="n">
        <v>219.01</v>
      </c>
      <c r="M1004" s="71" t="n">
        <v>366841.75</v>
      </c>
      <c r="N1004" s="71" t="n">
        <v>55026.26</v>
      </c>
      <c r="O1004" s="71" t="n">
        <v>311815.49</v>
      </c>
      <c r="P1004" s="71" t="n">
        <v>114671.56</v>
      </c>
      <c r="Q1004" s="71" t="n">
        <v>197143.93</v>
      </c>
      <c r="R1004" t="inlineStr">
        <is>
          <t>Vaccines</t>
        </is>
      </c>
      <c r="S1004" s="70" t="n">
        <v>1173</v>
      </c>
      <c r="T1004" s="71" t="n">
        <v>54081.21</v>
      </c>
      <c r="U1004" t="inlineStr">
        <is>
          <t>Low</t>
        </is>
      </c>
      <c r="V1004">
        <f>IF(AND(OR(Dashboard!$C$6="All",E1004=Dashboard!$C$6),OR(Dashboard!$F$6="All",G1004=Dashboard!$F$6),OR(Dashboard!$I$6="All",H1004=Dashboard!$I$6)),1,0)</f>
        <v/>
      </c>
    </row>
    <row r="1005">
      <c r="A1005" t="inlineStr">
        <is>
          <t>PF100996</t>
        </is>
      </c>
      <c r="B1005" s="68" t="n">
        <v>45780</v>
      </c>
      <c r="C1005" s="69" t="n">
        <v>2025</v>
      </c>
      <c r="D1005" t="inlineStr">
        <is>
          <t>May</t>
        </is>
      </c>
      <c r="E1005" t="inlineStr">
        <is>
          <t>Europe</t>
        </is>
      </c>
      <c r="F1005" t="inlineStr">
        <is>
          <t>UK</t>
        </is>
      </c>
      <c r="G1005" t="inlineStr">
        <is>
          <t>Prevnar 20</t>
        </is>
      </c>
      <c r="H1005" t="inlineStr">
        <is>
          <t>Hospital</t>
        </is>
      </c>
      <c r="I1005" t="inlineStr">
        <is>
          <t>Private insurer</t>
        </is>
      </c>
      <c r="J1005" t="inlineStr">
        <is>
          <t>Ruhi Shaikh</t>
        </is>
      </c>
      <c r="K1005" s="70" t="n">
        <v>334</v>
      </c>
      <c r="L1005" s="71" t="n">
        <v>213.39</v>
      </c>
      <c r="M1005" s="71" t="n">
        <v>71272.25999999999</v>
      </c>
      <c r="N1005" s="71" t="n">
        <v>17818.06</v>
      </c>
      <c r="O1005" s="71" t="n">
        <v>53454.2</v>
      </c>
      <c r="P1005" s="71" t="n">
        <v>23594.2</v>
      </c>
      <c r="Q1005" s="71" t="n">
        <v>29860</v>
      </c>
      <c r="R1005" t="inlineStr">
        <is>
          <t>Vaccines</t>
        </is>
      </c>
      <c r="S1005" s="70" t="n">
        <v>240</v>
      </c>
      <c r="T1005" s="71" t="n">
        <v>13147.51</v>
      </c>
      <c r="U1005" t="inlineStr">
        <is>
          <t>Low</t>
        </is>
      </c>
      <c r="V1005">
        <f>IF(AND(OR(Dashboard!$C$6="All",E1005=Dashboard!$C$6),OR(Dashboard!$F$6="All",G1005=Dashboard!$F$6),OR(Dashboard!$I$6="All",H1005=Dashboard!$I$6)),1,0)</f>
        <v/>
      </c>
    </row>
    <row r="1006">
      <c r="A1006" t="inlineStr">
        <is>
          <t>PF100997</t>
        </is>
      </c>
      <c r="B1006" s="68" t="n">
        <v>45780</v>
      </c>
      <c r="C1006" s="69" t="n">
        <v>2025</v>
      </c>
      <c r="D1006" t="inlineStr">
        <is>
          <t>May</t>
        </is>
      </c>
      <c r="E1006" t="inlineStr">
        <is>
          <t>United States</t>
        </is>
      </c>
      <c r="F1006" t="inlineStr">
        <is>
          <t>USA</t>
        </is>
      </c>
      <c r="G1006" t="inlineStr">
        <is>
          <t>Vyndaqel</t>
        </is>
      </c>
      <c r="H1006" t="inlineStr">
        <is>
          <t>Retail pharmacy</t>
        </is>
      </c>
      <c r="I1006" t="inlineStr">
        <is>
          <t>Private insurer</t>
        </is>
      </c>
      <c r="J1006" t="inlineStr">
        <is>
          <t>Kofi Mensah</t>
        </is>
      </c>
      <c r="K1006" s="70" t="n">
        <v>2884</v>
      </c>
      <c r="L1006" s="71" t="n">
        <v>9021.040000000001</v>
      </c>
      <c r="M1006" s="71" t="n">
        <v>26016679.36</v>
      </c>
      <c r="N1006" s="71" t="n">
        <v>3902501.9</v>
      </c>
      <c r="O1006" s="71" t="n">
        <v>22114177.46</v>
      </c>
      <c r="P1006" s="71" t="n">
        <v>1751863.79</v>
      </c>
      <c r="Q1006" s="71" t="n">
        <v>20362313.67</v>
      </c>
      <c r="R1006" t="inlineStr">
        <is>
          <t>Rare disease</t>
        </is>
      </c>
      <c r="S1006" s="70" t="n">
        <v>2844</v>
      </c>
      <c r="T1006" s="71" t="n">
        <v>3585124.01</v>
      </c>
      <c r="U1006" t="inlineStr">
        <is>
          <t>Medium</t>
        </is>
      </c>
      <c r="V1006">
        <f>IF(AND(OR(Dashboard!$C$6="All",E1006=Dashboard!$C$6),OR(Dashboard!$F$6="All",G1006=Dashboard!$F$6),OR(Dashboard!$I$6="All",H1006=Dashboard!$I$6)),1,0)</f>
        <v/>
      </c>
    </row>
    <row r="1007">
      <c r="A1007" t="inlineStr">
        <is>
          <t>PF100998</t>
        </is>
      </c>
      <c r="B1007" s="68" t="n">
        <v>45780</v>
      </c>
      <c r="C1007" s="69" t="n">
        <v>2025</v>
      </c>
      <c r="D1007" t="inlineStr">
        <is>
          <t>May</t>
        </is>
      </c>
      <c r="E1007" t="inlineStr">
        <is>
          <t>Emerging markets</t>
        </is>
      </c>
      <c r="F1007" t="inlineStr">
        <is>
          <t>China</t>
        </is>
      </c>
      <c r="G1007" t="inlineStr">
        <is>
          <t>Vyndaqel</t>
        </is>
      </c>
      <c r="H1007" t="inlineStr">
        <is>
          <t>Hospital</t>
        </is>
      </c>
      <c r="I1007" t="inlineStr">
        <is>
          <t>Public payer</t>
        </is>
      </c>
      <c r="J1007" t="inlineStr">
        <is>
          <t>Aisha Bello</t>
        </is>
      </c>
      <c r="K1007" s="70" t="n">
        <v>1130</v>
      </c>
      <c r="L1007" s="71" t="n">
        <v>5113.17</v>
      </c>
      <c r="M1007" s="71" t="n">
        <v>5777882.1</v>
      </c>
      <c r="N1007" s="71" t="n">
        <v>1444470.52</v>
      </c>
      <c r="O1007" s="71" t="n">
        <v>4333411.58</v>
      </c>
      <c r="P1007" s="71" t="n">
        <v>691734.05</v>
      </c>
      <c r="Q1007" s="71" t="n">
        <v>3641677.53</v>
      </c>
      <c r="R1007" t="inlineStr">
        <is>
          <t>Rare disease</t>
        </is>
      </c>
      <c r="S1007" s="70" t="n">
        <v>722</v>
      </c>
      <c r="T1007" s="71" t="n">
        <v>995381.78</v>
      </c>
      <c r="U1007" t="inlineStr">
        <is>
          <t>Medium</t>
        </is>
      </c>
      <c r="V1007">
        <f>IF(AND(OR(Dashboard!$C$6="All",E1007=Dashboard!$C$6),OR(Dashboard!$F$6="All",G1007=Dashboard!$F$6),OR(Dashboard!$I$6="All",H1007=Dashboard!$I$6)),1,0)</f>
        <v/>
      </c>
    </row>
    <row r="1008">
      <c r="A1008" t="inlineStr">
        <is>
          <t>PF100999</t>
        </is>
      </c>
      <c r="B1008" s="68" t="n">
        <v>45780</v>
      </c>
      <c r="C1008" s="69" t="n">
        <v>2025</v>
      </c>
      <c r="D1008" t="inlineStr">
        <is>
          <t>May</t>
        </is>
      </c>
      <c r="E1008" t="inlineStr">
        <is>
          <t>United States</t>
        </is>
      </c>
      <c r="F1008" t="inlineStr">
        <is>
          <t>USA</t>
        </is>
      </c>
      <c r="G1008" t="inlineStr">
        <is>
          <t>Xeljanz</t>
        </is>
      </c>
      <c r="H1008" t="inlineStr">
        <is>
          <t>Retail pharmacy</t>
        </is>
      </c>
      <c r="I1008" t="inlineStr">
        <is>
          <t>Self-pay</t>
        </is>
      </c>
      <c r="J1008" t="inlineStr">
        <is>
          <t>Liam O'Brien</t>
        </is>
      </c>
      <c r="K1008" s="70" t="n">
        <v>1931</v>
      </c>
      <c r="L1008" s="71" t="n">
        <v>2102.02</v>
      </c>
      <c r="M1008" s="71" t="n">
        <v>4059000.62</v>
      </c>
      <c r="N1008" s="71" t="n">
        <v>1420650.22</v>
      </c>
      <c r="O1008" s="71" t="n">
        <v>2638350.4</v>
      </c>
      <c r="P1008" s="71" t="n">
        <v>494873.08</v>
      </c>
      <c r="Q1008" s="71" t="n">
        <v>2143477.32</v>
      </c>
      <c r="R1008" t="inlineStr">
        <is>
          <t>Inflammation</t>
        </is>
      </c>
      <c r="S1008" s="70" t="n">
        <v>1895</v>
      </c>
      <c r="T1008" s="71" t="n">
        <v>694485.36</v>
      </c>
      <c r="U1008" t="inlineStr">
        <is>
          <t>High</t>
        </is>
      </c>
      <c r="V1008">
        <f>IF(AND(OR(Dashboard!$C$6="All",E1008=Dashboard!$C$6),OR(Dashboard!$F$6="All",G1008=Dashboard!$F$6),OR(Dashboard!$I$6="All",H1008=Dashboard!$I$6)),1,0)</f>
        <v/>
      </c>
    </row>
    <row r="1009">
      <c r="A1009" t="inlineStr">
        <is>
          <t>PF101000</t>
        </is>
      </c>
      <c r="B1009" s="68" t="n">
        <v>45780</v>
      </c>
      <c r="C1009" s="69" t="n">
        <v>2025</v>
      </c>
      <c r="D1009" t="inlineStr">
        <is>
          <t>May</t>
        </is>
      </c>
      <c r="E1009" t="inlineStr">
        <is>
          <t>Europe</t>
        </is>
      </c>
      <c r="F1009" t="inlineStr">
        <is>
          <t>Spain</t>
        </is>
      </c>
      <c r="G1009" t="inlineStr">
        <is>
          <t>Paxlovid</t>
        </is>
      </c>
      <c r="H1009" t="inlineStr">
        <is>
          <t>Government / tender</t>
        </is>
      </c>
      <c r="I1009" t="inlineStr">
        <is>
          <t>Public payer</t>
        </is>
      </c>
      <c r="J1009" t="inlineStr">
        <is>
          <t>Ana Costa</t>
        </is>
      </c>
      <c r="K1009" s="70" t="n">
        <v>197</v>
      </c>
      <c r="L1009" s="71" t="n">
        <v>1039.16</v>
      </c>
      <c r="M1009" s="71" t="n">
        <v>204714.52</v>
      </c>
      <c r="N1009" s="71" t="n">
        <v>30707.18</v>
      </c>
      <c r="O1009" s="71" t="n">
        <v>174007.34</v>
      </c>
      <c r="P1009" s="71" t="n">
        <v>52092.04</v>
      </c>
      <c r="Q1009" s="71" t="n">
        <v>121915.3</v>
      </c>
      <c r="R1009" t="inlineStr">
        <is>
          <t>Antiviral</t>
        </is>
      </c>
      <c r="S1009" s="70" t="n">
        <v>183</v>
      </c>
      <c r="T1009" s="71" t="n">
        <v>30954.97</v>
      </c>
      <c r="U1009" t="inlineStr">
        <is>
          <t>Low</t>
        </is>
      </c>
      <c r="V1009">
        <f>IF(AND(OR(Dashboard!$C$6="All",E1009=Dashboard!$C$6),OR(Dashboard!$F$6="All",G1009=Dashboard!$F$6),OR(Dashboard!$I$6="All",H1009=Dashboard!$I$6)),1,0)</f>
        <v/>
      </c>
    </row>
    <row r="1010">
      <c r="A1010" t="inlineStr">
        <is>
          <t>PF101001</t>
        </is>
      </c>
      <c r="B1010" s="68" t="n">
        <v>45780</v>
      </c>
      <c r="C1010" s="69" t="n">
        <v>2025</v>
      </c>
      <c r="D1010" t="inlineStr">
        <is>
          <t>May</t>
        </is>
      </c>
      <c r="E1010" t="inlineStr">
        <is>
          <t>United States</t>
        </is>
      </c>
      <c r="F1010" t="inlineStr">
        <is>
          <t>USA</t>
        </is>
      </c>
      <c r="G1010" t="inlineStr">
        <is>
          <t>Prevnar 20</t>
        </is>
      </c>
      <c r="H1010" t="inlineStr">
        <is>
          <t>Hospital</t>
        </is>
      </c>
      <c r="I1010" t="inlineStr">
        <is>
          <t>Public payer</t>
        </is>
      </c>
      <c r="J1010" t="inlineStr">
        <is>
          <t>Omar Haddad</t>
        </is>
      </c>
      <c r="K1010" s="70" t="n">
        <v>768</v>
      </c>
      <c r="L1010" s="71" t="n">
        <v>337.06</v>
      </c>
      <c r="M1010" s="71" t="n">
        <v>258862.08</v>
      </c>
      <c r="N1010" s="71" t="n">
        <v>51772.42</v>
      </c>
      <c r="O1010" s="71" t="n">
        <v>207089.66</v>
      </c>
      <c r="P1010" s="71" t="n">
        <v>52737.28</v>
      </c>
      <c r="Q1010" s="71" t="n">
        <v>154352.38</v>
      </c>
      <c r="R1010" t="inlineStr">
        <is>
          <t>Vaccines</t>
        </is>
      </c>
      <c r="S1010" s="70" t="n">
        <v>509</v>
      </c>
      <c r="T1010" s="71" t="n">
        <v>52928.97</v>
      </c>
      <c r="U1010" t="inlineStr">
        <is>
          <t>Low</t>
        </is>
      </c>
      <c r="V1010">
        <f>IF(AND(OR(Dashboard!$C$6="All",E1010=Dashboard!$C$6),OR(Dashboard!$F$6="All",G1010=Dashboard!$F$6),OR(Dashboard!$I$6="All",H1010=Dashboard!$I$6)),1,0)</f>
        <v/>
      </c>
    </row>
    <row r="1011">
      <c r="A1011" t="inlineStr">
        <is>
          <t>PF101002</t>
        </is>
      </c>
      <c r="B1011" s="68" t="n">
        <v>45780</v>
      </c>
      <c r="C1011" s="69" t="n">
        <v>2025</v>
      </c>
      <c r="D1011" t="inlineStr">
        <is>
          <t>May</t>
        </is>
      </c>
      <c r="E1011" t="inlineStr">
        <is>
          <t>Europe</t>
        </is>
      </c>
      <c r="F1011" t="inlineStr">
        <is>
          <t>France</t>
        </is>
      </c>
      <c r="G1011" t="inlineStr">
        <is>
          <t>Comirnaty</t>
        </is>
      </c>
      <c r="H1011" t="inlineStr">
        <is>
          <t>Government / tender</t>
        </is>
      </c>
      <c r="I1011" t="inlineStr">
        <is>
          <t>Private insurer</t>
        </is>
      </c>
      <c r="J1011" t="inlineStr">
        <is>
          <t>Lucas Martin</t>
        </is>
      </c>
      <c r="K1011" s="70" t="n">
        <v>585</v>
      </c>
      <c r="L1011" s="71" t="n">
        <v>109.28</v>
      </c>
      <c r="M1011" s="71" t="n">
        <v>63928.8</v>
      </c>
      <c r="N1011" s="71" t="n">
        <v>12785.76</v>
      </c>
      <c r="O1011" s="71" t="n">
        <v>51143.04</v>
      </c>
      <c r="P1011" s="71" t="n">
        <v>23212.8</v>
      </c>
      <c r="Q1011" s="71" t="n">
        <v>27930.24</v>
      </c>
      <c r="R1011" t="inlineStr">
        <is>
          <t>Vaccines</t>
        </is>
      </c>
      <c r="S1011" s="70" t="n">
        <v>523</v>
      </c>
      <c r="T1011" s="71" t="n">
        <v>13101.08</v>
      </c>
      <c r="U1011" t="inlineStr">
        <is>
          <t>Low</t>
        </is>
      </c>
      <c r="V1011">
        <f>IF(AND(OR(Dashboard!$C$6="All",E1011=Dashboard!$C$6),OR(Dashboard!$F$6="All",G1011=Dashboard!$F$6),OR(Dashboard!$I$6="All",H1011=Dashboard!$I$6)),1,0)</f>
        <v/>
      </c>
    </row>
    <row r="1012">
      <c r="A1012" t="inlineStr">
        <is>
          <t>PF101003</t>
        </is>
      </c>
      <c r="B1012" s="68" t="n">
        <v>45780</v>
      </c>
      <c r="C1012" s="69" t="n">
        <v>2025</v>
      </c>
      <c r="D1012" t="inlineStr">
        <is>
          <t>May</t>
        </is>
      </c>
      <c r="E1012" t="inlineStr">
        <is>
          <t>Europe</t>
        </is>
      </c>
      <c r="F1012" t="inlineStr">
        <is>
          <t>UK</t>
        </is>
      </c>
      <c r="G1012" t="inlineStr">
        <is>
          <t>Abrysvo</t>
        </is>
      </c>
      <c r="H1012" t="inlineStr">
        <is>
          <t>Government / tender</t>
        </is>
      </c>
      <c r="I1012" t="inlineStr">
        <is>
          <t>Public payer</t>
        </is>
      </c>
      <c r="J1012" t="inlineStr">
        <is>
          <t>Liam O'Brien</t>
        </is>
      </c>
      <c r="K1012" s="70" t="n">
        <v>635</v>
      </c>
      <c r="L1012" s="71" t="n">
        <v>288.44</v>
      </c>
      <c r="M1012" s="71" t="n">
        <v>183159.4</v>
      </c>
      <c r="N1012" s="71" t="n">
        <v>27473.91</v>
      </c>
      <c r="O1012" s="71" t="n">
        <v>155685.49</v>
      </c>
      <c r="P1012" s="71" t="n">
        <v>52065.79</v>
      </c>
      <c r="Q1012" s="71" t="n">
        <v>103619.7</v>
      </c>
      <c r="R1012" t="inlineStr">
        <is>
          <t>Vaccines</t>
        </is>
      </c>
      <c r="S1012" s="70" t="n">
        <v>474</v>
      </c>
      <c r="T1012" s="71" t="n">
        <v>31343.32</v>
      </c>
      <c r="U1012" t="inlineStr">
        <is>
          <t>Low</t>
        </is>
      </c>
      <c r="V1012">
        <f>IF(AND(OR(Dashboard!$C$6="All",E1012=Dashboard!$C$6),OR(Dashboard!$F$6="All",G1012=Dashboard!$F$6),OR(Dashboard!$I$6="All",H1012=Dashboard!$I$6)),1,0)</f>
        <v/>
      </c>
    </row>
    <row r="1013">
      <c r="A1013" t="inlineStr">
        <is>
          <t>PF101004</t>
        </is>
      </c>
      <c r="B1013" s="68" t="n">
        <v>45780</v>
      </c>
      <c r="C1013" s="69" t="n">
        <v>2025</v>
      </c>
      <c r="D1013" t="inlineStr">
        <is>
          <t>May</t>
        </is>
      </c>
      <c r="E1013" t="inlineStr">
        <is>
          <t>United States</t>
        </is>
      </c>
      <c r="F1013" t="inlineStr">
        <is>
          <t>USA</t>
        </is>
      </c>
      <c r="G1013" t="inlineStr">
        <is>
          <t>Xeljanz</t>
        </is>
      </c>
      <c r="H1013" t="inlineStr">
        <is>
          <t>Retail pharmacy</t>
        </is>
      </c>
      <c r="I1013" t="inlineStr">
        <is>
          <t>Self-pay</t>
        </is>
      </c>
      <c r="J1013" t="inlineStr">
        <is>
          <t>Liam O'Brien</t>
        </is>
      </c>
      <c r="K1013" s="70" t="n">
        <v>2346</v>
      </c>
      <c r="L1013" s="71" t="n">
        <v>2120.46</v>
      </c>
      <c r="M1013" s="71" t="n">
        <v>4974599.16</v>
      </c>
      <c r="N1013" s="71" t="n">
        <v>994919.83</v>
      </c>
      <c r="O1013" s="71" t="n">
        <v>3979679.33</v>
      </c>
      <c r="P1013" s="71" t="n">
        <v>590028.72</v>
      </c>
      <c r="Q1013" s="71" t="n">
        <v>3389650.61</v>
      </c>
      <c r="R1013" t="inlineStr">
        <is>
          <t>Inflammation</t>
        </is>
      </c>
      <c r="S1013" s="70" t="n">
        <v>2255</v>
      </c>
      <c r="T1013" s="71" t="n">
        <v>832150.6800000001</v>
      </c>
      <c r="U1013" t="inlineStr">
        <is>
          <t>High</t>
        </is>
      </c>
      <c r="V1013">
        <f>IF(AND(OR(Dashboard!$C$6="All",E1013=Dashboard!$C$6),OR(Dashboard!$F$6="All",G1013=Dashboard!$F$6),OR(Dashboard!$I$6="All",H1013=Dashboard!$I$6)),1,0)</f>
        <v/>
      </c>
    </row>
    <row r="1014">
      <c r="A1014" t="inlineStr">
        <is>
          <t>PF101005</t>
        </is>
      </c>
      <c r="B1014" s="68" t="n">
        <v>45780</v>
      </c>
      <c r="C1014" s="69" t="n">
        <v>2025</v>
      </c>
      <c r="D1014" t="inlineStr">
        <is>
          <t>May</t>
        </is>
      </c>
      <c r="E1014" t="inlineStr">
        <is>
          <t>United States</t>
        </is>
      </c>
      <c r="F1014" t="inlineStr">
        <is>
          <t>USA</t>
        </is>
      </c>
      <c r="G1014" t="inlineStr">
        <is>
          <t>Ibrance</t>
        </is>
      </c>
      <c r="H1014" t="inlineStr">
        <is>
          <t>Retail pharmacy</t>
        </is>
      </c>
      <c r="I1014" t="inlineStr">
        <is>
          <t>Private insurer</t>
        </is>
      </c>
      <c r="J1014" t="inlineStr">
        <is>
          <t>Olivia Brown</t>
        </is>
      </c>
      <c r="K1014" s="70" t="n">
        <v>1907</v>
      </c>
      <c r="L1014" s="71" t="n">
        <v>4676.19</v>
      </c>
      <c r="M1014" s="71" t="n">
        <v>8917494.33</v>
      </c>
      <c r="N1014" s="71" t="n">
        <v>1783498.87</v>
      </c>
      <c r="O1014" s="71" t="n">
        <v>7133995.46</v>
      </c>
      <c r="P1014" s="71" t="n">
        <v>828517.5600000001</v>
      </c>
      <c r="Q1014" s="71" t="n">
        <v>6305477.9</v>
      </c>
      <c r="R1014" t="inlineStr">
        <is>
          <t>Oncology</t>
        </is>
      </c>
      <c r="S1014" s="70" t="n">
        <v>1494</v>
      </c>
      <c r="T1014" s="71" t="n">
        <v>1195765.32</v>
      </c>
      <c r="U1014" t="inlineStr">
        <is>
          <t>High</t>
        </is>
      </c>
      <c r="V1014">
        <f>IF(AND(OR(Dashboard!$C$6="All",E1014=Dashboard!$C$6),OR(Dashboard!$F$6="All",G1014=Dashboard!$F$6),OR(Dashboard!$I$6="All",H1014=Dashboard!$I$6)),1,0)</f>
        <v/>
      </c>
    </row>
    <row r="1015">
      <c r="A1015" t="inlineStr">
        <is>
          <t>PF101006</t>
        </is>
      </c>
      <c r="B1015" s="68" t="n">
        <v>45780</v>
      </c>
      <c r="C1015" s="69" t="n">
        <v>2025</v>
      </c>
      <c r="D1015" t="inlineStr">
        <is>
          <t>May</t>
        </is>
      </c>
      <c r="E1015" t="inlineStr">
        <is>
          <t>United States</t>
        </is>
      </c>
      <c r="F1015" t="inlineStr">
        <is>
          <t>USA</t>
        </is>
      </c>
      <c r="G1015" t="inlineStr">
        <is>
          <t>Eliquis</t>
        </is>
      </c>
      <c r="H1015" t="inlineStr">
        <is>
          <t>Hospital</t>
        </is>
      </c>
      <c r="I1015" t="inlineStr">
        <is>
          <t>Public payer</t>
        </is>
      </c>
      <c r="J1015" t="inlineStr">
        <is>
          <t>Ruhi Shaikh</t>
        </is>
      </c>
      <c r="K1015" s="70" t="n">
        <v>1024</v>
      </c>
      <c r="L1015" s="71" t="n">
        <v>711.66</v>
      </c>
      <c r="M1015" s="71" t="n">
        <v>728739.84</v>
      </c>
      <c r="N1015" s="71" t="n">
        <v>218621.95</v>
      </c>
      <c r="O1015" s="71" t="n">
        <v>510117.89</v>
      </c>
      <c r="P1015" s="71" t="n">
        <v>77779.58</v>
      </c>
      <c r="Q1015" s="71" t="n">
        <v>432338.31</v>
      </c>
      <c r="R1015" t="inlineStr">
        <is>
          <t>Cardiology</t>
        </is>
      </c>
      <c r="S1015" s="70" t="n">
        <v>651</v>
      </c>
      <c r="T1015" s="71" t="n">
        <v>109040.47</v>
      </c>
      <c r="U1015" t="inlineStr">
        <is>
          <t>High</t>
        </is>
      </c>
      <c r="V1015">
        <f>IF(AND(OR(Dashboard!$C$6="All",E1015=Dashboard!$C$6),OR(Dashboard!$F$6="All",G1015=Dashboard!$F$6),OR(Dashboard!$I$6="All",H1015=Dashboard!$I$6)),1,0)</f>
        <v/>
      </c>
    </row>
    <row r="1016">
      <c r="A1016" t="inlineStr">
        <is>
          <t>PF101007</t>
        </is>
      </c>
      <c r="B1016" s="68" t="n">
        <v>45780</v>
      </c>
      <c r="C1016" s="69" t="n">
        <v>2025</v>
      </c>
      <c r="D1016" t="inlineStr">
        <is>
          <t>May</t>
        </is>
      </c>
      <c r="E1016" t="inlineStr">
        <is>
          <t>United States</t>
        </is>
      </c>
      <c r="F1016" t="inlineStr">
        <is>
          <t>USA</t>
        </is>
      </c>
      <c r="G1016" t="inlineStr">
        <is>
          <t>Ibrance</t>
        </is>
      </c>
      <c r="H1016" t="inlineStr">
        <is>
          <t>Hospital</t>
        </is>
      </c>
      <c r="I1016" t="inlineStr">
        <is>
          <t>Private insurer</t>
        </is>
      </c>
      <c r="J1016" t="inlineStr">
        <is>
          <t>Ana Costa</t>
        </is>
      </c>
      <c r="K1016" s="70" t="n">
        <v>499</v>
      </c>
      <c r="L1016" s="71" t="n">
        <v>5074.77</v>
      </c>
      <c r="M1016" s="71" t="n">
        <v>2532310.23</v>
      </c>
      <c r="N1016" s="71" t="n">
        <v>886308.58</v>
      </c>
      <c r="O1016" s="71" t="n">
        <v>1646001.65</v>
      </c>
      <c r="P1016" s="71" t="n">
        <v>210547.61</v>
      </c>
      <c r="Q1016" s="71" t="n">
        <v>1435454.04</v>
      </c>
      <c r="R1016" t="inlineStr">
        <is>
          <t>Oncology</t>
        </is>
      </c>
      <c r="S1016" s="70" t="n">
        <v>396</v>
      </c>
      <c r="T1016" s="71" t="n">
        <v>434593.06</v>
      </c>
      <c r="U1016" t="inlineStr">
        <is>
          <t>High</t>
        </is>
      </c>
      <c r="V1016">
        <f>IF(AND(OR(Dashboard!$C$6="All",E1016=Dashboard!$C$6),OR(Dashboard!$F$6="All",G1016=Dashboard!$F$6),OR(Dashboard!$I$6="All",H1016=Dashboard!$I$6)),1,0)</f>
        <v/>
      </c>
    </row>
    <row r="1017">
      <c r="A1017" t="inlineStr">
        <is>
          <t>PF101008</t>
        </is>
      </c>
      <c r="B1017" s="68" t="n">
        <v>45780</v>
      </c>
      <c r="C1017" s="69" t="n">
        <v>2025</v>
      </c>
      <c r="D1017" t="inlineStr">
        <is>
          <t>May</t>
        </is>
      </c>
      <c r="E1017" t="inlineStr">
        <is>
          <t>United States</t>
        </is>
      </c>
      <c r="F1017" t="inlineStr">
        <is>
          <t>USA</t>
        </is>
      </c>
      <c r="G1017" t="inlineStr">
        <is>
          <t>Xeljanz</t>
        </is>
      </c>
      <c r="H1017" t="inlineStr">
        <is>
          <t>Government / tender</t>
        </is>
      </c>
      <c r="I1017" t="inlineStr">
        <is>
          <t>Self-pay</t>
        </is>
      </c>
      <c r="J1017" t="inlineStr">
        <is>
          <t>Ana Costa</t>
        </is>
      </c>
      <c r="K1017" s="70" t="n">
        <v>2024</v>
      </c>
      <c r="L1017" s="71" t="n">
        <v>2316.88</v>
      </c>
      <c r="M1017" s="71" t="n">
        <v>4689365.12</v>
      </c>
      <c r="N1017" s="71" t="n">
        <v>937873.02</v>
      </c>
      <c r="O1017" s="71" t="n">
        <v>3751492.1</v>
      </c>
      <c r="P1017" s="71" t="n">
        <v>497315.49</v>
      </c>
      <c r="Q1017" s="71" t="n">
        <v>3254176.61</v>
      </c>
      <c r="R1017" t="inlineStr">
        <is>
          <t>Inflammation</t>
        </is>
      </c>
      <c r="S1017" s="70" t="n">
        <v>1734</v>
      </c>
      <c r="T1017" s="71" t="n">
        <v>749141.02</v>
      </c>
      <c r="U1017" t="inlineStr">
        <is>
          <t>High</t>
        </is>
      </c>
      <c r="V1017">
        <f>IF(AND(OR(Dashboard!$C$6="All",E1017=Dashboard!$C$6),OR(Dashboard!$F$6="All",G1017=Dashboard!$F$6),OR(Dashboard!$I$6="All",H1017=Dashboard!$I$6)),1,0)</f>
        <v/>
      </c>
    </row>
    <row r="1018">
      <c r="A1018" t="inlineStr">
        <is>
          <t>PF101009</t>
        </is>
      </c>
      <c r="B1018" s="68" t="n">
        <v>45780</v>
      </c>
      <c r="C1018" s="69" t="n">
        <v>2025</v>
      </c>
      <c r="D1018" t="inlineStr">
        <is>
          <t>May</t>
        </is>
      </c>
      <c r="E1018" t="inlineStr">
        <is>
          <t>United States</t>
        </is>
      </c>
      <c r="F1018" t="inlineStr">
        <is>
          <t>USA</t>
        </is>
      </c>
      <c r="G1018" t="inlineStr">
        <is>
          <t>Comirnaty</t>
        </is>
      </c>
      <c r="H1018" t="inlineStr">
        <is>
          <t>Retail pharmacy</t>
        </is>
      </c>
      <c r="I1018" t="inlineStr">
        <is>
          <t>Public payer</t>
        </is>
      </c>
      <c r="J1018" t="inlineStr">
        <is>
          <t>Arjun Mehta</t>
        </is>
      </c>
      <c r="K1018" s="70" t="n">
        <v>1067</v>
      </c>
      <c r="L1018" s="71" t="n">
        <v>180.85</v>
      </c>
      <c r="M1018" s="71" t="n">
        <v>192966.95</v>
      </c>
      <c r="N1018" s="71" t="n">
        <v>38593.39</v>
      </c>
      <c r="O1018" s="71" t="n">
        <v>154373.56</v>
      </c>
      <c r="P1018" s="71" t="n">
        <v>40364.96</v>
      </c>
      <c r="Q1018" s="71" t="n">
        <v>114008.6</v>
      </c>
      <c r="R1018" t="inlineStr">
        <is>
          <t>Vaccines</t>
        </is>
      </c>
      <c r="S1018" s="70" t="n">
        <v>1004</v>
      </c>
      <c r="T1018" s="71" t="n">
        <v>39483.37</v>
      </c>
      <c r="U1018" t="inlineStr">
        <is>
          <t>Low</t>
        </is>
      </c>
      <c r="V1018">
        <f>IF(AND(OR(Dashboard!$C$6="All",E1018=Dashboard!$C$6),OR(Dashboard!$F$6="All",G1018=Dashboard!$F$6),OR(Dashboard!$I$6="All",H1018=Dashboard!$I$6)),1,0)</f>
        <v/>
      </c>
    </row>
    <row r="1019">
      <c r="A1019" t="inlineStr">
        <is>
          <t>PF101010</t>
        </is>
      </c>
      <c r="B1019" s="68" t="n">
        <v>45780</v>
      </c>
      <c r="C1019" s="69" t="n">
        <v>2025</v>
      </c>
      <c r="D1019" t="inlineStr">
        <is>
          <t>May</t>
        </is>
      </c>
      <c r="E1019" t="inlineStr">
        <is>
          <t>United States</t>
        </is>
      </c>
      <c r="F1019" t="inlineStr">
        <is>
          <t>USA</t>
        </is>
      </c>
      <c r="G1019" t="inlineStr">
        <is>
          <t>Comirnaty</t>
        </is>
      </c>
      <c r="H1019" t="inlineStr">
        <is>
          <t>Retail pharmacy</t>
        </is>
      </c>
      <c r="I1019" t="inlineStr">
        <is>
          <t>Public payer</t>
        </is>
      </c>
      <c r="J1019" t="inlineStr">
        <is>
          <t>Hiroshi Tanaka</t>
        </is>
      </c>
      <c r="K1019" s="70" t="n">
        <v>230</v>
      </c>
      <c r="L1019" s="71" t="n">
        <v>183.06</v>
      </c>
      <c r="M1019" s="71" t="n">
        <v>42103.8</v>
      </c>
      <c r="N1019" s="71" t="n">
        <v>10525.95</v>
      </c>
      <c r="O1019" s="71" t="n">
        <v>31577.85</v>
      </c>
      <c r="P1019" s="71" t="n">
        <v>9061.370000000001</v>
      </c>
      <c r="Q1019" s="71" t="n">
        <v>22516.48</v>
      </c>
      <c r="R1019" t="inlineStr">
        <is>
          <t>Vaccines</t>
        </is>
      </c>
      <c r="S1019" s="70" t="n">
        <v>151</v>
      </c>
      <c r="T1019" s="71" t="n">
        <v>7627.71</v>
      </c>
      <c r="U1019" t="inlineStr">
        <is>
          <t>Low</t>
        </is>
      </c>
      <c r="V1019">
        <f>IF(AND(OR(Dashboard!$C$6="All",E1019=Dashboard!$C$6),OR(Dashboard!$F$6="All",G1019=Dashboard!$F$6),OR(Dashboard!$I$6="All",H1019=Dashboard!$I$6)),1,0)</f>
        <v/>
      </c>
    </row>
    <row r="1020">
      <c r="A1020" t="inlineStr">
        <is>
          <t>PF101011</t>
        </is>
      </c>
      <c r="B1020" s="68" t="n">
        <v>45781</v>
      </c>
      <c r="C1020" s="69" t="n">
        <v>2025</v>
      </c>
      <c r="D1020" t="inlineStr">
        <is>
          <t>May</t>
        </is>
      </c>
      <c r="E1020" t="inlineStr">
        <is>
          <t>Europe</t>
        </is>
      </c>
      <c r="F1020" t="inlineStr">
        <is>
          <t>Italy</t>
        </is>
      </c>
      <c r="G1020" t="inlineStr">
        <is>
          <t>Eliquis</t>
        </is>
      </c>
      <c r="H1020" t="inlineStr">
        <is>
          <t>Retail pharmacy</t>
        </is>
      </c>
      <c r="I1020" t="inlineStr">
        <is>
          <t>Private insurer</t>
        </is>
      </c>
      <c r="J1020" t="inlineStr">
        <is>
          <t>Carlos Silva</t>
        </is>
      </c>
      <c r="K1020" s="70" t="n">
        <v>2124</v>
      </c>
      <c r="L1020" s="71" t="n">
        <v>439.2</v>
      </c>
      <c r="M1020" s="71" t="n">
        <v>932860.8</v>
      </c>
      <c r="N1020" s="71" t="n">
        <v>139929.12</v>
      </c>
      <c r="O1020" s="71" t="n">
        <v>792931.6800000001</v>
      </c>
      <c r="P1020" s="71" t="n">
        <v>158430.8</v>
      </c>
      <c r="Q1020" s="71" t="n">
        <v>634500.88</v>
      </c>
      <c r="R1020" t="inlineStr">
        <is>
          <t>Cardiology</t>
        </is>
      </c>
      <c r="S1020" s="70" t="n">
        <v>1527</v>
      </c>
      <c r="T1020" s="71" t="n">
        <v>177216.18</v>
      </c>
      <c r="U1020" t="inlineStr">
        <is>
          <t>High</t>
        </is>
      </c>
      <c r="V1020">
        <f>IF(AND(OR(Dashboard!$C$6="All",E1020=Dashboard!$C$6),OR(Dashboard!$F$6="All",G1020=Dashboard!$F$6),OR(Dashboard!$I$6="All",H1020=Dashboard!$I$6)),1,0)</f>
        <v/>
      </c>
    </row>
    <row r="1021">
      <c r="A1021" t="inlineStr">
        <is>
          <t>PF101012</t>
        </is>
      </c>
      <c r="B1021" s="68" t="n">
        <v>45781</v>
      </c>
      <c r="C1021" s="69" t="n">
        <v>2025</v>
      </c>
      <c r="D1021" t="inlineStr">
        <is>
          <t>May</t>
        </is>
      </c>
      <c r="E1021" t="inlineStr">
        <is>
          <t>International developed</t>
        </is>
      </c>
      <c r="F1021" t="inlineStr">
        <is>
          <t>Australia</t>
        </is>
      </c>
      <c r="G1021" t="inlineStr">
        <is>
          <t>Xeljanz</t>
        </is>
      </c>
      <c r="H1021" t="inlineStr">
        <is>
          <t>Government / tender</t>
        </is>
      </c>
      <c r="I1021" t="inlineStr">
        <is>
          <t>Public payer</t>
        </is>
      </c>
      <c r="J1021" t="inlineStr">
        <is>
          <t>Amir Khan</t>
        </is>
      </c>
      <c r="K1021" s="70" t="n">
        <v>2411</v>
      </c>
      <c r="L1021" s="71" t="n">
        <v>1438.19</v>
      </c>
      <c r="M1021" s="71" t="n">
        <v>3467476.09</v>
      </c>
      <c r="N1021" s="71" t="n">
        <v>520121.41</v>
      </c>
      <c r="O1021" s="71" t="n">
        <v>2947354.68</v>
      </c>
      <c r="P1021" s="71" t="n">
        <v>583458.26</v>
      </c>
      <c r="Q1021" s="71" t="n">
        <v>2363896.42</v>
      </c>
      <c r="R1021" t="inlineStr">
        <is>
          <t>Inflammation</t>
        </is>
      </c>
      <c r="S1021" s="70" t="n">
        <v>1522</v>
      </c>
      <c r="T1021" s="71" t="n">
        <v>528236</v>
      </c>
      <c r="U1021" t="inlineStr">
        <is>
          <t>High</t>
        </is>
      </c>
      <c r="V1021">
        <f>IF(AND(OR(Dashboard!$C$6="All",E1021=Dashboard!$C$6),OR(Dashboard!$F$6="All",G1021=Dashboard!$F$6),OR(Dashboard!$I$6="All",H1021=Dashboard!$I$6)),1,0)</f>
        <v/>
      </c>
    </row>
    <row r="1022">
      <c r="A1022" t="inlineStr">
        <is>
          <t>PF101013</t>
        </is>
      </c>
      <c r="B1022" s="68" t="n">
        <v>45781</v>
      </c>
      <c r="C1022" s="69" t="n">
        <v>2025</v>
      </c>
      <c r="D1022" t="inlineStr">
        <is>
          <t>May</t>
        </is>
      </c>
      <c r="E1022" t="inlineStr">
        <is>
          <t>Europe</t>
        </is>
      </c>
      <c r="F1022" t="inlineStr">
        <is>
          <t>Spain</t>
        </is>
      </c>
      <c r="G1022" t="inlineStr">
        <is>
          <t>Eliquis</t>
        </is>
      </c>
      <c r="H1022" t="inlineStr">
        <is>
          <t>Hospital</t>
        </is>
      </c>
      <c r="I1022" t="inlineStr">
        <is>
          <t>Private insurer</t>
        </is>
      </c>
      <c r="J1022" t="inlineStr">
        <is>
          <t>Amir Khan</t>
        </is>
      </c>
      <c r="K1022" s="70" t="n">
        <v>1425</v>
      </c>
      <c r="L1022" s="71" t="n">
        <v>449.05</v>
      </c>
      <c r="M1022" s="71" t="n">
        <v>639896.25</v>
      </c>
      <c r="N1022" s="71" t="n">
        <v>31994.81</v>
      </c>
      <c r="O1022" s="71" t="n">
        <v>607901.4399999999</v>
      </c>
      <c r="P1022" s="71" t="n">
        <v>111799.69</v>
      </c>
      <c r="Q1022" s="71" t="n">
        <v>496101.75</v>
      </c>
      <c r="R1022" t="inlineStr">
        <is>
          <t>Cardiology</t>
        </is>
      </c>
      <c r="S1022" s="70" t="n">
        <v>1292</v>
      </c>
      <c r="T1022" s="71" t="n">
        <v>113612.85</v>
      </c>
      <c r="U1022" t="inlineStr">
        <is>
          <t>High</t>
        </is>
      </c>
      <c r="V1022">
        <f>IF(AND(OR(Dashboard!$C$6="All",E1022=Dashboard!$C$6),OR(Dashboard!$F$6="All",G1022=Dashboard!$F$6),OR(Dashboard!$I$6="All",H1022=Dashboard!$I$6)),1,0)</f>
        <v/>
      </c>
    </row>
    <row r="1023">
      <c r="A1023" t="inlineStr">
        <is>
          <t>PF101014</t>
        </is>
      </c>
      <c r="B1023" s="68" t="n">
        <v>45781</v>
      </c>
      <c r="C1023" s="69" t="n">
        <v>2025</v>
      </c>
      <c r="D1023" t="inlineStr">
        <is>
          <t>May</t>
        </is>
      </c>
      <c r="E1023" t="inlineStr">
        <is>
          <t>Europe</t>
        </is>
      </c>
      <c r="F1023" t="inlineStr">
        <is>
          <t>UK</t>
        </is>
      </c>
      <c r="G1023" t="inlineStr">
        <is>
          <t>Abrysvo</t>
        </is>
      </c>
      <c r="H1023" t="inlineStr">
        <is>
          <t>Hospital</t>
        </is>
      </c>
      <c r="I1023" t="inlineStr">
        <is>
          <t>Private insurer</t>
        </is>
      </c>
      <c r="J1023" t="inlineStr">
        <is>
          <t>Aisha Bello</t>
        </is>
      </c>
      <c r="K1023" s="70" t="n">
        <v>2770</v>
      </c>
      <c r="L1023" s="71" t="n">
        <v>299.21</v>
      </c>
      <c r="M1023" s="71" t="n">
        <v>828811.7</v>
      </c>
      <c r="N1023" s="71" t="n">
        <v>41440.58</v>
      </c>
      <c r="O1023" s="71" t="n">
        <v>787371.12</v>
      </c>
      <c r="P1023" s="71" t="n">
        <v>234794.51</v>
      </c>
      <c r="Q1023" s="71" t="n">
        <v>552576.61</v>
      </c>
      <c r="R1023" t="inlineStr">
        <is>
          <t>Vaccines</t>
        </is>
      </c>
      <c r="S1023" s="70" t="n">
        <v>2141</v>
      </c>
      <c r="T1023" s="71" t="n">
        <v>176052.95</v>
      </c>
      <c r="U1023" t="inlineStr">
        <is>
          <t>Low</t>
        </is>
      </c>
      <c r="V1023">
        <f>IF(AND(OR(Dashboard!$C$6="All",E1023=Dashboard!$C$6),OR(Dashboard!$F$6="All",G1023=Dashboard!$F$6),OR(Dashboard!$I$6="All",H1023=Dashboard!$I$6)),1,0)</f>
        <v/>
      </c>
    </row>
    <row r="1024">
      <c r="A1024" t="inlineStr">
        <is>
          <t>PF101015</t>
        </is>
      </c>
      <c r="B1024" s="68" t="n">
        <v>45781</v>
      </c>
      <c r="C1024" s="69" t="n">
        <v>2025</v>
      </c>
      <c r="D1024" t="inlineStr">
        <is>
          <t>May</t>
        </is>
      </c>
      <c r="E1024" t="inlineStr">
        <is>
          <t>United States</t>
        </is>
      </c>
      <c r="F1024" t="inlineStr">
        <is>
          <t>USA</t>
        </is>
      </c>
      <c r="G1024" t="inlineStr">
        <is>
          <t>Prevnar 20</t>
        </is>
      </c>
      <c r="H1024" t="inlineStr">
        <is>
          <t>Retail pharmacy</t>
        </is>
      </c>
      <c r="I1024" t="inlineStr">
        <is>
          <t>Public payer</t>
        </is>
      </c>
      <c r="J1024" t="inlineStr">
        <is>
          <t>Ravindra Patil</t>
        </is>
      </c>
      <c r="K1024" s="70" t="n">
        <v>306</v>
      </c>
      <c r="L1024" s="71" t="n">
        <v>377.1</v>
      </c>
      <c r="M1024" s="71" t="n">
        <v>115392.6</v>
      </c>
      <c r="N1024" s="71" t="n">
        <v>28848.15</v>
      </c>
      <c r="O1024" s="71" t="n">
        <v>86544.45</v>
      </c>
      <c r="P1024" s="71" t="n">
        <v>21812.67</v>
      </c>
      <c r="Q1024" s="71" t="n">
        <v>64731.78</v>
      </c>
      <c r="R1024" t="inlineStr">
        <is>
          <t>Vaccines</t>
        </is>
      </c>
      <c r="S1024" s="70" t="n">
        <v>277</v>
      </c>
      <c r="T1024" s="71" t="n">
        <v>17502.65</v>
      </c>
      <c r="U1024" t="inlineStr">
        <is>
          <t>Low</t>
        </is>
      </c>
      <c r="V1024">
        <f>IF(AND(OR(Dashboard!$C$6="All",E1024=Dashboard!$C$6),OR(Dashboard!$F$6="All",G1024=Dashboard!$F$6),OR(Dashboard!$I$6="All",H1024=Dashboard!$I$6)),1,0)</f>
        <v/>
      </c>
    </row>
    <row r="1025">
      <c r="A1025" t="inlineStr">
        <is>
          <t>PF101016</t>
        </is>
      </c>
      <c r="B1025" s="68" t="n">
        <v>45781</v>
      </c>
      <c r="C1025" s="69" t="n">
        <v>2025</v>
      </c>
      <c r="D1025" t="inlineStr">
        <is>
          <t>May</t>
        </is>
      </c>
      <c r="E1025" t="inlineStr">
        <is>
          <t>United States</t>
        </is>
      </c>
      <c r="F1025" t="inlineStr">
        <is>
          <t>USA</t>
        </is>
      </c>
      <c r="G1025" t="inlineStr">
        <is>
          <t>Eliquis</t>
        </is>
      </c>
      <c r="H1025" t="inlineStr">
        <is>
          <t>Hospital</t>
        </is>
      </c>
      <c r="I1025" t="inlineStr">
        <is>
          <t>Private insurer</t>
        </is>
      </c>
      <c r="J1025" t="inlineStr">
        <is>
          <t>Amir Khan</t>
        </is>
      </c>
      <c r="K1025" s="70" t="n">
        <v>1590</v>
      </c>
      <c r="L1025" s="71" t="n">
        <v>646.13</v>
      </c>
      <c r="M1025" s="71" t="n">
        <v>1027346.7</v>
      </c>
      <c r="N1025" s="71" t="n">
        <v>308204.01</v>
      </c>
      <c r="O1025" s="71" t="n">
        <v>719142.6899999999</v>
      </c>
      <c r="P1025" s="71" t="n">
        <v>124826.98</v>
      </c>
      <c r="Q1025" s="71" t="n">
        <v>594315.71</v>
      </c>
      <c r="R1025" t="inlineStr">
        <is>
          <t>Cardiology</t>
        </is>
      </c>
      <c r="S1025" s="70" t="n">
        <v>1495</v>
      </c>
      <c r="T1025" s="71" t="n">
        <v>183201.9</v>
      </c>
      <c r="U1025" t="inlineStr">
        <is>
          <t>High</t>
        </is>
      </c>
      <c r="V1025">
        <f>IF(AND(OR(Dashboard!$C$6="All",E1025=Dashboard!$C$6),OR(Dashboard!$F$6="All",G1025=Dashboard!$F$6),OR(Dashboard!$I$6="All",H1025=Dashboard!$I$6)),1,0)</f>
        <v/>
      </c>
    </row>
    <row r="1026">
      <c r="A1026" t="inlineStr">
        <is>
          <t>PF101017</t>
        </is>
      </c>
      <c r="B1026" s="68" t="n">
        <v>45781</v>
      </c>
      <c r="C1026" s="69" t="n">
        <v>2025</v>
      </c>
      <c r="D1026" t="inlineStr">
        <is>
          <t>May</t>
        </is>
      </c>
      <c r="E1026" t="inlineStr">
        <is>
          <t>Emerging markets</t>
        </is>
      </c>
      <c r="F1026" t="inlineStr">
        <is>
          <t>Mexico</t>
        </is>
      </c>
      <c r="G1026" t="inlineStr">
        <is>
          <t>Vyndaqel</t>
        </is>
      </c>
      <c r="H1026" t="inlineStr">
        <is>
          <t>Hospital</t>
        </is>
      </c>
      <c r="I1026" t="inlineStr">
        <is>
          <t>Self-pay</t>
        </is>
      </c>
      <c r="J1026" t="inlineStr">
        <is>
          <t>Carlos Silva</t>
        </is>
      </c>
      <c r="K1026" s="70" t="n">
        <v>888</v>
      </c>
      <c r="L1026" s="71" t="n">
        <v>5320.46</v>
      </c>
      <c r="M1026" s="71" t="n">
        <v>4724568.48</v>
      </c>
      <c r="N1026" s="71" t="n">
        <v>472456.85</v>
      </c>
      <c r="O1026" s="71" t="n">
        <v>4252111.63</v>
      </c>
      <c r="P1026" s="71" t="n">
        <v>554419.01</v>
      </c>
      <c r="Q1026" s="71" t="n">
        <v>3697692.62</v>
      </c>
      <c r="R1026" t="inlineStr">
        <is>
          <t>Rare disease</t>
        </is>
      </c>
      <c r="S1026" s="70" t="n">
        <v>879</v>
      </c>
      <c r="T1026" s="71" t="n">
        <v>614399</v>
      </c>
      <c r="U1026" t="inlineStr">
        <is>
          <t>Medium</t>
        </is>
      </c>
      <c r="V1026">
        <f>IF(AND(OR(Dashboard!$C$6="All",E1026=Dashboard!$C$6),OR(Dashboard!$F$6="All",G1026=Dashboard!$F$6),OR(Dashboard!$I$6="All",H1026=Dashboard!$I$6)),1,0)</f>
        <v/>
      </c>
    </row>
    <row r="1027">
      <c r="A1027" t="inlineStr">
        <is>
          <t>PF101018</t>
        </is>
      </c>
      <c r="B1027" s="68" t="n">
        <v>45782</v>
      </c>
      <c r="C1027" s="69" t="n">
        <v>2025</v>
      </c>
      <c r="D1027" t="inlineStr">
        <is>
          <t>May</t>
        </is>
      </c>
      <c r="E1027" t="inlineStr">
        <is>
          <t>Emerging markets</t>
        </is>
      </c>
      <c r="F1027" t="inlineStr">
        <is>
          <t>Brazil</t>
        </is>
      </c>
      <c r="G1027" t="inlineStr">
        <is>
          <t>Eliquis</t>
        </is>
      </c>
      <c r="H1027" t="inlineStr">
        <is>
          <t>Hospital</t>
        </is>
      </c>
      <c r="I1027" t="inlineStr">
        <is>
          <t>Self-pay</t>
        </is>
      </c>
      <c r="J1027" t="inlineStr">
        <is>
          <t>Omar Haddad</t>
        </is>
      </c>
      <c r="K1027" s="70" t="n">
        <v>1886</v>
      </c>
      <c r="L1027" s="71" t="n">
        <v>431.95</v>
      </c>
      <c r="M1027" s="71" t="n">
        <v>814657.7</v>
      </c>
      <c r="N1027" s="71" t="n">
        <v>122198.65</v>
      </c>
      <c r="O1027" s="71" t="n">
        <v>692459.05</v>
      </c>
      <c r="P1027" s="71" t="n">
        <v>144868.44</v>
      </c>
      <c r="Q1027" s="71" t="n">
        <v>547590.61</v>
      </c>
      <c r="R1027" t="inlineStr">
        <is>
          <t>Cardiology</t>
        </is>
      </c>
      <c r="S1027" s="70" t="n">
        <v>1324</v>
      </c>
      <c r="T1027" s="71" t="n">
        <v>123278.65</v>
      </c>
      <c r="U1027" t="inlineStr">
        <is>
          <t>High</t>
        </is>
      </c>
      <c r="V1027">
        <f>IF(AND(OR(Dashboard!$C$6="All",E1027=Dashboard!$C$6),OR(Dashboard!$F$6="All",G1027=Dashboard!$F$6),OR(Dashboard!$I$6="All",H1027=Dashboard!$I$6)),1,0)</f>
        <v/>
      </c>
    </row>
    <row r="1028">
      <c r="A1028" t="inlineStr">
        <is>
          <t>PF101019</t>
        </is>
      </c>
      <c r="B1028" s="68" t="n">
        <v>45782</v>
      </c>
      <c r="C1028" s="69" t="n">
        <v>2025</v>
      </c>
      <c r="D1028" t="inlineStr">
        <is>
          <t>May</t>
        </is>
      </c>
      <c r="E1028" t="inlineStr">
        <is>
          <t>Europe</t>
        </is>
      </c>
      <c r="F1028" t="inlineStr">
        <is>
          <t>France</t>
        </is>
      </c>
      <c r="G1028" t="inlineStr">
        <is>
          <t>Xeljanz</t>
        </is>
      </c>
      <c r="H1028" t="inlineStr">
        <is>
          <t>Retail pharmacy</t>
        </is>
      </c>
      <c r="I1028" t="inlineStr">
        <is>
          <t>Private insurer</t>
        </is>
      </c>
      <c r="J1028" t="inlineStr">
        <is>
          <t>Ruhi Shaikh</t>
        </is>
      </c>
      <c r="K1028" s="70" t="n">
        <v>2116</v>
      </c>
      <c r="L1028" s="71" t="n">
        <v>1457.48</v>
      </c>
      <c r="M1028" s="71" t="n">
        <v>3084027.68</v>
      </c>
      <c r="N1028" s="71" t="n">
        <v>154201.38</v>
      </c>
      <c r="O1028" s="71" t="n">
        <v>2929826.3</v>
      </c>
      <c r="P1028" s="71" t="n">
        <v>546032.0600000001</v>
      </c>
      <c r="Q1028" s="71" t="n">
        <v>2383794.24</v>
      </c>
      <c r="R1028" t="inlineStr">
        <is>
          <t>Inflammation</t>
        </is>
      </c>
      <c r="S1028" s="70" t="n">
        <v>1520</v>
      </c>
      <c r="T1028" s="71" t="n">
        <v>562352.9399999999</v>
      </c>
      <c r="U1028" t="inlineStr">
        <is>
          <t>High</t>
        </is>
      </c>
      <c r="V1028">
        <f>IF(AND(OR(Dashboard!$C$6="All",E1028=Dashboard!$C$6),OR(Dashboard!$F$6="All",G1028=Dashboard!$F$6),OR(Dashboard!$I$6="All",H1028=Dashboard!$I$6)),1,0)</f>
        <v/>
      </c>
    </row>
    <row r="1029">
      <c r="A1029" t="inlineStr">
        <is>
          <t>PF101020</t>
        </is>
      </c>
      <c r="B1029" s="68" t="n">
        <v>45782</v>
      </c>
      <c r="C1029" s="69" t="n">
        <v>2025</v>
      </c>
      <c r="D1029" t="inlineStr">
        <is>
          <t>May</t>
        </is>
      </c>
      <c r="E1029" t="inlineStr">
        <is>
          <t>United States</t>
        </is>
      </c>
      <c r="F1029" t="inlineStr">
        <is>
          <t>USA</t>
        </is>
      </c>
      <c r="G1029" t="inlineStr">
        <is>
          <t>Prevnar 20</t>
        </is>
      </c>
      <c r="H1029" t="inlineStr">
        <is>
          <t>Retail pharmacy</t>
        </is>
      </c>
      <c r="I1029" t="inlineStr">
        <is>
          <t>Self-pay</t>
        </is>
      </c>
      <c r="J1029" t="inlineStr">
        <is>
          <t>Ruhi Shaikh</t>
        </is>
      </c>
      <c r="K1029" s="70" t="n">
        <v>2919</v>
      </c>
      <c r="L1029" s="71" t="n">
        <v>390.24</v>
      </c>
      <c r="M1029" s="71" t="n">
        <v>1139110.56</v>
      </c>
      <c r="N1029" s="71" t="n">
        <v>284777.64</v>
      </c>
      <c r="O1029" s="71" t="n">
        <v>854332.92</v>
      </c>
      <c r="P1029" s="71" t="n">
        <v>200501.26</v>
      </c>
      <c r="Q1029" s="71" t="n">
        <v>653831.66</v>
      </c>
      <c r="R1029" t="inlineStr">
        <is>
          <t>Vaccines</t>
        </is>
      </c>
      <c r="S1029" s="70" t="n">
        <v>1856</v>
      </c>
      <c r="T1029" s="71" t="n">
        <v>164108.01</v>
      </c>
      <c r="U1029" t="inlineStr">
        <is>
          <t>Low</t>
        </is>
      </c>
      <c r="V1029">
        <f>IF(AND(OR(Dashboard!$C$6="All",E1029=Dashboard!$C$6),OR(Dashboard!$F$6="All",G1029=Dashboard!$F$6),OR(Dashboard!$I$6="All",H1029=Dashboard!$I$6)),1,0)</f>
        <v/>
      </c>
    </row>
    <row r="1030">
      <c r="A1030" t="inlineStr">
        <is>
          <t>PF101021</t>
        </is>
      </c>
      <c r="B1030" s="68" t="n">
        <v>45782</v>
      </c>
      <c r="C1030" s="69" t="n">
        <v>2025</v>
      </c>
      <c r="D1030" t="inlineStr">
        <is>
          <t>May</t>
        </is>
      </c>
      <c r="E1030" t="inlineStr">
        <is>
          <t>Europe</t>
        </is>
      </c>
      <c r="F1030" t="inlineStr">
        <is>
          <t>Italy</t>
        </is>
      </c>
      <c r="G1030" t="inlineStr">
        <is>
          <t>Paxlovid</t>
        </is>
      </c>
      <c r="H1030" t="inlineStr">
        <is>
          <t>Government / tender</t>
        </is>
      </c>
      <c r="I1030" t="inlineStr">
        <is>
          <t>Public payer</t>
        </is>
      </c>
      <c r="J1030" t="inlineStr">
        <is>
          <t>Priya Nair</t>
        </is>
      </c>
      <c r="K1030" s="70" t="n">
        <v>2575</v>
      </c>
      <c r="L1030" s="71" t="n">
        <v>1025.63</v>
      </c>
      <c r="M1030" s="71" t="n">
        <v>2640997.25</v>
      </c>
      <c r="N1030" s="71" t="n">
        <v>660249.3100000001</v>
      </c>
      <c r="O1030" s="71" t="n">
        <v>1980747.94</v>
      </c>
      <c r="P1030" s="71" t="n">
        <v>711258.48</v>
      </c>
      <c r="Q1030" s="71" t="n">
        <v>1269489.46</v>
      </c>
      <c r="R1030" t="inlineStr">
        <is>
          <t>Antiviral</t>
        </is>
      </c>
      <c r="S1030" s="70" t="n">
        <v>1767</v>
      </c>
      <c r="T1030" s="71" t="n">
        <v>578350.76</v>
      </c>
      <c r="U1030" t="inlineStr">
        <is>
          <t>Low</t>
        </is>
      </c>
      <c r="V1030">
        <f>IF(AND(OR(Dashboard!$C$6="All",E1030=Dashboard!$C$6),OR(Dashboard!$F$6="All",G1030=Dashboard!$F$6),OR(Dashboard!$I$6="All",H1030=Dashboard!$I$6)),1,0)</f>
        <v/>
      </c>
    </row>
    <row r="1031">
      <c r="A1031" t="inlineStr">
        <is>
          <t>PF101022</t>
        </is>
      </c>
      <c r="B1031" s="68" t="n">
        <v>45782</v>
      </c>
      <c r="C1031" s="69" t="n">
        <v>2025</v>
      </c>
      <c r="D1031" t="inlineStr">
        <is>
          <t>May</t>
        </is>
      </c>
      <c r="E1031" t="inlineStr">
        <is>
          <t>Emerging markets</t>
        </is>
      </c>
      <c r="F1031" t="inlineStr">
        <is>
          <t>China</t>
        </is>
      </c>
      <c r="G1031" t="inlineStr">
        <is>
          <t>Xeljanz</t>
        </is>
      </c>
      <c r="H1031" t="inlineStr">
        <is>
          <t>Retail pharmacy</t>
        </is>
      </c>
      <c r="I1031" t="inlineStr">
        <is>
          <t>Private insurer</t>
        </is>
      </c>
      <c r="J1031" t="inlineStr">
        <is>
          <t>Amir Khan</t>
        </is>
      </c>
      <c r="K1031" s="70" t="n">
        <v>2371</v>
      </c>
      <c r="L1031" s="71" t="n">
        <v>1380.73</v>
      </c>
      <c r="M1031" s="71" t="n">
        <v>3273710.83</v>
      </c>
      <c r="N1031" s="71" t="n">
        <v>163685.54</v>
      </c>
      <c r="O1031" s="71" t="n">
        <v>3110025.29</v>
      </c>
      <c r="P1031" s="71" t="n">
        <v>592296.04</v>
      </c>
      <c r="Q1031" s="71" t="n">
        <v>2517729.25</v>
      </c>
      <c r="R1031" t="inlineStr">
        <is>
          <t>Inflammation</t>
        </is>
      </c>
      <c r="S1031" s="70" t="n">
        <v>2008</v>
      </c>
      <c r="T1031" s="71" t="n">
        <v>536106.55</v>
      </c>
      <c r="U1031" t="inlineStr">
        <is>
          <t>High</t>
        </is>
      </c>
      <c r="V1031">
        <f>IF(AND(OR(Dashboard!$C$6="All",E1031=Dashboard!$C$6),OR(Dashboard!$F$6="All",G1031=Dashboard!$F$6),OR(Dashboard!$I$6="All",H1031=Dashboard!$I$6)),1,0)</f>
        <v/>
      </c>
    </row>
    <row r="1032">
      <c r="A1032" t="inlineStr">
        <is>
          <t>PF101023</t>
        </is>
      </c>
      <c r="B1032" s="68" t="n">
        <v>45782</v>
      </c>
      <c r="C1032" s="69" t="n">
        <v>2025</v>
      </c>
      <c r="D1032" t="inlineStr">
        <is>
          <t>May</t>
        </is>
      </c>
      <c r="E1032" t="inlineStr">
        <is>
          <t>United States</t>
        </is>
      </c>
      <c r="F1032" t="inlineStr">
        <is>
          <t>USA</t>
        </is>
      </c>
      <c r="G1032" t="inlineStr">
        <is>
          <t>Comirnaty</t>
        </is>
      </c>
      <c r="H1032" t="inlineStr">
        <is>
          <t>Retail pharmacy</t>
        </is>
      </c>
      <c r="I1032" t="inlineStr">
        <is>
          <t>Private insurer</t>
        </is>
      </c>
      <c r="J1032" t="inlineStr">
        <is>
          <t>Noah Smith</t>
        </is>
      </c>
      <c r="K1032" s="70" t="n">
        <v>743</v>
      </c>
      <c r="L1032" s="71" t="n">
        <v>180.35</v>
      </c>
      <c r="M1032" s="71" t="n">
        <v>134000.05</v>
      </c>
      <c r="N1032" s="71" t="n">
        <v>20100.01</v>
      </c>
      <c r="O1032" s="71" t="n">
        <v>113900.04</v>
      </c>
      <c r="P1032" s="71" t="n">
        <v>28943.85</v>
      </c>
      <c r="Q1032" s="71" t="n">
        <v>84956.19</v>
      </c>
      <c r="R1032" t="inlineStr">
        <is>
          <t>Vaccines</t>
        </is>
      </c>
      <c r="S1032" s="70" t="n">
        <v>730</v>
      </c>
      <c r="T1032" s="71" t="n">
        <v>17681.08</v>
      </c>
      <c r="U1032" t="inlineStr">
        <is>
          <t>Low</t>
        </is>
      </c>
      <c r="V1032">
        <f>IF(AND(OR(Dashboard!$C$6="All",E1032=Dashboard!$C$6),OR(Dashboard!$F$6="All",G1032=Dashboard!$F$6),OR(Dashboard!$I$6="All",H1032=Dashboard!$I$6)),1,0)</f>
        <v/>
      </c>
    </row>
    <row r="1033">
      <c r="A1033" t="inlineStr">
        <is>
          <t>PF101024</t>
        </is>
      </c>
      <c r="B1033" s="68" t="n">
        <v>45782</v>
      </c>
      <c r="C1033" s="69" t="n">
        <v>2025</v>
      </c>
      <c r="D1033" t="inlineStr">
        <is>
          <t>May</t>
        </is>
      </c>
      <c r="E1033" t="inlineStr">
        <is>
          <t>Emerging markets</t>
        </is>
      </c>
      <c r="F1033" t="inlineStr">
        <is>
          <t>Mexico</t>
        </is>
      </c>
      <c r="G1033" t="inlineStr">
        <is>
          <t>Ibrance</t>
        </is>
      </c>
      <c r="H1033" t="inlineStr">
        <is>
          <t>Hospital</t>
        </is>
      </c>
      <c r="I1033" t="inlineStr">
        <is>
          <t>Private insurer</t>
        </is>
      </c>
      <c r="J1033" t="inlineStr">
        <is>
          <t>Omar Haddad</t>
        </is>
      </c>
      <c r="K1033" s="70" t="n">
        <v>1443</v>
      </c>
      <c r="L1033" s="71" t="n">
        <v>3149.85</v>
      </c>
      <c r="M1033" s="71" t="n">
        <v>4545233.55</v>
      </c>
      <c r="N1033" s="71" t="n">
        <v>454523.35</v>
      </c>
      <c r="O1033" s="71" t="n">
        <v>4090710.2</v>
      </c>
      <c r="P1033" s="71" t="n">
        <v>615776.72</v>
      </c>
      <c r="Q1033" s="71" t="n">
        <v>3474933.48</v>
      </c>
      <c r="R1033" t="inlineStr">
        <is>
          <t>Oncology</t>
        </is>
      </c>
      <c r="S1033" s="70" t="n">
        <v>1020</v>
      </c>
      <c r="T1033" s="71" t="n">
        <v>744510.04</v>
      </c>
      <c r="U1033" t="inlineStr">
        <is>
          <t>High</t>
        </is>
      </c>
      <c r="V1033">
        <f>IF(AND(OR(Dashboard!$C$6="All",E1033=Dashboard!$C$6),OR(Dashboard!$F$6="All",G1033=Dashboard!$F$6),OR(Dashboard!$I$6="All",H1033=Dashboard!$I$6)),1,0)</f>
        <v/>
      </c>
    </row>
    <row r="1034">
      <c r="A1034" t="inlineStr">
        <is>
          <t>PF101025</t>
        </is>
      </c>
      <c r="B1034" s="68" t="n">
        <v>45782</v>
      </c>
      <c r="C1034" s="69" t="n">
        <v>2025</v>
      </c>
      <c r="D1034" t="inlineStr">
        <is>
          <t>May</t>
        </is>
      </c>
      <c r="E1034" t="inlineStr">
        <is>
          <t>United States</t>
        </is>
      </c>
      <c r="F1034" t="inlineStr">
        <is>
          <t>USA</t>
        </is>
      </c>
      <c r="G1034" t="inlineStr">
        <is>
          <t>Eliquis</t>
        </is>
      </c>
      <c r="H1034" t="inlineStr">
        <is>
          <t>Retail pharmacy</t>
        </is>
      </c>
      <c r="I1034" t="inlineStr">
        <is>
          <t>Private insurer</t>
        </is>
      </c>
      <c r="J1034" t="inlineStr">
        <is>
          <t>Kofi Mensah</t>
        </is>
      </c>
      <c r="K1034" s="70" t="n">
        <v>2624</v>
      </c>
      <c r="L1034" s="71" t="n">
        <v>662.75</v>
      </c>
      <c r="M1034" s="71" t="n">
        <v>1739056</v>
      </c>
      <c r="N1034" s="71" t="n">
        <v>608669.6</v>
      </c>
      <c r="O1034" s="71" t="n">
        <v>1130386.4</v>
      </c>
      <c r="P1034" s="71" t="n">
        <v>191173.96</v>
      </c>
      <c r="Q1034" s="71" t="n">
        <v>939212.4399999999</v>
      </c>
      <c r="R1034" t="inlineStr">
        <is>
          <t>Cardiology</t>
        </is>
      </c>
      <c r="S1034" s="70" t="n">
        <v>1876</v>
      </c>
      <c r="T1034" s="71" t="n">
        <v>347132.97</v>
      </c>
      <c r="U1034" t="inlineStr">
        <is>
          <t>High</t>
        </is>
      </c>
      <c r="V1034">
        <f>IF(AND(OR(Dashboard!$C$6="All",E1034=Dashboard!$C$6),OR(Dashboard!$F$6="All",G1034=Dashboard!$F$6),OR(Dashboard!$I$6="All",H1034=Dashboard!$I$6)),1,0)</f>
        <v/>
      </c>
    </row>
    <row r="1035">
      <c r="A1035" t="inlineStr">
        <is>
          <t>PF101026</t>
        </is>
      </c>
      <c r="B1035" s="68" t="n">
        <v>45782</v>
      </c>
      <c r="C1035" s="69" t="n">
        <v>2025</v>
      </c>
      <c r="D1035" t="inlineStr">
        <is>
          <t>May</t>
        </is>
      </c>
      <c r="E1035" t="inlineStr">
        <is>
          <t>Emerging markets</t>
        </is>
      </c>
      <c r="F1035" t="inlineStr">
        <is>
          <t>Mexico</t>
        </is>
      </c>
      <c r="G1035" t="inlineStr">
        <is>
          <t>Prevnar 20</t>
        </is>
      </c>
      <c r="H1035" t="inlineStr">
        <is>
          <t>Hospital</t>
        </is>
      </c>
      <c r="I1035" t="inlineStr">
        <is>
          <t>Private insurer</t>
        </is>
      </c>
      <c r="J1035" t="inlineStr">
        <is>
          <t>Yuki Sato</t>
        </is>
      </c>
      <c r="K1035" s="70" t="n">
        <v>610</v>
      </c>
      <c r="L1035" s="71" t="n">
        <v>243.21</v>
      </c>
      <c r="M1035" s="71" t="n">
        <v>148358.1</v>
      </c>
      <c r="N1035" s="71" t="n">
        <v>22253.72</v>
      </c>
      <c r="O1035" s="71" t="n">
        <v>126104.38</v>
      </c>
      <c r="P1035" s="71" t="n">
        <v>41351.14</v>
      </c>
      <c r="Q1035" s="71" t="n">
        <v>84753.24000000001</v>
      </c>
      <c r="R1035" t="inlineStr">
        <is>
          <t>Vaccines</t>
        </is>
      </c>
      <c r="S1035" s="70" t="n">
        <v>550</v>
      </c>
      <c r="T1035" s="71" t="n">
        <v>31417.75</v>
      </c>
      <c r="U1035" t="inlineStr">
        <is>
          <t>Low</t>
        </is>
      </c>
      <c r="V1035">
        <f>IF(AND(OR(Dashboard!$C$6="All",E1035=Dashboard!$C$6),OR(Dashboard!$F$6="All",G1035=Dashboard!$F$6),OR(Dashboard!$I$6="All",H1035=Dashboard!$I$6)),1,0)</f>
        <v/>
      </c>
    </row>
    <row r="1036">
      <c r="A1036" t="inlineStr">
        <is>
          <t>PF101027</t>
        </is>
      </c>
      <c r="B1036" s="68" t="n">
        <v>45782</v>
      </c>
      <c r="C1036" s="69" t="n">
        <v>2025</v>
      </c>
      <c r="D1036" t="inlineStr">
        <is>
          <t>May</t>
        </is>
      </c>
      <c r="E1036" t="inlineStr">
        <is>
          <t>United States</t>
        </is>
      </c>
      <c r="F1036" t="inlineStr">
        <is>
          <t>USA</t>
        </is>
      </c>
      <c r="G1036" t="inlineStr">
        <is>
          <t>Xeljanz</t>
        </is>
      </c>
      <c r="H1036" t="inlineStr">
        <is>
          <t>Hospital</t>
        </is>
      </c>
      <c r="I1036" t="inlineStr">
        <is>
          <t>Private insurer</t>
        </is>
      </c>
      <c r="J1036" t="inlineStr">
        <is>
          <t>Wei Chen</t>
        </is>
      </c>
      <c r="K1036" s="70" t="n">
        <v>285</v>
      </c>
      <c r="L1036" s="71" t="n">
        <v>2248.4</v>
      </c>
      <c r="M1036" s="71" t="n">
        <v>640794</v>
      </c>
      <c r="N1036" s="71" t="n">
        <v>128158.8</v>
      </c>
      <c r="O1036" s="71" t="n">
        <v>512635.2</v>
      </c>
      <c r="P1036" s="71" t="n">
        <v>71513.82000000001</v>
      </c>
      <c r="Q1036" s="71" t="n">
        <v>441121.38</v>
      </c>
      <c r="R1036" t="inlineStr">
        <is>
          <t>Inflammation</t>
        </is>
      </c>
      <c r="S1036" s="70" t="n">
        <v>226</v>
      </c>
      <c r="T1036" s="71" t="n">
        <v>110199.01</v>
      </c>
      <c r="U1036" t="inlineStr">
        <is>
          <t>High</t>
        </is>
      </c>
      <c r="V1036">
        <f>IF(AND(OR(Dashboard!$C$6="All",E1036=Dashboard!$C$6),OR(Dashboard!$F$6="All",G1036=Dashboard!$F$6),OR(Dashboard!$I$6="All",H1036=Dashboard!$I$6)),1,0)</f>
        <v/>
      </c>
    </row>
    <row r="1037">
      <c r="A1037" t="inlineStr">
        <is>
          <t>PF101028</t>
        </is>
      </c>
      <c r="B1037" s="68" t="n">
        <v>45782</v>
      </c>
      <c r="C1037" s="69" t="n">
        <v>2025</v>
      </c>
      <c r="D1037" t="inlineStr">
        <is>
          <t>May</t>
        </is>
      </c>
      <c r="E1037" t="inlineStr">
        <is>
          <t>Emerging markets</t>
        </is>
      </c>
      <c r="F1037" t="inlineStr">
        <is>
          <t>India</t>
        </is>
      </c>
      <c r="G1037" t="inlineStr">
        <is>
          <t>Vyndaqel</t>
        </is>
      </c>
      <c r="H1037" t="inlineStr">
        <is>
          <t>Government / tender</t>
        </is>
      </c>
      <c r="I1037" t="inlineStr">
        <is>
          <t>Private insurer</t>
        </is>
      </c>
      <c r="J1037" t="inlineStr">
        <is>
          <t>Aisha Bello</t>
        </is>
      </c>
      <c r="K1037" s="70" t="n">
        <v>514</v>
      </c>
      <c r="L1037" s="71" t="n">
        <v>5519.27</v>
      </c>
      <c r="M1037" s="71" t="n">
        <v>2836904.78</v>
      </c>
      <c r="N1037" s="71" t="n">
        <v>425535.72</v>
      </c>
      <c r="O1037" s="71" t="n">
        <v>2411369.06</v>
      </c>
      <c r="P1037" s="71" t="n">
        <v>323302.12</v>
      </c>
      <c r="Q1037" s="71" t="n">
        <v>2088066.94</v>
      </c>
      <c r="R1037" t="inlineStr">
        <is>
          <t>Rare disease</t>
        </is>
      </c>
      <c r="S1037" s="70" t="n">
        <v>360</v>
      </c>
      <c r="T1037" s="71" t="n">
        <v>427662.08</v>
      </c>
      <c r="U1037" t="inlineStr">
        <is>
          <t>Medium</t>
        </is>
      </c>
      <c r="V1037">
        <f>IF(AND(OR(Dashboard!$C$6="All",E1037=Dashboard!$C$6),OR(Dashboard!$F$6="All",G1037=Dashboard!$F$6),OR(Dashboard!$I$6="All",H1037=Dashboard!$I$6)),1,0)</f>
        <v/>
      </c>
    </row>
    <row r="1038">
      <c r="A1038" t="inlineStr">
        <is>
          <t>PF101029</t>
        </is>
      </c>
      <c r="B1038" s="68" t="n">
        <v>45783</v>
      </c>
      <c r="C1038" s="69" t="n">
        <v>2025</v>
      </c>
      <c r="D1038" t="inlineStr">
        <is>
          <t>May</t>
        </is>
      </c>
      <c r="E1038" t="inlineStr">
        <is>
          <t>United States</t>
        </is>
      </c>
      <c r="F1038" t="inlineStr">
        <is>
          <t>USA</t>
        </is>
      </c>
      <c r="G1038" t="inlineStr">
        <is>
          <t>Prevnar 20</t>
        </is>
      </c>
      <c r="H1038" t="inlineStr">
        <is>
          <t>Hospital</t>
        </is>
      </c>
      <c r="I1038" t="inlineStr">
        <is>
          <t>Private insurer</t>
        </is>
      </c>
      <c r="J1038" t="inlineStr">
        <is>
          <t>Fatima Al-Saud</t>
        </is>
      </c>
      <c r="K1038" s="70" t="n">
        <v>1555</v>
      </c>
      <c r="L1038" s="71" t="n">
        <v>343.04</v>
      </c>
      <c r="M1038" s="71" t="n">
        <v>533427.2</v>
      </c>
      <c r="N1038" s="71" t="n">
        <v>186699.52</v>
      </c>
      <c r="O1038" s="71" t="n">
        <v>346727.68</v>
      </c>
      <c r="P1038" s="71" t="n">
        <v>109549.36</v>
      </c>
      <c r="Q1038" s="71" t="n">
        <v>237178.32</v>
      </c>
      <c r="R1038" t="inlineStr">
        <is>
          <t>Vaccines</t>
        </is>
      </c>
      <c r="S1038" s="70" t="n">
        <v>1030</v>
      </c>
      <c r="T1038" s="71" t="n">
        <v>103072.59</v>
      </c>
      <c r="U1038" t="inlineStr">
        <is>
          <t>Low</t>
        </is>
      </c>
      <c r="V1038">
        <f>IF(AND(OR(Dashboard!$C$6="All",E1038=Dashboard!$C$6),OR(Dashboard!$F$6="All",G1038=Dashboard!$F$6),OR(Dashboard!$I$6="All",H1038=Dashboard!$I$6)),1,0)</f>
        <v/>
      </c>
    </row>
    <row r="1039">
      <c r="A1039" t="inlineStr">
        <is>
          <t>PF101030</t>
        </is>
      </c>
      <c r="B1039" s="68" t="n">
        <v>45783</v>
      </c>
      <c r="C1039" s="69" t="n">
        <v>2025</v>
      </c>
      <c r="D1039" t="inlineStr">
        <is>
          <t>May</t>
        </is>
      </c>
      <c r="E1039" t="inlineStr">
        <is>
          <t>Europe</t>
        </is>
      </c>
      <c r="F1039" t="inlineStr">
        <is>
          <t>UK</t>
        </is>
      </c>
      <c r="G1039" t="inlineStr">
        <is>
          <t>Ibrance</t>
        </is>
      </c>
      <c r="H1039" t="inlineStr">
        <is>
          <t>Retail pharmacy</t>
        </is>
      </c>
      <c r="I1039" t="inlineStr">
        <is>
          <t>Self-pay</t>
        </is>
      </c>
      <c r="J1039" t="inlineStr">
        <is>
          <t>Ravindra Patil</t>
        </is>
      </c>
      <c r="K1039" s="70" t="n">
        <v>2307</v>
      </c>
      <c r="L1039" s="71" t="n">
        <v>2704.19</v>
      </c>
      <c r="M1039" s="71" t="n">
        <v>6238566.33</v>
      </c>
      <c r="N1039" s="71" t="n">
        <v>935784.95</v>
      </c>
      <c r="O1039" s="71" t="n">
        <v>5302781.38</v>
      </c>
      <c r="P1039" s="71" t="n">
        <v>991584</v>
      </c>
      <c r="Q1039" s="71" t="n">
        <v>4311197.38</v>
      </c>
      <c r="R1039" t="inlineStr">
        <is>
          <t>Oncology</t>
        </is>
      </c>
      <c r="S1039" s="70" t="n">
        <v>1793</v>
      </c>
      <c r="T1039" s="71" t="n">
        <v>1173876.08</v>
      </c>
      <c r="U1039" t="inlineStr">
        <is>
          <t>High</t>
        </is>
      </c>
      <c r="V1039">
        <f>IF(AND(OR(Dashboard!$C$6="All",E1039=Dashboard!$C$6),OR(Dashboard!$F$6="All",G1039=Dashboard!$F$6),OR(Dashboard!$I$6="All",H1039=Dashboard!$I$6)),1,0)</f>
        <v/>
      </c>
    </row>
    <row r="1040">
      <c r="A1040" t="inlineStr">
        <is>
          <t>PF101031</t>
        </is>
      </c>
      <c r="B1040" s="68" t="n">
        <v>45783</v>
      </c>
      <c r="C1040" s="69" t="n">
        <v>2025</v>
      </c>
      <c r="D1040" t="inlineStr">
        <is>
          <t>May</t>
        </is>
      </c>
      <c r="E1040" t="inlineStr">
        <is>
          <t>United States</t>
        </is>
      </c>
      <c r="F1040" t="inlineStr">
        <is>
          <t>USA</t>
        </is>
      </c>
      <c r="G1040" t="inlineStr">
        <is>
          <t>Prevnar 20</t>
        </is>
      </c>
      <c r="H1040" t="inlineStr">
        <is>
          <t>Hospital</t>
        </is>
      </c>
      <c r="I1040" t="inlineStr">
        <is>
          <t>Private insurer</t>
        </is>
      </c>
      <c r="J1040" t="inlineStr">
        <is>
          <t>Noah Smith</t>
        </is>
      </c>
      <c r="K1040" s="70" t="n">
        <v>456</v>
      </c>
      <c r="L1040" s="71" t="n">
        <v>337.71</v>
      </c>
      <c r="M1040" s="71" t="n">
        <v>153995.76</v>
      </c>
      <c r="N1040" s="71" t="n">
        <v>23099.36</v>
      </c>
      <c r="O1040" s="71" t="n">
        <v>130896.4</v>
      </c>
      <c r="P1040" s="71" t="n">
        <v>30257.17</v>
      </c>
      <c r="Q1040" s="71" t="n">
        <v>100639.23</v>
      </c>
      <c r="R1040" t="inlineStr">
        <is>
          <t>Vaccines</t>
        </is>
      </c>
      <c r="S1040" s="70" t="n">
        <v>398</v>
      </c>
      <c r="T1040" s="71" t="n">
        <v>32691.2</v>
      </c>
      <c r="U1040" t="inlineStr">
        <is>
          <t>Low</t>
        </is>
      </c>
      <c r="V1040">
        <f>IF(AND(OR(Dashboard!$C$6="All",E1040=Dashboard!$C$6),OR(Dashboard!$F$6="All",G1040=Dashboard!$F$6),OR(Dashboard!$I$6="All",H1040=Dashboard!$I$6)),1,0)</f>
        <v/>
      </c>
    </row>
    <row r="1041">
      <c r="A1041" t="inlineStr">
        <is>
          <t>PF101032</t>
        </is>
      </c>
      <c r="B1041" s="68" t="n">
        <v>45783</v>
      </c>
      <c r="C1041" s="69" t="n">
        <v>2025</v>
      </c>
      <c r="D1041" t="inlineStr">
        <is>
          <t>May</t>
        </is>
      </c>
      <c r="E1041" t="inlineStr">
        <is>
          <t>United States</t>
        </is>
      </c>
      <c r="F1041" t="inlineStr">
        <is>
          <t>USA</t>
        </is>
      </c>
      <c r="G1041" t="inlineStr">
        <is>
          <t>Xeljanz</t>
        </is>
      </c>
      <c r="H1041" t="inlineStr">
        <is>
          <t>Government / tender</t>
        </is>
      </c>
      <c r="I1041" t="inlineStr">
        <is>
          <t>Public payer</t>
        </is>
      </c>
      <c r="J1041" t="inlineStr">
        <is>
          <t>Zoya Ahmed</t>
        </is>
      </c>
      <c r="K1041" s="70" t="n">
        <v>457</v>
      </c>
      <c r="L1041" s="71" t="n">
        <v>2241.76</v>
      </c>
      <c r="M1041" s="71" t="n">
        <v>1024484.32</v>
      </c>
      <c r="N1041" s="71" t="n">
        <v>358569.51</v>
      </c>
      <c r="O1041" s="71" t="n">
        <v>665914.8100000001</v>
      </c>
      <c r="P1041" s="71" t="n">
        <v>111520.8</v>
      </c>
      <c r="Q1041" s="71" t="n">
        <v>554394.01</v>
      </c>
      <c r="R1041" t="inlineStr">
        <is>
          <t>Inflammation</t>
        </is>
      </c>
      <c r="S1041" s="70" t="n">
        <v>307</v>
      </c>
      <c r="T1041" s="71" t="n">
        <v>174876.23</v>
      </c>
      <c r="U1041" t="inlineStr">
        <is>
          <t>High</t>
        </is>
      </c>
      <c r="V1041">
        <f>IF(AND(OR(Dashboard!$C$6="All",E1041=Dashboard!$C$6),OR(Dashboard!$F$6="All",G1041=Dashboard!$F$6),OR(Dashboard!$I$6="All",H1041=Dashboard!$I$6)),1,0)</f>
        <v/>
      </c>
    </row>
    <row r="1042">
      <c r="A1042" t="inlineStr">
        <is>
          <t>PF101033</t>
        </is>
      </c>
      <c r="B1042" s="68" t="n">
        <v>45783</v>
      </c>
      <c r="C1042" s="69" t="n">
        <v>2025</v>
      </c>
      <c r="D1042" t="inlineStr">
        <is>
          <t>May</t>
        </is>
      </c>
      <c r="E1042" t="inlineStr">
        <is>
          <t>Europe</t>
        </is>
      </c>
      <c r="F1042" t="inlineStr">
        <is>
          <t>Germany</t>
        </is>
      </c>
      <c r="G1042" t="inlineStr">
        <is>
          <t>Ibrance</t>
        </is>
      </c>
      <c r="H1042" t="inlineStr">
        <is>
          <t>Retail pharmacy</t>
        </is>
      </c>
      <c r="I1042" t="inlineStr">
        <is>
          <t>Private insurer</t>
        </is>
      </c>
      <c r="J1042" t="inlineStr">
        <is>
          <t>Lucas Martin</t>
        </is>
      </c>
      <c r="K1042" s="70" t="n">
        <v>2912</v>
      </c>
      <c r="L1042" s="71" t="n">
        <v>3131.97</v>
      </c>
      <c r="M1042" s="71" t="n">
        <v>9120296.640000001</v>
      </c>
      <c r="N1042" s="71" t="n">
        <v>456014.83</v>
      </c>
      <c r="O1042" s="71" t="n">
        <v>8664281.810000001</v>
      </c>
      <c r="P1042" s="71" t="n">
        <v>1262796.86</v>
      </c>
      <c r="Q1042" s="71" t="n">
        <v>7401484.95</v>
      </c>
      <c r="R1042" t="inlineStr">
        <is>
          <t>Oncology</t>
        </is>
      </c>
      <c r="S1042" s="70" t="n">
        <v>2118</v>
      </c>
      <c r="T1042" s="71" t="n">
        <v>1185090.6</v>
      </c>
      <c r="U1042" t="inlineStr">
        <is>
          <t>High</t>
        </is>
      </c>
      <c r="V1042">
        <f>IF(AND(OR(Dashboard!$C$6="All",E1042=Dashboard!$C$6),OR(Dashboard!$F$6="All",G1042=Dashboard!$F$6),OR(Dashboard!$I$6="All",H1042=Dashboard!$I$6)),1,0)</f>
        <v/>
      </c>
    </row>
    <row r="1043">
      <c r="A1043" t="inlineStr">
        <is>
          <t>PF101034</t>
        </is>
      </c>
      <c r="B1043" s="68" t="n">
        <v>45783</v>
      </c>
      <c r="C1043" s="69" t="n">
        <v>2025</v>
      </c>
      <c r="D1043" t="inlineStr">
        <is>
          <t>May</t>
        </is>
      </c>
      <c r="E1043" t="inlineStr">
        <is>
          <t>International developed</t>
        </is>
      </c>
      <c r="F1043" t="inlineStr">
        <is>
          <t>Canada</t>
        </is>
      </c>
      <c r="G1043" t="inlineStr">
        <is>
          <t>Comirnaty</t>
        </is>
      </c>
      <c r="H1043" t="inlineStr">
        <is>
          <t>Retail pharmacy</t>
        </is>
      </c>
      <c r="I1043" t="inlineStr">
        <is>
          <t>Private insurer</t>
        </is>
      </c>
      <c r="J1043" t="inlineStr">
        <is>
          <t>Emma Clarke</t>
        </is>
      </c>
      <c r="K1043" s="70" t="n">
        <v>417</v>
      </c>
      <c r="L1043" s="71" t="n">
        <v>119.16</v>
      </c>
      <c r="M1043" s="71" t="n">
        <v>49689.72</v>
      </c>
      <c r="N1043" s="71" t="n">
        <v>4968.97</v>
      </c>
      <c r="O1043" s="71" t="n">
        <v>44720.75</v>
      </c>
      <c r="P1043" s="71" t="n">
        <v>16666.76</v>
      </c>
      <c r="Q1043" s="71" t="n">
        <v>28053.99</v>
      </c>
      <c r="R1043" t="inlineStr">
        <is>
          <t>Vaccines</t>
        </is>
      </c>
      <c r="S1043" s="70" t="n">
        <v>337</v>
      </c>
      <c r="T1043" s="71" t="n">
        <v>7286.89</v>
      </c>
      <c r="U1043" t="inlineStr">
        <is>
          <t>Low</t>
        </is>
      </c>
      <c r="V1043">
        <f>IF(AND(OR(Dashboard!$C$6="All",E1043=Dashboard!$C$6),OR(Dashboard!$F$6="All",G1043=Dashboard!$F$6),OR(Dashboard!$I$6="All",H1043=Dashboard!$I$6)),1,0)</f>
        <v/>
      </c>
    </row>
    <row r="1044">
      <c r="A1044" t="inlineStr">
        <is>
          <t>PF101035</t>
        </is>
      </c>
      <c r="B1044" s="68" t="n">
        <v>45783</v>
      </c>
      <c r="C1044" s="69" t="n">
        <v>2025</v>
      </c>
      <c r="D1044" t="inlineStr">
        <is>
          <t>May</t>
        </is>
      </c>
      <c r="E1044" t="inlineStr">
        <is>
          <t>United States</t>
        </is>
      </c>
      <c r="F1044" t="inlineStr">
        <is>
          <t>USA</t>
        </is>
      </c>
      <c r="G1044" t="inlineStr">
        <is>
          <t>Xeljanz</t>
        </is>
      </c>
      <c r="H1044" t="inlineStr">
        <is>
          <t>Hospital</t>
        </is>
      </c>
      <c r="I1044" t="inlineStr">
        <is>
          <t>Public payer</t>
        </is>
      </c>
      <c r="J1044" t="inlineStr">
        <is>
          <t>Amir Khan</t>
        </is>
      </c>
      <c r="K1044" s="70" t="n">
        <v>967</v>
      </c>
      <c r="L1044" s="71" t="n">
        <v>2293.07</v>
      </c>
      <c r="M1044" s="71" t="n">
        <v>2217398.69</v>
      </c>
      <c r="N1044" s="71" t="n">
        <v>332609.8</v>
      </c>
      <c r="O1044" s="71" t="n">
        <v>1884788.89</v>
      </c>
      <c r="P1044" s="71" t="n">
        <v>242703.32</v>
      </c>
      <c r="Q1044" s="71" t="n">
        <v>1642085.57</v>
      </c>
      <c r="R1044" t="inlineStr">
        <is>
          <t>Inflammation</t>
        </is>
      </c>
      <c r="S1044" s="70" t="n">
        <v>733</v>
      </c>
      <c r="T1044" s="71" t="n">
        <v>330039.17</v>
      </c>
      <c r="U1044" t="inlineStr">
        <is>
          <t>High</t>
        </is>
      </c>
      <c r="V1044">
        <f>IF(AND(OR(Dashboard!$C$6="All",E1044=Dashboard!$C$6),OR(Dashboard!$F$6="All",G1044=Dashboard!$F$6),OR(Dashboard!$I$6="All",H1044=Dashboard!$I$6)),1,0)</f>
        <v/>
      </c>
    </row>
    <row r="1045">
      <c r="A1045" t="inlineStr">
        <is>
          <t>PF101036</t>
        </is>
      </c>
      <c r="B1045" s="68" t="n">
        <v>45783</v>
      </c>
      <c r="C1045" s="69" t="n">
        <v>2025</v>
      </c>
      <c r="D1045" t="inlineStr">
        <is>
          <t>May</t>
        </is>
      </c>
      <c r="E1045" t="inlineStr">
        <is>
          <t>United States</t>
        </is>
      </c>
      <c r="F1045" t="inlineStr">
        <is>
          <t>USA</t>
        </is>
      </c>
      <c r="G1045" t="inlineStr">
        <is>
          <t>Prevnar 20</t>
        </is>
      </c>
      <c r="H1045" t="inlineStr">
        <is>
          <t>Retail pharmacy</t>
        </is>
      </c>
      <c r="I1045" t="inlineStr">
        <is>
          <t>Public payer</t>
        </is>
      </c>
      <c r="J1045" t="inlineStr">
        <is>
          <t>Ana Costa</t>
        </is>
      </c>
      <c r="K1045" s="70" t="n">
        <v>2986</v>
      </c>
      <c r="L1045" s="71" t="n">
        <v>366.11</v>
      </c>
      <c r="M1045" s="71" t="n">
        <v>1093204.46</v>
      </c>
      <c r="N1045" s="71" t="n">
        <v>273301.11</v>
      </c>
      <c r="O1045" s="71" t="n">
        <v>819903.35</v>
      </c>
      <c r="P1045" s="71" t="n">
        <v>199066.32</v>
      </c>
      <c r="Q1045" s="71" t="n">
        <v>620837.03</v>
      </c>
      <c r="R1045" t="inlineStr">
        <is>
          <t>Vaccines</t>
        </is>
      </c>
      <c r="S1045" s="70" t="n">
        <v>1981</v>
      </c>
      <c r="T1045" s="71" t="n">
        <v>156776.15</v>
      </c>
      <c r="U1045" t="inlineStr">
        <is>
          <t>Low</t>
        </is>
      </c>
      <c r="V1045">
        <f>IF(AND(OR(Dashboard!$C$6="All",E1045=Dashboard!$C$6),OR(Dashboard!$F$6="All",G1045=Dashboard!$F$6),OR(Dashboard!$I$6="All",H1045=Dashboard!$I$6)),1,0)</f>
        <v/>
      </c>
    </row>
    <row r="1046">
      <c r="A1046" t="inlineStr">
        <is>
          <t>PF101037</t>
        </is>
      </c>
      <c r="B1046" s="68" t="n">
        <v>45783</v>
      </c>
      <c r="C1046" s="69" t="n">
        <v>2025</v>
      </c>
      <c r="D1046" t="inlineStr">
        <is>
          <t>May</t>
        </is>
      </c>
      <c r="E1046" t="inlineStr">
        <is>
          <t>United States</t>
        </is>
      </c>
      <c r="F1046" t="inlineStr">
        <is>
          <t>USA</t>
        </is>
      </c>
      <c r="G1046" t="inlineStr">
        <is>
          <t>Ibrance</t>
        </is>
      </c>
      <c r="H1046" t="inlineStr">
        <is>
          <t>Government / tender</t>
        </is>
      </c>
      <c r="I1046" t="inlineStr">
        <is>
          <t>Self-pay</t>
        </is>
      </c>
      <c r="J1046" t="inlineStr">
        <is>
          <t>Omar Haddad</t>
        </is>
      </c>
      <c r="K1046" s="70" t="n">
        <v>483</v>
      </c>
      <c r="L1046" s="71" t="n">
        <v>4449.57</v>
      </c>
      <c r="M1046" s="71" t="n">
        <v>2149142.31</v>
      </c>
      <c r="N1046" s="71" t="n">
        <v>322371.35</v>
      </c>
      <c r="O1046" s="71" t="n">
        <v>1826770.96</v>
      </c>
      <c r="P1046" s="71" t="n">
        <v>215687.01</v>
      </c>
      <c r="Q1046" s="71" t="n">
        <v>1611083.95</v>
      </c>
      <c r="R1046" t="inlineStr">
        <is>
          <t>Oncology</t>
        </is>
      </c>
      <c r="S1046" s="70" t="n">
        <v>402</v>
      </c>
      <c r="T1046" s="71" t="n">
        <v>418041.98</v>
      </c>
      <c r="U1046" t="inlineStr">
        <is>
          <t>High</t>
        </is>
      </c>
      <c r="V1046">
        <f>IF(AND(OR(Dashboard!$C$6="All",E1046=Dashboard!$C$6),OR(Dashboard!$F$6="All",G1046=Dashboard!$F$6),OR(Dashboard!$I$6="All",H1046=Dashboard!$I$6)),1,0)</f>
        <v/>
      </c>
    </row>
    <row r="1047">
      <c r="A1047" t="inlineStr">
        <is>
          <t>PF101038</t>
        </is>
      </c>
      <c r="B1047" s="68" t="n">
        <v>45783</v>
      </c>
      <c r="C1047" s="69" t="n">
        <v>2025</v>
      </c>
      <c r="D1047" t="inlineStr">
        <is>
          <t>May</t>
        </is>
      </c>
      <c r="E1047" t="inlineStr">
        <is>
          <t>United States</t>
        </is>
      </c>
      <c r="F1047" t="inlineStr">
        <is>
          <t>USA</t>
        </is>
      </c>
      <c r="G1047" t="inlineStr">
        <is>
          <t>Xeljanz</t>
        </is>
      </c>
      <c r="H1047" t="inlineStr">
        <is>
          <t>Retail pharmacy</t>
        </is>
      </c>
      <c r="I1047" t="inlineStr">
        <is>
          <t>Private insurer</t>
        </is>
      </c>
      <c r="J1047" t="inlineStr">
        <is>
          <t>Zoya Ahmed</t>
        </is>
      </c>
      <c r="K1047" s="70" t="n">
        <v>360</v>
      </c>
      <c r="L1047" s="71" t="n">
        <v>2283.34</v>
      </c>
      <c r="M1047" s="71" t="n">
        <v>822002.4</v>
      </c>
      <c r="N1047" s="71" t="n">
        <v>205500.6</v>
      </c>
      <c r="O1047" s="71" t="n">
        <v>616501.8</v>
      </c>
      <c r="P1047" s="71" t="n">
        <v>91182.47</v>
      </c>
      <c r="Q1047" s="71" t="n">
        <v>525319.33</v>
      </c>
      <c r="R1047" t="inlineStr">
        <is>
          <t>Inflammation</t>
        </is>
      </c>
      <c r="S1047" s="70" t="n">
        <v>358</v>
      </c>
      <c r="T1047" s="71" t="n">
        <v>112236.17</v>
      </c>
      <c r="U1047" t="inlineStr">
        <is>
          <t>High</t>
        </is>
      </c>
      <c r="V1047">
        <f>IF(AND(OR(Dashboard!$C$6="All",E1047=Dashboard!$C$6),OR(Dashboard!$F$6="All",G1047=Dashboard!$F$6),OR(Dashboard!$I$6="All",H1047=Dashboard!$I$6)),1,0)</f>
        <v/>
      </c>
    </row>
    <row r="1048">
      <c r="A1048" t="inlineStr">
        <is>
          <t>PF101039</t>
        </is>
      </c>
      <c r="B1048" s="68" t="n">
        <v>45784</v>
      </c>
      <c r="C1048" s="69" t="n">
        <v>2025</v>
      </c>
      <c r="D1048" t="inlineStr">
        <is>
          <t>May</t>
        </is>
      </c>
      <c r="E1048" t="inlineStr">
        <is>
          <t>International developed</t>
        </is>
      </c>
      <c r="F1048" t="inlineStr">
        <is>
          <t>Australia</t>
        </is>
      </c>
      <c r="G1048" t="inlineStr">
        <is>
          <t>Prevnar 20</t>
        </is>
      </c>
      <c r="H1048" t="inlineStr">
        <is>
          <t>Government / tender</t>
        </is>
      </c>
      <c r="I1048" t="inlineStr">
        <is>
          <t>Private insurer</t>
        </is>
      </c>
      <c r="J1048" t="inlineStr">
        <is>
          <t>Liam O'Brien</t>
        </is>
      </c>
      <c r="K1048" s="70" t="n">
        <v>1391</v>
      </c>
      <c r="L1048" s="71" t="n">
        <v>245.94</v>
      </c>
      <c r="M1048" s="71" t="n">
        <v>342102.54</v>
      </c>
      <c r="N1048" s="71" t="n">
        <v>68420.50999999999</v>
      </c>
      <c r="O1048" s="71" t="n">
        <v>273682.03</v>
      </c>
      <c r="P1048" s="71" t="n">
        <v>92611.2</v>
      </c>
      <c r="Q1048" s="71" t="n">
        <v>181070.83</v>
      </c>
      <c r="R1048" t="inlineStr">
        <is>
          <t>Vaccines</t>
        </is>
      </c>
      <c r="S1048" s="70" t="n">
        <v>933</v>
      </c>
      <c r="T1048" s="71" t="n">
        <v>55193.69</v>
      </c>
      <c r="U1048" t="inlineStr">
        <is>
          <t>Low</t>
        </is>
      </c>
      <c r="V1048">
        <f>IF(AND(OR(Dashboard!$C$6="All",E1048=Dashboard!$C$6),OR(Dashboard!$F$6="All",G1048=Dashboard!$F$6),OR(Dashboard!$I$6="All",H1048=Dashboard!$I$6)),1,0)</f>
        <v/>
      </c>
    </row>
    <row r="1049">
      <c r="A1049" t="inlineStr">
        <is>
          <t>PF101040</t>
        </is>
      </c>
      <c r="B1049" s="68" t="n">
        <v>45784</v>
      </c>
      <c r="C1049" s="69" t="n">
        <v>2025</v>
      </c>
      <c r="D1049" t="inlineStr">
        <is>
          <t>May</t>
        </is>
      </c>
      <c r="E1049" t="inlineStr">
        <is>
          <t>Europe</t>
        </is>
      </c>
      <c r="F1049" t="inlineStr">
        <is>
          <t>France</t>
        </is>
      </c>
      <c r="G1049" t="inlineStr">
        <is>
          <t>Prevnar 20</t>
        </is>
      </c>
      <c r="H1049" t="inlineStr">
        <is>
          <t>Government / tender</t>
        </is>
      </c>
      <c r="I1049" t="inlineStr">
        <is>
          <t>Private insurer</t>
        </is>
      </c>
      <c r="J1049" t="inlineStr">
        <is>
          <t>Amir Khan</t>
        </is>
      </c>
      <c r="K1049" s="70" t="n">
        <v>1981</v>
      </c>
      <c r="L1049" s="71" t="n">
        <v>227.64</v>
      </c>
      <c r="M1049" s="71" t="n">
        <v>450954.84</v>
      </c>
      <c r="N1049" s="71" t="n">
        <v>22547.74</v>
      </c>
      <c r="O1049" s="71" t="n">
        <v>428407.1</v>
      </c>
      <c r="P1049" s="71" t="n">
        <v>138720.46</v>
      </c>
      <c r="Q1049" s="71" t="n">
        <v>289686.64</v>
      </c>
      <c r="R1049" t="inlineStr">
        <is>
          <t>Vaccines</t>
        </is>
      </c>
      <c r="S1049" s="70" t="n">
        <v>1366</v>
      </c>
      <c r="T1049" s="71" t="n">
        <v>98659.32000000001</v>
      </c>
      <c r="U1049" t="inlineStr">
        <is>
          <t>Low</t>
        </is>
      </c>
      <c r="V1049">
        <f>IF(AND(OR(Dashboard!$C$6="All",E1049=Dashboard!$C$6),OR(Dashboard!$F$6="All",G1049=Dashboard!$F$6),OR(Dashboard!$I$6="All",H1049=Dashboard!$I$6)),1,0)</f>
        <v/>
      </c>
    </row>
    <row r="1050">
      <c r="A1050" t="inlineStr">
        <is>
          <t>PF101041</t>
        </is>
      </c>
      <c r="B1050" s="68" t="n">
        <v>45784</v>
      </c>
      <c r="C1050" s="69" t="n">
        <v>2025</v>
      </c>
      <c r="D1050" t="inlineStr">
        <is>
          <t>May</t>
        </is>
      </c>
      <c r="E1050" t="inlineStr">
        <is>
          <t>Europe</t>
        </is>
      </c>
      <c r="F1050" t="inlineStr">
        <is>
          <t>Italy</t>
        </is>
      </c>
      <c r="G1050" t="inlineStr">
        <is>
          <t>Eliquis</t>
        </is>
      </c>
      <c r="H1050" t="inlineStr">
        <is>
          <t>Hospital</t>
        </is>
      </c>
      <c r="I1050" t="inlineStr">
        <is>
          <t>Private insurer</t>
        </is>
      </c>
      <c r="J1050" t="inlineStr">
        <is>
          <t>Priya Nair</t>
        </is>
      </c>
      <c r="K1050" s="70" t="n">
        <v>1513</v>
      </c>
      <c r="L1050" s="71" t="n">
        <v>399.24</v>
      </c>
      <c r="M1050" s="71" t="n">
        <v>604050.12</v>
      </c>
      <c r="N1050" s="71" t="n">
        <v>120810.02</v>
      </c>
      <c r="O1050" s="71" t="n">
        <v>483240.1</v>
      </c>
      <c r="P1050" s="71" t="n">
        <v>113574.01</v>
      </c>
      <c r="Q1050" s="71" t="n">
        <v>369666.09</v>
      </c>
      <c r="R1050" t="inlineStr">
        <is>
          <t>Cardiology</t>
        </is>
      </c>
      <c r="S1050" s="70" t="n">
        <v>1086</v>
      </c>
      <c r="T1050" s="71" t="n">
        <v>110719.37</v>
      </c>
      <c r="U1050" t="inlineStr">
        <is>
          <t>High</t>
        </is>
      </c>
      <c r="V1050">
        <f>IF(AND(OR(Dashboard!$C$6="All",E1050=Dashboard!$C$6),OR(Dashboard!$F$6="All",G1050=Dashboard!$F$6),OR(Dashboard!$I$6="All",H1050=Dashboard!$I$6)),1,0)</f>
        <v/>
      </c>
    </row>
    <row r="1051">
      <c r="A1051" t="inlineStr">
        <is>
          <t>PF101042</t>
        </is>
      </c>
      <c r="B1051" s="68" t="n">
        <v>45784</v>
      </c>
      <c r="C1051" s="69" t="n">
        <v>2025</v>
      </c>
      <c r="D1051" t="inlineStr">
        <is>
          <t>May</t>
        </is>
      </c>
      <c r="E1051" t="inlineStr">
        <is>
          <t>Emerging markets</t>
        </is>
      </c>
      <c r="F1051" t="inlineStr">
        <is>
          <t>China</t>
        </is>
      </c>
      <c r="G1051" t="inlineStr">
        <is>
          <t>Eliquis</t>
        </is>
      </c>
      <c r="H1051" t="inlineStr">
        <is>
          <t>Retail pharmacy</t>
        </is>
      </c>
      <c r="I1051" t="inlineStr">
        <is>
          <t>Public payer</t>
        </is>
      </c>
      <c r="J1051" t="inlineStr">
        <is>
          <t>Zoya Ahmed</t>
        </is>
      </c>
      <c r="K1051" s="70" t="n">
        <v>1827</v>
      </c>
      <c r="L1051" s="71" t="n">
        <v>379.84</v>
      </c>
      <c r="M1051" s="71" t="n">
        <v>693967.6800000001</v>
      </c>
      <c r="N1051" s="71" t="n">
        <v>138793.54</v>
      </c>
      <c r="O1051" s="71" t="n">
        <v>555174.14</v>
      </c>
      <c r="P1051" s="71" t="n">
        <v>138518.12</v>
      </c>
      <c r="Q1051" s="71" t="n">
        <v>416656.02</v>
      </c>
      <c r="R1051" t="inlineStr">
        <is>
          <t>Cardiology</t>
        </is>
      </c>
      <c r="S1051" s="70" t="n">
        <v>1381</v>
      </c>
      <c r="T1051" s="71" t="n">
        <v>86786.95</v>
      </c>
      <c r="U1051" t="inlineStr">
        <is>
          <t>High</t>
        </is>
      </c>
      <c r="V1051">
        <f>IF(AND(OR(Dashboard!$C$6="All",E1051=Dashboard!$C$6),OR(Dashboard!$F$6="All",G1051=Dashboard!$F$6),OR(Dashboard!$I$6="All",H1051=Dashboard!$I$6)),1,0)</f>
        <v/>
      </c>
    </row>
    <row r="1052">
      <c r="A1052" t="inlineStr">
        <is>
          <t>PF101043</t>
        </is>
      </c>
      <c r="B1052" s="68" t="n">
        <v>45784</v>
      </c>
      <c r="C1052" s="69" t="n">
        <v>2025</v>
      </c>
      <c r="D1052" t="inlineStr">
        <is>
          <t>May</t>
        </is>
      </c>
      <c r="E1052" t="inlineStr">
        <is>
          <t>United States</t>
        </is>
      </c>
      <c r="F1052" t="inlineStr">
        <is>
          <t>USA</t>
        </is>
      </c>
      <c r="G1052" t="inlineStr">
        <is>
          <t>Prevnar 20</t>
        </is>
      </c>
      <c r="H1052" t="inlineStr">
        <is>
          <t>Hospital</t>
        </is>
      </c>
      <c r="I1052" t="inlineStr">
        <is>
          <t>Public payer</t>
        </is>
      </c>
      <c r="J1052" t="inlineStr">
        <is>
          <t>Olivia Brown</t>
        </is>
      </c>
      <c r="K1052" s="70" t="n">
        <v>2402</v>
      </c>
      <c r="L1052" s="71" t="n">
        <v>368.45</v>
      </c>
      <c r="M1052" s="71" t="n">
        <v>885016.9</v>
      </c>
      <c r="N1052" s="71" t="n">
        <v>177003.38</v>
      </c>
      <c r="O1052" s="71" t="n">
        <v>708013.52</v>
      </c>
      <c r="P1052" s="71" t="n">
        <v>165775.48</v>
      </c>
      <c r="Q1052" s="71" t="n">
        <v>542238.04</v>
      </c>
      <c r="R1052" t="inlineStr">
        <is>
          <t>Vaccines</t>
        </is>
      </c>
      <c r="S1052" s="70" t="n">
        <v>2118</v>
      </c>
      <c r="T1052" s="71" t="n">
        <v>112938.01</v>
      </c>
      <c r="U1052" t="inlineStr">
        <is>
          <t>Low</t>
        </is>
      </c>
      <c r="V1052">
        <f>IF(AND(OR(Dashboard!$C$6="All",E1052=Dashboard!$C$6),OR(Dashboard!$F$6="All",G1052=Dashboard!$F$6),OR(Dashboard!$I$6="All",H1052=Dashboard!$I$6)),1,0)</f>
        <v/>
      </c>
    </row>
    <row r="1053">
      <c r="A1053" t="inlineStr">
        <is>
          <t>PF101044</t>
        </is>
      </c>
      <c r="B1053" s="68" t="n">
        <v>45784</v>
      </c>
      <c r="C1053" s="69" t="n">
        <v>2025</v>
      </c>
      <c r="D1053" t="inlineStr">
        <is>
          <t>May</t>
        </is>
      </c>
      <c r="E1053" t="inlineStr">
        <is>
          <t>United States</t>
        </is>
      </c>
      <c r="F1053" t="inlineStr">
        <is>
          <t>USA</t>
        </is>
      </c>
      <c r="G1053" t="inlineStr">
        <is>
          <t>Prevnar 20</t>
        </is>
      </c>
      <c r="H1053" t="inlineStr">
        <is>
          <t>Retail pharmacy</t>
        </is>
      </c>
      <c r="I1053" t="inlineStr">
        <is>
          <t>Self-pay</t>
        </is>
      </c>
      <c r="J1053" t="inlineStr">
        <is>
          <t>Olivia Brown</t>
        </is>
      </c>
      <c r="K1053" s="70" t="n">
        <v>359</v>
      </c>
      <c r="L1053" s="71" t="n">
        <v>374.18</v>
      </c>
      <c r="M1053" s="71" t="n">
        <v>134330.62</v>
      </c>
      <c r="N1053" s="71" t="n">
        <v>33582.65</v>
      </c>
      <c r="O1053" s="71" t="n">
        <v>100747.97</v>
      </c>
      <c r="P1053" s="71" t="n">
        <v>25049.22</v>
      </c>
      <c r="Q1053" s="71" t="n">
        <v>75698.75</v>
      </c>
      <c r="R1053" t="inlineStr">
        <is>
          <t>Vaccines</t>
        </is>
      </c>
      <c r="S1053" s="70" t="n">
        <v>264</v>
      </c>
      <c r="T1053" s="71" t="n">
        <v>18416.93</v>
      </c>
      <c r="U1053" t="inlineStr">
        <is>
          <t>Low</t>
        </is>
      </c>
      <c r="V1053">
        <f>IF(AND(OR(Dashboard!$C$6="All",E1053=Dashboard!$C$6),OR(Dashboard!$F$6="All",G1053=Dashboard!$F$6),OR(Dashboard!$I$6="All",H1053=Dashboard!$I$6)),1,0)</f>
        <v/>
      </c>
    </row>
    <row r="1054">
      <c r="A1054" t="inlineStr">
        <is>
          <t>PF101045</t>
        </is>
      </c>
      <c r="B1054" s="68" t="n">
        <v>45784</v>
      </c>
      <c r="C1054" s="69" t="n">
        <v>2025</v>
      </c>
      <c r="D1054" t="inlineStr">
        <is>
          <t>May</t>
        </is>
      </c>
      <c r="E1054" t="inlineStr">
        <is>
          <t>United States</t>
        </is>
      </c>
      <c r="F1054" t="inlineStr">
        <is>
          <t>USA</t>
        </is>
      </c>
      <c r="G1054" t="inlineStr">
        <is>
          <t>Xeljanz</t>
        </is>
      </c>
      <c r="H1054" t="inlineStr">
        <is>
          <t>Retail pharmacy</t>
        </is>
      </c>
      <c r="I1054" t="inlineStr">
        <is>
          <t>Private insurer</t>
        </is>
      </c>
      <c r="J1054" t="inlineStr">
        <is>
          <t>Kofi Mensah</t>
        </is>
      </c>
      <c r="K1054" s="70" t="n">
        <v>812</v>
      </c>
      <c r="L1054" s="71" t="n">
        <v>2348.48</v>
      </c>
      <c r="M1054" s="71" t="n">
        <v>1906965.76</v>
      </c>
      <c r="N1054" s="71" t="n">
        <v>667438.02</v>
      </c>
      <c r="O1054" s="71" t="n">
        <v>1239527.74</v>
      </c>
      <c r="P1054" s="71" t="n">
        <v>197835.35</v>
      </c>
      <c r="Q1054" s="71" t="n">
        <v>1041692.39</v>
      </c>
      <c r="R1054" t="inlineStr">
        <is>
          <t>Inflammation</t>
        </is>
      </c>
      <c r="S1054" s="70" t="n">
        <v>527</v>
      </c>
      <c r="T1054" s="71" t="n">
        <v>247191.34</v>
      </c>
      <c r="U1054" t="inlineStr">
        <is>
          <t>High</t>
        </is>
      </c>
      <c r="V1054">
        <f>IF(AND(OR(Dashboard!$C$6="All",E1054=Dashboard!$C$6),OR(Dashboard!$F$6="All",G1054=Dashboard!$F$6),OR(Dashboard!$I$6="All",H1054=Dashboard!$I$6)),1,0)</f>
        <v/>
      </c>
    </row>
    <row r="1055">
      <c r="A1055" t="inlineStr">
        <is>
          <t>PF101046</t>
        </is>
      </c>
      <c r="B1055" s="68" t="n">
        <v>45784</v>
      </c>
      <c r="C1055" s="69" t="n">
        <v>2025</v>
      </c>
      <c r="D1055" t="inlineStr">
        <is>
          <t>May</t>
        </is>
      </c>
      <c r="E1055" t="inlineStr">
        <is>
          <t>Emerging markets</t>
        </is>
      </c>
      <c r="F1055" t="inlineStr">
        <is>
          <t>Mexico</t>
        </is>
      </c>
      <c r="G1055" t="inlineStr">
        <is>
          <t>Prevnar 20</t>
        </is>
      </c>
      <c r="H1055" t="inlineStr">
        <is>
          <t>Hospital</t>
        </is>
      </c>
      <c r="I1055" t="inlineStr">
        <is>
          <t>Self-pay</t>
        </is>
      </c>
      <c r="J1055" t="inlineStr">
        <is>
          <t>Ruhi Shaikh</t>
        </is>
      </c>
      <c r="K1055" s="70" t="n">
        <v>1972</v>
      </c>
      <c r="L1055" s="71" t="n">
        <v>227.1</v>
      </c>
      <c r="M1055" s="71" t="n">
        <v>447841.2</v>
      </c>
      <c r="N1055" s="71" t="n">
        <v>89568.24000000001</v>
      </c>
      <c r="O1055" s="71" t="n">
        <v>358272.96</v>
      </c>
      <c r="P1055" s="71" t="n">
        <v>141023.83</v>
      </c>
      <c r="Q1055" s="71" t="n">
        <v>217249.13</v>
      </c>
      <c r="R1055" t="inlineStr">
        <is>
          <t>Vaccines</t>
        </is>
      </c>
      <c r="S1055" s="70" t="n">
        <v>1398</v>
      </c>
      <c r="T1055" s="71" t="n">
        <v>65251.93</v>
      </c>
      <c r="U1055" t="inlineStr">
        <is>
          <t>Low</t>
        </is>
      </c>
      <c r="V1055">
        <f>IF(AND(OR(Dashboard!$C$6="All",E1055=Dashboard!$C$6),OR(Dashboard!$F$6="All",G1055=Dashboard!$F$6),OR(Dashboard!$I$6="All",H1055=Dashboard!$I$6)),1,0)</f>
        <v/>
      </c>
    </row>
    <row r="1056">
      <c r="A1056" t="inlineStr">
        <is>
          <t>PF101047</t>
        </is>
      </c>
      <c r="B1056" s="68" t="n">
        <v>45784</v>
      </c>
      <c r="C1056" s="69" t="n">
        <v>2025</v>
      </c>
      <c r="D1056" t="inlineStr">
        <is>
          <t>May</t>
        </is>
      </c>
      <c r="E1056" t="inlineStr">
        <is>
          <t>International developed</t>
        </is>
      </c>
      <c r="F1056" t="inlineStr">
        <is>
          <t>Australia</t>
        </is>
      </c>
      <c r="G1056" t="inlineStr">
        <is>
          <t>Eliquis</t>
        </is>
      </c>
      <c r="H1056" t="inlineStr">
        <is>
          <t>Retail pharmacy</t>
        </is>
      </c>
      <c r="I1056" t="inlineStr">
        <is>
          <t>Public payer</t>
        </is>
      </c>
      <c r="J1056" t="inlineStr">
        <is>
          <t>Ruhi Shaikh</t>
        </is>
      </c>
      <c r="K1056" s="70" t="n">
        <v>1375</v>
      </c>
      <c r="L1056" s="71" t="n">
        <v>420.4</v>
      </c>
      <c r="M1056" s="71" t="n">
        <v>578050</v>
      </c>
      <c r="N1056" s="71" t="n">
        <v>115610</v>
      </c>
      <c r="O1056" s="71" t="n">
        <v>462440</v>
      </c>
      <c r="P1056" s="71" t="n">
        <v>100516.1</v>
      </c>
      <c r="Q1056" s="71" t="n">
        <v>361923.9</v>
      </c>
      <c r="R1056" t="inlineStr">
        <is>
          <t>Cardiology</t>
        </is>
      </c>
      <c r="S1056" s="70" t="n">
        <v>1367</v>
      </c>
      <c r="T1056" s="71" t="n">
        <v>73667.78999999999</v>
      </c>
      <c r="U1056" t="inlineStr">
        <is>
          <t>High</t>
        </is>
      </c>
      <c r="V1056">
        <f>IF(AND(OR(Dashboard!$C$6="All",E1056=Dashboard!$C$6),OR(Dashboard!$F$6="All",G1056=Dashboard!$F$6),OR(Dashboard!$I$6="All",H1056=Dashboard!$I$6)),1,0)</f>
        <v/>
      </c>
    </row>
    <row r="1057">
      <c r="A1057" t="inlineStr">
        <is>
          <t>PF101048</t>
        </is>
      </c>
      <c r="B1057" s="68" t="n">
        <v>45784</v>
      </c>
      <c r="C1057" s="69" t="n">
        <v>2025</v>
      </c>
      <c r="D1057" t="inlineStr">
        <is>
          <t>May</t>
        </is>
      </c>
      <c r="E1057" t="inlineStr">
        <is>
          <t>United States</t>
        </is>
      </c>
      <c r="F1057" t="inlineStr">
        <is>
          <t>USA</t>
        </is>
      </c>
      <c r="G1057" t="inlineStr">
        <is>
          <t>Eliquis</t>
        </is>
      </c>
      <c r="H1057" t="inlineStr">
        <is>
          <t>Retail pharmacy</t>
        </is>
      </c>
      <c r="I1057" t="inlineStr">
        <is>
          <t>Public payer</t>
        </is>
      </c>
      <c r="J1057" t="inlineStr">
        <is>
          <t>Zoya Ahmed</t>
        </is>
      </c>
      <c r="K1057" s="70" t="n">
        <v>2579</v>
      </c>
      <c r="L1057" s="71" t="n">
        <v>719.23</v>
      </c>
      <c r="M1057" s="71" t="n">
        <v>1854894.17</v>
      </c>
      <c r="N1057" s="71" t="n">
        <v>463723.54</v>
      </c>
      <c r="O1057" s="71" t="n">
        <v>1391170.63</v>
      </c>
      <c r="P1057" s="71" t="n">
        <v>192690.89</v>
      </c>
      <c r="Q1057" s="71" t="n">
        <v>1198479.74</v>
      </c>
      <c r="R1057" t="inlineStr">
        <is>
          <t>Cardiology</t>
        </is>
      </c>
      <c r="S1057" s="70" t="n">
        <v>2299</v>
      </c>
      <c r="T1057" s="71" t="n">
        <v>360277.74</v>
      </c>
      <c r="U1057" t="inlineStr">
        <is>
          <t>High</t>
        </is>
      </c>
      <c r="V1057">
        <f>IF(AND(OR(Dashboard!$C$6="All",E1057=Dashboard!$C$6),OR(Dashboard!$F$6="All",G1057=Dashboard!$F$6),OR(Dashboard!$I$6="All",H1057=Dashboard!$I$6)),1,0)</f>
        <v/>
      </c>
    </row>
    <row r="1058">
      <c r="A1058" t="inlineStr">
        <is>
          <t>PF101049</t>
        </is>
      </c>
      <c r="B1058" s="68" t="n">
        <v>45784</v>
      </c>
      <c r="C1058" s="69" t="n">
        <v>2025</v>
      </c>
      <c r="D1058" t="inlineStr">
        <is>
          <t>May</t>
        </is>
      </c>
      <c r="E1058" t="inlineStr">
        <is>
          <t>Emerging markets</t>
        </is>
      </c>
      <c r="F1058" t="inlineStr">
        <is>
          <t>China</t>
        </is>
      </c>
      <c r="G1058" t="inlineStr">
        <is>
          <t>Abrysvo</t>
        </is>
      </c>
      <c r="H1058" t="inlineStr">
        <is>
          <t>Retail pharmacy</t>
        </is>
      </c>
      <c r="I1058" t="inlineStr">
        <is>
          <t>Private insurer</t>
        </is>
      </c>
      <c r="J1058" t="inlineStr">
        <is>
          <t>Priya Nair</t>
        </is>
      </c>
      <c r="K1058" s="70" t="n">
        <v>1113</v>
      </c>
      <c r="L1058" s="71" t="n">
        <v>261.53</v>
      </c>
      <c r="M1058" s="71" t="n">
        <v>291082.89</v>
      </c>
      <c r="N1058" s="71" t="n">
        <v>14554.14</v>
      </c>
      <c r="O1058" s="71" t="n">
        <v>276528.75</v>
      </c>
      <c r="P1058" s="71" t="n">
        <v>91685</v>
      </c>
      <c r="Q1058" s="71" t="n">
        <v>184843.75</v>
      </c>
      <c r="R1058" t="inlineStr">
        <is>
          <t>Vaccines</t>
        </is>
      </c>
      <c r="S1058" s="70" t="n">
        <v>940</v>
      </c>
      <c r="T1058" s="71" t="n">
        <v>57146.97</v>
      </c>
      <c r="U1058" t="inlineStr">
        <is>
          <t>Low</t>
        </is>
      </c>
      <c r="V1058">
        <f>IF(AND(OR(Dashboard!$C$6="All",E1058=Dashboard!$C$6),OR(Dashboard!$F$6="All",G1058=Dashboard!$F$6),OR(Dashboard!$I$6="All",H1058=Dashboard!$I$6)),1,0)</f>
        <v/>
      </c>
    </row>
    <row r="1059">
      <c r="A1059" t="inlineStr">
        <is>
          <t>PF101050</t>
        </is>
      </c>
      <c r="B1059" s="68" t="n">
        <v>45784</v>
      </c>
      <c r="C1059" s="69" t="n">
        <v>2025</v>
      </c>
      <c r="D1059" t="inlineStr">
        <is>
          <t>May</t>
        </is>
      </c>
      <c r="E1059" t="inlineStr">
        <is>
          <t>Europe</t>
        </is>
      </c>
      <c r="F1059" t="inlineStr">
        <is>
          <t>Germany</t>
        </is>
      </c>
      <c r="G1059" t="inlineStr">
        <is>
          <t>Ibrance</t>
        </is>
      </c>
      <c r="H1059" t="inlineStr">
        <is>
          <t>Hospital</t>
        </is>
      </c>
      <c r="I1059" t="inlineStr">
        <is>
          <t>Public payer</t>
        </is>
      </c>
      <c r="J1059" t="inlineStr">
        <is>
          <t>Zoya Ahmed</t>
        </is>
      </c>
      <c r="K1059" s="70" t="n">
        <v>988</v>
      </c>
      <c r="L1059" s="71" t="n">
        <v>2927</v>
      </c>
      <c r="M1059" s="71" t="n">
        <v>2891876</v>
      </c>
      <c r="N1059" s="71" t="n">
        <v>578375.2</v>
      </c>
      <c r="O1059" s="71" t="n">
        <v>2313500.8</v>
      </c>
      <c r="P1059" s="71" t="n">
        <v>413265.78</v>
      </c>
      <c r="Q1059" s="71" t="n">
        <v>1900235.02</v>
      </c>
      <c r="R1059" t="inlineStr">
        <is>
          <t>Oncology</t>
        </is>
      </c>
      <c r="S1059" s="70" t="n">
        <v>858</v>
      </c>
      <c r="T1059" s="71" t="n">
        <v>603574.26</v>
      </c>
      <c r="U1059" t="inlineStr">
        <is>
          <t>High</t>
        </is>
      </c>
      <c r="V1059">
        <f>IF(AND(OR(Dashboard!$C$6="All",E1059=Dashboard!$C$6),OR(Dashboard!$F$6="All",G1059=Dashboard!$F$6),OR(Dashboard!$I$6="All",H1059=Dashboard!$I$6)),1,0)</f>
        <v/>
      </c>
    </row>
    <row r="1060">
      <c r="A1060" t="inlineStr">
        <is>
          <t>PF101051</t>
        </is>
      </c>
      <c r="B1060" s="68" t="n">
        <v>45785</v>
      </c>
      <c r="C1060" s="69" t="n">
        <v>2025</v>
      </c>
      <c r="D1060" t="inlineStr">
        <is>
          <t>May</t>
        </is>
      </c>
      <c r="E1060" t="inlineStr">
        <is>
          <t>United States</t>
        </is>
      </c>
      <c r="F1060" t="inlineStr">
        <is>
          <t>USA</t>
        </is>
      </c>
      <c r="G1060" t="inlineStr">
        <is>
          <t>Paxlovid</t>
        </is>
      </c>
      <c r="H1060" t="inlineStr">
        <is>
          <t>Retail pharmacy</t>
        </is>
      </c>
      <c r="I1060" t="inlineStr">
        <is>
          <t>Private insurer</t>
        </is>
      </c>
      <c r="J1060" t="inlineStr">
        <is>
          <t>Arjun Mehta</t>
        </is>
      </c>
      <c r="K1060" s="70" t="n">
        <v>1773</v>
      </c>
      <c r="L1060" s="71" t="n">
        <v>1595.9</v>
      </c>
      <c r="M1060" s="71" t="n">
        <v>2829530.7</v>
      </c>
      <c r="N1060" s="71" t="n">
        <v>565906.14</v>
      </c>
      <c r="O1060" s="71" t="n">
        <v>2263624.56</v>
      </c>
      <c r="P1060" s="71" t="n">
        <v>487714.25</v>
      </c>
      <c r="Q1060" s="71" t="n">
        <v>1775910.31</v>
      </c>
      <c r="R1060" t="inlineStr">
        <is>
          <t>Antiviral</t>
        </is>
      </c>
      <c r="S1060" s="70" t="n">
        <v>1444</v>
      </c>
      <c r="T1060" s="71" t="n">
        <v>391511.57</v>
      </c>
      <c r="U1060" t="inlineStr">
        <is>
          <t>Low</t>
        </is>
      </c>
      <c r="V1060">
        <f>IF(AND(OR(Dashboard!$C$6="All",E1060=Dashboard!$C$6),OR(Dashboard!$F$6="All",G1060=Dashboard!$F$6),OR(Dashboard!$I$6="All",H1060=Dashboard!$I$6)),1,0)</f>
        <v/>
      </c>
    </row>
    <row r="1061">
      <c r="A1061" t="inlineStr">
        <is>
          <t>PF101052</t>
        </is>
      </c>
      <c r="B1061" s="68" t="n">
        <v>45785</v>
      </c>
      <c r="C1061" s="69" t="n">
        <v>2025</v>
      </c>
      <c r="D1061" t="inlineStr">
        <is>
          <t>May</t>
        </is>
      </c>
      <c r="E1061" t="inlineStr">
        <is>
          <t>United States</t>
        </is>
      </c>
      <c r="F1061" t="inlineStr">
        <is>
          <t>USA</t>
        </is>
      </c>
      <c r="G1061" t="inlineStr">
        <is>
          <t>Prevnar 20</t>
        </is>
      </c>
      <c r="H1061" t="inlineStr">
        <is>
          <t>Hospital</t>
        </is>
      </c>
      <c r="I1061" t="inlineStr">
        <is>
          <t>Private insurer</t>
        </is>
      </c>
      <c r="J1061" t="inlineStr">
        <is>
          <t>Emma Clarke</t>
        </is>
      </c>
      <c r="K1061" s="70" t="n">
        <v>1747</v>
      </c>
      <c r="L1061" s="71" t="n">
        <v>340.1</v>
      </c>
      <c r="M1061" s="71" t="n">
        <v>594154.7</v>
      </c>
      <c r="N1061" s="71" t="n">
        <v>148538.67</v>
      </c>
      <c r="O1061" s="71" t="n">
        <v>445616.03</v>
      </c>
      <c r="P1061" s="71" t="n">
        <v>116246.28</v>
      </c>
      <c r="Q1061" s="71" t="n">
        <v>329369.75</v>
      </c>
      <c r="R1061" t="inlineStr">
        <is>
          <t>Vaccines</t>
        </is>
      </c>
      <c r="S1061" s="70" t="n">
        <v>1187</v>
      </c>
      <c r="T1061" s="71" t="n">
        <v>85648.64</v>
      </c>
      <c r="U1061" t="inlineStr">
        <is>
          <t>Low</t>
        </is>
      </c>
      <c r="V1061">
        <f>IF(AND(OR(Dashboard!$C$6="All",E1061=Dashboard!$C$6),OR(Dashboard!$F$6="All",G1061=Dashboard!$F$6),OR(Dashboard!$I$6="All",H1061=Dashboard!$I$6)),1,0)</f>
        <v/>
      </c>
    </row>
    <row r="1062">
      <c r="A1062" t="inlineStr">
        <is>
          <t>PF101053</t>
        </is>
      </c>
      <c r="B1062" s="68" t="n">
        <v>45785</v>
      </c>
      <c r="C1062" s="69" t="n">
        <v>2025</v>
      </c>
      <c r="D1062" t="inlineStr">
        <is>
          <t>May</t>
        </is>
      </c>
      <c r="E1062" t="inlineStr">
        <is>
          <t>United States</t>
        </is>
      </c>
      <c r="F1062" t="inlineStr">
        <is>
          <t>USA</t>
        </is>
      </c>
      <c r="G1062" t="inlineStr">
        <is>
          <t>Abrysvo</t>
        </is>
      </c>
      <c r="H1062" t="inlineStr">
        <is>
          <t>Hospital</t>
        </is>
      </c>
      <c r="I1062" t="inlineStr">
        <is>
          <t>Public payer</t>
        </is>
      </c>
      <c r="J1062" t="inlineStr">
        <is>
          <t>Zoya Ahmed</t>
        </is>
      </c>
      <c r="K1062" s="70" t="n">
        <v>1771</v>
      </c>
      <c r="L1062" s="71" t="n">
        <v>457.73</v>
      </c>
      <c r="M1062" s="71" t="n">
        <v>810639.83</v>
      </c>
      <c r="N1062" s="71" t="n">
        <v>283723.94</v>
      </c>
      <c r="O1062" s="71" t="n">
        <v>526915.89</v>
      </c>
      <c r="P1062" s="71" t="n">
        <v>148137.35</v>
      </c>
      <c r="Q1062" s="71" t="n">
        <v>378778.54</v>
      </c>
      <c r="R1062" t="inlineStr">
        <is>
          <t>Vaccines</t>
        </is>
      </c>
      <c r="S1062" s="70" t="n">
        <v>1596</v>
      </c>
      <c r="T1062" s="71" t="n">
        <v>145010.21</v>
      </c>
      <c r="U1062" t="inlineStr">
        <is>
          <t>Low</t>
        </is>
      </c>
      <c r="V1062">
        <f>IF(AND(OR(Dashboard!$C$6="All",E1062=Dashboard!$C$6),OR(Dashboard!$F$6="All",G1062=Dashboard!$F$6),OR(Dashboard!$I$6="All",H1062=Dashboard!$I$6)),1,0)</f>
        <v/>
      </c>
    </row>
    <row r="1063">
      <c r="A1063" t="inlineStr">
        <is>
          <t>PF101054</t>
        </is>
      </c>
      <c r="B1063" s="68" t="n">
        <v>45785</v>
      </c>
      <c r="C1063" s="69" t="n">
        <v>2025</v>
      </c>
      <c r="D1063" t="inlineStr">
        <is>
          <t>May</t>
        </is>
      </c>
      <c r="E1063" t="inlineStr">
        <is>
          <t>Europe</t>
        </is>
      </c>
      <c r="F1063" t="inlineStr">
        <is>
          <t>Germany</t>
        </is>
      </c>
      <c r="G1063" t="inlineStr">
        <is>
          <t>Prevnar 20</t>
        </is>
      </c>
      <c r="H1063" t="inlineStr">
        <is>
          <t>Government / tender</t>
        </is>
      </c>
      <c r="I1063" t="inlineStr">
        <is>
          <t>Public payer</t>
        </is>
      </c>
      <c r="J1063" t="inlineStr">
        <is>
          <t>Aisha Bello</t>
        </is>
      </c>
      <c r="K1063" s="70" t="n">
        <v>2810</v>
      </c>
      <c r="L1063" s="71" t="n">
        <v>213.36</v>
      </c>
      <c r="M1063" s="71" t="n">
        <v>599541.6</v>
      </c>
      <c r="N1063" s="71" t="n">
        <v>29977.08</v>
      </c>
      <c r="O1063" s="71" t="n">
        <v>569564.52</v>
      </c>
      <c r="P1063" s="71" t="n">
        <v>197170.85</v>
      </c>
      <c r="Q1063" s="71" t="n">
        <v>372393.67</v>
      </c>
      <c r="R1063" t="inlineStr">
        <is>
          <t>Vaccines</t>
        </is>
      </c>
      <c r="S1063" s="70" t="n">
        <v>2751</v>
      </c>
      <c r="T1063" s="71" t="n">
        <v>128345.84</v>
      </c>
      <c r="U1063" t="inlineStr">
        <is>
          <t>Low</t>
        </is>
      </c>
      <c r="V1063">
        <f>IF(AND(OR(Dashboard!$C$6="All",E1063=Dashboard!$C$6),OR(Dashboard!$F$6="All",G1063=Dashboard!$F$6),OR(Dashboard!$I$6="All",H1063=Dashboard!$I$6)),1,0)</f>
        <v/>
      </c>
    </row>
    <row r="1064">
      <c r="A1064" t="inlineStr">
        <is>
          <t>PF101055</t>
        </is>
      </c>
      <c r="B1064" s="68" t="n">
        <v>45785</v>
      </c>
      <c r="C1064" s="69" t="n">
        <v>2025</v>
      </c>
      <c r="D1064" t="inlineStr">
        <is>
          <t>May</t>
        </is>
      </c>
      <c r="E1064" t="inlineStr">
        <is>
          <t>Europe</t>
        </is>
      </c>
      <c r="F1064" t="inlineStr">
        <is>
          <t>Italy</t>
        </is>
      </c>
      <c r="G1064" t="inlineStr">
        <is>
          <t>Eliquis</t>
        </is>
      </c>
      <c r="H1064" t="inlineStr">
        <is>
          <t>Hospital</t>
        </is>
      </c>
      <c r="I1064" t="inlineStr">
        <is>
          <t>Public payer</t>
        </is>
      </c>
      <c r="J1064" t="inlineStr">
        <is>
          <t>Ravindra Patil</t>
        </is>
      </c>
      <c r="K1064" s="70" t="n">
        <v>292</v>
      </c>
      <c r="L1064" s="71" t="n">
        <v>461.33</v>
      </c>
      <c r="M1064" s="71" t="n">
        <v>134708.36</v>
      </c>
      <c r="N1064" s="71" t="n">
        <v>6735.42</v>
      </c>
      <c r="O1064" s="71" t="n">
        <v>127972.94</v>
      </c>
      <c r="P1064" s="71" t="n">
        <v>22569.64</v>
      </c>
      <c r="Q1064" s="71" t="n">
        <v>105403.3</v>
      </c>
      <c r="R1064" t="inlineStr">
        <is>
          <t>Cardiology</t>
        </is>
      </c>
      <c r="S1064" s="70" t="n">
        <v>188</v>
      </c>
      <c r="T1064" s="71" t="n">
        <v>17206.06</v>
      </c>
      <c r="U1064" t="inlineStr">
        <is>
          <t>High</t>
        </is>
      </c>
      <c r="V1064">
        <f>IF(AND(OR(Dashboard!$C$6="All",E1064=Dashboard!$C$6),OR(Dashboard!$F$6="All",G1064=Dashboard!$F$6),OR(Dashboard!$I$6="All",H1064=Dashboard!$I$6)),1,0)</f>
        <v/>
      </c>
    </row>
    <row r="1065">
      <c r="A1065" t="inlineStr">
        <is>
          <t>PF101056</t>
        </is>
      </c>
      <c r="B1065" s="68" t="n">
        <v>45785</v>
      </c>
      <c r="C1065" s="69" t="n">
        <v>2025</v>
      </c>
      <c r="D1065" t="inlineStr">
        <is>
          <t>May</t>
        </is>
      </c>
      <c r="E1065" t="inlineStr">
        <is>
          <t>Emerging markets</t>
        </is>
      </c>
      <c r="F1065" t="inlineStr">
        <is>
          <t>India</t>
        </is>
      </c>
      <c r="G1065" t="inlineStr">
        <is>
          <t>Comirnaty</t>
        </is>
      </c>
      <c r="H1065" t="inlineStr">
        <is>
          <t>Hospital</t>
        </is>
      </c>
      <c r="I1065" t="inlineStr">
        <is>
          <t>Self-pay</t>
        </is>
      </c>
      <c r="J1065" t="inlineStr">
        <is>
          <t>Priya Nair</t>
        </is>
      </c>
      <c r="K1065" s="70" t="n">
        <v>1015</v>
      </c>
      <c r="L1065" s="71" t="n">
        <v>101.27</v>
      </c>
      <c r="M1065" s="71" t="n">
        <v>102789.05</v>
      </c>
      <c r="N1065" s="71" t="n">
        <v>5139.45</v>
      </c>
      <c r="O1065" s="71" t="n">
        <v>97649.60000000001</v>
      </c>
      <c r="P1065" s="71" t="n">
        <v>38539.4</v>
      </c>
      <c r="Q1065" s="71" t="n">
        <v>59110.2</v>
      </c>
      <c r="R1065" t="inlineStr">
        <is>
          <t>Vaccines</t>
        </is>
      </c>
      <c r="S1065" s="70" t="n">
        <v>792</v>
      </c>
      <c r="T1065" s="71" t="n">
        <v>15319.43</v>
      </c>
      <c r="U1065" t="inlineStr">
        <is>
          <t>Low</t>
        </is>
      </c>
      <c r="V1065">
        <f>IF(AND(OR(Dashboard!$C$6="All",E1065=Dashboard!$C$6),OR(Dashboard!$F$6="All",G1065=Dashboard!$F$6),OR(Dashboard!$I$6="All",H1065=Dashboard!$I$6)),1,0)</f>
        <v/>
      </c>
    </row>
    <row r="1066">
      <c r="A1066" t="inlineStr">
        <is>
          <t>PF101057</t>
        </is>
      </c>
      <c r="B1066" s="68" t="n">
        <v>45785</v>
      </c>
      <c r="C1066" s="69" t="n">
        <v>2025</v>
      </c>
      <c r="D1066" t="inlineStr">
        <is>
          <t>May</t>
        </is>
      </c>
      <c r="E1066" t="inlineStr">
        <is>
          <t>Europe</t>
        </is>
      </c>
      <c r="F1066" t="inlineStr">
        <is>
          <t>UK</t>
        </is>
      </c>
      <c r="G1066" t="inlineStr">
        <is>
          <t>Comirnaty</t>
        </is>
      </c>
      <c r="H1066" t="inlineStr">
        <is>
          <t>Retail pharmacy</t>
        </is>
      </c>
      <c r="I1066" t="inlineStr">
        <is>
          <t>Private insurer</t>
        </is>
      </c>
      <c r="J1066" t="inlineStr">
        <is>
          <t>Fatima Al-Saud</t>
        </is>
      </c>
      <c r="K1066" s="70" t="n">
        <v>139</v>
      </c>
      <c r="L1066" s="71" t="n">
        <v>116.43</v>
      </c>
      <c r="M1066" s="71" t="n">
        <v>16183.77</v>
      </c>
      <c r="N1066" s="71" t="n">
        <v>3236.75</v>
      </c>
      <c r="O1066" s="71" t="n">
        <v>12947.02</v>
      </c>
      <c r="P1066" s="71" t="n">
        <v>5216.6</v>
      </c>
      <c r="Q1066" s="71" t="n">
        <v>7730.42</v>
      </c>
      <c r="R1066" t="inlineStr">
        <is>
          <t>Vaccines</t>
        </is>
      </c>
      <c r="S1066" s="70" t="n">
        <v>93</v>
      </c>
      <c r="T1066" s="71" t="n">
        <v>3203.46</v>
      </c>
      <c r="U1066" t="inlineStr">
        <is>
          <t>Low</t>
        </is>
      </c>
      <c r="V1066">
        <f>IF(AND(OR(Dashboard!$C$6="All",E1066=Dashboard!$C$6),OR(Dashboard!$F$6="All",G1066=Dashboard!$F$6),OR(Dashboard!$I$6="All",H1066=Dashboard!$I$6)),1,0)</f>
        <v/>
      </c>
    </row>
    <row r="1067">
      <c r="A1067" t="inlineStr">
        <is>
          <t>PF101058</t>
        </is>
      </c>
      <c r="B1067" s="68" t="n">
        <v>45785</v>
      </c>
      <c r="C1067" s="69" t="n">
        <v>2025</v>
      </c>
      <c r="D1067" t="inlineStr">
        <is>
          <t>May</t>
        </is>
      </c>
      <c r="E1067" t="inlineStr">
        <is>
          <t>United States</t>
        </is>
      </c>
      <c r="F1067" t="inlineStr">
        <is>
          <t>USA</t>
        </is>
      </c>
      <c r="G1067" t="inlineStr">
        <is>
          <t>Eliquis</t>
        </is>
      </c>
      <c r="H1067" t="inlineStr">
        <is>
          <t>Government / tender</t>
        </is>
      </c>
      <c r="I1067" t="inlineStr">
        <is>
          <t>Private insurer</t>
        </is>
      </c>
      <c r="J1067" t="inlineStr">
        <is>
          <t>Wei Chen</t>
        </is>
      </c>
      <c r="K1067" s="70" t="n">
        <v>1503</v>
      </c>
      <c r="L1067" s="71" t="n">
        <v>655.54</v>
      </c>
      <c r="M1067" s="71" t="n">
        <v>985276.62</v>
      </c>
      <c r="N1067" s="71" t="n">
        <v>197055.32</v>
      </c>
      <c r="O1067" s="71" t="n">
        <v>788221.3</v>
      </c>
      <c r="P1067" s="71" t="n">
        <v>109430.58</v>
      </c>
      <c r="Q1067" s="71" t="n">
        <v>678790.72</v>
      </c>
      <c r="R1067" t="inlineStr">
        <is>
          <t>Cardiology</t>
        </is>
      </c>
      <c r="S1067" s="70" t="n">
        <v>1026</v>
      </c>
      <c r="T1067" s="71" t="n">
        <v>140512.78</v>
      </c>
      <c r="U1067" t="inlineStr">
        <is>
          <t>High</t>
        </is>
      </c>
      <c r="V1067">
        <f>IF(AND(OR(Dashboard!$C$6="All",E1067=Dashboard!$C$6),OR(Dashboard!$F$6="All",G1067=Dashboard!$F$6),OR(Dashboard!$I$6="All",H1067=Dashboard!$I$6)),1,0)</f>
        <v/>
      </c>
    </row>
    <row r="1068">
      <c r="A1068" t="inlineStr">
        <is>
          <t>PF101059</t>
        </is>
      </c>
      <c r="B1068" s="68" t="n">
        <v>45785</v>
      </c>
      <c r="C1068" s="69" t="n">
        <v>2025</v>
      </c>
      <c r="D1068" t="inlineStr">
        <is>
          <t>May</t>
        </is>
      </c>
      <c r="E1068" t="inlineStr">
        <is>
          <t>United States</t>
        </is>
      </c>
      <c r="F1068" t="inlineStr">
        <is>
          <t>USA</t>
        </is>
      </c>
      <c r="G1068" t="inlineStr">
        <is>
          <t>Vyndaqel</t>
        </is>
      </c>
      <c r="H1068" t="inlineStr">
        <is>
          <t>Hospital</t>
        </is>
      </c>
      <c r="I1068" t="inlineStr">
        <is>
          <t>Private insurer</t>
        </is>
      </c>
      <c r="J1068" t="inlineStr">
        <is>
          <t>Ruhi Shaikh</t>
        </is>
      </c>
      <c r="K1068" s="70" t="n">
        <v>2802</v>
      </c>
      <c r="L1068" s="71" t="n">
        <v>8157.71</v>
      </c>
      <c r="M1068" s="71" t="n">
        <v>22857903.42</v>
      </c>
      <c r="N1068" s="71" t="n">
        <v>8000266.2</v>
      </c>
      <c r="O1068" s="71" t="n">
        <v>14857637.22</v>
      </c>
      <c r="P1068" s="71" t="n">
        <v>1738143.54</v>
      </c>
      <c r="Q1068" s="71" t="n">
        <v>13119493.68</v>
      </c>
      <c r="R1068" t="inlineStr">
        <is>
          <t>Rare disease</t>
        </is>
      </c>
      <c r="S1068" s="70" t="n">
        <v>2222</v>
      </c>
      <c r="T1068" s="71" t="n">
        <v>3425844.65</v>
      </c>
      <c r="U1068" t="inlineStr">
        <is>
          <t>Medium</t>
        </is>
      </c>
      <c r="V1068">
        <f>IF(AND(OR(Dashboard!$C$6="All",E1068=Dashboard!$C$6),OR(Dashboard!$F$6="All",G1068=Dashboard!$F$6),OR(Dashboard!$I$6="All",H1068=Dashboard!$I$6)),1,0)</f>
        <v/>
      </c>
    </row>
    <row r="1069">
      <c r="A1069" t="inlineStr">
        <is>
          <t>PF101060</t>
        </is>
      </c>
      <c r="B1069" s="68" t="n">
        <v>45785</v>
      </c>
      <c r="C1069" s="69" t="n">
        <v>2025</v>
      </c>
      <c r="D1069" t="inlineStr">
        <is>
          <t>May</t>
        </is>
      </c>
      <c r="E1069" t="inlineStr">
        <is>
          <t>United States</t>
        </is>
      </c>
      <c r="F1069" t="inlineStr">
        <is>
          <t>USA</t>
        </is>
      </c>
      <c r="G1069" t="inlineStr">
        <is>
          <t>Prevnar 20</t>
        </is>
      </c>
      <c r="H1069" t="inlineStr">
        <is>
          <t>Retail pharmacy</t>
        </is>
      </c>
      <c r="I1069" t="inlineStr">
        <is>
          <t>Private insurer</t>
        </is>
      </c>
      <c r="J1069" t="inlineStr">
        <is>
          <t>Zoya Ahmed</t>
        </is>
      </c>
      <c r="K1069" s="70" t="n">
        <v>2750</v>
      </c>
      <c r="L1069" s="71" t="n">
        <v>341.78</v>
      </c>
      <c r="M1069" s="71" t="n">
        <v>939895</v>
      </c>
      <c r="N1069" s="71" t="n">
        <v>234973.75</v>
      </c>
      <c r="O1069" s="71" t="n">
        <v>704921.25</v>
      </c>
      <c r="P1069" s="71" t="n">
        <v>183780.43</v>
      </c>
      <c r="Q1069" s="71" t="n">
        <v>521140.82</v>
      </c>
      <c r="R1069" t="inlineStr">
        <is>
          <t>Vaccines</t>
        </is>
      </c>
      <c r="S1069" s="70" t="n">
        <v>2165</v>
      </c>
      <c r="T1069" s="71" t="n">
        <v>171182.41</v>
      </c>
      <c r="U1069" t="inlineStr">
        <is>
          <t>Low</t>
        </is>
      </c>
      <c r="V1069">
        <f>IF(AND(OR(Dashboard!$C$6="All",E1069=Dashboard!$C$6),OR(Dashboard!$F$6="All",G1069=Dashboard!$F$6),OR(Dashboard!$I$6="All",H1069=Dashboard!$I$6)),1,0)</f>
        <v/>
      </c>
    </row>
    <row r="1070">
      <c r="A1070" t="inlineStr">
        <is>
          <t>PF101061</t>
        </is>
      </c>
      <c r="B1070" s="68" t="n">
        <v>45785</v>
      </c>
      <c r="C1070" s="69" t="n">
        <v>2025</v>
      </c>
      <c r="D1070" t="inlineStr">
        <is>
          <t>May</t>
        </is>
      </c>
      <c r="E1070" t="inlineStr">
        <is>
          <t>United States</t>
        </is>
      </c>
      <c r="F1070" t="inlineStr">
        <is>
          <t>USA</t>
        </is>
      </c>
      <c r="G1070" t="inlineStr">
        <is>
          <t>Ibrance</t>
        </is>
      </c>
      <c r="H1070" t="inlineStr">
        <is>
          <t>Hospital</t>
        </is>
      </c>
      <c r="I1070" t="inlineStr">
        <is>
          <t>Public payer</t>
        </is>
      </c>
      <c r="J1070" t="inlineStr">
        <is>
          <t>Omar Haddad</t>
        </is>
      </c>
      <c r="K1070" s="70" t="n">
        <v>2240</v>
      </c>
      <c r="L1070" s="71" t="n">
        <v>4850.77</v>
      </c>
      <c r="M1070" s="71" t="n">
        <v>10865724.8</v>
      </c>
      <c r="N1070" s="71" t="n">
        <v>2173144.96</v>
      </c>
      <c r="O1070" s="71" t="n">
        <v>8692579.84</v>
      </c>
      <c r="P1070" s="71" t="n">
        <v>974074.34</v>
      </c>
      <c r="Q1070" s="71" t="n">
        <v>7718505.5</v>
      </c>
      <c r="R1070" t="inlineStr">
        <is>
          <t>Oncology</t>
        </is>
      </c>
      <c r="S1070" s="70" t="n">
        <v>1960</v>
      </c>
      <c r="T1070" s="71" t="n">
        <v>2182307.62</v>
      </c>
      <c r="U1070" t="inlineStr">
        <is>
          <t>High</t>
        </is>
      </c>
      <c r="V1070">
        <f>IF(AND(OR(Dashboard!$C$6="All",E1070=Dashboard!$C$6),OR(Dashboard!$F$6="All",G1070=Dashboard!$F$6),OR(Dashboard!$I$6="All",H1070=Dashboard!$I$6)),1,0)</f>
        <v/>
      </c>
    </row>
    <row r="1071">
      <c r="A1071" t="inlineStr">
        <is>
          <t>PF101062</t>
        </is>
      </c>
      <c r="B1071" s="68" t="n">
        <v>45786</v>
      </c>
      <c r="C1071" s="69" t="n">
        <v>2025</v>
      </c>
      <c r="D1071" t="inlineStr">
        <is>
          <t>May</t>
        </is>
      </c>
      <c r="E1071" t="inlineStr">
        <is>
          <t>Europe</t>
        </is>
      </c>
      <c r="F1071" t="inlineStr">
        <is>
          <t>Germany</t>
        </is>
      </c>
      <c r="G1071" t="inlineStr">
        <is>
          <t>Eliquis</t>
        </is>
      </c>
      <c r="H1071" t="inlineStr">
        <is>
          <t>Hospital</t>
        </is>
      </c>
      <c r="I1071" t="inlineStr">
        <is>
          <t>Public payer</t>
        </is>
      </c>
      <c r="J1071" t="inlineStr">
        <is>
          <t>Carlos Silva</t>
        </is>
      </c>
      <c r="K1071" s="70" t="n">
        <v>1736</v>
      </c>
      <c r="L1071" s="71" t="n">
        <v>386.01</v>
      </c>
      <c r="M1071" s="71" t="n">
        <v>670113.36</v>
      </c>
      <c r="N1071" s="71" t="n">
        <v>134022.67</v>
      </c>
      <c r="O1071" s="71" t="n">
        <v>536090.6899999999</v>
      </c>
      <c r="P1071" s="71" t="n">
        <v>128433.39</v>
      </c>
      <c r="Q1071" s="71" t="n">
        <v>407657.3</v>
      </c>
      <c r="R1071" t="inlineStr">
        <is>
          <t>Cardiology</t>
        </is>
      </c>
      <c r="S1071" s="70" t="n">
        <v>1329</v>
      </c>
      <c r="T1071" s="71" t="n">
        <v>98283.02</v>
      </c>
      <c r="U1071" t="inlineStr">
        <is>
          <t>High</t>
        </is>
      </c>
      <c r="V1071">
        <f>IF(AND(OR(Dashboard!$C$6="All",E1071=Dashboard!$C$6),OR(Dashboard!$F$6="All",G1071=Dashboard!$F$6),OR(Dashboard!$I$6="All",H1071=Dashboard!$I$6)),1,0)</f>
        <v/>
      </c>
    </row>
    <row r="1072">
      <c r="A1072" t="inlineStr">
        <is>
          <t>PF101063</t>
        </is>
      </c>
      <c r="B1072" s="68" t="n">
        <v>45786</v>
      </c>
      <c r="C1072" s="69" t="n">
        <v>2025</v>
      </c>
      <c r="D1072" t="inlineStr">
        <is>
          <t>May</t>
        </is>
      </c>
      <c r="E1072" t="inlineStr">
        <is>
          <t>Europe</t>
        </is>
      </c>
      <c r="F1072" t="inlineStr">
        <is>
          <t>Italy</t>
        </is>
      </c>
      <c r="G1072" t="inlineStr">
        <is>
          <t>Prevnar 20</t>
        </is>
      </c>
      <c r="H1072" t="inlineStr">
        <is>
          <t>Hospital</t>
        </is>
      </c>
      <c r="I1072" t="inlineStr">
        <is>
          <t>Public payer</t>
        </is>
      </c>
      <c r="J1072" t="inlineStr">
        <is>
          <t>Ana Costa</t>
        </is>
      </c>
      <c r="K1072" s="70" t="n">
        <v>889</v>
      </c>
      <c r="L1072" s="71" t="n">
        <v>251.22</v>
      </c>
      <c r="M1072" s="71" t="n">
        <v>223334.58</v>
      </c>
      <c r="N1072" s="71" t="n">
        <v>55833.64</v>
      </c>
      <c r="O1072" s="71" t="n">
        <v>167500.94</v>
      </c>
      <c r="P1072" s="71" t="n">
        <v>63508.45</v>
      </c>
      <c r="Q1072" s="71" t="n">
        <v>103992.49</v>
      </c>
      <c r="R1072" t="inlineStr">
        <is>
          <t>Vaccines</t>
        </is>
      </c>
      <c r="S1072" s="70" t="n">
        <v>681</v>
      </c>
      <c r="T1072" s="71" t="n">
        <v>31939</v>
      </c>
      <c r="U1072" t="inlineStr">
        <is>
          <t>Low</t>
        </is>
      </c>
      <c r="V1072">
        <f>IF(AND(OR(Dashboard!$C$6="All",E1072=Dashboard!$C$6),OR(Dashboard!$F$6="All",G1072=Dashboard!$F$6),OR(Dashboard!$I$6="All",H1072=Dashboard!$I$6)),1,0)</f>
        <v/>
      </c>
    </row>
    <row r="1073">
      <c r="A1073" t="inlineStr">
        <is>
          <t>PF101064</t>
        </is>
      </c>
      <c r="B1073" s="68" t="n">
        <v>45786</v>
      </c>
      <c r="C1073" s="69" t="n">
        <v>2025</v>
      </c>
      <c r="D1073" t="inlineStr">
        <is>
          <t>May</t>
        </is>
      </c>
      <c r="E1073" t="inlineStr">
        <is>
          <t>United States</t>
        </is>
      </c>
      <c r="F1073" t="inlineStr">
        <is>
          <t>USA</t>
        </is>
      </c>
      <c r="G1073" t="inlineStr">
        <is>
          <t>Eliquis</t>
        </is>
      </c>
      <c r="H1073" t="inlineStr">
        <is>
          <t>Retail pharmacy</t>
        </is>
      </c>
      <c r="I1073" t="inlineStr">
        <is>
          <t>Public payer</t>
        </is>
      </c>
      <c r="J1073" t="inlineStr">
        <is>
          <t>Amir Khan</t>
        </is>
      </c>
      <c r="K1073" s="70" t="n">
        <v>1370</v>
      </c>
      <c r="L1073" s="71" t="n">
        <v>630.99</v>
      </c>
      <c r="M1073" s="71" t="n">
        <v>864456.3</v>
      </c>
      <c r="N1073" s="71" t="n">
        <v>172891.26</v>
      </c>
      <c r="O1073" s="71" t="n">
        <v>691565.04</v>
      </c>
      <c r="P1073" s="71" t="n">
        <v>107092.75</v>
      </c>
      <c r="Q1073" s="71" t="n">
        <v>584472.29</v>
      </c>
      <c r="R1073" t="inlineStr">
        <is>
          <t>Cardiology</t>
        </is>
      </c>
      <c r="S1073" s="70" t="n">
        <v>1196</v>
      </c>
      <c r="T1073" s="71" t="n">
        <v>166390.2</v>
      </c>
      <c r="U1073" t="inlineStr">
        <is>
          <t>High</t>
        </is>
      </c>
      <c r="V1073">
        <f>IF(AND(OR(Dashboard!$C$6="All",E1073=Dashboard!$C$6),OR(Dashboard!$F$6="All",G1073=Dashboard!$F$6),OR(Dashboard!$I$6="All",H1073=Dashboard!$I$6)),1,0)</f>
        <v/>
      </c>
    </row>
    <row r="1074">
      <c r="A1074" t="inlineStr">
        <is>
          <t>PF101065</t>
        </is>
      </c>
      <c r="B1074" s="68" t="n">
        <v>45786</v>
      </c>
      <c r="C1074" s="69" t="n">
        <v>2025</v>
      </c>
      <c r="D1074" t="inlineStr">
        <is>
          <t>May</t>
        </is>
      </c>
      <c r="E1074" t="inlineStr">
        <is>
          <t>Europe</t>
        </is>
      </c>
      <c r="F1074" t="inlineStr">
        <is>
          <t>Italy</t>
        </is>
      </c>
      <c r="G1074" t="inlineStr">
        <is>
          <t>Eliquis</t>
        </is>
      </c>
      <c r="H1074" t="inlineStr">
        <is>
          <t>Retail pharmacy</t>
        </is>
      </c>
      <c r="I1074" t="inlineStr">
        <is>
          <t>Private insurer</t>
        </is>
      </c>
      <c r="J1074" t="inlineStr">
        <is>
          <t>Hiroshi Tanaka</t>
        </is>
      </c>
      <c r="K1074" s="70" t="n">
        <v>2226</v>
      </c>
      <c r="L1074" s="71" t="n">
        <v>397.98</v>
      </c>
      <c r="M1074" s="71" t="n">
        <v>885903.48</v>
      </c>
      <c r="N1074" s="71" t="n">
        <v>221475.87</v>
      </c>
      <c r="O1074" s="71" t="n">
        <v>664427.61</v>
      </c>
      <c r="P1074" s="71" t="n">
        <v>162826.41</v>
      </c>
      <c r="Q1074" s="71" t="n">
        <v>501601.2</v>
      </c>
      <c r="R1074" t="inlineStr">
        <is>
          <t>Cardiology</t>
        </is>
      </c>
      <c r="S1074" s="70" t="n">
        <v>1810</v>
      </c>
      <c r="T1074" s="71" t="n">
        <v>194574.3</v>
      </c>
      <c r="U1074" t="inlineStr">
        <is>
          <t>High</t>
        </is>
      </c>
      <c r="V1074">
        <f>IF(AND(OR(Dashboard!$C$6="All",E1074=Dashboard!$C$6),OR(Dashboard!$F$6="All",G1074=Dashboard!$F$6),OR(Dashboard!$I$6="All",H1074=Dashboard!$I$6)),1,0)</f>
        <v/>
      </c>
    </row>
    <row r="1075">
      <c r="A1075" t="inlineStr">
        <is>
          <t>PF101066</t>
        </is>
      </c>
      <c r="B1075" s="68" t="n">
        <v>45786</v>
      </c>
      <c r="C1075" s="69" t="n">
        <v>2025</v>
      </c>
      <c r="D1075" t="inlineStr">
        <is>
          <t>May</t>
        </is>
      </c>
      <c r="E1075" t="inlineStr">
        <is>
          <t>Emerging markets</t>
        </is>
      </c>
      <c r="F1075" t="inlineStr">
        <is>
          <t>India</t>
        </is>
      </c>
      <c r="G1075" t="inlineStr">
        <is>
          <t>Paxlovid</t>
        </is>
      </c>
      <c r="H1075" t="inlineStr">
        <is>
          <t>Retail pharmacy</t>
        </is>
      </c>
      <c r="I1075" t="inlineStr">
        <is>
          <t>Public payer</t>
        </is>
      </c>
      <c r="J1075" t="inlineStr">
        <is>
          <t>Yuki Sato</t>
        </is>
      </c>
      <c r="K1075" s="70" t="n">
        <v>2585</v>
      </c>
      <c r="L1075" s="71" t="n">
        <v>1121.35</v>
      </c>
      <c r="M1075" s="71" t="n">
        <v>2898689.75</v>
      </c>
      <c r="N1075" s="71" t="n">
        <v>144934.49</v>
      </c>
      <c r="O1075" s="71" t="n">
        <v>2753755.26</v>
      </c>
      <c r="P1075" s="71" t="n">
        <v>712863.3100000001</v>
      </c>
      <c r="Q1075" s="71" t="n">
        <v>2040891.95</v>
      </c>
      <c r="R1075" t="inlineStr">
        <is>
          <t>Antiviral</t>
        </is>
      </c>
      <c r="S1075" s="70" t="n">
        <v>1934</v>
      </c>
      <c r="T1075" s="71" t="n">
        <v>422998.84</v>
      </c>
      <c r="U1075" t="inlineStr">
        <is>
          <t>Low</t>
        </is>
      </c>
      <c r="V1075">
        <f>IF(AND(OR(Dashboard!$C$6="All",E1075=Dashboard!$C$6),OR(Dashboard!$F$6="All",G1075=Dashboard!$F$6),OR(Dashboard!$I$6="All",H1075=Dashboard!$I$6)),1,0)</f>
        <v/>
      </c>
    </row>
    <row r="1076">
      <c r="A1076" t="inlineStr">
        <is>
          <t>PF101067</t>
        </is>
      </c>
      <c r="B1076" s="68" t="n">
        <v>45786</v>
      </c>
      <c r="C1076" s="69" t="n">
        <v>2025</v>
      </c>
      <c r="D1076" t="inlineStr">
        <is>
          <t>May</t>
        </is>
      </c>
      <c r="E1076" t="inlineStr">
        <is>
          <t>United States</t>
        </is>
      </c>
      <c r="F1076" t="inlineStr">
        <is>
          <t>USA</t>
        </is>
      </c>
      <c r="G1076" t="inlineStr">
        <is>
          <t>Eliquis</t>
        </is>
      </c>
      <c r="H1076" t="inlineStr">
        <is>
          <t>Retail pharmacy</t>
        </is>
      </c>
      <c r="I1076" t="inlineStr">
        <is>
          <t>Private insurer</t>
        </is>
      </c>
      <c r="J1076" t="inlineStr">
        <is>
          <t>Carlos Silva</t>
        </is>
      </c>
      <c r="K1076" s="70" t="n">
        <v>1172</v>
      </c>
      <c r="L1076" s="71" t="n">
        <v>641.6</v>
      </c>
      <c r="M1076" s="71" t="n">
        <v>751955.2</v>
      </c>
      <c r="N1076" s="71" t="n">
        <v>150391.04</v>
      </c>
      <c r="O1076" s="71" t="n">
        <v>601564.16</v>
      </c>
      <c r="P1076" s="71" t="n">
        <v>87098.35000000001</v>
      </c>
      <c r="Q1076" s="71" t="n">
        <v>514465.81</v>
      </c>
      <c r="R1076" t="inlineStr">
        <is>
          <t>Cardiology</t>
        </is>
      </c>
      <c r="S1076" s="70" t="n">
        <v>966</v>
      </c>
      <c r="T1076" s="71" t="n">
        <v>134497.47</v>
      </c>
      <c r="U1076" t="inlineStr">
        <is>
          <t>High</t>
        </is>
      </c>
      <c r="V1076">
        <f>IF(AND(OR(Dashboard!$C$6="All",E1076=Dashboard!$C$6),OR(Dashboard!$F$6="All",G1076=Dashboard!$F$6),OR(Dashboard!$I$6="All",H1076=Dashboard!$I$6)),1,0)</f>
        <v/>
      </c>
    </row>
    <row r="1077">
      <c r="A1077" t="inlineStr">
        <is>
          <t>PF101068</t>
        </is>
      </c>
      <c r="B1077" s="68" t="n">
        <v>45786</v>
      </c>
      <c r="C1077" s="69" t="n">
        <v>2025</v>
      </c>
      <c r="D1077" t="inlineStr">
        <is>
          <t>May</t>
        </is>
      </c>
      <c r="E1077" t="inlineStr">
        <is>
          <t>Emerging markets</t>
        </is>
      </c>
      <c r="F1077" t="inlineStr">
        <is>
          <t>Mexico</t>
        </is>
      </c>
      <c r="G1077" t="inlineStr">
        <is>
          <t>Abrysvo</t>
        </is>
      </c>
      <c r="H1077" t="inlineStr">
        <is>
          <t>Government / tender</t>
        </is>
      </c>
      <c r="I1077" t="inlineStr">
        <is>
          <t>Private insurer</t>
        </is>
      </c>
      <c r="J1077" t="inlineStr">
        <is>
          <t>Fatima Al-Saud</t>
        </is>
      </c>
      <c r="K1077" s="70" t="n">
        <v>1777</v>
      </c>
      <c r="L1077" s="71" t="n">
        <v>268.78</v>
      </c>
      <c r="M1077" s="71" t="n">
        <v>477622.06</v>
      </c>
      <c r="N1077" s="71" t="n">
        <v>71643.31</v>
      </c>
      <c r="O1077" s="71" t="n">
        <v>405978.75</v>
      </c>
      <c r="P1077" s="71" t="n">
        <v>148212.47</v>
      </c>
      <c r="Q1077" s="71" t="n">
        <v>257766.28</v>
      </c>
      <c r="R1077" t="inlineStr">
        <is>
          <t>Vaccines</t>
        </is>
      </c>
      <c r="S1077" s="70" t="n">
        <v>1568</v>
      </c>
      <c r="T1077" s="71" t="n">
        <v>75489.12</v>
      </c>
      <c r="U1077" t="inlineStr">
        <is>
          <t>Low</t>
        </is>
      </c>
      <c r="V1077">
        <f>IF(AND(OR(Dashboard!$C$6="All",E1077=Dashboard!$C$6),OR(Dashboard!$F$6="All",G1077=Dashboard!$F$6),OR(Dashboard!$I$6="All",H1077=Dashboard!$I$6)),1,0)</f>
        <v/>
      </c>
    </row>
    <row r="1078">
      <c r="A1078" t="inlineStr">
        <is>
          <t>PF101069</t>
        </is>
      </c>
      <c r="B1078" s="68" t="n">
        <v>45786</v>
      </c>
      <c r="C1078" s="69" t="n">
        <v>2025</v>
      </c>
      <c r="D1078" t="inlineStr">
        <is>
          <t>May</t>
        </is>
      </c>
      <c r="E1078" t="inlineStr">
        <is>
          <t>Emerging markets</t>
        </is>
      </c>
      <c r="F1078" t="inlineStr">
        <is>
          <t>Brazil</t>
        </is>
      </c>
      <c r="G1078" t="inlineStr">
        <is>
          <t>Prevnar 20</t>
        </is>
      </c>
      <c r="H1078" t="inlineStr">
        <is>
          <t>Hospital</t>
        </is>
      </c>
      <c r="I1078" t="inlineStr">
        <is>
          <t>Private insurer</t>
        </is>
      </c>
      <c r="J1078" t="inlineStr">
        <is>
          <t>Sara Rossi</t>
        </is>
      </c>
      <c r="K1078" s="70" t="n">
        <v>2123</v>
      </c>
      <c r="L1078" s="71" t="n">
        <v>229.77</v>
      </c>
      <c r="M1078" s="71" t="n">
        <v>487801.71</v>
      </c>
      <c r="N1078" s="71" t="n">
        <v>24390.09</v>
      </c>
      <c r="O1078" s="71" t="n">
        <v>463411.62</v>
      </c>
      <c r="P1078" s="71" t="n">
        <v>141834.57</v>
      </c>
      <c r="Q1078" s="71" t="n">
        <v>321577.05</v>
      </c>
      <c r="R1078" t="inlineStr">
        <is>
          <t>Vaccines</t>
        </is>
      </c>
      <c r="S1078" s="70" t="n">
        <v>1779</v>
      </c>
      <c r="T1078" s="71" t="n">
        <v>101907.26</v>
      </c>
      <c r="U1078" t="inlineStr">
        <is>
          <t>Low</t>
        </is>
      </c>
      <c r="V1078">
        <f>IF(AND(OR(Dashboard!$C$6="All",E1078=Dashboard!$C$6),OR(Dashboard!$F$6="All",G1078=Dashboard!$F$6),OR(Dashboard!$I$6="All",H1078=Dashboard!$I$6)),1,0)</f>
        <v/>
      </c>
    </row>
    <row r="1079">
      <c r="A1079" t="inlineStr">
        <is>
          <t>PF101070</t>
        </is>
      </c>
      <c r="B1079" s="68" t="n">
        <v>45787</v>
      </c>
      <c r="C1079" s="69" t="n">
        <v>2025</v>
      </c>
      <c r="D1079" t="inlineStr">
        <is>
          <t>May</t>
        </is>
      </c>
      <c r="E1079" t="inlineStr">
        <is>
          <t>United States</t>
        </is>
      </c>
      <c r="F1079" t="inlineStr">
        <is>
          <t>USA</t>
        </is>
      </c>
      <c r="G1079" t="inlineStr">
        <is>
          <t>Xeljanz</t>
        </is>
      </c>
      <c r="H1079" t="inlineStr">
        <is>
          <t>Retail pharmacy</t>
        </is>
      </c>
      <c r="I1079" t="inlineStr">
        <is>
          <t>Public payer</t>
        </is>
      </c>
      <c r="J1079" t="inlineStr">
        <is>
          <t>Sophie Müller</t>
        </is>
      </c>
      <c r="K1079" s="70" t="n">
        <v>886</v>
      </c>
      <c r="L1079" s="71" t="n">
        <v>2087.7</v>
      </c>
      <c r="M1079" s="71" t="n">
        <v>1849702.2</v>
      </c>
      <c r="N1079" s="71" t="n">
        <v>647395.77</v>
      </c>
      <c r="O1079" s="71" t="n">
        <v>1202306.43</v>
      </c>
      <c r="P1079" s="71" t="n">
        <v>221225.51</v>
      </c>
      <c r="Q1079" s="71" t="n">
        <v>981080.92</v>
      </c>
      <c r="R1079" t="inlineStr">
        <is>
          <t>Inflammation</t>
        </is>
      </c>
      <c r="S1079" s="70" t="n">
        <v>635</v>
      </c>
      <c r="T1079" s="71" t="n">
        <v>342958.32</v>
      </c>
      <c r="U1079" t="inlineStr">
        <is>
          <t>High</t>
        </is>
      </c>
      <c r="V1079">
        <f>IF(AND(OR(Dashboard!$C$6="All",E1079=Dashboard!$C$6),OR(Dashboard!$F$6="All",G1079=Dashboard!$F$6),OR(Dashboard!$I$6="All",H1079=Dashboard!$I$6)),1,0)</f>
        <v/>
      </c>
    </row>
    <row r="1080">
      <c r="A1080" t="inlineStr">
        <is>
          <t>PF101071</t>
        </is>
      </c>
      <c r="B1080" s="68" t="n">
        <v>45787</v>
      </c>
      <c r="C1080" s="69" t="n">
        <v>2025</v>
      </c>
      <c r="D1080" t="inlineStr">
        <is>
          <t>May</t>
        </is>
      </c>
      <c r="E1080" t="inlineStr">
        <is>
          <t>International developed</t>
        </is>
      </c>
      <c r="F1080" t="inlineStr">
        <is>
          <t>Australia</t>
        </is>
      </c>
      <c r="G1080" t="inlineStr">
        <is>
          <t>Prevnar 20</t>
        </is>
      </c>
      <c r="H1080" t="inlineStr">
        <is>
          <t>Government / tender</t>
        </is>
      </c>
      <c r="I1080" t="inlineStr">
        <is>
          <t>Public payer</t>
        </is>
      </c>
      <c r="J1080" t="inlineStr">
        <is>
          <t>Lucas Martin</t>
        </is>
      </c>
      <c r="K1080" s="70" t="n">
        <v>252</v>
      </c>
      <c r="L1080" s="71" t="n">
        <v>246.51</v>
      </c>
      <c r="M1080" s="71" t="n">
        <v>62120.52</v>
      </c>
      <c r="N1080" s="71" t="n">
        <v>15530.13</v>
      </c>
      <c r="O1080" s="71" t="n">
        <v>46590.39</v>
      </c>
      <c r="P1080" s="71" t="n">
        <v>17616.69</v>
      </c>
      <c r="Q1080" s="71" t="n">
        <v>28973.7</v>
      </c>
      <c r="R1080" t="inlineStr">
        <is>
          <t>Vaccines</t>
        </is>
      </c>
      <c r="S1080" s="70" t="n">
        <v>174</v>
      </c>
      <c r="T1080" s="71" t="n">
        <v>12182.14</v>
      </c>
      <c r="U1080" t="inlineStr">
        <is>
          <t>Low</t>
        </is>
      </c>
      <c r="V1080">
        <f>IF(AND(OR(Dashboard!$C$6="All",E1080=Dashboard!$C$6),OR(Dashboard!$F$6="All",G1080=Dashboard!$F$6),OR(Dashboard!$I$6="All",H1080=Dashboard!$I$6)),1,0)</f>
        <v/>
      </c>
    </row>
    <row r="1081">
      <c r="A1081" t="inlineStr">
        <is>
          <t>PF101072</t>
        </is>
      </c>
      <c r="B1081" s="68" t="n">
        <v>45787</v>
      </c>
      <c r="C1081" s="69" t="n">
        <v>2025</v>
      </c>
      <c r="D1081" t="inlineStr">
        <is>
          <t>May</t>
        </is>
      </c>
      <c r="E1081" t="inlineStr">
        <is>
          <t>United States</t>
        </is>
      </c>
      <c r="F1081" t="inlineStr">
        <is>
          <t>USA</t>
        </is>
      </c>
      <c r="G1081" t="inlineStr">
        <is>
          <t>Ibrance</t>
        </is>
      </c>
      <c r="H1081" t="inlineStr">
        <is>
          <t>Government / tender</t>
        </is>
      </c>
      <c r="I1081" t="inlineStr">
        <is>
          <t>Public payer</t>
        </is>
      </c>
      <c r="J1081" t="inlineStr">
        <is>
          <t>Ruhi Shaikh</t>
        </is>
      </c>
      <c r="K1081" s="70" t="n">
        <v>2277</v>
      </c>
      <c r="L1081" s="71" t="n">
        <v>4423.79</v>
      </c>
      <c r="M1081" s="71" t="n">
        <v>10072969.83</v>
      </c>
      <c r="N1081" s="71" t="n">
        <v>3021890.95</v>
      </c>
      <c r="O1081" s="71" t="n">
        <v>7051078.88</v>
      </c>
      <c r="P1081" s="71" t="n">
        <v>955299.02</v>
      </c>
      <c r="Q1081" s="71" t="n">
        <v>6095779.86</v>
      </c>
      <c r="R1081" t="inlineStr">
        <is>
          <t>Oncology</t>
        </is>
      </c>
      <c r="S1081" s="70" t="n">
        <v>1593</v>
      </c>
      <c r="T1081" s="71" t="n">
        <v>1714554.82</v>
      </c>
      <c r="U1081" t="inlineStr">
        <is>
          <t>High</t>
        </is>
      </c>
      <c r="V1081">
        <f>IF(AND(OR(Dashboard!$C$6="All",E1081=Dashboard!$C$6),OR(Dashboard!$F$6="All",G1081=Dashboard!$F$6),OR(Dashboard!$I$6="All",H1081=Dashboard!$I$6)),1,0)</f>
        <v/>
      </c>
    </row>
    <row r="1082">
      <c r="A1082" t="inlineStr">
        <is>
          <t>PF101073</t>
        </is>
      </c>
      <c r="B1082" s="68" t="n">
        <v>45787</v>
      </c>
      <c r="C1082" s="69" t="n">
        <v>2025</v>
      </c>
      <c r="D1082" t="inlineStr">
        <is>
          <t>May</t>
        </is>
      </c>
      <c r="E1082" t="inlineStr">
        <is>
          <t>United States</t>
        </is>
      </c>
      <c r="F1082" t="inlineStr">
        <is>
          <t>USA</t>
        </is>
      </c>
      <c r="G1082" t="inlineStr">
        <is>
          <t>Prevnar 20</t>
        </is>
      </c>
      <c r="H1082" t="inlineStr">
        <is>
          <t>Government / tender</t>
        </is>
      </c>
      <c r="I1082" t="inlineStr">
        <is>
          <t>Public payer</t>
        </is>
      </c>
      <c r="J1082" t="inlineStr">
        <is>
          <t>Fatima Al-Saud</t>
        </is>
      </c>
      <c r="K1082" s="70" t="n">
        <v>795</v>
      </c>
      <c r="L1082" s="71" t="n">
        <v>348.5</v>
      </c>
      <c r="M1082" s="71" t="n">
        <v>277057.5</v>
      </c>
      <c r="N1082" s="71" t="n">
        <v>83117.25</v>
      </c>
      <c r="O1082" s="71" t="n">
        <v>193940.25</v>
      </c>
      <c r="P1082" s="71" t="n">
        <v>53200.42</v>
      </c>
      <c r="Q1082" s="71" t="n">
        <v>140739.83</v>
      </c>
      <c r="R1082" t="inlineStr">
        <is>
          <t>Vaccines</t>
        </is>
      </c>
      <c r="S1082" s="70" t="n">
        <v>534</v>
      </c>
      <c r="T1082" s="71" t="n">
        <v>38519.32</v>
      </c>
      <c r="U1082" t="inlineStr">
        <is>
          <t>Low</t>
        </is>
      </c>
      <c r="V1082">
        <f>IF(AND(OR(Dashboard!$C$6="All",E1082=Dashboard!$C$6),OR(Dashboard!$F$6="All",G1082=Dashboard!$F$6),OR(Dashboard!$I$6="All",H1082=Dashboard!$I$6)),1,0)</f>
        <v/>
      </c>
    </row>
    <row r="1083">
      <c r="A1083" t="inlineStr">
        <is>
          <t>PF101074</t>
        </is>
      </c>
      <c r="B1083" s="68" t="n">
        <v>45787</v>
      </c>
      <c r="C1083" s="69" t="n">
        <v>2025</v>
      </c>
      <c r="D1083" t="inlineStr">
        <is>
          <t>May</t>
        </is>
      </c>
      <c r="E1083" t="inlineStr">
        <is>
          <t>International developed</t>
        </is>
      </c>
      <c r="F1083" t="inlineStr">
        <is>
          <t>Japan</t>
        </is>
      </c>
      <c r="G1083" t="inlineStr">
        <is>
          <t>Comirnaty</t>
        </is>
      </c>
      <c r="H1083" t="inlineStr">
        <is>
          <t>Government / tender</t>
        </is>
      </c>
      <c r="I1083" t="inlineStr">
        <is>
          <t>Private insurer</t>
        </is>
      </c>
      <c r="J1083" t="inlineStr">
        <is>
          <t>Sara Rossi</t>
        </is>
      </c>
      <c r="K1083" s="70" t="n">
        <v>149</v>
      </c>
      <c r="L1083" s="71" t="n">
        <v>115.05</v>
      </c>
      <c r="M1083" s="71" t="n">
        <v>17142.45</v>
      </c>
      <c r="N1083" s="71" t="n">
        <v>857.12</v>
      </c>
      <c r="O1083" s="71" t="n">
        <v>16285.33</v>
      </c>
      <c r="P1083" s="71" t="n">
        <v>5849.38</v>
      </c>
      <c r="Q1083" s="71" t="n">
        <v>10435.95</v>
      </c>
      <c r="R1083" t="inlineStr">
        <is>
          <t>Vaccines</t>
        </is>
      </c>
      <c r="S1083" s="70" t="n">
        <v>95</v>
      </c>
      <c r="T1083" s="71" t="n">
        <v>3563.66</v>
      </c>
      <c r="U1083" t="inlineStr">
        <is>
          <t>Low</t>
        </is>
      </c>
      <c r="V1083">
        <f>IF(AND(OR(Dashboard!$C$6="All",E1083=Dashboard!$C$6),OR(Dashboard!$F$6="All",G1083=Dashboard!$F$6),OR(Dashboard!$I$6="All",H1083=Dashboard!$I$6)),1,0)</f>
        <v/>
      </c>
    </row>
    <row r="1084">
      <c r="A1084" t="inlineStr">
        <is>
          <t>PF101075</t>
        </is>
      </c>
      <c r="B1084" s="68" t="n">
        <v>45787</v>
      </c>
      <c r="C1084" s="69" t="n">
        <v>2025</v>
      </c>
      <c r="D1084" t="inlineStr">
        <is>
          <t>May</t>
        </is>
      </c>
      <c r="E1084" t="inlineStr">
        <is>
          <t>International developed</t>
        </is>
      </c>
      <c r="F1084" t="inlineStr">
        <is>
          <t>Japan</t>
        </is>
      </c>
      <c r="G1084" t="inlineStr">
        <is>
          <t>Eliquis</t>
        </is>
      </c>
      <c r="H1084" t="inlineStr">
        <is>
          <t>Hospital</t>
        </is>
      </c>
      <c r="I1084" t="inlineStr">
        <is>
          <t>Public payer</t>
        </is>
      </c>
      <c r="J1084" t="inlineStr">
        <is>
          <t>Omar Haddad</t>
        </is>
      </c>
      <c r="K1084" s="70" t="n">
        <v>2891</v>
      </c>
      <c r="L1084" s="71" t="n">
        <v>419.21</v>
      </c>
      <c r="M1084" s="71" t="n">
        <v>1211936.11</v>
      </c>
      <c r="N1084" s="71" t="n">
        <v>242387.22</v>
      </c>
      <c r="O1084" s="71" t="n">
        <v>969548.89</v>
      </c>
      <c r="P1084" s="71" t="n">
        <v>224365.23</v>
      </c>
      <c r="Q1084" s="71" t="n">
        <v>745183.66</v>
      </c>
      <c r="R1084" t="inlineStr">
        <is>
          <t>Cardiology</t>
        </is>
      </c>
      <c r="S1084" s="70" t="n">
        <v>1947</v>
      </c>
      <c r="T1084" s="71" t="n">
        <v>175643.16</v>
      </c>
      <c r="U1084" t="inlineStr">
        <is>
          <t>High</t>
        </is>
      </c>
      <c r="V1084">
        <f>IF(AND(OR(Dashboard!$C$6="All",E1084=Dashboard!$C$6),OR(Dashboard!$F$6="All",G1084=Dashboard!$F$6),OR(Dashboard!$I$6="All",H1084=Dashboard!$I$6)),1,0)</f>
        <v/>
      </c>
    </row>
    <row r="1085">
      <c r="A1085" t="inlineStr">
        <is>
          <t>PF101076</t>
        </is>
      </c>
      <c r="B1085" s="68" t="n">
        <v>45787</v>
      </c>
      <c r="C1085" s="69" t="n">
        <v>2025</v>
      </c>
      <c r="D1085" t="inlineStr">
        <is>
          <t>May</t>
        </is>
      </c>
      <c r="E1085" t="inlineStr">
        <is>
          <t>Emerging markets</t>
        </is>
      </c>
      <c r="F1085" t="inlineStr">
        <is>
          <t>Mexico</t>
        </is>
      </c>
      <c r="G1085" t="inlineStr">
        <is>
          <t>Prevnar 20</t>
        </is>
      </c>
      <c r="H1085" t="inlineStr">
        <is>
          <t>Hospital</t>
        </is>
      </c>
      <c r="I1085" t="inlineStr">
        <is>
          <t>Private insurer</t>
        </is>
      </c>
      <c r="J1085" t="inlineStr">
        <is>
          <t>Ruhi Shaikh</t>
        </is>
      </c>
      <c r="K1085" s="70" t="n">
        <v>571</v>
      </c>
      <c r="L1085" s="71" t="n">
        <v>216.14</v>
      </c>
      <c r="M1085" s="71" t="n">
        <v>123415.94</v>
      </c>
      <c r="N1085" s="71" t="n">
        <v>30853.99</v>
      </c>
      <c r="O1085" s="71" t="n">
        <v>92561.95</v>
      </c>
      <c r="P1085" s="71" t="n">
        <v>37942.01</v>
      </c>
      <c r="Q1085" s="71" t="n">
        <v>54619.94</v>
      </c>
      <c r="R1085" t="inlineStr">
        <is>
          <t>Vaccines</t>
        </is>
      </c>
      <c r="S1085" s="70" t="n">
        <v>559</v>
      </c>
      <c r="T1085" s="71" t="n">
        <v>21171.92</v>
      </c>
      <c r="U1085" t="inlineStr">
        <is>
          <t>Low</t>
        </is>
      </c>
      <c r="V1085">
        <f>IF(AND(OR(Dashboard!$C$6="All",E1085=Dashboard!$C$6),OR(Dashboard!$F$6="All",G1085=Dashboard!$F$6),OR(Dashboard!$I$6="All",H1085=Dashboard!$I$6)),1,0)</f>
        <v/>
      </c>
    </row>
    <row r="1086">
      <c r="A1086" t="inlineStr">
        <is>
          <t>PF101077</t>
        </is>
      </c>
      <c r="B1086" s="68" t="n">
        <v>45787</v>
      </c>
      <c r="C1086" s="69" t="n">
        <v>2025</v>
      </c>
      <c r="D1086" t="inlineStr">
        <is>
          <t>May</t>
        </is>
      </c>
      <c r="E1086" t="inlineStr">
        <is>
          <t>Emerging markets</t>
        </is>
      </c>
      <c r="F1086" t="inlineStr">
        <is>
          <t>Mexico</t>
        </is>
      </c>
      <c r="G1086" t="inlineStr">
        <is>
          <t>Comirnaty</t>
        </is>
      </c>
      <c r="H1086" t="inlineStr">
        <is>
          <t>Government / tender</t>
        </is>
      </c>
      <c r="I1086" t="inlineStr">
        <is>
          <t>Private insurer</t>
        </is>
      </c>
      <c r="J1086" t="inlineStr">
        <is>
          <t>Carlos Silva</t>
        </is>
      </c>
      <c r="K1086" s="70" t="n">
        <v>1804</v>
      </c>
      <c r="L1086" s="71" t="n">
        <v>99.38</v>
      </c>
      <c r="M1086" s="71" t="n">
        <v>179281.52</v>
      </c>
      <c r="N1086" s="71" t="n">
        <v>35856.3</v>
      </c>
      <c r="O1086" s="71" t="n">
        <v>143425.22</v>
      </c>
      <c r="P1086" s="71" t="n">
        <v>67894.92</v>
      </c>
      <c r="Q1086" s="71" t="n">
        <v>75530.3</v>
      </c>
      <c r="R1086" t="inlineStr">
        <is>
          <t>Vaccines</t>
        </is>
      </c>
      <c r="S1086" s="70" t="n">
        <v>1536</v>
      </c>
      <c r="T1086" s="71" t="n">
        <v>30469.18</v>
      </c>
      <c r="U1086" t="inlineStr">
        <is>
          <t>Low</t>
        </is>
      </c>
      <c r="V1086">
        <f>IF(AND(OR(Dashboard!$C$6="All",E1086=Dashboard!$C$6),OR(Dashboard!$F$6="All",G1086=Dashboard!$F$6),OR(Dashboard!$I$6="All",H1086=Dashboard!$I$6)),1,0)</f>
        <v/>
      </c>
    </row>
    <row r="1087">
      <c r="A1087" t="inlineStr">
        <is>
          <t>PF101078</t>
        </is>
      </c>
      <c r="B1087" s="68" t="n">
        <v>45787</v>
      </c>
      <c r="C1087" s="69" t="n">
        <v>2025</v>
      </c>
      <c r="D1087" t="inlineStr">
        <is>
          <t>May</t>
        </is>
      </c>
      <c r="E1087" t="inlineStr">
        <is>
          <t>United States</t>
        </is>
      </c>
      <c r="F1087" t="inlineStr">
        <is>
          <t>USA</t>
        </is>
      </c>
      <c r="G1087" t="inlineStr">
        <is>
          <t>Abrysvo</t>
        </is>
      </c>
      <c r="H1087" t="inlineStr">
        <is>
          <t>Hospital</t>
        </is>
      </c>
      <c r="I1087" t="inlineStr">
        <is>
          <t>Public payer</t>
        </is>
      </c>
      <c r="J1087" t="inlineStr">
        <is>
          <t>Ana Costa</t>
        </is>
      </c>
      <c r="K1087" s="70" t="n">
        <v>2894</v>
      </c>
      <c r="L1087" s="71" t="n">
        <v>471.17</v>
      </c>
      <c r="M1087" s="71" t="n">
        <v>1363565.98</v>
      </c>
      <c r="N1087" s="71" t="n">
        <v>204534.9</v>
      </c>
      <c r="O1087" s="71" t="n">
        <v>1159031.08</v>
      </c>
      <c r="P1087" s="71" t="n">
        <v>240088.8</v>
      </c>
      <c r="Q1087" s="71" t="n">
        <v>918942.28</v>
      </c>
      <c r="R1087" t="inlineStr">
        <is>
          <t>Vaccines</t>
        </is>
      </c>
      <c r="S1087" s="70" t="n">
        <v>2153</v>
      </c>
      <c r="T1087" s="71" t="n">
        <v>185644.45</v>
      </c>
      <c r="U1087" t="inlineStr">
        <is>
          <t>Low</t>
        </is>
      </c>
      <c r="V1087">
        <f>IF(AND(OR(Dashboard!$C$6="All",E1087=Dashboard!$C$6),OR(Dashboard!$F$6="All",G1087=Dashboard!$F$6),OR(Dashboard!$I$6="All",H1087=Dashboard!$I$6)),1,0)</f>
        <v/>
      </c>
    </row>
    <row r="1088">
      <c r="A1088" t="inlineStr">
        <is>
          <t>PF101079</t>
        </is>
      </c>
      <c r="B1088" s="68" t="n">
        <v>45787</v>
      </c>
      <c r="C1088" s="69" t="n">
        <v>2025</v>
      </c>
      <c r="D1088" t="inlineStr">
        <is>
          <t>May</t>
        </is>
      </c>
      <c r="E1088" t="inlineStr">
        <is>
          <t>United States</t>
        </is>
      </c>
      <c r="F1088" t="inlineStr">
        <is>
          <t>USA</t>
        </is>
      </c>
      <c r="G1088" t="inlineStr">
        <is>
          <t>Xeljanz</t>
        </is>
      </c>
      <c r="H1088" t="inlineStr">
        <is>
          <t>Hospital</t>
        </is>
      </c>
      <c r="I1088" t="inlineStr">
        <is>
          <t>Private insurer</t>
        </is>
      </c>
      <c r="J1088" t="inlineStr">
        <is>
          <t>Carlos Silva</t>
        </is>
      </c>
      <c r="K1088" s="70" t="n">
        <v>84</v>
      </c>
      <c r="L1088" s="71" t="n">
        <v>2326.34</v>
      </c>
      <c r="M1088" s="71" t="n">
        <v>195412.56</v>
      </c>
      <c r="N1088" s="71" t="n">
        <v>29311.88</v>
      </c>
      <c r="O1088" s="71" t="n">
        <v>166100.68</v>
      </c>
      <c r="P1088" s="71" t="n">
        <v>21720.58</v>
      </c>
      <c r="Q1088" s="71" t="n">
        <v>144380.1</v>
      </c>
      <c r="R1088" t="inlineStr">
        <is>
          <t>Inflammation</t>
        </is>
      </c>
      <c r="S1088" s="70" t="n">
        <v>63</v>
      </c>
      <c r="T1088" s="71" t="n">
        <v>24787.34</v>
      </c>
      <c r="U1088" t="inlineStr">
        <is>
          <t>High</t>
        </is>
      </c>
      <c r="V1088">
        <f>IF(AND(OR(Dashboard!$C$6="All",E1088=Dashboard!$C$6),OR(Dashboard!$F$6="All",G1088=Dashboard!$F$6),OR(Dashboard!$I$6="All",H1088=Dashboard!$I$6)),1,0)</f>
        <v/>
      </c>
    </row>
    <row r="1089">
      <c r="A1089" t="inlineStr">
        <is>
          <t>PF101080</t>
        </is>
      </c>
      <c r="B1089" s="68" t="n">
        <v>45787</v>
      </c>
      <c r="C1089" s="69" t="n">
        <v>2025</v>
      </c>
      <c r="D1089" t="inlineStr">
        <is>
          <t>May</t>
        </is>
      </c>
      <c r="E1089" t="inlineStr">
        <is>
          <t>Emerging markets</t>
        </is>
      </c>
      <c r="F1089" t="inlineStr">
        <is>
          <t>India</t>
        </is>
      </c>
      <c r="G1089" t="inlineStr">
        <is>
          <t>Abrysvo</t>
        </is>
      </c>
      <c r="H1089" t="inlineStr">
        <is>
          <t>Hospital</t>
        </is>
      </c>
      <c r="I1089" t="inlineStr">
        <is>
          <t>Public payer</t>
        </is>
      </c>
      <c r="J1089" t="inlineStr">
        <is>
          <t>Mei Lin</t>
        </is>
      </c>
      <c r="K1089" s="70" t="n">
        <v>1008</v>
      </c>
      <c r="L1089" s="71" t="n">
        <v>297.19</v>
      </c>
      <c r="M1089" s="71" t="n">
        <v>299567.52</v>
      </c>
      <c r="N1089" s="71" t="n">
        <v>29956.75</v>
      </c>
      <c r="O1089" s="71" t="n">
        <v>269610.77</v>
      </c>
      <c r="P1089" s="71" t="n">
        <v>84368.13</v>
      </c>
      <c r="Q1089" s="71" t="n">
        <v>185242.64</v>
      </c>
      <c r="R1089" t="inlineStr">
        <is>
          <t>Vaccines</t>
        </is>
      </c>
      <c r="S1089" s="70" t="n">
        <v>825</v>
      </c>
      <c r="T1089" s="71" t="n">
        <v>46079.96</v>
      </c>
      <c r="U1089" t="inlineStr">
        <is>
          <t>Low</t>
        </is>
      </c>
      <c r="V1089">
        <f>IF(AND(OR(Dashboard!$C$6="All",E1089=Dashboard!$C$6),OR(Dashboard!$F$6="All",G1089=Dashboard!$F$6),OR(Dashboard!$I$6="All",H1089=Dashboard!$I$6)),1,0)</f>
        <v/>
      </c>
    </row>
    <row r="1090">
      <c r="A1090" t="inlineStr">
        <is>
          <t>PF101081</t>
        </is>
      </c>
      <c r="B1090" s="68" t="n">
        <v>45788</v>
      </c>
      <c r="C1090" s="69" t="n">
        <v>2025</v>
      </c>
      <c r="D1090" t="inlineStr">
        <is>
          <t>May</t>
        </is>
      </c>
      <c r="E1090" t="inlineStr">
        <is>
          <t>United States</t>
        </is>
      </c>
      <c r="F1090" t="inlineStr">
        <is>
          <t>USA</t>
        </is>
      </c>
      <c r="G1090" t="inlineStr">
        <is>
          <t>Eliquis</t>
        </is>
      </c>
      <c r="H1090" t="inlineStr">
        <is>
          <t>Retail pharmacy</t>
        </is>
      </c>
      <c r="I1090" t="inlineStr">
        <is>
          <t>Public payer</t>
        </is>
      </c>
      <c r="J1090" t="inlineStr">
        <is>
          <t>Shraddha Kulkarni</t>
        </is>
      </c>
      <c r="K1090" s="70" t="n">
        <v>1514</v>
      </c>
      <c r="L1090" s="71" t="n">
        <v>645.6</v>
      </c>
      <c r="M1090" s="71" t="n">
        <v>977438.4</v>
      </c>
      <c r="N1090" s="71" t="n">
        <v>342103.44</v>
      </c>
      <c r="O1090" s="71" t="n">
        <v>635334.96</v>
      </c>
      <c r="P1090" s="71" t="n">
        <v>111145.88</v>
      </c>
      <c r="Q1090" s="71" t="n">
        <v>524189.08</v>
      </c>
      <c r="R1090" t="inlineStr">
        <is>
          <t>Cardiology</t>
        </is>
      </c>
      <c r="S1090" s="70" t="n">
        <v>1191</v>
      </c>
      <c r="T1090" s="71" t="n">
        <v>205715.13</v>
      </c>
      <c r="U1090" t="inlineStr">
        <is>
          <t>High</t>
        </is>
      </c>
      <c r="V1090">
        <f>IF(AND(OR(Dashboard!$C$6="All",E1090=Dashboard!$C$6),OR(Dashboard!$F$6="All",G1090=Dashboard!$F$6),OR(Dashboard!$I$6="All",H1090=Dashboard!$I$6)),1,0)</f>
        <v/>
      </c>
    </row>
    <row r="1091">
      <c r="A1091" t="inlineStr">
        <is>
          <t>PF101082</t>
        </is>
      </c>
      <c r="B1091" s="68" t="n">
        <v>45788</v>
      </c>
      <c r="C1091" s="69" t="n">
        <v>2025</v>
      </c>
      <c r="D1091" t="inlineStr">
        <is>
          <t>May</t>
        </is>
      </c>
      <c r="E1091" t="inlineStr">
        <is>
          <t>United States</t>
        </is>
      </c>
      <c r="F1091" t="inlineStr">
        <is>
          <t>USA</t>
        </is>
      </c>
      <c r="G1091" t="inlineStr">
        <is>
          <t>Ibrance</t>
        </is>
      </c>
      <c r="H1091" t="inlineStr">
        <is>
          <t>Hospital</t>
        </is>
      </c>
      <c r="I1091" t="inlineStr">
        <is>
          <t>Private insurer</t>
        </is>
      </c>
      <c r="J1091" t="inlineStr">
        <is>
          <t>Shraddha Kulkarni</t>
        </is>
      </c>
      <c r="K1091" s="70" t="n">
        <v>2698</v>
      </c>
      <c r="L1091" s="71" t="n">
        <v>4350.8</v>
      </c>
      <c r="M1091" s="71" t="n">
        <v>11738458.4</v>
      </c>
      <c r="N1091" s="71" t="n">
        <v>2934614.6</v>
      </c>
      <c r="O1091" s="71" t="n">
        <v>8803843.800000001</v>
      </c>
      <c r="P1091" s="71" t="n">
        <v>1182196.26</v>
      </c>
      <c r="Q1091" s="71" t="n">
        <v>7621647.54</v>
      </c>
      <c r="R1091" t="inlineStr">
        <is>
          <t>Oncology</t>
        </is>
      </c>
      <c r="S1091" s="70" t="n">
        <v>2150</v>
      </c>
      <c r="T1091" s="71" t="n">
        <v>2258931.55</v>
      </c>
      <c r="U1091" t="inlineStr">
        <is>
          <t>High</t>
        </is>
      </c>
      <c r="V1091">
        <f>IF(AND(OR(Dashboard!$C$6="All",E1091=Dashboard!$C$6),OR(Dashboard!$F$6="All",G1091=Dashboard!$F$6),OR(Dashboard!$I$6="All",H1091=Dashboard!$I$6)),1,0)</f>
        <v/>
      </c>
    </row>
    <row r="1092">
      <c r="A1092" t="inlineStr">
        <is>
          <t>PF101083</t>
        </is>
      </c>
      <c r="B1092" s="68" t="n">
        <v>45788</v>
      </c>
      <c r="C1092" s="69" t="n">
        <v>2025</v>
      </c>
      <c r="D1092" t="inlineStr">
        <is>
          <t>May</t>
        </is>
      </c>
      <c r="E1092" t="inlineStr">
        <is>
          <t>Emerging markets</t>
        </is>
      </c>
      <c r="F1092" t="inlineStr">
        <is>
          <t>Brazil</t>
        </is>
      </c>
      <c r="G1092" t="inlineStr">
        <is>
          <t>Eliquis</t>
        </is>
      </c>
      <c r="H1092" t="inlineStr">
        <is>
          <t>Retail pharmacy</t>
        </is>
      </c>
      <c r="I1092" t="inlineStr">
        <is>
          <t>Private insurer</t>
        </is>
      </c>
      <c r="J1092" t="inlineStr">
        <is>
          <t>Yuki Sato</t>
        </is>
      </c>
      <c r="K1092" s="70" t="n">
        <v>887</v>
      </c>
      <c r="L1092" s="71" t="n">
        <v>385.84</v>
      </c>
      <c r="M1092" s="71" t="n">
        <v>342240.08</v>
      </c>
      <c r="N1092" s="71" t="n">
        <v>34224.01</v>
      </c>
      <c r="O1092" s="71" t="n">
        <v>308016.07</v>
      </c>
      <c r="P1092" s="71" t="n">
        <v>69724.07000000001</v>
      </c>
      <c r="Q1092" s="71" t="n">
        <v>238292</v>
      </c>
      <c r="R1092" t="inlineStr">
        <is>
          <t>Cardiology</t>
        </is>
      </c>
      <c r="S1092" s="70" t="n">
        <v>868</v>
      </c>
      <c r="T1092" s="71" t="n">
        <v>43856.22</v>
      </c>
      <c r="U1092" t="inlineStr">
        <is>
          <t>High</t>
        </is>
      </c>
      <c r="V1092">
        <f>IF(AND(OR(Dashboard!$C$6="All",E1092=Dashboard!$C$6),OR(Dashboard!$F$6="All",G1092=Dashboard!$F$6),OR(Dashboard!$I$6="All",H1092=Dashboard!$I$6)),1,0)</f>
        <v/>
      </c>
    </row>
    <row r="1093">
      <c r="A1093" t="inlineStr">
        <is>
          <t>PF101084</t>
        </is>
      </c>
      <c r="B1093" s="68" t="n">
        <v>45788</v>
      </c>
      <c r="C1093" s="69" t="n">
        <v>2025</v>
      </c>
      <c r="D1093" t="inlineStr">
        <is>
          <t>May</t>
        </is>
      </c>
      <c r="E1093" t="inlineStr">
        <is>
          <t>Emerging markets</t>
        </is>
      </c>
      <c r="F1093" t="inlineStr">
        <is>
          <t>Mexico</t>
        </is>
      </c>
      <c r="G1093" t="inlineStr">
        <is>
          <t>Comirnaty</t>
        </is>
      </c>
      <c r="H1093" t="inlineStr">
        <is>
          <t>Hospital</t>
        </is>
      </c>
      <c r="I1093" t="inlineStr">
        <is>
          <t>Private insurer</t>
        </is>
      </c>
      <c r="J1093" t="inlineStr">
        <is>
          <t>Wei Chen</t>
        </is>
      </c>
      <c r="K1093" s="70" t="n">
        <v>1766</v>
      </c>
      <c r="L1093" s="71" t="n">
        <v>114.53</v>
      </c>
      <c r="M1093" s="71" t="n">
        <v>202259.98</v>
      </c>
      <c r="N1093" s="71" t="n">
        <v>20226</v>
      </c>
      <c r="O1093" s="71" t="n">
        <v>182033.98</v>
      </c>
      <c r="P1093" s="71" t="n">
        <v>68591.95</v>
      </c>
      <c r="Q1093" s="71" t="n">
        <v>113442.03</v>
      </c>
      <c r="R1093" t="inlineStr">
        <is>
          <t>Vaccines</t>
        </is>
      </c>
      <c r="S1093" s="70" t="n">
        <v>1515</v>
      </c>
      <c r="T1093" s="71" t="n">
        <v>33415.01</v>
      </c>
      <c r="U1093" t="inlineStr">
        <is>
          <t>Low</t>
        </is>
      </c>
      <c r="V1093">
        <f>IF(AND(OR(Dashboard!$C$6="All",E1093=Dashboard!$C$6),OR(Dashboard!$F$6="All",G1093=Dashboard!$F$6),OR(Dashboard!$I$6="All",H1093=Dashboard!$I$6)),1,0)</f>
        <v/>
      </c>
    </row>
    <row r="1094">
      <c r="A1094" t="inlineStr">
        <is>
          <t>PF101085</t>
        </is>
      </c>
      <c r="B1094" s="68" t="n">
        <v>45788</v>
      </c>
      <c r="C1094" s="69" t="n">
        <v>2025</v>
      </c>
      <c r="D1094" t="inlineStr">
        <is>
          <t>May</t>
        </is>
      </c>
      <c r="E1094" t="inlineStr">
        <is>
          <t>International developed</t>
        </is>
      </c>
      <c r="F1094" t="inlineStr">
        <is>
          <t>Canada</t>
        </is>
      </c>
      <c r="G1094" t="inlineStr">
        <is>
          <t>Paxlovid</t>
        </is>
      </c>
      <c r="H1094" t="inlineStr">
        <is>
          <t>Retail pharmacy</t>
        </is>
      </c>
      <c r="I1094" t="inlineStr">
        <is>
          <t>Private insurer</t>
        </is>
      </c>
      <c r="J1094" t="inlineStr">
        <is>
          <t>Kofi Mensah</t>
        </is>
      </c>
      <c r="K1094" s="70" t="n">
        <v>2720</v>
      </c>
      <c r="L1094" s="71" t="n">
        <v>1084.91</v>
      </c>
      <c r="M1094" s="71" t="n">
        <v>2950955.2</v>
      </c>
      <c r="N1094" s="71" t="n">
        <v>442643.28</v>
      </c>
      <c r="O1094" s="71" t="n">
        <v>2508311.92</v>
      </c>
      <c r="P1094" s="71" t="n">
        <v>768513.72</v>
      </c>
      <c r="Q1094" s="71" t="n">
        <v>1739798.2</v>
      </c>
      <c r="R1094" t="inlineStr">
        <is>
          <t>Antiviral</t>
        </is>
      </c>
      <c r="S1094" s="70" t="n">
        <v>1805</v>
      </c>
      <c r="T1094" s="71" t="n">
        <v>496851.13</v>
      </c>
      <c r="U1094" t="inlineStr">
        <is>
          <t>Low</t>
        </is>
      </c>
      <c r="V1094">
        <f>IF(AND(OR(Dashboard!$C$6="All",E1094=Dashboard!$C$6),OR(Dashboard!$F$6="All",G1094=Dashboard!$F$6),OR(Dashboard!$I$6="All",H1094=Dashboard!$I$6)),1,0)</f>
        <v/>
      </c>
    </row>
    <row r="1095">
      <c r="A1095" t="inlineStr">
        <is>
          <t>PF101086</t>
        </is>
      </c>
      <c r="B1095" s="68" t="n">
        <v>45788</v>
      </c>
      <c r="C1095" s="69" t="n">
        <v>2025</v>
      </c>
      <c r="D1095" t="inlineStr">
        <is>
          <t>May</t>
        </is>
      </c>
      <c r="E1095" t="inlineStr">
        <is>
          <t>United States</t>
        </is>
      </c>
      <c r="F1095" t="inlineStr">
        <is>
          <t>USA</t>
        </is>
      </c>
      <c r="G1095" t="inlineStr">
        <is>
          <t>Xeljanz</t>
        </is>
      </c>
      <c r="H1095" t="inlineStr">
        <is>
          <t>Retail pharmacy</t>
        </is>
      </c>
      <c r="I1095" t="inlineStr">
        <is>
          <t>Public payer</t>
        </is>
      </c>
      <c r="J1095" t="inlineStr">
        <is>
          <t>Priya Nair</t>
        </is>
      </c>
      <c r="K1095" s="70" t="n">
        <v>672</v>
      </c>
      <c r="L1095" s="71" t="n">
        <v>2236</v>
      </c>
      <c r="M1095" s="71" t="n">
        <v>1502592</v>
      </c>
      <c r="N1095" s="71" t="n">
        <v>375648</v>
      </c>
      <c r="O1095" s="71" t="n">
        <v>1126944</v>
      </c>
      <c r="P1095" s="71" t="n">
        <v>171783.22</v>
      </c>
      <c r="Q1095" s="71" t="n">
        <v>955160.78</v>
      </c>
      <c r="R1095" t="inlineStr">
        <is>
          <t>Inflammation</t>
        </is>
      </c>
      <c r="S1095" s="70" t="n">
        <v>515</v>
      </c>
      <c r="T1095" s="71" t="n">
        <v>291397.28</v>
      </c>
      <c r="U1095" t="inlineStr">
        <is>
          <t>High</t>
        </is>
      </c>
      <c r="V1095">
        <f>IF(AND(OR(Dashboard!$C$6="All",E1095=Dashboard!$C$6),OR(Dashboard!$F$6="All",G1095=Dashboard!$F$6),OR(Dashboard!$I$6="All",H1095=Dashboard!$I$6)),1,0)</f>
        <v/>
      </c>
    </row>
    <row r="1096">
      <c r="A1096" t="inlineStr">
        <is>
          <t>PF101087</t>
        </is>
      </c>
      <c r="B1096" s="68" t="n">
        <v>45788</v>
      </c>
      <c r="C1096" s="69" t="n">
        <v>2025</v>
      </c>
      <c r="D1096" t="inlineStr">
        <is>
          <t>May</t>
        </is>
      </c>
      <c r="E1096" t="inlineStr">
        <is>
          <t>International developed</t>
        </is>
      </c>
      <c r="F1096" t="inlineStr">
        <is>
          <t>Canada</t>
        </is>
      </c>
      <c r="G1096" t="inlineStr">
        <is>
          <t>Abrysvo</t>
        </is>
      </c>
      <c r="H1096" t="inlineStr">
        <is>
          <t>Retail pharmacy</t>
        </is>
      </c>
      <c r="I1096" t="inlineStr">
        <is>
          <t>Private insurer</t>
        </is>
      </c>
      <c r="J1096" t="inlineStr">
        <is>
          <t>Amir Khan</t>
        </is>
      </c>
      <c r="K1096" s="70" t="n">
        <v>1060</v>
      </c>
      <c r="L1096" s="71" t="n">
        <v>284.28</v>
      </c>
      <c r="M1096" s="71" t="n">
        <v>301336.8</v>
      </c>
      <c r="N1096" s="71" t="n">
        <v>45200.52</v>
      </c>
      <c r="O1096" s="71" t="n">
        <v>256136.28</v>
      </c>
      <c r="P1096" s="71" t="n">
        <v>85609.64999999999</v>
      </c>
      <c r="Q1096" s="71" t="n">
        <v>170526.63</v>
      </c>
      <c r="R1096" t="inlineStr">
        <is>
          <t>Vaccines</t>
        </is>
      </c>
      <c r="S1096" s="70" t="n">
        <v>1027</v>
      </c>
      <c r="T1096" s="71" t="n">
        <v>51261.94</v>
      </c>
      <c r="U1096" t="inlineStr">
        <is>
          <t>Low</t>
        </is>
      </c>
      <c r="V1096">
        <f>IF(AND(OR(Dashboard!$C$6="All",E1096=Dashboard!$C$6),OR(Dashboard!$F$6="All",G1096=Dashboard!$F$6),OR(Dashboard!$I$6="All",H1096=Dashboard!$I$6)),1,0)</f>
        <v/>
      </c>
    </row>
    <row r="1097">
      <c r="A1097" t="inlineStr">
        <is>
          <t>PF101088</t>
        </is>
      </c>
      <c r="B1097" s="68" t="n">
        <v>45788</v>
      </c>
      <c r="C1097" s="69" t="n">
        <v>2025</v>
      </c>
      <c r="D1097" t="inlineStr">
        <is>
          <t>May</t>
        </is>
      </c>
      <c r="E1097" t="inlineStr">
        <is>
          <t>International developed</t>
        </is>
      </c>
      <c r="F1097" t="inlineStr">
        <is>
          <t>Japan</t>
        </is>
      </c>
      <c r="G1097" t="inlineStr">
        <is>
          <t>Eliquis</t>
        </is>
      </c>
      <c r="H1097" t="inlineStr">
        <is>
          <t>Government / tender</t>
        </is>
      </c>
      <c r="I1097" t="inlineStr">
        <is>
          <t>Public payer</t>
        </is>
      </c>
      <c r="J1097" t="inlineStr">
        <is>
          <t>Ana Costa</t>
        </is>
      </c>
      <c r="K1097" s="70" t="n">
        <v>2333</v>
      </c>
      <c r="L1097" s="71" t="n">
        <v>438.04</v>
      </c>
      <c r="M1097" s="71" t="n">
        <v>1021947.32</v>
      </c>
      <c r="N1097" s="71" t="n">
        <v>51097.37</v>
      </c>
      <c r="O1097" s="71" t="n">
        <v>970849.95</v>
      </c>
      <c r="P1097" s="71" t="n">
        <v>180323.72</v>
      </c>
      <c r="Q1097" s="71" t="n">
        <v>790526.23</v>
      </c>
      <c r="R1097" t="inlineStr">
        <is>
          <t>Cardiology</t>
        </is>
      </c>
      <c r="S1097" s="70" t="n">
        <v>1539</v>
      </c>
      <c r="T1097" s="71" t="n">
        <v>221383.27</v>
      </c>
      <c r="U1097" t="inlineStr">
        <is>
          <t>High</t>
        </is>
      </c>
      <c r="V1097">
        <f>IF(AND(OR(Dashboard!$C$6="All",E1097=Dashboard!$C$6),OR(Dashboard!$F$6="All",G1097=Dashboard!$F$6),OR(Dashboard!$I$6="All",H1097=Dashboard!$I$6)),1,0)</f>
        <v/>
      </c>
    </row>
    <row r="1098">
      <c r="A1098" t="inlineStr">
        <is>
          <t>PF101089</t>
        </is>
      </c>
      <c r="B1098" s="68" t="n">
        <v>45788</v>
      </c>
      <c r="C1098" s="69" t="n">
        <v>2025</v>
      </c>
      <c r="D1098" t="inlineStr">
        <is>
          <t>May</t>
        </is>
      </c>
      <c r="E1098" t="inlineStr">
        <is>
          <t>United States</t>
        </is>
      </c>
      <c r="F1098" t="inlineStr">
        <is>
          <t>USA</t>
        </is>
      </c>
      <c r="G1098" t="inlineStr">
        <is>
          <t>Vyndaqel</t>
        </is>
      </c>
      <c r="H1098" t="inlineStr">
        <is>
          <t>Retail pharmacy</t>
        </is>
      </c>
      <c r="I1098" t="inlineStr">
        <is>
          <t>Private insurer</t>
        </is>
      </c>
      <c r="J1098" t="inlineStr">
        <is>
          <t>Ravindra Patil</t>
        </is>
      </c>
      <c r="K1098" s="70" t="n">
        <v>950</v>
      </c>
      <c r="L1098" s="71" t="n">
        <v>8763.26</v>
      </c>
      <c r="M1098" s="71" t="n">
        <v>8325097</v>
      </c>
      <c r="N1098" s="71" t="n">
        <v>2081274.25</v>
      </c>
      <c r="O1098" s="71" t="n">
        <v>6243822.75</v>
      </c>
      <c r="P1098" s="71" t="n">
        <v>579043.72</v>
      </c>
      <c r="Q1098" s="71" t="n">
        <v>5664779.03</v>
      </c>
      <c r="R1098" t="inlineStr">
        <is>
          <t>Rare disease</t>
        </is>
      </c>
      <c r="S1098" s="70" t="n">
        <v>691</v>
      </c>
      <c r="T1098" s="71" t="n">
        <v>1462195</v>
      </c>
      <c r="U1098" t="inlineStr">
        <is>
          <t>Medium</t>
        </is>
      </c>
      <c r="V1098">
        <f>IF(AND(OR(Dashboard!$C$6="All",E1098=Dashboard!$C$6),OR(Dashboard!$F$6="All",G1098=Dashboard!$F$6),OR(Dashboard!$I$6="All",H1098=Dashboard!$I$6)),1,0)</f>
        <v/>
      </c>
    </row>
    <row r="1099">
      <c r="A1099" t="inlineStr">
        <is>
          <t>PF101090</t>
        </is>
      </c>
      <c r="B1099" s="68" t="n">
        <v>45788</v>
      </c>
      <c r="C1099" s="69" t="n">
        <v>2025</v>
      </c>
      <c r="D1099" t="inlineStr">
        <is>
          <t>May</t>
        </is>
      </c>
      <c r="E1099" t="inlineStr">
        <is>
          <t>Emerging markets</t>
        </is>
      </c>
      <c r="F1099" t="inlineStr">
        <is>
          <t>Mexico</t>
        </is>
      </c>
      <c r="G1099" t="inlineStr">
        <is>
          <t>Vyndaqel</t>
        </is>
      </c>
      <c r="H1099" t="inlineStr">
        <is>
          <t>Hospital</t>
        </is>
      </c>
      <c r="I1099" t="inlineStr">
        <is>
          <t>Public payer</t>
        </is>
      </c>
      <c r="J1099" t="inlineStr">
        <is>
          <t>Olivia Brown</t>
        </is>
      </c>
      <c r="K1099" s="70" t="n">
        <v>2462</v>
      </c>
      <c r="L1099" s="71" t="n">
        <v>5312.94</v>
      </c>
      <c r="M1099" s="71" t="n">
        <v>13080458.28</v>
      </c>
      <c r="N1099" s="71" t="n">
        <v>3270114.57</v>
      </c>
      <c r="O1099" s="71" t="n">
        <v>9810343.710000001</v>
      </c>
      <c r="P1099" s="71" t="n">
        <v>1482497.98</v>
      </c>
      <c r="Q1099" s="71" t="n">
        <v>8327845.73</v>
      </c>
      <c r="R1099" t="inlineStr">
        <is>
          <t>Rare disease</t>
        </is>
      </c>
      <c r="S1099" s="70" t="n">
        <v>1990</v>
      </c>
      <c r="T1099" s="71" t="n">
        <v>2773192.8</v>
      </c>
      <c r="U1099" t="inlineStr">
        <is>
          <t>Medium</t>
        </is>
      </c>
      <c r="V1099">
        <f>IF(AND(OR(Dashboard!$C$6="All",E1099=Dashboard!$C$6),OR(Dashboard!$F$6="All",G1099=Dashboard!$F$6),OR(Dashboard!$I$6="All",H1099=Dashboard!$I$6)),1,0)</f>
        <v/>
      </c>
    </row>
    <row r="1100">
      <c r="A1100" t="inlineStr">
        <is>
          <t>PF101091</t>
        </is>
      </c>
      <c r="B1100" s="68" t="n">
        <v>45788</v>
      </c>
      <c r="C1100" s="69" t="n">
        <v>2025</v>
      </c>
      <c r="D1100" t="inlineStr">
        <is>
          <t>May</t>
        </is>
      </c>
      <c r="E1100" t="inlineStr">
        <is>
          <t>Emerging markets</t>
        </is>
      </c>
      <c r="F1100" t="inlineStr">
        <is>
          <t>Brazil</t>
        </is>
      </c>
      <c r="G1100" t="inlineStr">
        <is>
          <t>Prevnar 20</t>
        </is>
      </c>
      <c r="H1100" t="inlineStr">
        <is>
          <t>Retail pharmacy</t>
        </is>
      </c>
      <c r="I1100" t="inlineStr">
        <is>
          <t>Self-pay</t>
        </is>
      </c>
      <c r="J1100" t="inlineStr">
        <is>
          <t>Emma Clarke</t>
        </is>
      </c>
      <c r="K1100" s="70" t="n">
        <v>2292</v>
      </c>
      <c r="L1100" s="71" t="n">
        <v>220.01</v>
      </c>
      <c r="M1100" s="71" t="n">
        <v>504262.92</v>
      </c>
      <c r="N1100" s="71" t="n">
        <v>100852.58</v>
      </c>
      <c r="O1100" s="71" t="n">
        <v>403410.34</v>
      </c>
      <c r="P1100" s="71" t="n">
        <v>154546.65</v>
      </c>
      <c r="Q1100" s="71" t="n">
        <v>248863.69</v>
      </c>
      <c r="R1100" t="inlineStr">
        <is>
          <t>Vaccines</t>
        </is>
      </c>
      <c r="S1100" s="70" t="n">
        <v>1691</v>
      </c>
      <c r="T1100" s="71" t="n">
        <v>110119.59</v>
      </c>
      <c r="U1100" t="inlineStr">
        <is>
          <t>Low</t>
        </is>
      </c>
      <c r="V1100">
        <f>IF(AND(OR(Dashboard!$C$6="All",E1100=Dashboard!$C$6),OR(Dashboard!$F$6="All",G1100=Dashboard!$F$6),OR(Dashboard!$I$6="All",H1100=Dashboard!$I$6)),1,0)</f>
        <v/>
      </c>
    </row>
    <row r="1101">
      <c r="A1101" t="inlineStr">
        <is>
          <t>PF101092</t>
        </is>
      </c>
      <c r="B1101" s="68" t="n">
        <v>45788</v>
      </c>
      <c r="C1101" s="69" t="n">
        <v>2025</v>
      </c>
      <c r="D1101" t="inlineStr">
        <is>
          <t>May</t>
        </is>
      </c>
      <c r="E1101" t="inlineStr">
        <is>
          <t>Emerging markets</t>
        </is>
      </c>
      <c r="F1101" t="inlineStr">
        <is>
          <t>China</t>
        </is>
      </c>
      <c r="G1101" t="inlineStr">
        <is>
          <t>Eliquis</t>
        </is>
      </c>
      <c r="H1101" t="inlineStr">
        <is>
          <t>Hospital</t>
        </is>
      </c>
      <c r="I1101" t="inlineStr">
        <is>
          <t>Private insurer</t>
        </is>
      </c>
      <c r="J1101" t="inlineStr">
        <is>
          <t>Aisha Bello</t>
        </is>
      </c>
      <c r="K1101" s="70" t="n">
        <v>944</v>
      </c>
      <c r="L1101" s="71" t="n">
        <v>457.75</v>
      </c>
      <c r="M1101" s="71" t="n">
        <v>432116</v>
      </c>
      <c r="N1101" s="71" t="n">
        <v>21605.8</v>
      </c>
      <c r="O1101" s="71" t="n">
        <v>410510.2</v>
      </c>
      <c r="P1101" s="71" t="n">
        <v>72055.44</v>
      </c>
      <c r="Q1101" s="71" t="n">
        <v>338454.76</v>
      </c>
      <c r="R1101" t="inlineStr">
        <is>
          <t>Cardiology</t>
        </is>
      </c>
      <c r="S1101" s="70" t="n">
        <v>626</v>
      </c>
      <c r="T1101" s="71" t="n">
        <v>76229.75</v>
      </c>
      <c r="U1101" t="inlineStr">
        <is>
          <t>High</t>
        </is>
      </c>
      <c r="V1101">
        <f>IF(AND(OR(Dashboard!$C$6="All",E1101=Dashboard!$C$6),OR(Dashboard!$F$6="All",G1101=Dashboard!$F$6),OR(Dashboard!$I$6="All",H1101=Dashboard!$I$6)),1,0)</f>
        <v/>
      </c>
    </row>
    <row r="1102">
      <c r="A1102" t="inlineStr">
        <is>
          <t>PF101093</t>
        </is>
      </c>
      <c r="B1102" s="68" t="n">
        <v>45788</v>
      </c>
      <c r="C1102" s="69" t="n">
        <v>2025</v>
      </c>
      <c r="D1102" t="inlineStr">
        <is>
          <t>May</t>
        </is>
      </c>
      <c r="E1102" t="inlineStr">
        <is>
          <t>United States</t>
        </is>
      </c>
      <c r="F1102" t="inlineStr">
        <is>
          <t>USA</t>
        </is>
      </c>
      <c r="G1102" t="inlineStr">
        <is>
          <t>Abrysvo</t>
        </is>
      </c>
      <c r="H1102" t="inlineStr">
        <is>
          <t>Retail pharmacy</t>
        </is>
      </c>
      <c r="I1102" t="inlineStr">
        <is>
          <t>Private insurer</t>
        </is>
      </c>
      <c r="J1102" t="inlineStr">
        <is>
          <t>Sara Rossi</t>
        </is>
      </c>
      <c r="K1102" s="70" t="n">
        <v>1037</v>
      </c>
      <c r="L1102" s="71" t="n">
        <v>417.89</v>
      </c>
      <c r="M1102" s="71" t="n">
        <v>433351.93</v>
      </c>
      <c r="N1102" s="71" t="n">
        <v>65002.79</v>
      </c>
      <c r="O1102" s="71" t="n">
        <v>368349.14</v>
      </c>
      <c r="P1102" s="71" t="n">
        <v>88231.75999999999</v>
      </c>
      <c r="Q1102" s="71" t="n">
        <v>280117.38</v>
      </c>
      <c r="R1102" t="inlineStr">
        <is>
          <t>Vaccines</t>
        </is>
      </c>
      <c r="S1102" s="70" t="n">
        <v>965</v>
      </c>
      <c r="T1102" s="71" t="n">
        <v>94094.73</v>
      </c>
      <c r="U1102" t="inlineStr">
        <is>
          <t>Low</t>
        </is>
      </c>
      <c r="V1102">
        <f>IF(AND(OR(Dashboard!$C$6="All",E1102=Dashboard!$C$6),OR(Dashboard!$F$6="All",G1102=Dashboard!$F$6),OR(Dashboard!$I$6="All",H1102=Dashboard!$I$6)),1,0)</f>
        <v/>
      </c>
    </row>
    <row r="1103">
      <c r="A1103" t="inlineStr">
        <is>
          <t>PF101094</t>
        </is>
      </c>
      <c r="B1103" s="68" t="n">
        <v>45788</v>
      </c>
      <c r="C1103" s="69" t="n">
        <v>2025</v>
      </c>
      <c r="D1103" t="inlineStr">
        <is>
          <t>May</t>
        </is>
      </c>
      <c r="E1103" t="inlineStr">
        <is>
          <t>Emerging markets</t>
        </is>
      </c>
      <c r="F1103" t="inlineStr">
        <is>
          <t>Brazil</t>
        </is>
      </c>
      <c r="G1103" t="inlineStr">
        <is>
          <t>Prevnar 20</t>
        </is>
      </c>
      <c r="H1103" t="inlineStr">
        <is>
          <t>Government / tender</t>
        </is>
      </c>
      <c r="I1103" t="inlineStr">
        <is>
          <t>Self-pay</t>
        </is>
      </c>
      <c r="J1103" t="inlineStr">
        <is>
          <t>Liam O'Brien</t>
        </is>
      </c>
      <c r="K1103" s="70" t="n">
        <v>2998</v>
      </c>
      <c r="L1103" s="71" t="n">
        <v>218.21</v>
      </c>
      <c r="M1103" s="71" t="n">
        <v>654193.58</v>
      </c>
      <c r="N1103" s="71" t="n">
        <v>130838.72</v>
      </c>
      <c r="O1103" s="71" t="n">
        <v>523354.86</v>
      </c>
      <c r="P1103" s="71" t="n">
        <v>204497.85</v>
      </c>
      <c r="Q1103" s="71" t="n">
        <v>318857.01</v>
      </c>
      <c r="R1103" t="inlineStr">
        <is>
          <t>Vaccines</t>
        </is>
      </c>
      <c r="S1103" s="70" t="n">
        <v>1904</v>
      </c>
      <c r="T1103" s="71" t="n">
        <v>110122.86</v>
      </c>
      <c r="U1103" t="inlineStr">
        <is>
          <t>Low</t>
        </is>
      </c>
      <c r="V1103">
        <f>IF(AND(OR(Dashboard!$C$6="All",E1103=Dashboard!$C$6),OR(Dashboard!$F$6="All",G1103=Dashboard!$F$6),OR(Dashboard!$I$6="All",H1103=Dashboard!$I$6)),1,0)</f>
        <v/>
      </c>
    </row>
    <row r="1104">
      <c r="A1104" t="inlineStr">
        <is>
          <t>PF101095</t>
        </is>
      </c>
      <c r="B1104" s="68" t="n">
        <v>45788</v>
      </c>
      <c r="C1104" s="69" t="n">
        <v>2025</v>
      </c>
      <c r="D1104" t="inlineStr">
        <is>
          <t>May</t>
        </is>
      </c>
      <c r="E1104" t="inlineStr">
        <is>
          <t>United States</t>
        </is>
      </c>
      <c r="F1104" t="inlineStr">
        <is>
          <t>USA</t>
        </is>
      </c>
      <c r="G1104" t="inlineStr">
        <is>
          <t>Paxlovid</t>
        </is>
      </c>
      <c r="H1104" t="inlineStr">
        <is>
          <t>Hospital</t>
        </is>
      </c>
      <c r="I1104" t="inlineStr">
        <is>
          <t>Public payer</t>
        </is>
      </c>
      <c r="J1104" t="inlineStr">
        <is>
          <t>Yuki Sato</t>
        </is>
      </c>
      <c r="K1104" s="70" t="n">
        <v>551</v>
      </c>
      <c r="L1104" s="71" t="n">
        <v>1842.05</v>
      </c>
      <c r="M1104" s="71" t="n">
        <v>1014969.55</v>
      </c>
      <c r="N1104" s="71" t="n">
        <v>152245.43</v>
      </c>
      <c r="O1104" s="71" t="n">
        <v>862724.12</v>
      </c>
      <c r="P1104" s="71" t="n">
        <v>153067.95</v>
      </c>
      <c r="Q1104" s="71" t="n">
        <v>709656.17</v>
      </c>
      <c r="R1104" t="inlineStr">
        <is>
          <t>Antiviral</t>
        </is>
      </c>
      <c r="S1104" s="70" t="n">
        <v>355</v>
      </c>
      <c r="T1104" s="71" t="n">
        <v>187826.72</v>
      </c>
      <c r="U1104" t="inlineStr">
        <is>
          <t>Low</t>
        </is>
      </c>
      <c r="V1104">
        <f>IF(AND(OR(Dashboard!$C$6="All",E1104=Dashboard!$C$6),OR(Dashboard!$F$6="All",G1104=Dashboard!$F$6),OR(Dashboard!$I$6="All",H1104=Dashboard!$I$6)),1,0)</f>
        <v/>
      </c>
    </row>
    <row r="1105">
      <c r="A1105" t="inlineStr">
        <is>
          <t>PF101096</t>
        </is>
      </c>
      <c r="B1105" s="68" t="n">
        <v>45789</v>
      </c>
      <c r="C1105" s="69" t="n">
        <v>2025</v>
      </c>
      <c r="D1105" t="inlineStr">
        <is>
          <t>May</t>
        </is>
      </c>
      <c r="E1105" t="inlineStr">
        <is>
          <t>United States</t>
        </is>
      </c>
      <c r="F1105" t="inlineStr">
        <is>
          <t>USA</t>
        </is>
      </c>
      <c r="G1105" t="inlineStr">
        <is>
          <t>Prevnar 20</t>
        </is>
      </c>
      <c r="H1105" t="inlineStr">
        <is>
          <t>Retail pharmacy</t>
        </is>
      </c>
      <c r="I1105" t="inlineStr">
        <is>
          <t>Public payer</t>
        </is>
      </c>
      <c r="J1105" t="inlineStr">
        <is>
          <t>Sara Rossi</t>
        </is>
      </c>
      <c r="K1105" s="70" t="n">
        <v>2664</v>
      </c>
      <c r="L1105" s="71" t="n">
        <v>342.86</v>
      </c>
      <c r="M1105" s="71" t="n">
        <v>913379.04</v>
      </c>
      <c r="N1105" s="71" t="n">
        <v>274013.71</v>
      </c>
      <c r="O1105" s="71" t="n">
        <v>639365.33</v>
      </c>
      <c r="P1105" s="71" t="n">
        <v>184622.53</v>
      </c>
      <c r="Q1105" s="71" t="n">
        <v>454742.8</v>
      </c>
      <c r="R1105" t="inlineStr">
        <is>
          <t>Vaccines</t>
        </is>
      </c>
      <c r="S1105" s="70" t="n">
        <v>2032</v>
      </c>
      <c r="T1105" s="71" t="n">
        <v>151711.2</v>
      </c>
      <c r="U1105" t="inlineStr">
        <is>
          <t>Low</t>
        </is>
      </c>
      <c r="V1105">
        <f>IF(AND(OR(Dashboard!$C$6="All",E1105=Dashboard!$C$6),OR(Dashboard!$F$6="All",G1105=Dashboard!$F$6),OR(Dashboard!$I$6="All",H1105=Dashboard!$I$6)),1,0)</f>
        <v/>
      </c>
    </row>
    <row r="1106">
      <c r="A1106" t="inlineStr">
        <is>
          <t>PF101097</t>
        </is>
      </c>
      <c r="B1106" s="68" t="n">
        <v>45789</v>
      </c>
      <c r="C1106" s="69" t="n">
        <v>2025</v>
      </c>
      <c r="D1106" t="inlineStr">
        <is>
          <t>May</t>
        </is>
      </c>
      <c r="E1106" t="inlineStr">
        <is>
          <t>United States</t>
        </is>
      </c>
      <c r="F1106" t="inlineStr">
        <is>
          <t>USA</t>
        </is>
      </c>
      <c r="G1106" t="inlineStr">
        <is>
          <t>Prevnar 20</t>
        </is>
      </c>
      <c r="H1106" t="inlineStr">
        <is>
          <t>Retail pharmacy</t>
        </is>
      </c>
      <c r="I1106" t="inlineStr">
        <is>
          <t>Private insurer</t>
        </is>
      </c>
      <c r="J1106" t="inlineStr">
        <is>
          <t>Aisha Bello</t>
        </is>
      </c>
      <c r="K1106" s="70" t="n">
        <v>2213</v>
      </c>
      <c r="L1106" s="71" t="n">
        <v>376.43</v>
      </c>
      <c r="M1106" s="71" t="n">
        <v>833039.59</v>
      </c>
      <c r="N1106" s="71" t="n">
        <v>291563.86</v>
      </c>
      <c r="O1106" s="71" t="n">
        <v>541475.73</v>
      </c>
      <c r="P1106" s="71" t="n">
        <v>149295.57</v>
      </c>
      <c r="Q1106" s="71" t="n">
        <v>392180.16</v>
      </c>
      <c r="R1106" t="inlineStr">
        <is>
          <t>Vaccines</t>
        </is>
      </c>
      <c r="S1106" s="70" t="n">
        <v>2037</v>
      </c>
      <c r="T1106" s="71" t="n">
        <v>135896.07</v>
      </c>
      <c r="U1106" t="inlineStr">
        <is>
          <t>Low</t>
        </is>
      </c>
      <c r="V1106">
        <f>IF(AND(OR(Dashboard!$C$6="All",E1106=Dashboard!$C$6),OR(Dashboard!$F$6="All",G1106=Dashboard!$F$6),OR(Dashboard!$I$6="All",H1106=Dashboard!$I$6)),1,0)</f>
        <v/>
      </c>
    </row>
    <row r="1107">
      <c r="A1107" t="inlineStr">
        <is>
          <t>PF101098</t>
        </is>
      </c>
      <c r="B1107" s="68" t="n">
        <v>45789</v>
      </c>
      <c r="C1107" s="69" t="n">
        <v>2025</v>
      </c>
      <c r="D1107" t="inlineStr">
        <is>
          <t>May</t>
        </is>
      </c>
      <c r="E1107" t="inlineStr">
        <is>
          <t>United States</t>
        </is>
      </c>
      <c r="F1107" t="inlineStr">
        <is>
          <t>USA</t>
        </is>
      </c>
      <c r="G1107" t="inlineStr">
        <is>
          <t>Abrysvo</t>
        </is>
      </c>
      <c r="H1107" t="inlineStr">
        <is>
          <t>Government / tender</t>
        </is>
      </c>
      <c r="I1107" t="inlineStr">
        <is>
          <t>Self-pay</t>
        </is>
      </c>
      <c r="J1107" t="inlineStr">
        <is>
          <t>Yuki Sato</t>
        </is>
      </c>
      <c r="K1107" s="70" t="n">
        <v>1419</v>
      </c>
      <c r="L1107" s="71" t="n">
        <v>476.11</v>
      </c>
      <c r="M1107" s="71" t="n">
        <v>675600.09</v>
      </c>
      <c r="N1107" s="71" t="n">
        <v>202680.03</v>
      </c>
      <c r="O1107" s="71" t="n">
        <v>472920.06</v>
      </c>
      <c r="P1107" s="71" t="n">
        <v>118853.79</v>
      </c>
      <c r="Q1107" s="71" t="n">
        <v>354066.27</v>
      </c>
      <c r="R1107" t="inlineStr">
        <is>
          <t>Vaccines</t>
        </is>
      </c>
      <c r="S1107" s="70" t="n">
        <v>896</v>
      </c>
      <c r="T1107" s="71" t="n">
        <v>87714.5</v>
      </c>
      <c r="U1107" t="inlineStr">
        <is>
          <t>Low</t>
        </is>
      </c>
      <c r="V1107">
        <f>IF(AND(OR(Dashboard!$C$6="All",E1107=Dashboard!$C$6),OR(Dashboard!$F$6="All",G1107=Dashboard!$F$6),OR(Dashboard!$I$6="All",H1107=Dashboard!$I$6)),1,0)</f>
        <v/>
      </c>
    </row>
    <row r="1108">
      <c r="A1108" t="inlineStr">
        <is>
          <t>PF101099</t>
        </is>
      </c>
      <c r="B1108" s="68" t="n">
        <v>45789</v>
      </c>
      <c r="C1108" s="69" t="n">
        <v>2025</v>
      </c>
      <c r="D1108" t="inlineStr">
        <is>
          <t>May</t>
        </is>
      </c>
      <c r="E1108" t="inlineStr">
        <is>
          <t>United States</t>
        </is>
      </c>
      <c r="F1108" t="inlineStr">
        <is>
          <t>USA</t>
        </is>
      </c>
      <c r="G1108" t="inlineStr">
        <is>
          <t>Vyndaqel</t>
        </is>
      </c>
      <c r="H1108" t="inlineStr">
        <is>
          <t>Government / tender</t>
        </is>
      </c>
      <c r="I1108" t="inlineStr">
        <is>
          <t>Private insurer</t>
        </is>
      </c>
      <c r="J1108" t="inlineStr">
        <is>
          <t>Amir Khan</t>
        </is>
      </c>
      <c r="K1108" s="70" t="n">
        <v>412</v>
      </c>
      <c r="L1108" s="71" t="n">
        <v>8957.889999999999</v>
      </c>
      <c r="M1108" s="71" t="n">
        <v>3690650.68</v>
      </c>
      <c r="N1108" s="71" t="n">
        <v>1291727.74</v>
      </c>
      <c r="O1108" s="71" t="n">
        <v>2398922.94</v>
      </c>
      <c r="P1108" s="71" t="n">
        <v>249960.07</v>
      </c>
      <c r="Q1108" s="71" t="n">
        <v>2148962.87</v>
      </c>
      <c r="R1108" t="inlineStr">
        <is>
          <t>Rare disease</t>
        </is>
      </c>
      <c r="S1108" s="70" t="n">
        <v>388</v>
      </c>
      <c r="T1108" s="71" t="n">
        <v>636546.2</v>
      </c>
      <c r="U1108" t="inlineStr">
        <is>
          <t>Medium</t>
        </is>
      </c>
      <c r="V1108">
        <f>IF(AND(OR(Dashboard!$C$6="All",E1108=Dashboard!$C$6),OR(Dashboard!$F$6="All",G1108=Dashboard!$F$6),OR(Dashboard!$I$6="All",H1108=Dashboard!$I$6)),1,0)</f>
        <v/>
      </c>
    </row>
    <row r="1109">
      <c r="A1109" t="inlineStr">
        <is>
          <t>PF101100</t>
        </is>
      </c>
      <c r="B1109" s="68" t="n">
        <v>45789</v>
      </c>
      <c r="C1109" s="69" t="n">
        <v>2025</v>
      </c>
      <c r="D1109" t="inlineStr">
        <is>
          <t>May</t>
        </is>
      </c>
      <c r="E1109" t="inlineStr">
        <is>
          <t>Europe</t>
        </is>
      </c>
      <c r="F1109" t="inlineStr">
        <is>
          <t>Germany</t>
        </is>
      </c>
      <c r="G1109" t="inlineStr">
        <is>
          <t>Comirnaty</t>
        </is>
      </c>
      <c r="H1109" t="inlineStr">
        <is>
          <t>Retail pharmacy</t>
        </is>
      </c>
      <c r="I1109" t="inlineStr">
        <is>
          <t>Private insurer</t>
        </is>
      </c>
      <c r="J1109" t="inlineStr">
        <is>
          <t>Arjun Mehta</t>
        </is>
      </c>
      <c r="K1109" s="70" t="n">
        <v>339</v>
      </c>
      <c r="L1109" s="71" t="n">
        <v>115.16</v>
      </c>
      <c r="M1109" s="71" t="n">
        <v>39039.24</v>
      </c>
      <c r="N1109" s="71" t="n">
        <v>1951.96</v>
      </c>
      <c r="O1109" s="71" t="n">
        <v>37087.28</v>
      </c>
      <c r="P1109" s="71" t="n">
        <v>12685.82</v>
      </c>
      <c r="Q1109" s="71" t="n">
        <v>24401.46</v>
      </c>
      <c r="R1109" t="inlineStr">
        <is>
          <t>Vaccines</t>
        </is>
      </c>
      <c r="S1109" s="70" t="n">
        <v>335</v>
      </c>
      <c r="T1109" s="71" t="n">
        <v>6867.88</v>
      </c>
      <c r="U1109" t="inlineStr">
        <is>
          <t>Low</t>
        </is>
      </c>
      <c r="V1109">
        <f>IF(AND(OR(Dashboard!$C$6="All",E1109=Dashboard!$C$6),OR(Dashboard!$F$6="All",G1109=Dashboard!$F$6),OR(Dashboard!$I$6="All",H1109=Dashboard!$I$6)),1,0)</f>
        <v/>
      </c>
    </row>
    <row r="1110">
      <c r="A1110" t="inlineStr">
        <is>
          <t>PF101101</t>
        </is>
      </c>
      <c r="B1110" s="68" t="n">
        <v>45789</v>
      </c>
      <c r="C1110" s="69" t="n">
        <v>2025</v>
      </c>
      <c r="D1110" t="inlineStr">
        <is>
          <t>May</t>
        </is>
      </c>
      <c r="E1110" t="inlineStr">
        <is>
          <t>United States</t>
        </is>
      </c>
      <c r="F1110" t="inlineStr">
        <is>
          <t>USA</t>
        </is>
      </c>
      <c r="G1110" t="inlineStr">
        <is>
          <t>Eliquis</t>
        </is>
      </c>
      <c r="H1110" t="inlineStr">
        <is>
          <t>Hospital</t>
        </is>
      </c>
      <c r="I1110" t="inlineStr">
        <is>
          <t>Public payer</t>
        </is>
      </c>
      <c r="J1110" t="inlineStr">
        <is>
          <t>Liam O'Brien</t>
        </is>
      </c>
      <c r="K1110" s="70" t="n">
        <v>2926</v>
      </c>
      <c r="L1110" s="71" t="n">
        <v>609.14</v>
      </c>
      <c r="M1110" s="71" t="n">
        <v>1782343.64</v>
      </c>
      <c r="N1110" s="71" t="n">
        <v>623820.27</v>
      </c>
      <c r="O1110" s="71" t="n">
        <v>1158523.37</v>
      </c>
      <c r="P1110" s="71" t="n">
        <v>224542.36</v>
      </c>
      <c r="Q1110" s="71" t="n">
        <v>933981.01</v>
      </c>
      <c r="R1110" t="inlineStr">
        <is>
          <t>Cardiology</t>
        </is>
      </c>
      <c r="S1110" s="70" t="n">
        <v>2113</v>
      </c>
      <c r="T1110" s="71" t="n">
        <v>269008.92</v>
      </c>
      <c r="U1110" t="inlineStr">
        <is>
          <t>High</t>
        </is>
      </c>
      <c r="V1110">
        <f>IF(AND(OR(Dashboard!$C$6="All",E1110=Dashboard!$C$6),OR(Dashboard!$F$6="All",G1110=Dashboard!$F$6),OR(Dashboard!$I$6="All",H1110=Dashboard!$I$6)),1,0)</f>
        <v/>
      </c>
    </row>
    <row r="1111">
      <c r="A1111" t="inlineStr">
        <is>
          <t>PF101102</t>
        </is>
      </c>
      <c r="B1111" s="68" t="n">
        <v>45789</v>
      </c>
      <c r="C1111" s="69" t="n">
        <v>2025</v>
      </c>
      <c r="D1111" t="inlineStr">
        <is>
          <t>May</t>
        </is>
      </c>
      <c r="E1111" t="inlineStr">
        <is>
          <t>Europe</t>
        </is>
      </c>
      <c r="F1111" t="inlineStr">
        <is>
          <t>Italy</t>
        </is>
      </c>
      <c r="G1111" t="inlineStr">
        <is>
          <t>Prevnar 20</t>
        </is>
      </c>
      <c r="H1111" t="inlineStr">
        <is>
          <t>Government / tender</t>
        </is>
      </c>
      <c r="I1111" t="inlineStr">
        <is>
          <t>Private insurer</t>
        </is>
      </c>
      <c r="J1111" t="inlineStr">
        <is>
          <t>Emma Clarke</t>
        </is>
      </c>
      <c r="K1111" s="70" t="n">
        <v>2928</v>
      </c>
      <c r="L1111" s="71" t="n">
        <v>247.48</v>
      </c>
      <c r="M1111" s="71" t="n">
        <v>724621.4399999999</v>
      </c>
      <c r="N1111" s="71" t="n">
        <v>36231.07</v>
      </c>
      <c r="O1111" s="71" t="n">
        <v>688390.37</v>
      </c>
      <c r="P1111" s="71" t="n">
        <v>200891.89</v>
      </c>
      <c r="Q1111" s="71" t="n">
        <v>487498.48</v>
      </c>
      <c r="R1111" t="inlineStr">
        <is>
          <t>Vaccines</t>
        </is>
      </c>
      <c r="S1111" s="70" t="n">
        <v>1898</v>
      </c>
      <c r="T1111" s="71" t="n">
        <v>153658.09</v>
      </c>
      <c r="U1111" t="inlineStr">
        <is>
          <t>Low</t>
        </is>
      </c>
      <c r="V1111">
        <f>IF(AND(OR(Dashboard!$C$6="All",E1111=Dashboard!$C$6),OR(Dashboard!$F$6="All",G1111=Dashboard!$F$6),OR(Dashboard!$I$6="All",H1111=Dashboard!$I$6)),1,0)</f>
        <v/>
      </c>
    </row>
    <row r="1112">
      <c r="A1112" t="inlineStr">
        <is>
          <t>PF101103</t>
        </is>
      </c>
      <c r="B1112" s="68" t="n">
        <v>45790</v>
      </c>
      <c r="C1112" s="69" t="n">
        <v>2025</v>
      </c>
      <c r="D1112" t="inlineStr">
        <is>
          <t>May</t>
        </is>
      </c>
      <c r="E1112" t="inlineStr">
        <is>
          <t>Europe</t>
        </is>
      </c>
      <c r="F1112" t="inlineStr">
        <is>
          <t>Spain</t>
        </is>
      </c>
      <c r="G1112" t="inlineStr">
        <is>
          <t>Comirnaty</t>
        </is>
      </c>
      <c r="H1112" t="inlineStr">
        <is>
          <t>Hospital</t>
        </is>
      </c>
      <c r="I1112" t="inlineStr">
        <is>
          <t>Private insurer</t>
        </is>
      </c>
      <c r="J1112" t="inlineStr">
        <is>
          <t>Emma Clarke</t>
        </is>
      </c>
      <c r="K1112" s="70" t="n">
        <v>2739</v>
      </c>
      <c r="L1112" s="71" t="n">
        <v>101.02</v>
      </c>
      <c r="M1112" s="71" t="n">
        <v>276693.78</v>
      </c>
      <c r="N1112" s="71" t="n">
        <v>27669.38</v>
      </c>
      <c r="O1112" s="71" t="n">
        <v>249024.4</v>
      </c>
      <c r="P1112" s="71" t="n">
        <v>106852.9</v>
      </c>
      <c r="Q1112" s="71" t="n">
        <v>142171.5</v>
      </c>
      <c r="R1112" t="inlineStr">
        <is>
          <t>Vaccines</t>
        </is>
      </c>
      <c r="S1112" s="70" t="n">
        <v>1835</v>
      </c>
      <c r="T1112" s="71" t="n">
        <v>44637.59</v>
      </c>
      <c r="U1112" t="inlineStr">
        <is>
          <t>Low</t>
        </is>
      </c>
      <c r="V1112">
        <f>IF(AND(OR(Dashboard!$C$6="All",E1112=Dashboard!$C$6),OR(Dashboard!$F$6="All",G1112=Dashboard!$F$6),OR(Dashboard!$I$6="All",H1112=Dashboard!$I$6)),1,0)</f>
        <v/>
      </c>
    </row>
    <row r="1113">
      <c r="A1113" t="inlineStr">
        <is>
          <t>PF101104</t>
        </is>
      </c>
      <c r="B1113" s="68" t="n">
        <v>45790</v>
      </c>
      <c r="C1113" s="69" t="n">
        <v>2025</v>
      </c>
      <c r="D1113" t="inlineStr">
        <is>
          <t>May</t>
        </is>
      </c>
      <c r="E1113" t="inlineStr">
        <is>
          <t>Emerging markets</t>
        </is>
      </c>
      <c r="F1113" t="inlineStr">
        <is>
          <t>India</t>
        </is>
      </c>
      <c r="G1113" t="inlineStr">
        <is>
          <t>Prevnar 20</t>
        </is>
      </c>
      <c r="H1113" t="inlineStr">
        <is>
          <t>Hospital</t>
        </is>
      </c>
      <c r="I1113" t="inlineStr">
        <is>
          <t>Public payer</t>
        </is>
      </c>
      <c r="J1113" t="inlineStr">
        <is>
          <t>Yuki Sato</t>
        </is>
      </c>
      <c r="K1113" s="70" t="n">
        <v>1567</v>
      </c>
      <c r="L1113" s="71" t="n">
        <v>214.04</v>
      </c>
      <c r="M1113" s="71" t="n">
        <v>335400.68</v>
      </c>
      <c r="N1113" s="71" t="n">
        <v>33540.07</v>
      </c>
      <c r="O1113" s="71" t="n">
        <v>301860.61</v>
      </c>
      <c r="P1113" s="71" t="n">
        <v>104210.26</v>
      </c>
      <c r="Q1113" s="71" t="n">
        <v>197650.35</v>
      </c>
      <c r="R1113" t="inlineStr">
        <is>
          <t>Vaccines</t>
        </is>
      </c>
      <c r="S1113" s="70" t="n">
        <v>1381</v>
      </c>
      <c r="T1113" s="71" t="n">
        <v>61835.25</v>
      </c>
      <c r="U1113" t="inlineStr">
        <is>
          <t>Low</t>
        </is>
      </c>
      <c r="V1113">
        <f>IF(AND(OR(Dashboard!$C$6="All",E1113=Dashboard!$C$6),OR(Dashboard!$F$6="All",G1113=Dashboard!$F$6),OR(Dashboard!$I$6="All",H1113=Dashboard!$I$6)),1,0)</f>
        <v/>
      </c>
    </row>
    <row r="1114">
      <c r="A1114" t="inlineStr">
        <is>
          <t>PF101105</t>
        </is>
      </c>
      <c r="B1114" s="68" t="n">
        <v>45790</v>
      </c>
      <c r="C1114" s="69" t="n">
        <v>2025</v>
      </c>
      <c r="D1114" t="inlineStr">
        <is>
          <t>May</t>
        </is>
      </c>
      <c r="E1114" t="inlineStr">
        <is>
          <t>United States</t>
        </is>
      </c>
      <c r="F1114" t="inlineStr">
        <is>
          <t>USA</t>
        </is>
      </c>
      <c r="G1114" t="inlineStr">
        <is>
          <t>Prevnar 20</t>
        </is>
      </c>
      <c r="H1114" t="inlineStr">
        <is>
          <t>Hospital</t>
        </is>
      </c>
      <c r="I1114" t="inlineStr">
        <is>
          <t>Public payer</t>
        </is>
      </c>
      <c r="J1114" t="inlineStr">
        <is>
          <t>Sara Rossi</t>
        </is>
      </c>
      <c r="K1114" s="70" t="n">
        <v>837</v>
      </c>
      <c r="L1114" s="71" t="n">
        <v>334.64</v>
      </c>
      <c r="M1114" s="71" t="n">
        <v>280093.68</v>
      </c>
      <c r="N1114" s="71" t="n">
        <v>84028.10000000001</v>
      </c>
      <c r="O1114" s="71" t="n">
        <v>196065.58</v>
      </c>
      <c r="P1114" s="71" t="n">
        <v>57884.63</v>
      </c>
      <c r="Q1114" s="71" t="n">
        <v>138180.95</v>
      </c>
      <c r="R1114" t="inlineStr">
        <is>
          <t>Vaccines</t>
        </is>
      </c>
      <c r="S1114" s="70" t="n">
        <v>618</v>
      </c>
      <c r="T1114" s="71" t="n">
        <v>40064.31</v>
      </c>
      <c r="U1114" t="inlineStr">
        <is>
          <t>Low</t>
        </is>
      </c>
      <c r="V1114">
        <f>IF(AND(OR(Dashboard!$C$6="All",E1114=Dashboard!$C$6),OR(Dashboard!$F$6="All",G1114=Dashboard!$F$6),OR(Dashboard!$I$6="All",H1114=Dashboard!$I$6)),1,0)</f>
        <v/>
      </c>
    </row>
    <row r="1115">
      <c r="A1115" t="inlineStr">
        <is>
          <t>PF101106</t>
        </is>
      </c>
      <c r="B1115" s="68" t="n">
        <v>45790</v>
      </c>
      <c r="C1115" s="69" t="n">
        <v>2025</v>
      </c>
      <c r="D1115" t="inlineStr">
        <is>
          <t>May</t>
        </is>
      </c>
      <c r="E1115" t="inlineStr">
        <is>
          <t>Emerging markets</t>
        </is>
      </c>
      <c r="F1115" t="inlineStr">
        <is>
          <t>India</t>
        </is>
      </c>
      <c r="G1115" t="inlineStr">
        <is>
          <t>Eliquis</t>
        </is>
      </c>
      <c r="H1115" t="inlineStr">
        <is>
          <t>Government / tender</t>
        </is>
      </c>
      <c r="I1115" t="inlineStr">
        <is>
          <t>Private insurer</t>
        </is>
      </c>
      <c r="J1115" t="inlineStr">
        <is>
          <t>Shraddha Kulkarni</t>
        </is>
      </c>
      <c r="K1115" s="70" t="n">
        <v>1728</v>
      </c>
      <c r="L1115" s="71" t="n">
        <v>391.31</v>
      </c>
      <c r="M1115" s="71" t="n">
        <v>676183.6800000001</v>
      </c>
      <c r="N1115" s="71" t="n">
        <v>135236.74</v>
      </c>
      <c r="O1115" s="71" t="n">
        <v>540946.9399999999</v>
      </c>
      <c r="P1115" s="71" t="n">
        <v>134544.38</v>
      </c>
      <c r="Q1115" s="71" t="n">
        <v>406402.56</v>
      </c>
      <c r="R1115" t="inlineStr">
        <is>
          <t>Cardiology</t>
        </is>
      </c>
      <c r="S1115" s="70" t="n">
        <v>1431</v>
      </c>
      <c r="T1115" s="71" t="n">
        <v>92553.53999999999</v>
      </c>
      <c r="U1115" t="inlineStr">
        <is>
          <t>High</t>
        </is>
      </c>
      <c r="V1115">
        <f>IF(AND(OR(Dashboard!$C$6="All",E1115=Dashboard!$C$6),OR(Dashboard!$F$6="All",G1115=Dashboard!$F$6),OR(Dashboard!$I$6="All",H1115=Dashboard!$I$6)),1,0)</f>
        <v/>
      </c>
    </row>
    <row r="1116">
      <c r="A1116" t="inlineStr">
        <is>
          <t>PF101107</t>
        </is>
      </c>
      <c r="B1116" s="68" t="n">
        <v>45790</v>
      </c>
      <c r="C1116" s="69" t="n">
        <v>2025</v>
      </c>
      <c r="D1116" t="inlineStr">
        <is>
          <t>May</t>
        </is>
      </c>
      <c r="E1116" t="inlineStr">
        <is>
          <t>United States</t>
        </is>
      </c>
      <c r="F1116" t="inlineStr">
        <is>
          <t>USA</t>
        </is>
      </c>
      <c r="G1116" t="inlineStr">
        <is>
          <t>Prevnar 20</t>
        </is>
      </c>
      <c r="H1116" t="inlineStr">
        <is>
          <t>Hospital</t>
        </is>
      </c>
      <c r="I1116" t="inlineStr">
        <is>
          <t>Public payer</t>
        </is>
      </c>
      <c r="J1116" t="inlineStr">
        <is>
          <t>Yuki Sato</t>
        </is>
      </c>
      <c r="K1116" s="70" t="n">
        <v>2004</v>
      </c>
      <c r="L1116" s="71" t="n">
        <v>361.42</v>
      </c>
      <c r="M1116" s="71" t="n">
        <v>724285.6800000001</v>
      </c>
      <c r="N1116" s="71" t="n">
        <v>108642.85</v>
      </c>
      <c r="O1116" s="71" t="n">
        <v>615642.83</v>
      </c>
      <c r="P1116" s="71" t="n">
        <v>141228.6</v>
      </c>
      <c r="Q1116" s="71" t="n">
        <v>474414.23</v>
      </c>
      <c r="R1116" t="inlineStr">
        <is>
          <t>Vaccines</t>
        </is>
      </c>
      <c r="S1116" s="70" t="n">
        <v>1664</v>
      </c>
      <c r="T1116" s="71" t="n">
        <v>136018.9</v>
      </c>
      <c r="U1116" t="inlineStr">
        <is>
          <t>Low</t>
        </is>
      </c>
      <c r="V1116">
        <f>IF(AND(OR(Dashboard!$C$6="All",E1116=Dashboard!$C$6),OR(Dashboard!$F$6="All",G1116=Dashboard!$F$6),OR(Dashboard!$I$6="All",H1116=Dashboard!$I$6)),1,0)</f>
        <v/>
      </c>
    </row>
    <row r="1117">
      <c r="A1117" t="inlineStr">
        <is>
          <t>PF101108</t>
        </is>
      </c>
      <c r="B1117" s="68" t="n">
        <v>45790</v>
      </c>
      <c r="C1117" s="69" t="n">
        <v>2025</v>
      </c>
      <c r="D1117" t="inlineStr">
        <is>
          <t>May</t>
        </is>
      </c>
      <c r="E1117" t="inlineStr">
        <is>
          <t>Emerging markets</t>
        </is>
      </c>
      <c r="F1117" t="inlineStr">
        <is>
          <t>Brazil</t>
        </is>
      </c>
      <c r="G1117" t="inlineStr">
        <is>
          <t>Paxlovid</t>
        </is>
      </c>
      <c r="H1117" t="inlineStr">
        <is>
          <t>Hospital</t>
        </is>
      </c>
      <c r="I1117" t="inlineStr">
        <is>
          <t>Private insurer</t>
        </is>
      </c>
      <c r="J1117" t="inlineStr">
        <is>
          <t>Kofi Mensah</t>
        </is>
      </c>
      <c r="K1117" s="70" t="n">
        <v>1564</v>
      </c>
      <c r="L1117" s="71" t="n">
        <v>1133.83</v>
      </c>
      <c r="M1117" s="71" t="n">
        <v>1773310.12</v>
      </c>
      <c r="N1117" s="71" t="n">
        <v>88665.50999999999</v>
      </c>
      <c r="O1117" s="71" t="n">
        <v>1684644.61</v>
      </c>
      <c r="P1117" s="71" t="n">
        <v>421888.16</v>
      </c>
      <c r="Q1117" s="71" t="n">
        <v>1262756.45</v>
      </c>
      <c r="R1117" t="inlineStr">
        <is>
          <t>Antiviral</t>
        </is>
      </c>
      <c r="S1117" s="70" t="n">
        <v>1354</v>
      </c>
      <c r="T1117" s="71" t="n">
        <v>372805.64</v>
      </c>
      <c r="U1117" t="inlineStr">
        <is>
          <t>Low</t>
        </is>
      </c>
      <c r="V1117">
        <f>IF(AND(OR(Dashboard!$C$6="All",E1117=Dashboard!$C$6),OR(Dashboard!$F$6="All",G1117=Dashboard!$F$6),OR(Dashboard!$I$6="All",H1117=Dashboard!$I$6)),1,0)</f>
        <v/>
      </c>
    </row>
    <row r="1118">
      <c r="A1118" t="inlineStr">
        <is>
          <t>PF101109</t>
        </is>
      </c>
      <c r="B1118" s="68" t="n">
        <v>45790</v>
      </c>
      <c r="C1118" s="69" t="n">
        <v>2025</v>
      </c>
      <c r="D1118" t="inlineStr">
        <is>
          <t>May</t>
        </is>
      </c>
      <c r="E1118" t="inlineStr">
        <is>
          <t>United States</t>
        </is>
      </c>
      <c r="F1118" t="inlineStr">
        <is>
          <t>USA</t>
        </is>
      </c>
      <c r="G1118" t="inlineStr">
        <is>
          <t>Prevnar 20</t>
        </is>
      </c>
      <c r="H1118" t="inlineStr">
        <is>
          <t>Hospital</t>
        </is>
      </c>
      <c r="I1118" t="inlineStr">
        <is>
          <t>Public payer</t>
        </is>
      </c>
      <c r="J1118" t="inlineStr">
        <is>
          <t>Ravindra Patil</t>
        </is>
      </c>
      <c r="K1118" s="70" t="n">
        <v>234</v>
      </c>
      <c r="L1118" s="71" t="n">
        <v>337.92</v>
      </c>
      <c r="M1118" s="71" t="n">
        <v>79073.28</v>
      </c>
      <c r="N1118" s="71" t="n">
        <v>27675.65</v>
      </c>
      <c r="O1118" s="71" t="n">
        <v>51397.63</v>
      </c>
      <c r="P1118" s="71" t="n">
        <v>16112.31</v>
      </c>
      <c r="Q1118" s="71" t="n">
        <v>35285.32</v>
      </c>
      <c r="R1118" t="inlineStr">
        <is>
          <t>Vaccines</t>
        </is>
      </c>
      <c r="S1118" s="70" t="n">
        <v>202</v>
      </c>
      <c r="T1118" s="71" t="n">
        <v>13336.9</v>
      </c>
      <c r="U1118" t="inlineStr">
        <is>
          <t>Low</t>
        </is>
      </c>
      <c r="V1118">
        <f>IF(AND(OR(Dashboard!$C$6="All",E1118=Dashboard!$C$6),OR(Dashboard!$F$6="All",G1118=Dashboard!$F$6),OR(Dashboard!$I$6="All",H1118=Dashboard!$I$6)),1,0)</f>
        <v/>
      </c>
    </row>
    <row r="1119">
      <c r="A1119" t="inlineStr">
        <is>
          <t>PF101110</t>
        </is>
      </c>
      <c r="B1119" s="68" t="n">
        <v>45791</v>
      </c>
      <c r="C1119" s="69" t="n">
        <v>2025</v>
      </c>
      <c r="D1119" t="inlineStr">
        <is>
          <t>May</t>
        </is>
      </c>
      <c r="E1119" t="inlineStr">
        <is>
          <t>United States</t>
        </is>
      </c>
      <c r="F1119" t="inlineStr">
        <is>
          <t>USA</t>
        </is>
      </c>
      <c r="G1119" t="inlineStr">
        <is>
          <t>Eliquis</t>
        </is>
      </c>
      <c r="H1119" t="inlineStr">
        <is>
          <t>Government / tender</t>
        </is>
      </c>
      <c r="I1119" t="inlineStr">
        <is>
          <t>Self-pay</t>
        </is>
      </c>
      <c r="J1119" t="inlineStr">
        <is>
          <t>Lucas Martin</t>
        </is>
      </c>
      <c r="K1119" s="70" t="n">
        <v>1270</v>
      </c>
      <c r="L1119" s="71" t="n">
        <v>727.38</v>
      </c>
      <c r="M1119" s="71" t="n">
        <v>923772.6</v>
      </c>
      <c r="N1119" s="71" t="n">
        <v>184754.52</v>
      </c>
      <c r="O1119" s="71" t="n">
        <v>739018.08</v>
      </c>
      <c r="P1119" s="71" t="n">
        <v>94825.27</v>
      </c>
      <c r="Q1119" s="71" t="n">
        <v>644192.8100000001</v>
      </c>
      <c r="R1119" t="inlineStr">
        <is>
          <t>Cardiology</t>
        </is>
      </c>
      <c r="S1119" s="70" t="n">
        <v>924</v>
      </c>
      <c r="T1119" s="71" t="n">
        <v>201308.92</v>
      </c>
      <c r="U1119" t="inlineStr">
        <is>
          <t>High</t>
        </is>
      </c>
      <c r="V1119">
        <f>IF(AND(OR(Dashboard!$C$6="All",E1119=Dashboard!$C$6),OR(Dashboard!$F$6="All",G1119=Dashboard!$F$6),OR(Dashboard!$I$6="All",H1119=Dashboard!$I$6)),1,0)</f>
        <v/>
      </c>
    </row>
    <row r="1120">
      <c r="A1120" t="inlineStr">
        <is>
          <t>PF101111</t>
        </is>
      </c>
      <c r="B1120" s="68" t="n">
        <v>45791</v>
      </c>
      <c r="C1120" s="69" t="n">
        <v>2025</v>
      </c>
      <c r="D1120" t="inlineStr">
        <is>
          <t>May</t>
        </is>
      </c>
      <c r="E1120" t="inlineStr">
        <is>
          <t>Emerging markets</t>
        </is>
      </c>
      <c r="F1120" t="inlineStr">
        <is>
          <t>China</t>
        </is>
      </c>
      <c r="G1120" t="inlineStr">
        <is>
          <t>Prevnar 20</t>
        </is>
      </c>
      <c r="H1120" t="inlineStr">
        <is>
          <t>Retail pharmacy</t>
        </is>
      </c>
      <c r="I1120" t="inlineStr">
        <is>
          <t>Private insurer</t>
        </is>
      </c>
      <c r="J1120" t="inlineStr">
        <is>
          <t>Ravindra Patil</t>
        </is>
      </c>
      <c r="K1120" s="70" t="n">
        <v>1640</v>
      </c>
      <c r="L1120" s="71" t="n">
        <v>243.02</v>
      </c>
      <c r="M1120" s="71" t="n">
        <v>398552.8</v>
      </c>
      <c r="N1120" s="71" t="n">
        <v>19927.64</v>
      </c>
      <c r="O1120" s="71" t="n">
        <v>378625.16</v>
      </c>
      <c r="P1120" s="71" t="n">
        <v>111498.43</v>
      </c>
      <c r="Q1120" s="71" t="n">
        <v>267126.73</v>
      </c>
      <c r="R1120" t="inlineStr">
        <is>
          <t>Vaccines</t>
        </is>
      </c>
      <c r="S1120" s="70" t="n">
        <v>1081</v>
      </c>
      <c r="T1120" s="71" t="n">
        <v>63515.07</v>
      </c>
      <c r="U1120" t="inlineStr">
        <is>
          <t>Low</t>
        </is>
      </c>
      <c r="V1120">
        <f>IF(AND(OR(Dashboard!$C$6="All",E1120=Dashboard!$C$6),OR(Dashboard!$F$6="All",G1120=Dashboard!$F$6),OR(Dashboard!$I$6="All",H1120=Dashboard!$I$6)),1,0)</f>
        <v/>
      </c>
    </row>
    <row r="1121">
      <c r="A1121" t="inlineStr">
        <is>
          <t>PF101112</t>
        </is>
      </c>
      <c r="B1121" s="68" t="n">
        <v>45791</v>
      </c>
      <c r="C1121" s="69" t="n">
        <v>2025</v>
      </c>
      <c r="D1121" t="inlineStr">
        <is>
          <t>May</t>
        </is>
      </c>
      <c r="E1121" t="inlineStr">
        <is>
          <t>Europe</t>
        </is>
      </c>
      <c r="F1121" t="inlineStr">
        <is>
          <t>Germany</t>
        </is>
      </c>
      <c r="G1121" t="inlineStr">
        <is>
          <t>Comirnaty</t>
        </is>
      </c>
      <c r="H1121" t="inlineStr">
        <is>
          <t>Government / tender</t>
        </is>
      </c>
      <c r="I1121" t="inlineStr">
        <is>
          <t>Public payer</t>
        </is>
      </c>
      <c r="J1121" t="inlineStr">
        <is>
          <t>Mei Lin</t>
        </is>
      </c>
      <c r="K1121" s="70" t="n">
        <v>2514</v>
      </c>
      <c r="L1121" s="71" t="n">
        <v>111.72</v>
      </c>
      <c r="M1121" s="71" t="n">
        <v>280864.08</v>
      </c>
      <c r="N1121" s="71" t="n">
        <v>56172.82</v>
      </c>
      <c r="O1121" s="71" t="n">
        <v>224691.26</v>
      </c>
      <c r="P1121" s="71" t="n">
        <v>98347.86</v>
      </c>
      <c r="Q1121" s="71" t="n">
        <v>126343.4</v>
      </c>
      <c r="R1121" t="inlineStr">
        <is>
          <t>Vaccines</t>
        </is>
      </c>
      <c r="S1121" s="70" t="n">
        <v>1900</v>
      </c>
      <c r="T1121" s="71" t="n">
        <v>50973.6</v>
      </c>
      <c r="U1121" t="inlineStr">
        <is>
          <t>Low</t>
        </is>
      </c>
      <c r="V1121">
        <f>IF(AND(OR(Dashboard!$C$6="All",E1121=Dashboard!$C$6),OR(Dashboard!$F$6="All",G1121=Dashboard!$F$6),OR(Dashboard!$I$6="All",H1121=Dashboard!$I$6)),1,0)</f>
        <v/>
      </c>
    </row>
    <row r="1122">
      <c r="A1122" t="inlineStr">
        <is>
          <t>PF101113</t>
        </is>
      </c>
      <c r="B1122" s="68" t="n">
        <v>45791</v>
      </c>
      <c r="C1122" s="69" t="n">
        <v>2025</v>
      </c>
      <c r="D1122" t="inlineStr">
        <is>
          <t>May</t>
        </is>
      </c>
      <c r="E1122" t="inlineStr">
        <is>
          <t>Europe</t>
        </is>
      </c>
      <c r="F1122" t="inlineStr">
        <is>
          <t>Germany</t>
        </is>
      </c>
      <c r="G1122" t="inlineStr">
        <is>
          <t>Ibrance</t>
        </is>
      </c>
      <c r="H1122" t="inlineStr">
        <is>
          <t>Hospital</t>
        </is>
      </c>
      <c r="I1122" t="inlineStr">
        <is>
          <t>Private insurer</t>
        </is>
      </c>
      <c r="J1122" t="inlineStr">
        <is>
          <t>Lucas Martin</t>
        </is>
      </c>
      <c r="K1122" s="70" t="n">
        <v>1326</v>
      </c>
      <c r="L1122" s="71" t="n">
        <v>2834.81</v>
      </c>
      <c r="M1122" s="71" t="n">
        <v>3758958.06</v>
      </c>
      <c r="N1122" s="71" t="n">
        <v>751791.61</v>
      </c>
      <c r="O1122" s="71" t="n">
        <v>3007166.45</v>
      </c>
      <c r="P1122" s="71" t="n">
        <v>589163.42</v>
      </c>
      <c r="Q1122" s="71" t="n">
        <v>2418003.03</v>
      </c>
      <c r="R1122" t="inlineStr">
        <is>
          <t>Oncology</t>
        </is>
      </c>
      <c r="S1122" s="70" t="n">
        <v>1043</v>
      </c>
      <c r="T1122" s="71" t="n">
        <v>651740.62</v>
      </c>
      <c r="U1122" t="inlineStr">
        <is>
          <t>High</t>
        </is>
      </c>
      <c r="V1122">
        <f>IF(AND(OR(Dashboard!$C$6="All",E1122=Dashboard!$C$6),OR(Dashboard!$F$6="All",G1122=Dashboard!$F$6),OR(Dashboard!$I$6="All",H1122=Dashboard!$I$6)),1,0)</f>
        <v/>
      </c>
    </row>
    <row r="1123">
      <c r="A1123" t="inlineStr">
        <is>
          <t>PF101114</t>
        </is>
      </c>
      <c r="B1123" s="68" t="n">
        <v>45791</v>
      </c>
      <c r="C1123" s="69" t="n">
        <v>2025</v>
      </c>
      <c r="D1123" t="inlineStr">
        <is>
          <t>May</t>
        </is>
      </c>
      <c r="E1123" t="inlineStr">
        <is>
          <t>Emerging markets</t>
        </is>
      </c>
      <c r="F1123" t="inlineStr">
        <is>
          <t>Mexico</t>
        </is>
      </c>
      <c r="G1123" t="inlineStr">
        <is>
          <t>Comirnaty</t>
        </is>
      </c>
      <c r="H1123" t="inlineStr">
        <is>
          <t>Retail pharmacy</t>
        </is>
      </c>
      <c r="I1123" t="inlineStr">
        <is>
          <t>Private insurer</t>
        </is>
      </c>
      <c r="J1123" t="inlineStr">
        <is>
          <t>Wei Chen</t>
        </is>
      </c>
      <c r="K1123" s="70" t="n">
        <v>1499</v>
      </c>
      <c r="L1123" s="71" t="n">
        <v>103.61</v>
      </c>
      <c r="M1123" s="71" t="n">
        <v>155311.39</v>
      </c>
      <c r="N1123" s="71" t="n">
        <v>38827.85</v>
      </c>
      <c r="O1123" s="71" t="n">
        <v>116483.54</v>
      </c>
      <c r="P1123" s="71" t="n">
        <v>59810.58</v>
      </c>
      <c r="Q1123" s="71" t="n">
        <v>56672.96</v>
      </c>
      <c r="R1123" t="inlineStr">
        <is>
          <t>Vaccines</t>
        </is>
      </c>
      <c r="S1123" s="70" t="n">
        <v>943</v>
      </c>
      <c r="T1123" s="71" t="n">
        <v>28468.16</v>
      </c>
      <c r="U1123" t="inlineStr">
        <is>
          <t>Low</t>
        </is>
      </c>
      <c r="V1123">
        <f>IF(AND(OR(Dashboard!$C$6="All",E1123=Dashboard!$C$6),OR(Dashboard!$F$6="All",G1123=Dashboard!$F$6),OR(Dashboard!$I$6="All",H1123=Dashboard!$I$6)),1,0)</f>
        <v/>
      </c>
    </row>
    <row r="1124">
      <c r="A1124" t="inlineStr">
        <is>
          <t>PF101115</t>
        </is>
      </c>
      <c r="B1124" s="68" t="n">
        <v>45791</v>
      </c>
      <c r="C1124" s="69" t="n">
        <v>2025</v>
      </c>
      <c r="D1124" t="inlineStr">
        <is>
          <t>May</t>
        </is>
      </c>
      <c r="E1124" t="inlineStr">
        <is>
          <t>Europe</t>
        </is>
      </c>
      <c r="F1124" t="inlineStr">
        <is>
          <t>Spain</t>
        </is>
      </c>
      <c r="G1124" t="inlineStr">
        <is>
          <t>Ibrance</t>
        </is>
      </c>
      <c r="H1124" t="inlineStr">
        <is>
          <t>Retail pharmacy</t>
        </is>
      </c>
      <c r="I1124" t="inlineStr">
        <is>
          <t>Private insurer</t>
        </is>
      </c>
      <c r="J1124" t="inlineStr">
        <is>
          <t>Carlos Silva</t>
        </is>
      </c>
      <c r="K1124" s="70" t="n">
        <v>2184</v>
      </c>
      <c r="L1124" s="71" t="n">
        <v>2979.87</v>
      </c>
      <c r="M1124" s="71" t="n">
        <v>6508036.08</v>
      </c>
      <c r="N1124" s="71" t="n">
        <v>976205.41</v>
      </c>
      <c r="O1124" s="71" t="n">
        <v>5531830.67</v>
      </c>
      <c r="P1124" s="71" t="n">
        <v>939526.97</v>
      </c>
      <c r="Q1124" s="71" t="n">
        <v>4592303.7</v>
      </c>
      <c r="R1124" t="inlineStr">
        <is>
          <t>Oncology</t>
        </is>
      </c>
      <c r="S1124" s="70" t="n">
        <v>2023</v>
      </c>
      <c r="T1124" s="71" t="n">
        <v>1090620.18</v>
      </c>
      <c r="U1124" t="inlineStr">
        <is>
          <t>High</t>
        </is>
      </c>
      <c r="V1124">
        <f>IF(AND(OR(Dashboard!$C$6="All",E1124=Dashboard!$C$6),OR(Dashboard!$F$6="All",G1124=Dashboard!$F$6),OR(Dashboard!$I$6="All",H1124=Dashboard!$I$6)),1,0)</f>
        <v/>
      </c>
    </row>
    <row r="1125">
      <c r="A1125" t="inlineStr">
        <is>
          <t>PF101116</t>
        </is>
      </c>
      <c r="B1125" s="68" t="n">
        <v>45791</v>
      </c>
      <c r="C1125" s="69" t="n">
        <v>2025</v>
      </c>
      <c r="D1125" t="inlineStr">
        <is>
          <t>May</t>
        </is>
      </c>
      <c r="E1125" t="inlineStr">
        <is>
          <t>Emerging markets</t>
        </is>
      </c>
      <c r="F1125" t="inlineStr">
        <is>
          <t>India</t>
        </is>
      </c>
      <c r="G1125" t="inlineStr">
        <is>
          <t>Paxlovid</t>
        </is>
      </c>
      <c r="H1125" t="inlineStr">
        <is>
          <t>Government / tender</t>
        </is>
      </c>
      <c r="I1125" t="inlineStr">
        <is>
          <t>Public payer</t>
        </is>
      </c>
      <c r="J1125" t="inlineStr">
        <is>
          <t>Yuki Sato</t>
        </is>
      </c>
      <c r="K1125" s="70" t="n">
        <v>254</v>
      </c>
      <c r="L1125" s="71" t="n">
        <v>1179.39</v>
      </c>
      <c r="M1125" s="71" t="n">
        <v>299565.06</v>
      </c>
      <c r="N1125" s="71" t="n">
        <v>29956.51</v>
      </c>
      <c r="O1125" s="71" t="n">
        <v>269608.55</v>
      </c>
      <c r="P1125" s="71" t="n">
        <v>68050.49000000001</v>
      </c>
      <c r="Q1125" s="71" t="n">
        <v>201558.06</v>
      </c>
      <c r="R1125" t="inlineStr">
        <is>
          <t>Antiviral</t>
        </is>
      </c>
      <c r="S1125" s="70" t="n">
        <v>221</v>
      </c>
      <c r="T1125" s="71" t="n">
        <v>49704.03</v>
      </c>
      <c r="U1125" t="inlineStr">
        <is>
          <t>Low</t>
        </is>
      </c>
      <c r="V1125">
        <f>IF(AND(OR(Dashboard!$C$6="All",E1125=Dashboard!$C$6),OR(Dashboard!$F$6="All",G1125=Dashboard!$F$6),OR(Dashboard!$I$6="All",H1125=Dashboard!$I$6)),1,0)</f>
        <v/>
      </c>
    </row>
    <row r="1126">
      <c r="A1126" t="inlineStr">
        <is>
          <t>PF101117</t>
        </is>
      </c>
      <c r="B1126" s="68" t="n">
        <v>45792</v>
      </c>
      <c r="C1126" s="69" t="n">
        <v>2025</v>
      </c>
      <c r="D1126" t="inlineStr">
        <is>
          <t>May</t>
        </is>
      </c>
      <c r="E1126" t="inlineStr">
        <is>
          <t>United States</t>
        </is>
      </c>
      <c r="F1126" t="inlineStr">
        <is>
          <t>USA</t>
        </is>
      </c>
      <c r="G1126" t="inlineStr">
        <is>
          <t>Comirnaty</t>
        </is>
      </c>
      <c r="H1126" t="inlineStr">
        <is>
          <t>Hospital</t>
        </is>
      </c>
      <c r="I1126" t="inlineStr">
        <is>
          <t>Public payer</t>
        </is>
      </c>
      <c r="J1126" t="inlineStr">
        <is>
          <t>Noah Smith</t>
        </is>
      </c>
      <c r="K1126" s="70" t="n">
        <v>2844</v>
      </c>
      <c r="L1126" s="71" t="n">
        <v>188.24</v>
      </c>
      <c r="M1126" s="71" t="n">
        <v>535354.5600000001</v>
      </c>
      <c r="N1126" s="71" t="n">
        <v>107070.91</v>
      </c>
      <c r="O1126" s="71" t="n">
        <v>428283.65</v>
      </c>
      <c r="P1126" s="71" t="n">
        <v>113717.79</v>
      </c>
      <c r="Q1126" s="71" t="n">
        <v>314565.86</v>
      </c>
      <c r="R1126" t="inlineStr">
        <is>
          <t>Vaccines</t>
        </is>
      </c>
      <c r="S1126" s="70" t="n">
        <v>2724</v>
      </c>
      <c r="T1126" s="71" t="n">
        <v>108197.35</v>
      </c>
      <c r="U1126" t="inlineStr">
        <is>
          <t>Low</t>
        </is>
      </c>
      <c r="V1126">
        <f>IF(AND(OR(Dashboard!$C$6="All",E1126=Dashboard!$C$6),OR(Dashboard!$F$6="All",G1126=Dashboard!$F$6),OR(Dashboard!$I$6="All",H1126=Dashboard!$I$6)),1,0)</f>
        <v/>
      </c>
    </row>
    <row r="1127">
      <c r="A1127" t="inlineStr">
        <is>
          <t>PF101118</t>
        </is>
      </c>
      <c r="B1127" s="68" t="n">
        <v>45792</v>
      </c>
      <c r="C1127" s="69" t="n">
        <v>2025</v>
      </c>
      <c r="D1127" t="inlineStr">
        <is>
          <t>May</t>
        </is>
      </c>
      <c r="E1127" t="inlineStr">
        <is>
          <t>Europe</t>
        </is>
      </c>
      <c r="F1127" t="inlineStr">
        <is>
          <t>UK</t>
        </is>
      </c>
      <c r="G1127" t="inlineStr">
        <is>
          <t>Vyndaqel</t>
        </is>
      </c>
      <c r="H1127" t="inlineStr">
        <is>
          <t>Government / tender</t>
        </is>
      </c>
      <c r="I1127" t="inlineStr">
        <is>
          <t>Private insurer</t>
        </is>
      </c>
      <c r="J1127" t="inlineStr">
        <is>
          <t>Sophie Müller</t>
        </is>
      </c>
      <c r="K1127" s="70" t="n">
        <v>2992</v>
      </c>
      <c r="L1127" s="71" t="n">
        <v>5221.66</v>
      </c>
      <c r="M1127" s="71" t="n">
        <v>15623206.72</v>
      </c>
      <c r="N1127" s="71" t="n">
        <v>3124641.34</v>
      </c>
      <c r="O1127" s="71" t="n">
        <v>12498565.38</v>
      </c>
      <c r="P1127" s="71" t="n">
        <v>1813524.99</v>
      </c>
      <c r="Q1127" s="71" t="n">
        <v>10685040.39</v>
      </c>
      <c r="R1127" t="inlineStr">
        <is>
          <t>Rare disease</t>
        </is>
      </c>
      <c r="S1127" s="70" t="n">
        <v>2733</v>
      </c>
      <c r="T1127" s="71" t="n">
        <v>3422130.33</v>
      </c>
      <c r="U1127" t="inlineStr">
        <is>
          <t>Medium</t>
        </is>
      </c>
      <c r="V1127">
        <f>IF(AND(OR(Dashboard!$C$6="All",E1127=Dashboard!$C$6),OR(Dashboard!$F$6="All",G1127=Dashboard!$F$6),OR(Dashboard!$I$6="All",H1127=Dashboard!$I$6)),1,0)</f>
        <v/>
      </c>
    </row>
    <row r="1128">
      <c r="A1128" t="inlineStr">
        <is>
          <t>PF101119</t>
        </is>
      </c>
      <c r="B1128" s="68" t="n">
        <v>45792</v>
      </c>
      <c r="C1128" s="69" t="n">
        <v>2025</v>
      </c>
      <c r="D1128" t="inlineStr">
        <is>
          <t>May</t>
        </is>
      </c>
      <c r="E1128" t="inlineStr">
        <is>
          <t>United States</t>
        </is>
      </c>
      <c r="F1128" t="inlineStr">
        <is>
          <t>USA</t>
        </is>
      </c>
      <c r="G1128" t="inlineStr">
        <is>
          <t>Eliquis</t>
        </is>
      </c>
      <c r="H1128" t="inlineStr">
        <is>
          <t>Government / tender</t>
        </is>
      </c>
      <c r="I1128" t="inlineStr">
        <is>
          <t>Public payer</t>
        </is>
      </c>
      <c r="J1128" t="inlineStr">
        <is>
          <t>Fatima Al-Saud</t>
        </is>
      </c>
      <c r="K1128" s="70" t="n">
        <v>1701</v>
      </c>
      <c r="L1128" s="71" t="n">
        <v>618.1799999999999</v>
      </c>
      <c r="M1128" s="71" t="n">
        <v>1051524.18</v>
      </c>
      <c r="N1128" s="71" t="n">
        <v>157728.63</v>
      </c>
      <c r="O1128" s="71" t="n">
        <v>893795.55</v>
      </c>
      <c r="P1128" s="71" t="n">
        <v>125093.04</v>
      </c>
      <c r="Q1128" s="71" t="n">
        <v>768702.51</v>
      </c>
      <c r="R1128" t="inlineStr">
        <is>
          <t>Cardiology</t>
        </is>
      </c>
      <c r="S1128" s="70" t="n">
        <v>1353</v>
      </c>
      <c r="T1128" s="71" t="n">
        <v>166748.82</v>
      </c>
      <c r="U1128" t="inlineStr">
        <is>
          <t>High</t>
        </is>
      </c>
      <c r="V1128">
        <f>IF(AND(OR(Dashboard!$C$6="All",E1128=Dashboard!$C$6),OR(Dashboard!$F$6="All",G1128=Dashboard!$F$6),OR(Dashboard!$I$6="All",H1128=Dashboard!$I$6)),1,0)</f>
        <v/>
      </c>
    </row>
    <row r="1129">
      <c r="A1129" t="inlineStr">
        <is>
          <t>PF101120</t>
        </is>
      </c>
      <c r="B1129" s="68" t="n">
        <v>45792</v>
      </c>
      <c r="C1129" s="69" t="n">
        <v>2025</v>
      </c>
      <c r="D1129" t="inlineStr">
        <is>
          <t>May</t>
        </is>
      </c>
      <c r="E1129" t="inlineStr">
        <is>
          <t>Emerging markets</t>
        </is>
      </c>
      <c r="F1129" t="inlineStr">
        <is>
          <t>China</t>
        </is>
      </c>
      <c r="G1129" t="inlineStr">
        <is>
          <t>Eliquis</t>
        </is>
      </c>
      <c r="H1129" t="inlineStr">
        <is>
          <t>Retail pharmacy</t>
        </is>
      </c>
      <c r="I1129" t="inlineStr">
        <is>
          <t>Private insurer</t>
        </is>
      </c>
      <c r="J1129" t="inlineStr">
        <is>
          <t>Olivia Brown</t>
        </is>
      </c>
      <c r="K1129" s="70" t="n">
        <v>2089</v>
      </c>
      <c r="L1129" s="71" t="n">
        <v>406.41</v>
      </c>
      <c r="M1129" s="71" t="n">
        <v>848990.49</v>
      </c>
      <c r="N1129" s="71" t="n">
        <v>212247.62</v>
      </c>
      <c r="O1129" s="71" t="n">
        <v>636742.87</v>
      </c>
      <c r="P1129" s="71" t="n">
        <v>152958.73</v>
      </c>
      <c r="Q1129" s="71" t="n">
        <v>483784.14</v>
      </c>
      <c r="R1129" t="inlineStr">
        <is>
          <t>Cardiology</t>
        </is>
      </c>
      <c r="S1129" s="70" t="n">
        <v>1780</v>
      </c>
      <c r="T1129" s="71" t="n">
        <v>112750.44</v>
      </c>
      <c r="U1129" t="inlineStr">
        <is>
          <t>High</t>
        </is>
      </c>
      <c r="V1129">
        <f>IF(AND(OR(Dashboard!$C$6="All",E1129=Dashboard!$C$6),OR(Dashboard!$F$6="All",G1129=Dashboard!$F$6),OR(Dashboard!$I$6="All",H1129=Dashboard!$I$6)),1,0)</f>
        <v/>
      </c>
    </row>
    <row r="1130">
      <c r="A1130" t="inlineStr">
        <is>
          <t>PF101121</t>
        </is>
      </c>
      <c r="B1130" s="68" t="n">
        <v>45792</v>
      </c>
      <c r="C1130" s="69" t="n">
        <v>2025</v>
      </c>
      <c r="D1130" t="inlineStr">
        <is>
          <t>May</t>
        </is>
      </c>
      <c r="E1130" t="inlineStr">
        <is>
          <t>Emerging markets</t>
        </is>
      </c>
      <c r="F1130" t="inlineStr">
        <is>
          <t>Mexico</t>
        </is>
      </c>
      <c r="G1130" t="inlineStr">
        <is>
          <t>Vyndaqel</t>
        </is>
      </c>
      <c r="H1130" t="inlineStr">
        <is>
          <t>Retail pharmacy</t>
        </is>
      </c>
      <c r="I1130" t="inlineStr">
        <is>
          <t>Private insurer</t>
        </is>
      </c>
      <c r="J1130" t="inlineStr">
        <is>
          <t>Sophie Müller</t>
        </is>
      </c>
      <c r="K1130" s="70" t="n">
        <v>1683</v>
      </c>
      <c r="L1130" s="71" t="n">
        <v>4689.64</v>
      </c>
      <c r="M1130" s="71" t="n">
        <v>7892664.12</v>
      </c>
      <c r="N1130" s="71" t="n">
        <v>1973166.03</v>
      </c>
      <c r="O1130" s="71" t="n">
        <v>5919498.09</v>
      </c>
      <c r="P1130" s="71" t="n">
        <v>1053437.69</v>
      </c>
      <c r="Q1130" s="71" t="n">
        <v>4866060.4</v>
      </c>
      <c r="R1130" t="inlineStr">
        <is>
          <t>Rare disease</t>
        </is>
      </c>
      <c r="S1130" s="70" t="n">
        <v>1317</v>
      </c>
      <c r="T1130" s="71" t="n">
        <v>1165110.72</v>
      </c>
      <c r="U1130" t="inlineStr">
        <is>
          <t>Medium</t>
        </is>
      </c>
      <c r="V1130">
        <f>IF(AND(OR(Dashboard!$C$6="All",E1130=Dashboard!$C$6),OR(Dashboard!$F$6="All",G1130=Dashboard!$F$6),OR(Dashboard!$I$6="All",H1130=Dashboard!$I$6)),1,0)</f>
        <v/>
      </c>
    </row>
    <row r="1131">
      <c r="A1131" t="inlineStr">
        <is>
          <t>PF101122</t>
        </is>
      </c>
      <c r="B1131" s="68" t="n">
        <v>45792</v>
      </c>
      <c r="C1131" s="69" t="n">
        <v>2025</v>
      </c>
      <c r="D1131" t="inlineStr">
        <is>
          <t>May</t>
        </is>
      </c>
      <c r="E1131" t="inlineStr">
        <is>
          <t>Europe</t>
        </is>
      </c>
      <c r="F1131" t="inlineStr">
        <is>
          <t>Italy</t>
        </is>
      </c>
      <c r="G1131" t="inlineStr">
        <is>
          <t>Comirnaty</t>
        </is>
      </c>
      <c r="H1131" t="inlineStr">
        <is>
          <t>Hospital</t>
        </is>
      </c>
      <c r="I1131" t="inlineStr">
        <is>
          <t>Private insurer</t>
        </is>
      </c>
      <c r="J1131" t="inlineStr">
        <is>
          <t>Mei Lin</t>
        </is>
      </c>
      <c r="K1131" s="70" t="n">
        <v>1688</v>
      </c>
      <c r="L1131" s="71" t="n">
        <v>104.8</v>
      </c>
      <c r="M1131" s="71" t="n">
        <v>176902.4</v>
      </c>
      <c r="N1131" s="71" t="n">
        <v>26535.36</v>
      </c>
      <c r="O1131" s="71" t="n">
        <v>150367.04</v>
      </c>
      <c r="P1131" s="71" t="n">
        <v>63945.65</v>
      </c>
      <c r="Q1131" s="71" t="n">
        <v>86421.39</v>
      </c>
      <c r="R1131" t="inlineStr">
        <is>
          <t>Vaccines</t>
        </is>
      </c>
      <c r="S1131" s="70" t="n">
        <v>1429</v>
      </c>
      <c r="T1131" s="71" t="n">
        <v>25498.75</v>
      </c>
      <c r="U1131" t="inlineStr">
        <is>
          <t>Low</t>
        </is>
      </c>
      <c r="V1131">
        <f>IF(AND(OR(Dashboard!$C$6="All",E1131=Dashboard!$C$6),OR(Dashboard!$F$6="All",G1131=Dashboard!$F$6),OR(Dashboard!$I$6="All",H1131=Dashboard!$I$6)),1,0)</f>
        <v/>
      </c>
    </row>
    <row r="1132">
      <c r="A1132" t="inlineStr">
        <is>
          <t>PF101123</t>
        </is>
      </c>
      <c r="B1132" s="68" t="n">
        <v>45792</v>
      </c>
      <c r="C1132" s="69" t="n">
        <v>2025</v>
      </c>
      <c r="D1132" t="inlineStr">
        <is>
          <t>May</t>
        </is>
      </c>
      <c r="E1132" t="inlineStr">
        <is>
          <t>International developed</t>
        </is>
      </c>
      <c r="F1132" t="inlineStr">
        <is>
          <t>Canada</t>
        </is>
      </c>
      <c r="G1132" t="inlineStr">
        <is>
          <t>Abrysvo</t>
        </is>
      </c>
      <c r="H1132" t="inlineStr">
        <is>
          <t>Retail pharmacy</t>
        </is>
      </c>
      <c r="I1132" t="inlineStr">
        <is>
          <t>Self-pay</t>
        </is>
      </c>
      <c r="J1132" t="inlineStr">
        <is>
          <t>Arjun Mehta</t>
        </is>
      </c>
      <c r="K1132" s="70" t="n">
        <v>2854</v>
      </c>
      <c r="L1132" s="71" t="n">
        <v>266.14</v>
      </c>
      <c r="M1132" s="71" t="n">
        <v>759563.5600000001</v>
      </c>
      <c r="N1132" s="71" t="n">
        <v>75956.36</v>
      </c>
      <c r="O1132" s="71" t="n">
        <v>683607.2</v>
      </c>
      <c r="P1132" s="71" t="n">
        <v>232130.73</v>
      </c>
      <c r="Q1132" s="71" t="n">
        <v>451476.47</v>
      </c>
      <c r="R1132" t="inlineStr">
        <is>
          <t>Vaccines</t>
        </is>
      </c>
      <c r="S1132" s="70" t="n">
        <v>2426</v>
      </c>
      <c r="T1132" s="71" t="n">
        <v>138791.74</v>
      </c>
      <c r="U1132" t="inlineStr">
        <is>
          <t>Low</t>
        </is>
      </c>
      <c r="V1132">
        <f>IF(AND(OR(Dashboard!$C$6="All",E1132=Dashboard!$C$6),OR(Dashboard!$F$6="All",G1132=Dashboard!$F$6),OR(Dashboard!$I$6="All",H1132=Dashboard!$I$6)),1,0)</f>
        <v/>
      </c>
    </row>
    <row r="1133">
      <c r="A1133" t="inlineStr">
        <is>
          <t>PF101124</t>
        </is>
      </c>
      <c r="B1133" s="68" t="n">
        <v>45792</v>
      </c>
      <c r="C1133" s="69" t="n">
        <v>2025</v>
      </c>
      <c r="D1133" t="inlineStr">
        <is>
          <t>May</t>
        </is>
      </c>
      <c r="E1133" t="inlineStr">
        <is>
          <t>International developed</t>
        </is>
      </c>
      <c r="F1133" t="inlineStr">
        <is>
          <t>Australia</t>
        </is>
      </c>
      <c r="G1133" t="inlineStr">
        <is>
          <t>Comirnaty</t>
        </is>
      </c>
      <c r="H1133" t="inlineStr">
        <is>
          <t>Retail pharmacy</t>
        </is>
      </c>
      <c r="I1133" t="inlineStr">
        <is>
          <t>Public payer</t>
        </is>
      </c>
      <c r="J1133" t="inlineStr">
        <is>
          <t>Hiroshi Tanaka</t>
        </is>
      </c>
      <c r="K1133" s="70" t="n">
        <v>1928</v>
      </c>
      <c r="L1133" s="71" t="n">
        <v>99.92</v>
      </c>
      <c r="M1133" s="71" t="n">
        <v>192645.76</v>
      </c>
      <c r="N1133" s="71" t="n">
        <v>19264.58</v>
      </c>
      <c r="O1133" s="71" t="n">
        <v>173381.18</v>
      </c>
      <c r="P1133" s="71" t="n">
        <v>71805.78999999999</v>
      </c>
      <c r="Q1133" s="71" t="n">
        <v>101575.39</v>
      </c>
      <c r="R1133" t="inlineStr">
        <is>
          <t>Vaccines</t>
        </is>
      </c>
      <c r="S1133" s="70" t="n">
        <v>1524</v>
      </c>
      <c r="T1133" s="71" t="n">
        <v>32612.88</v>
      </c>
      <c r="U1133" t="inlineStr">
        <is>
          <t>Low</t>
        </is>
      </c>
      <c r="V1133">
        <f>IF(AND(OR(Dashboard!$C$6="All",E1133=Dashboard!$C$6),OR(Dashboard!$F$6="All",G1133=Dashboard!$F$6),OR(Dashboard!$I$6="All",H1133=Dashboard!$I$6)),1,0)</f>
        <v/>
      </c>
    </row>
    <row r="1134">
      <c r="A1134" t="inlineStr">
        <is>
          <t>PF101125</t>
        </is>
      </c>
      <c r="B1134" s="68" t="n">
        <v>45792</v>
      </c>
      <c r="C1134" s="69" t="n">
        <v>2025</v>
      </c>
      <c r="D1134" t="inlineStr">
        <is>
          <t>May</t>
        </is>
      </c>
      <c r="E1134" t="inlineStr">
        <is>
          <t>United States</t>
        </is>
      </c>
      <c r="F1134" t="inlineStr">
        <is>
          <t>USA</t>
        </is>
      </c>
      <c r="G1134" t="inlineStr">
        <is>
          <t>Paxlovid</t>
        </is>
      </c>
      <c r="H1134" t="inlineStr">
        <is>
          <t>Retail pharmacy</t>
        </is>
      </c>
      <c r="I1134" t="inlineStr">
        <is>
          <t>Private insurer</t>
        </is>
      </c>
      <c r="J1134" t="inlineStr">
        <is>
          <t>Sophie Müller</t>
        </is>
      </c>
      <c r="K1134" s="70" t="n">
        <v>1335</v>
      </c>
      <c r="L1134" s="71" t="n">
        <v>1823.22</v>
      </c>
      <c r="M1134" s="71" t="n">
        <v>2433998.7</v>
      </c>
      <c r="N1134" s="71" t="n">
        <v>486799.74</v>
      </c>
      <c r="O1134" s="71" t="n">
        <v>1947198.96</v>
      </c>
      <c r="P1134" s="71" t="n">
        <v>355709.87</v>
      </c>
      <c r="Q1134" s="71" t="n">
        <v>1591489.09</v>
      </c>
      <c r="R1134" t="inlineStr">
        <is>
          <t>Antiviral</t>
        </is>
      </c>
      <c r="S1134" s="70" t="n">
        <v>1152</v>
      </c>
      <c r="T1134" s="71" t="n">
        <v>356258.86</v>
      </c>
      <c r="U1134" t="inlineStr">
        <is>
          <t>Low</t>
        </is>
      </c>
      <c r="V1134">
        <f>IF(AND(OR(Dashboard!$C$6="All",E1134=Dashboard!$C$6),OR(Dashboard!$F$6="All",G1134=Dashboard!$F$6),OR(Dashboard!$I$6="All",H1134=Dashboard!$I$6)),1,0)</f>
        <v/>
      </c>
    </row>
    <row r="1135">
      <c r="A1135" t="inlineStr">
        <is>
          <t>PF101126</t>
        </is>
      </c>
      <c r="B1135" s="68" t="n">
        <v>45792</v>
      </c>
      <c r="C1135" s="69" t="n">
        <v>2025</v>
      </c>
      <c r="D1135" t="inlineStr">
        <is>
          <t>May</t>
        </is>
      </c>
      <c r="E1135" t="inlineStr">
        <is>
          <t>United States</t>
        </is>
      </c>
      <c r="F1135" t="inlineStr">
        <is>
          <t>USA</t>
        </is>
      </c>
      <c r="G1135" t="inlineStr">
        <is>
          <t>Ibrance</t>
        </is>
      </c>
      <c r="H1135" t="inlineStr">
        <is>
          <t>Hospital</t>
        </is>
      </c>
      <c r="I1135" t="inlineStr">
        <is>
          <t>Public payer</t>
        </is>
      </c>
      <c r="J1135" t="inlineStr">
        <is>
          <t>Noah Smith</t>
        </is>
      </c>
      <c r="K1135" s="70" t="n">
        <v>124</v>
      </c>
      <c r="L1135" s="71" t="n">
        <v>4487.63</v>
      </c>
      <c r="M1135" s="71" t="n">
        <v>556466.12</v>
      </c>
      <c r="N1135" s="71" t="n">
        <v>139116.53</v>
      </c>
      <c r="O1135" s="71" t="n">
        <v>417349.59</v>
      </c>
      <c r="P1135" s="71" t="n">
        <v>52043.45</v>
      </c>
      <c r="Q1135" s="71" t="n">
        <v>365306.14</v>
      </c>
      <c r="R1135" t="inlineStr">
        <is>
          <t>Oncology</t>
        </is>
      </c>
      <c r="S1135" s="70" t="n">
        <v>99</v>
      </c>
      <c r="T1135" s="71" t="n">
        <v>69493.17999999999</v>
      </c>
      <c r="U1135" t="inlineStr">
        <is>
          <t>High</t>
        </is>
      </c>
      <c r="V1135">
        <f>IF(AND(OR(Dashboard!$C$6="All",E1135=Dashboard!$C$6),OR(Dashboard!$F$6="All",G1135=Dashboard!$F$6),OR(Dashboard!$I$6="All",H1135=Dashboard!$I$6)),1,0)</f>
        <v/>
      </c>
    </row>
    <row r="1136">
      <c r="A1136" t="inlineStr">
        <is>
          <t>PF101127</t>
        </is>
      </c>
      <c r="B1136" s="68" t="n">
        <v>45792</v>
      </c>
      <c r="C1136" s="69" t="n">
        <v>2025</v>
      </c>
      <c r="D1136" t="inlineStr">
        <is>
          <t>May</t>
        </is>
      </c>
      <c r="E1136" t="inlineStr">
        <is>
          <t>United States</t>
        </is>
      </c>
      <c r="F1136" t="inlineStr">
        <is>
          <t>USA</t>
        </is>
      </c>
      <c r="G1136" t="inlineStr">
        <is>
          <t>Ibrance</t>
        </is>
      </c>
      <c r="H1136" t="inlineStr">
        <is>
          <t>Hospital</t>
        </is>
      </c>
      <c r="I1136" t="inlineStr">
        <is>
          <t>Private insurer</t>
        </is>
      </c>
      <c r="J1136" t="inlineStr">
        <is>
          <t>Sophie Müller</t>
        </is>
      </c>
      <c r="K1136" s="70" t="n">
        <v>2538</v>
      </c>
      <c r="L1136" s="71" t="n">
        <v>4816.21</v>
      </c>
      <c r="M1136" s="71" t="n">
        <v>12223540.98</v>
      </c>
      <c r="N1136" s="71" t="n">
        <v>3667062.29</v>
      </c>
      <c r="O1136" s="71" t="n">
        <v>8556478.689999999</v>
      </c>
      <c r="P1136" s="71" t="n">
        <v>1085305.61</v>
      </c>
      <c r="Q1136" s="71" t="n">
        <v>7471173.08</v>
      </c>
      <c r="R1136" t="inlineStr">
        <is>
          <t>Oncology</t>
        </is>
      </c>
      <c r="S1136" s="70" t="n">
        <v>1613</v>
      </c>
      <c r="T1136" s="71" t="n">
        <v>2573058.06</v>
      </c>
      <c r="U1136" t="inlineStr">
        <is>
          <t>High</t>
        </is>
      </c>
      <c r="V1136">
        <f>IF(AND(OR(Dashboard!$C$6="All",E1136=Dashboard!$C$6),OR(Dashboard!$F$6="All",G1136=Dashboard!$F$6),OR(Dashboard!$I$6="All",H1136=Dashboard!$I$6)),1,0)</f>
        <v/>
      </c>
    </row>
    <row r="1137">
      <c r="A1137" t="inlineStr">
        <is>
          <t>PF101128</t>
        </is>
      </c>
      <c r="B1137" s="68" t="n">
        <v>45792</v>
      </c>
      <c r="C1137" s="69" t="n">
        <v>2025</v>
      </c>
      <c r="D1137" t="inlineStr">
        <is>
          <t>May</t>
        </is>
      </c>
      <c r="E1137" t="inlineStr">
        <is>
          <t>International developed</t>
        </is>
      </c>
      <c r="F1137" t="inlineStr">
        <is>
          <t>Canada</t>
        </is>
      </c>
      <c r="G1137" t="inlineStr">
        <is>
          <t>Eliquis</t>
        </is>
      </c>
      <c r="H1137" t="inlineStr">
        <is>
          <t>Hospital</t>
        </is>
      </c>
      <c r="I1137" t="inlineStr">
        <is>
          <t>Public payer</t>
        </is>
      </c>
      <c r="J1137" t="inlineStr">
        <is>
          <t>Zoya Ahmed</t>
        </is>
      </c>
      <c r="K1137" s="70" t="n">
        <v>2763</v>
      </c>
      <c r="L1137" s="71" t="n">
        <v>401.88</v>
      </c>
      <c r="M1137" s="71" t="n">
        <v>1110394.44</v>
      </c>
      <c r="N1137" s="71" t="n">
        <v>111039.44</v>
      </c>
      <c r="O1137" s="71" t="n">
        <v>999355</v>
      </c>
      <c r="P1137" s="71" t="n">
        <v>215106.25</v>
      </c>
      <c r="Q1137" s="71" t="n">
        <v>784248.75</v>
      </c>
      <c r="R1137" t="inlineStr">
        <is>
          <t>Cardiology</t>
        </is>
      </c>
      <c r="S1137" s="70" t="n">
        <v>1879</v>
      </c>
      <c r="T1137" s="71" t="n">
        <v>236791.81</v>
      </c>
      <c r="U1137" t="inlineStr">
        <is>
          <t>High</t>
        </is>
      </c>
      <c r="V1137">
        <f>IF(AND(OR(Dashboard!$C$6="All",E1137=Dashboard!$C$6),OR(Dashboard!$F$6="All",G1137=Dashboard!$F$6),OR(Dashboard!$I$6="All",H1137=Dashboard!$I$6)),1,0)</f>
        <v/>
      </c>
    </row>
    <row r="1138">
      <c r="A1138" t="inlineStr">
        <is>
          <t>PF101129</t>
        </is>
      </c>
      <c r="B1138" s="68" t="n">
        <v>45792</v>
      </c>
      <c r="C1138" s="69" t="n">
        <v>2025</v>
      </c>
      <c r="D1138" t="inlineStr">
        <is>
          <t>May</t>
        </is>
      </c>
      <c r="E1138" t="inlineStr">
        <is>
          <t>Europe</t>
        </is>
      </c>
      <c r="F1138" t="inlineStr">
        <is>
          <t>Spain</t>
        </is>
      </c>
      <c r="G1138" t="inlineStr">
        <is>
          <t>Eliquis</t>
        </is>
      </c>
      <c r="H1138" t="inlineStr">
        <is>
          <t>Government / tender</t>
        </is>
      </c>
      <c r="I1138" t="inlineStr">
        <is>
          <t>Public payer</t>
        </is>
      </c>
      <c r="J1138" t="inlineStr">
        <is>
          <t>Kofi Mensah</t>
        </is>
      </c>
      <c r="K1138" s="70" t="n">
        <v>1318</v>
      </c>
      <c r="L1138" s="71" t="n">
        <v>388.52</v>
      </c>
      <c r="M1138" s="71" t="n">
        <v>512069.36</v>
      </c>
      <c r="N1138" s="71" t="n">
        <v>76810.39999999999</v>
      </c>
      <c r="O1138" s="71" t="n">
        <v>435258.96</v>
      </c>
      <c r="P1138" s="71" t="n">
        <v>99558.99000000001</v>
      </c>
      <c r="Q1138" s="71" t="n">
        <v>335699.97</v>
      </c>
      <c r="R1138" t="inlineStr">
        <is>
          <t>Cardiology</t>
        </is>
      </c>
      <c r="S1138" s="70" t="n">
        <v>828</v>
      </c>
      <c r="T1138" s="71" t="n">
        <v>85700.67999999999</v>
      </c>
      <c r="U1138" t="inlineStr">
        <is>
          <t>High</t>
        </is>
      </c>
      <c r="V1138">
        <f>IF(AND(OR(Dashboard!$C$6="All",E1138=Dashboard!$C$6),OR(Dashboard!$F$6="All",G1138=Dashboard!$F$6),OR(Dashboard!$I$6="All",H1138=Dashboard!$I$6)),1,0)</f>
        <v/>
      </c>
    </row>
    <row r="1139">
      <c r="A1139" t="inlineStr">
        <is>
          <t>PF101130</t>
        </is>
      </c>
      <c r="B1139" s="68" t="n">
        <v>45793</v>
      </c>
      <c r="C1139" s="69" t="n">
        <v>2025</v>
      </c>
      <c r="D1139" t="inlineStr">
        <is>
          <t>May</t>
        </is>
      </c>
      <c r="E1139" t="inlineStr">
        <is>
          <t>Europe</t>
        </is>
      </c>
      <c r="F1139" t="inlineStr">
        <is>
          <t>France</t>
        </is>
      </c>
      <c r="G1139" t="inlineStr">
        <is>
          <t>Ibrance</t>
        </is>
      </c>
      <c r="H1139" t="inlineStr">
        <is>
          <t>Retail pharmacy</t>
        </is>
      </c>
      <c r="I1139" t="inlineStr">
        <is>
          <t>Public payer</t>
        </is>
      </c>
      <c r="J1139" t="inlineStr">
        <is>
          <t>Priya Nair</t>
        </is>
      </c>
      <c r="K1139" s="70" t="n">
        <v>1390</v>
      </c>
      <c r="L1139" s="71" t="n">
        <v>2632.6</v>
      </c>
      <c r="M1139" s="71" t="n">
        <v>3659314</v>
      </c>
      <c r="N1139" s="71" t="n">
        <v>365931.4</v>
      </c>
      <c r="O1139" s="71" t="n">
        <v>3293382.6</v>
      </c>
      <c r="P1139" s="71" t="n">
        <v>584488.45</v>
      </c>
      <c r="Q1139" s="71" t="n">
        <v>2708894.15</v>
      </c>
      <c r="R1139" t="inlineStr">
        <is>
          <t>Oncology</t>
        </is>
      </c>
      <c r="S1139" s="70" t="n">
        <v>885</v>
      </c>
      <c r="T1139" s="71" t="n">
        <v>677254.88</v>
      </c>
      <c r="U1139" t="inlineStr">
        <is>
          <t>High</t>
        </is>
      </c>
      <c r="V1139">
        <f>IF(AND(OR(Dashboard!$C$6="All",E1139=Dashboard!$C$6),OR(Dashboard!$F$6="All",G1139=Dashboard!$F$6),OR(Dashboard!$I$6="All",H1139=Dashboard!$I$6)),1,0)</f>
        <v/>
      </c>
    </row>
    <row r="1140">
      <c r="A1140" t="inlineStr">
        <is>
          <t>PF101131</t>
        </is>
      </c>
      <c r="B1140" s="68" t="n">
        <v>45793</v>
      </c>
      <c r="C1140" s="69" t="n">
        <v>2025</v>
      </c>
      <c r="D1140" t="inlineStr">
        <is>
          <t>May</t>
        </is>
      </c>
      <c r="E1140" t="inlineStr">
        <is>
          <t>United States</t>
        </is>
      </c>
      <c r="F1140" t="inlineStr">
        <is>
          <t>USA</t>
        </is>
      </c>
      <c r="G1140" t="inlineStr">
        <is>
          <t>Eliquis</t>
        </is>
      </c>
      <c r="H1140" t="inlineStr">
        <is>
          <t>Hospital</t>
        </is>
      </c>
      <c r="I1140" t="inlineStr">
        <is>
          <t>Private insurer</t>
        </is>
      </c>
      <c r="J1140" t="inlineStr">
        <is>
          <t>Amir Khan</t>
        </is>
      </c>
      <c r="K1140" s="70" t="n">
        <v>519</v>
      </c>
      <c r="L1140" s="71" t="n">
        <v>671.79</v>
      </c>
      <c r="M1140" s="71" t="n">
        <v>348659.01</v>
      </c>
      <c r="N1140" s="71" t="n">
        <v>52298.85</v>
      </c>
      <c r="O1140" s="71" t="n">
        <v>296360.16</v>
      </c>
      <c r="P1140" s="71" t="n">
        <v>39504.95</v>
      </c>
      <c r="Q1140" s="71" t="n">
        <v>256855.21</v>
      </c>
      <c r="R1140" t="inlineStr">
        <is>
          <t>Cardiology</t>
        </is>
      </c>
      <c r="S1140" s="70" t="n">
        <v>343</v>
      </c>
      <c r="T1140" s="71" t="n">
        <v>59677.72</v>
      </c>
      <c r="U1140" t="inlineStr">
        <is>
          <t>High</t>
        </is>
      </c>
      <c r="V1140">
        <f>IF(AND(OR(Dashboard!$C$6="All",E1140=Dashboard!$C$6),OR(Dashboard!$F$6="All",G1140=Dashboard!$F$6),OR(Dashboard!$I$6="All",H1140=Dashboard!$I$6)),1,0)</f>
        <v/>
      </c>
    </row>
    <row r="1141">
      <c r="A1141" t="inlineStr">
        <is>
          <t>PF101132</t>
        </is>
      </c>
      <c r="B1141" s="68" t="n">
        <v>45793</v>
      </c>
      <c r="C1141" s="69" t="n">
        <v>2025</v>
      </c>
      <c r="D1141" t="inlineStr">
        <is>
          <t>May</t>
        </is>
      </c>
      <c r="E1141" t="inlineStr">
        <is>
          <t>United States</t>
        </is>
      </c>
      <c r="F1141" t="inlineStr">
        <is>
          <t>USA</t>
        </is>
      </c>
      <c r="G1141" t="inlineStr">
        <is>
          <t>Eliquis</t>
        </is>
      </c>
      <c r="H1141" t="inlineStr">
        <is>
          <t>Government / tender</t>
        </is>
      </c>
      <c r="I1141" t="inlineStr">
        <is>
          <t>Public payer</t>
        </is>
      </c>
      <c r="J1141" t="inlineStr">
        <is>
          <t>Priya Nair</t>
        </is>
      </c>
      <c r="K1141" s="70" t="n">
        <v>730</v>
      </c>
      <c r="L1141" s="71" t="n">
        <v>652.78</v>
      </c>
      <c r="M1141" s="71" t="n">
        <v>476529.4</v>
      </c>
      <c r="N1141" s="71" t="n">
        <v>71479.41</v>
      </c>
      <c r="O1141" s="71" t="n">
        <v>405049.99</v>
      </c>
      <c r="P1141" s="71" t="n">
        <v>57366.4</v>
      </c>
      <c r="Q1141" s="71" t="n">
        <v>347683.59</v>
      </c>
      <c r="R1141" t="inlineStr">
        <is>
          <t>Cardiology</t>
        </is>
      </c>
      <c r="S1141" s="70" t="n">
        <v>600</v>
      </c>
      <c r="T1141" s="71" t="n">
        <v>96809.72</v>
      </c>
      <c r="U1141" t="inlineStr">
        <is>
          <t>High</t>
        </is>
      </c>
      <c r="V1141">
        <f>IF(AND(OR(Dashboard!$C$6="All",E1141=Dashboard!$C$6),OR(Dashboard!$F$6="All",G1141=Dashboard!$F$6),OR(Dashboard!$I$6="All",H1141=Dashboard!$I$6)),1,0)</f>
        <v/>
      </c>
    </row>
    <row r="1142">
      <c r="A1142" t="inlineStr">
        <is>
          <t>PF101133</t>
        </is>
      </c>
      <c r="B1142" s="68" t="n">
        <v>45793</v>
      </c>
      <c r="C1142" s="69" t="n">
        <v>2025</v>
      </c>
      <c r="D1142" t="inlineStr">
        <is>
          <t>May</t>
        </is>
      </c>
      <c r="E1142" t="inlineStr">
        <is>
          <t>Emerging markets</t>
        </is>
      </c>
      <c r="F1142" t="inlineStr">
        <is>
          <t>Brazil</t>
        </is>
      </c>
      <c r="G1142" t="inlineStr">
        <is>
          <t>Comirnaty</t>
        </is>
      </c>
      <c r="H1142" t="inlineStr">
        <is>
          <t>Hospital</t>
        </is>
      </c>
      <c r="I1142" t="inlineStr">
        <is>
          <t>Private insurer</t>
        </is>
      </c>
      <c r="J1142" t="inlineStr">
        <is>
          <t>Yuki Sato</t>
        </is>
      </c>
      <c r="K1142" s="70" t="n">
        <v>2970</v>
      </c>
      <c r="L1142" s="71" t="n">
        <v>112.99</v>
      </c>
      <c r="M1142" s="71" t="n">
        <v>335580.3</v>
      </c>
      <c r="N1142" s="71" t="n">
        <v>67116.06</v>
      </c>
      <c r="O1142" s="71" t="n">
        <v>268464.24</v>
      </c>
      <c r="P1142" s="71" t="n">
        <v>113064.01</v>
      </c>
      <c r="Q1142" s="71" t="n">
        <v>155400.23</v>
      </c>
      <c r="R1142" t="inlineStr">
        <is>
          <t>Vaccines</t>
        </is>
      </c>
      <c r="S1142" s="70" t="n">
        <v>2338</v>
      </c>
      <c r="T1142" s="71" t="n">
        <v>60560.81</v>
      </c>
      <c r="U1142" t="inlineStr">
        <is>
          <t>Low</t>
        </is>
      </c>
      <c r="V1142">
        <f>IF(AND(OR(Dashboard!$C$6="All",E1142=Dashboard!$C$6),OR(Dashboard!$F$6="All",G1142=Dashboard!$F$6),OR(Dashboard!$I$6="All",H1142=Dashboard!$I$6)),1,0)</f>
        <v/>
      </c>
    </row>
    <row r="1143">
      <c r="A1143" t="inlineStr">
        <is>
          <t>PF101134</t>
        </is>
      </c>
      <c r="B1143" s="68" t="n">
        <v>45793</v>
      </c>
      <c r="C1143" s="69" t="n">
        <v>2025</v>
      </c>
      <c r="D1143" t="inlineStr">
        <is>
          <t>May</t>
        </is>
      </c>
      <c r="E1143" t="inlineStr">
        <is>
          <t>United States</t>
        </is>
      </c>
      <c r="F1143" t="inlineStr">
        <is>
          <t>USA</t>
        </is>
      </c>
      <c r="G1143" t="inlineStr">
        <is>
          <t>Prevnar 20</t>
        </is>
      </c>
      <c r="H1143" t="inlineStr">
        <is>
          <t>Government / tender</t>
        </is>
      </c>
      <c r="I1143" t="inlineStr">
        <is>
          <t>Private insurer</t>
        </is>
      </c>
      <c r="J1143" t="inlineStr">
        <is>
          <t>Aisha Bello</t>
        </is>
      </c>
      <c r="K1143" s="70" t="n">
        <v>2088</v>
      </c>
      <c r="L1143" s="71" t="n">
        <v>342.58</v>
      </c>
      <c r="M1143" s="71" t="n">
        <v>715307.04</v>
      </c>
      <c r="N1143" s="71" t="n">
        <v>178826.76</v>
      </c>
      <c r="O1143" s="71" t="n">
        <v>536480.28</v>
      </c>
      <c r="P1143" s="71" t="n">
        <v>138576.9</v>
      </c>
      <c r="Q1143" s="71" t="n">
        <v>397903.38</v>
      </c>
      <c r="R1143" t="inlineStr">
        <is>
          <t>Vaccines</t>
        </is>
      </c>
      <c r="S1143" s="70" t="n">
        <v>1552</v>
      </c>
      <c r="T1143" s="71" t="n">
        <v>139573.33</v>
      </c>
      <c r="U1143" t="inlineStr">
        <is>
          <t>Low</t>
        </is>
      </c>
      <c r="V1143">
        <f>IF(AND(OR(Dashboard!$C$6="All",E1143=Dashboard!$C$6),OR(Dashboard!$F$6="All",G1143=Dashboard!$F$6),OR(Dashboard!$I$6="All",H1143=Dashboard!$I$6)),1,0)</f>
        <v/>
      </c>
    </row>
    <row r="1144">
      <c r="A1144" t="inlineStr">
        <is>
          <t>PF101135</t>
        </is>
      </c>
      <c r="B1144" s="68" t="n">
        <v>45793</v>
      </c>
      <c r="C1144" s="69" t="n">
        <v>2025</v>
      </c>
      <c r="D1144" t="inlineStr">
        <is>
          <t>May</t>
        </is>
      </c>
      <c r="E1144" t="inlineStr">
        <is>
          <t>Emerging markets</t>
        </is>
      </c>
      <c r="F1144" t="inlineStr">
        <is>
          <t>Brazil</t>
        </is>
      </c>
      <c r="G1144" t="inlineStr">
        <is>
          <t>Prevnar 20</t>
        </is>
      </c>
      <c r="H1144" t="inlineStr">
        <is>
          <t>Hospital</t>
        </is>
      </c>
      <c r="I1144" t="inlineStr">
        <is>
          <t>Private insurer</t>
        </is>
      </c>
      <c r="J1144" t="inlineStr">
        <is>
          <t>Emma Clarke</t>
        </is>
      </c>
      <c r="K1144" s="70" t="n">
        <v>1078</v>
      </c>
      <c r="L1144" s="71" t="n">
        <v>224.53</v>
      </c>
      <c r="M1144" s="71" t="n">
        <v>242043.34</v>
      </c>
      <c r="N1144" s="71" t="n">
        <v>12102.17</v>
      </c>
      <c r="O1144" s="71" t="n">
        <v>229941.17</v>
      </c>
      <c r="P1144" s="71" t="n">
        <v>71524.42999999999</v>
      </c>
      <c r="Q1144" s="71" t="n">
        <v>158416.74</v>
      </c>
      <c r="R1144" t="inlineStr">
        <is>
          <t>Vaccines</t>
        </is>
      </c>
      <c r="S1144" s="70" t="n">
        <v>927</v>
      </c>
      <c r="T1144" s="71" t="n">
        <v>48766.65</v>
      </c>
      <c r="U1144" t="inlineStr">
        <is>
          <t>Low</t>
        </is>
      </c>
      <c r="V1144">
        <f>IF(AND(OR(Dashboard!$C$6="All",E1144=Dashboard!$C$6),OR(Dashboard!$F$6="All",G1144=Dashboard!$F$6),OR(Dashboard!$I$6="All",H1144=Dashboard!$I$6)),1,0)</f>
        <v/>
      </c>
    </row>
    <row r="1145">
      <c r="A1145" t="inlineStr">
        <is>
          <t>PF101136</t>
        </is>
      </c>
      <c r="B1145" s="68" t="n">
        <v>45793</v>
      </c>
      <c r="C1145" s="69" t="n">
        <v>2025</v>
      </c>
      <c r="D1145" t="inlineStr">
        <is>
          <t>May</t>
        </is>
      </c>
      <c r="E1145" t="inlineStr">
        <is>
          <t>Europe</t>
        </is>
      </c>
      <c r="F1145" t="inlineStr">
        <is>
          <t>Spain</t>
        </is>
      </c>
      <c r="G1145" t="inlineStr">
        <is>
          <t>Comirnaty</t>
        </is>
      </c>
      <c r="H1145" t="inlineStr">
        <is>
          <t>Hospital</t>
        </is>
      </c>
      <c r="I1145" t="inlineStr">
        <is>
          <t>Self-pay</t>
        </is>
      </c>
      <c r="J1145" t="inlineStr">
        <is>
          <t>Ana Costa</t>
        </is>
      </c>
      <c r="K1145" s="70" t="n">
        <v>2749</v>
      </c>
      <c r="L1145" s="71" t="n">
        <v>101.54</v>
      </c>
      <c r="M1145" s="71" t="n">
        <v>279133.46</v>
      </c>
      <c r="N1145" s="71" t="n">
        <v>55826.69</v>
      </c>
      <c r="O1145" s="71" t="n">
        <v>223306.77</v>
      </c>
      <c r="P1145" s="71" t="n">
        <v>102950.68</v>
      </c>
      <c r="Q1145" s="71" t="n">
        <v>120356.09</v>
      </c>
      <c r="R1145" t="inlineStr">
        <is>
          <t>Vaccines</t>
        </is>
      </c>
      <c r="S1145" s="70" t="n">
        <v>2273</v>
      </c>
      <c r="T1145" s="71" t="n">
        <v>55693.22</v>
      </c>
      <c r="U1145" t="inlineStr">
        <is>
          <t>Low</t>
        </is>
      </c>
      <c r="V1145">
        <f>IF(AND(OR(Dashboard!$C$6="All",E1145=Dashboard!$C$6),OR(Dashboard!$F$6="All",G1145=Dashboard!$F$6),OR(Dashboard!$I$6="All",H1145=Dashboard!$I$6)),1,0)</f>
        <v/>
      </c>
    </row>
    <row r="1146">
      <c r="A1146" t="inlineStr">
        <is>
          <t>PF101137</t>
        </is>
      </c>
      <c r="B1146" s="68" t="n">
        <v>45794</v>
      </c>
      <c r="C1146" s="69" t="n">
        <v>2025</v>
      </c>
      <c r="D1146" t="inlineStr">
        <is>
          <t>May</t>
        </is>
      </c>
      <c r="E1146" t="inlineStr">
        <is>
          <t>United States</t>
        </is>
      </c>
      <c r="F1146" t="inlineStr">
        <is>
          <t>USA</t>
        </is>
      </c>
      <c r="G1146" t="inlineStr">
        <is>
          <t>Prevnar 20</t>
        </is>
      </c>
      <c r="H1146" t="inlineStr">
        <is>
          <t>Hospital</t>
        </is>
      </c>
      <c r="I1146" t="inlineStr">
        <is>
          <t>Private insurer</t>
        </is>
      </c>
      <c r="J1146" t="inlineStr">
        <is>
          <t>Priya Nair</t>
        </is>
      </c>
      <c r="K1146" s="70" t="n">
        <v>456</v>
      </c>
      <c r="L1146" s="71" t="n">
        <v>363.7</v>
      </c>
      <c r="M1146" s="71" t="n">
        <v>165847.2</v>
      </c>
      <c r="N1146" s="71" t="n">
        <v>58046.52</v>
      </c>
      <c r="O1146" s="71" t="n">
        <v>107800.68</v>
      </c>
      <c r="P1146" s="71" t="n">
        <v>32033.85</v>
      </c>
      <c r="Q1146" s="71" t="n">
        <v>75766.83</v>
      </c>
      <c r="R1146" t="inlineStr">
        <is>
          <t>Vaccines</t>
        </is>
      </c>
      <c r="S1146" s="70" t="n">
        <v>317</v>
      </c>
      <c r="T1146" s="71" t="n">
        <v>29007.19</v>
      </c>
      <c r="U1146" t="inlineStr">
        <is>
          <t>Low</t>
        </is>
      </c>
      <c r="V1146">
        <f>IF(AND(OR(Dashboard!$C$6="All",E1146=Dashboard!$C$6),OR(Dashboard!$F$6="All",G1146=Dashboard!$F$6),OR(Dashboard!$I$6="All",H1146=Dashboard!$I$6)),1,0)</f>
        <v/>
      </c>
    </row>
    <row r="1147">
      <c r="A1147" t="inlineStr">
        <is>
          <t>PF101138</t>
        </is>
      </c>
      <c r="B1147" s="68" t="n">
        <v>45794</v>
      </c>
      <c r="C1147" s="69" t="n">
        <v>2025</v>
      </c>
      <c r="D1147" t="inlineStr">
        <is>
          <t>May</t>
        </is>
      </c>
      <c r="E1147" t="inlineStr">
        <is>
          <t>United States</t>
        </is>
      </c>
      <c r="F1147" t="inlineStr">
        <is>
          <t>USA</t>
        </is>
      </c>
      <c r="G1147" t="inlineStr">
        <is>
          <t>Xeljanz</t>
        </is>
      </c>
      <c r="H1147" t="inlineStr">
        <is>
          <t>Government / tender</t>
        </is>
      </c>
      <c r="I1147" t="inlineStr">
        <is>
          <t>Private insurer</t>
        </is>
      </c>
      <c r="J1147" t="inlineStr">
        <is>
          <t>Sophie Müller</t>
        </is>
      </c>
      <c r="K1147" s="70" t="n">
        <v>527</v>
      </c>
      <c r="L1147" s="71" t="n">
        <v>2298.19</v>
      </c>
      <c r="M1147" s="71" t="n">
        <v>1211146.13</v>
      </c>
      <c r="N1147" s="71" t="n">
        <v>363343.84</v>
      </c>
      <c r="O1147" s="71" t="n">
        <v>847802.29</v>
      </c>
      <c r="P1147" s="71" t="n">
        <v>136103.14</v>
      </c>
      <c r="Q1147" s="71" t="n">
        <v>711699.15</v>
      </c>
      <c r="R1147" t="inlineStr">
        <is>
          <t>Inflammation</t>
        </is>
      </c>
      <c r="S1147" s="70" t="n">
        <v>448</v>
      </c>
      <c r="T1147" s="71" t="n">
        <v>145590.45</v>
      </c>
      <c r="U1147" t="inlineStr">
        <is>
          <t>High</t>
        </is>
      </c>
      <c r="V1147">
        <f>IF(AND(OR(Dashboard!$C$6="All",E1147=Dashboard!$C$6),OR(Dashboard!$F$6="All",G1147=Dashboard!$F$6),OR(Dashboard!$I$6="All",H1147=Dashboard!$I$6)),1,0)</f>
        <v/>
      </c>
    </row>
    <row r="1148">
      <c r="A1148" t="inlineStr">
        <is>
          <t>PF101139</t>
        </is>
      </c>
      <c r="B1148" s="68" t="n">
        <v>45794</v>
      </c>
      <c r="C1148" s="69" t="n">
        <v>2025</v>
      </c>
      <c r="D1148" t="inlineStr">
        <is>
          <t>May</t>
        </is>
      </c>
      <c r="E1148" t="inlineStr">
        <is>
          <t>Emerging markets</t>
        </is>
      </c>
      <c r="F1148" t="inlineStr">
        <is>
          <t>Mexico</t>
        </is>
      </c>
      <c r="G1148" t="inlineStr">
        <is>
          <t>Ibrance</t>
        </is>
      </c>
      <c r="H1148" t="inlineStr">
        <is>
          <t>Retail pharmacy</t>
        </is>
      </c>
      <c r="I1148" t="inlineStr">
        <is>
          <t>Public payer</t>
        </is>
      </c>
      <c r="J1148" t="inlineStr">
        <is>
          <t>Fatima Al-Saud</t>
        </is>
      </c>
      <c r="K1148" s="70" t="n">
        <v>2273</v>
      </c>
      <c r="L1148" s="71" t="n">
        <v>3187.73</v>
      </c>
      <c r="M1148" s="71" t="n">
        <v>7245710.29</v>
      </c>
      <c r="N1148" s="71" t="n">
        <v>362285.51</v>
      </c>
      <c r="O1148" s="71" t="n">
        <v>6883424.78</v>
      </c>
      <c r="P1148" s="71" t="n">
        <v>1009804.01</v>
      </c>
      <c r="Q1148" s="71" t="n">
        <v>5873620.77</v>
      </c>
      <c r="R1148" t="inlineStr">
        <is>
          <t>Oncology</t>
        </is>
      </c>
      <c r="S1148" s="70" t="n">
        <v>1457</v>
      </c>
      <c r="T1148" s="71" t="n">
        <v>1132158.27</v>
      </c>
      <c r="U1148" t="inlineStr">
        <is>
          <t>High</t>
        </is>
      </c>
      <c r="V1148">
        <f>IF(AND(OR(Dashboard!$C$6="All",E1148=Dashboard!$C$6),OR(Dashboard!$F$6="All",G1148=Dashboard!$F$6),OR(Dashboard!$I$6="All",H1148=Dashboard!$I$6)),1,0)</f>
        <v/>
      </c>
    </row>
    <row r="1149">
      <c r="A1149" t="inlineStr">
        <is>
          <t>PF101140</t>
        </is>
      </c>
      <c r="B1149" s="68" t="n">
        <v>45794</v>
      </c>
      <c r="C1149" s="69" t="n">
        <v>2025</v>
      </c>
      <c r="D1149" t="inlineStr">
        <is>
          <t>May</t>
        </is>
      </c>
      <c r="E1149" t="inlineStr">
        <is>
          <t>Europe</t>
        </is>
      </c>
      <c r="F1149" t="inlineStr">
        <is>
          <t>Italy</t>
        </is>
      </c>
      <c r="G1149" t="inlineStr">
        <is>
          <t>Paxlovid</t>
        </is>
      </c>
      <c r="H1149" t="inlineStr">
        <is>
          <t>Government / tender</t>
        </is>
      </c>
      <c r="I1149" t="inlineStr">
        <is>
          <t>Public payer</t>
        </is>
      </c>
      <c r="J1149" t="inlineStr">
        <is>
          <t>Hiroshi Tanaka</t>
        </is>
      </c>
      <c r="K1149" s="70" t="n">
        <v>2010</v>
      </c>
      <c r="L1149" s="71" t="n">
        <v>1151.89</v>
      </c>
      <c r="M1149" s="71" t="n">
        <v>2315298.9</v>
      </c>
      <c r="N1149" s="71" t="n">
        <v>578824.72</v>
      </c>
      <c r="O1149" s="71" t="n">
        <v>1736474.18</v>
      </c>
      <c r="P1149" s="71" t="n">
        <v>574744.67</v>
      </c>
      <c r="Q1149" s="71" t="n">
        <v>1161729.51</v>
      </c>
      <c r="R1149" t="inlineStr">
        <is>
          <t>Antiviral</t>
        </is>
      </c>
      <c r="S1149" s="70" t="n">
        <v>1982</v>
      </c>
      <c r="T1149" s="71" t="n">
        <v>404281.19</v>
      </c>
      <c r="U1149" t="inlineStr">
        <is>
          <t>Low</t>
        </is>
      </c>
      <c r="V1149">
        <f>IF(AND(OR(Dashboard!$C$6="All",E1149=Dashboard!$C$6),OR(Dashboard!$F$6="All",G1149=Dashboard!$F$6),OR(Dashboard!$I$6="All",H1149=Dashboard!$I$6)),1,0)</f>
        <v/>
      </c>
    </row>
    <row r="1150">
      <c r="A1150" t="inlineStr">
        <is>
          <t>PF101141</t>
        </is>
      </c>
      <c r="B1150" s="68" t="n">
        <v>45794</v>
      </c>
      <c r="C1150" s="69" t="n">
        <v>2025</v>
      </c>
      <c r="D1150" t="inlineStr">
        <is>
          <t>May</t>
        </is>
      </c>
      <c r="E1150" t="inlineStr">
        <is>
          <t>Emerging markets</t>
        </is>
      </c>
      <c r="F1150" t="inlineStr">
        <is>
          <t>India</t>
        </is>
      </c>
      <c r="G1150" t="inlineStr">
        <is>
          <t>Comirnaty</t>
        </is>
      </c>
      <c r="H1150" t="inlineStr">
        <is>
          <t>Retail pharmacy</t>
        </is>
      </c>
      <c r="I1150" t="inlineStr">
        <is>
          <t>Self-pay</t>
        </is>
      </c>
      <c r="J1150" t="inlineStr">
        <is>
          <t>Mei Lin</t>
        </is>
      </c>
      <c r="K1150" s="70" t="n">
        <v>1565</v>
      </c>
      <c r="L1150" s="71" t="n">
        <v>115.98</v>
      </c>
      <c r="M1150" s="71" t="n">
        <v>181508.7</v>
      </c>
      <c r="N1150" s="71" t="n">
        <v>9075.440000000001</v>
      </c>
      <c r="O1150" s="71" t="n">
        <v>172433.26</v>
      </c>
      <c r="P1150" s="71" t="n">
        <v>58541.82</v>
      </c>
      <c r="Q1150" s="71" t="n">
        <v>113891.44</v>
      </c>
      <c r="R1150" t="inlineStr">
        <is>
          <t>Vaccines</t>
        </is>
      </c>
      <c r="S1150" s="70" t="n">
        <v>1064</v>
      </c>
      <c r="T1150" s="71" t="n">
        <v>33977.26</v>
      </c>
      <c r="U1150" t="inlineStr">
        <is>
          <t>Low</t>
        </is>
      </c>
      <c r="V1150">
        <f>IF(AND(OR(Dashboard!$C$6="All",E1150=Dashboard!$C$6),OR(Dashboard!$F$6="All",G1150=Dashboard!$F$6),OR(Dashboard!$I$6="All",H1150=Dashboard!$I$6)),1,0)</f>
        <v/>
      </c>
    </row>
    <row r="1151">
      <c r="A1151" t="inlineStr">
        <is>
          <t>PF101142</t>
        </is>
      </c>
      <c r="B1151" s="68" t="n">
        <v>45794</v>
      </c>
      <c r="C1151" s="69" t="n">
        <v>2025</v>
      </c>
      <c r="D1151" t="inlineStr">
        <is>
          <t>May</t>
        </is>
      </c>
      <c r="E1151" t="inlineStr">
        <is>
          <t>International developed</t>
        </is>
      </c>
      <c r="F1151" t="inlineStr">
        <is>
          <t>Australia</t>
        </is>
      </c>
      <c r="G1151" t="inlineStr">
        <is>
          <t>Abrysvo</t>
        </is>
      </c>
      <c r="H1151" t="inlineStr">
        <is>
          <t>Retail pharmacy</t>
        </is>
      </c>
      <c r="I1151" t="inlineStr">
        <is>
          <t>Public payer</t>
        </is>
      </c>
      <c r="J1151" t="inlineStr">
        <is>
          <t>Omar Haddad</t>
        </is>
      </c>
      <c r="K1151" s="70" t="n">
        <v>690</v>
      </c>
      <c r="L1151" s="71" t="n">
        <v>294.35</v>
      </c>
      <c r="M1151" s="71" t="n">
        <v>203101.5</v>
      </c>
      <c r="N1151" s="71" t="n">
        <v>40620.3</v>
      </c>
      <c r="O1151" s="71" t="n">
        <v>162481.2</v>
      </c>
      <c r="P1151" s="71" t="n">
        <v>57884.45</v>
      </c>
      <c r="Q1151" s="71" t="n">
        <v>104596.75</v>
      </c>
      <c r="R1151" t="inlineStr">
        <is>
          <t>Vaccines</t>
        </is>
      </c>
      <c r="S1151" s="70" t="n">
        <v>563</v>
      </c>
      <c r="T1151" s="71" t="n">
        <v>42002.99</v>
      </c>
      <c r="U1151" t="inlineStr">
        <is>
          <t>Low</t>
        </is>
      </c>
      <c r="V1151">
        <f>IF(AND(OR(Dashboard!$C$6="All",E1151=Dashboard!$C$6),OR(Dashboard!$F$6="All",G1151=Dashboard!$F$6),OR(Dashboard!$I$6="All",H1151=Dashboard!$I$6)),1,0)</f>
        <v/>
      </c>
    </row>
    <row r="1152">
      <c r="A1152" t="inlineStr">
        <is>
          <t>PF101143</t>
        </is>
      </c>
      <c r="B1152" s="68" t="n">
        <v>45794</v>
      </c>
      <c r="C1152" s="69" t="n">
        <v>2025</v>
      </c>
      <c r="D1152" t="inlineStr">
        <is>
          <t>May</t>
        </is>
      </c>
      <c r="E1152" t="inlineStr">
        <is>
          <t>United States</t>
        </is>
      </c>
      <c r="F1152" t="inlineStr">
        <is>
          <t>USA</t>
        </is>
      </c>
      <c r="G1152" t="inlineStr">
        <is>
          <t>Paxlovid</t>
        </is>
      </c>
      <c r="H1152" t="inlineStr">
        <is>
          <t>Hospital</t>
        </is>
      </c>
      <c r="I1152" t="inlineStr">
        <is>
          <t>Private insurer</t>
        </is>
      </c>
      <c r="J1152" t="inlineStr">
        <is>
          <t>Ravindra Patil</t>
        </is>
      </c>
      <c r="K1152" s="70" t="n">
        <v>1049</v>
      </c>
      <c r="L1152" s="71" t="n">
        <v>1899.82</v>
      </c>
      <c r="M1152" s="71" t="n">
        <v>1992911.18</v>
      </c>
      <c r="N1152" s="71" t="n">
        <v>597873.35</v>
      </c>
      <c r="O1152" s="71" t="n">
        <v>1395037.83</v>
      </c>
      <c r="P1152" s="71" t="n">
        <v>293349.04</v>
      </c>
      <c r="Q1152" s="71" t="n">
        <v>1101688.79</v>
      </c>
      <c r="R1152" t="inlineStr">
        <is>
          <t>Antiviral</t>
        </is>
      </c>
      <c r="S1152" s="70" t="n">
        <v>987</v>
      </c>
      <c r="T1152" s="71" t="n">
        <v>301074.67</v>
      </c>
      <c r="U1152" t="inlineStr">
        <is>
          <t>Low</t>
        </is>
      </c>
      <c r="V1152">
        <f>IF(AND(OR(Dashboard!$C$6="All",E1152=Dashboard!$C$6),OR(Dashboard!$F$6="All",G1152=Dashboard!$F$6),OR(Dashboard!$I$6="All",H1152=Dashboard!$I$6)),1,0)</f>
        <v/>
      </c>
    </row>
    <row r="1153">
      <c r="A1153" t="inlineStr">
        <is>
          <t>PF101144</t>
        </is>
      </c>
      <c r="B1153" s="68" t="n">
        <v>45794</v>
      </c>
      <c r="C1153" s="69" t="n">
        <v>2025</v>
      </c>
      <c r="D1153" t="inlineStr">
        <is>
          <t>May</t>
        </is>
      </c>
      <c r="E1153" t="inlineStr">
        <is>
          <t>Europe</t>
        </is>
      </c>
      <c r="F1153" t="inlineStr">
        <is>
          <t>Spain</t>
        </is>
      </c>
      <c r="G1153" t="inlineStr">
        <is>
          <t>Xeljanz</t>
        </is>
      </c>
      <c r="H1153" t="inlineStr">
        <is>
          <t>Hospital</t>
        </is>
      </c>
      <c r="I1153" t="inlineStr">
        <is>
          <t>Public payer</t>
        </is>
      </c>
      <c r="J1153" t="inlineStr">
        <is>
          <t>Lucas Martin</t>
        </is>
      </c>
      <c r="K1153" s="70" t="n">
        <v>382</v>
      </c>
      <c r="L1153" s="71" t="n">
        <v>1271.73</v>
      </c>
      <c r="M1153" s="71" t="n">
        <v>485800.86</v>
      </c>
      <c r="N1153" s="71" t="n">
        <v>72870.13</v>
      </c>
      <c r="O1153" s="71" t="n">
        <v>412930.73</v>
      </c>
      <c r="P1153" s="71" t="n">
        <v>99975.09</v>
      </c>
      <c r="Q1153" s="71" t="n">
        <v>312955.64</v>
      </c>
      <c r="R1153" t="inlineStr">
        <is>
          <t>Inflammation</t>
        </is>
      </c>
      <c r="S1153" s="70" t="n">
        <v>264</v>
      </c>
      <c r="T1153" s="71" t="n">
        <v>96457.89</v>
      </c>
      <c r="U1153" t="inlineStr">
        <is>
          <t>High</t>
        </is>
      </c>
      <c r="V1153">
        <f>IF(AND(OR(Dashboard!$C$6="All",E1153=Dashboard!$C$6),OR(Dashboard!$F$6="All",G1153=Dashboard!$F$6),OR(Dashboard!$I$6="All",H1153=Dashboard!$I$6)),1,0)</f>
        <v/>
      </c>
    </row>
    <row r="1154">
      <c r="A1154" t="inlineStr">
        <is>
          <t>PF101145</t>
        </is>
      </c>
      <c r="B1154" s="68" t="n">
        <v>45794</v>
      </c>
      <c r="C1154" s="69" t="n">
        <v>2025</v>
      </c>
      <c r="D1154" t="inlineStr">
        <is>
          <t>May</t>
        </is>
      </c>
      <c r="E1154" t="inlineStr">
        <is>
          <t>United States</t>
        </is>
      </c>
      <c r="F1154" t="inlineStr">
        <is>
          <t>USA</t>
        </is>
      </c>
      <c r="G1154" t="inlineStr">
        <is>
          <t>Eliquis</t>
        </is>
      </c>
      <c r="H1154" t="inlineStr">
        <is>
          <t>Government / tender</t>
        </is>
      </c>
      <c r="I1154" t="inlineStr">
        <is>
          <t>Public payer</t>
        </is>
      </c>
      <c r="J1154" t="inlineStr">
        <is>
          <t>Omar Haddad</t>
        </is>
      </c>
      <c r="K1154" s="70" t="n">
        <v>427</v>
      </c>
      <c r="L1154" s="71" t="n">
        <v>684.7</v>
      </c>
      <c r="M1154" s="71" t="n">
        <v>292366.9</v>
      </c>
      <c r="N1154" s="71" t="n">
        <v>58473.38</v>
      </c>
      <c r="O1154" s="71" t="n">
        <v>233893.52</v>
      </c>
      <c r="P1154" s="71" t="n">
        <v>33091.05</v>
      </c>
      <c r="Q1154" s="71" t="n">
        <v>200802.47</v>
      </c>
      <c r="R1154" t="inlineStr">
        <is>
          <t>Cardiology</t>
        </is>
      </c>
      <c r="S1154" s="70" t="n">
        <v>337</v>
      </c>
      <c r="T1154" s="71" t="n">
        <v>53834.68</v>
      </c>
      <c r="U1154" t="inlineStr">
        <is>
          <t>High</t>
        </is>
      </c>
      <c r="V1154">
        <f>IF(AND(OR(Dashboard!$C$6="All",E1154=Dashboard!$C$6),OR(Dashboard!$F$6="All",G1154=Dashboard!$F$6),OR(Dashboard!$I$6="All",H1154=Dashboard!$I$6)),1,0)</f>
        <v/>
      </c>
    </row>
    <row r="1155">
      <c r="A1155" t="inlineStr">
        <is>
          <t>PF101146</t>
        </is>
      </c>
      <c r="B1155" s="68" t="n">
        <v>45795</v>
      </c>
      <c r="C1155" s="69" t="n">
        <v>2025</v>
      </c>
      <c r="D1155" t="inlineStr">
        <is>
          <t>May</t>
        </is>
      </c>
      <c r="E1155" t="inlineStr">
        <is>
          <t>Europe</t>
        </is>
      </c>
      <c r="F1155" t="inlineStr">
        <is>
          <t>France</t>
        </is>
      </c>
      <c r="G1155" t="inlineStr">
        <is>
          <t>Vyndaqel</t>
        </is>
      </c>
      <c r="H1155" t="inlineStr">
        <is>
          <t>Retail pharmacy</t>
        </is>
      </c>
      <c r="I1155" t="inlineStr">
        <is>
          <t>Private insurer</t>
        </is>
      </c>
      <c r="J1155" t="inlineStr">
        <is>
          <t>Hiroshi Tanaka</t>
        </is>
      </c>
      <c r="K1155" s="70" t="n">
        <v>1691</v>
      </c>
      <c r="L1155" s="71" t="n">
        <v>4939.1</v>
      </c>
      <c r="M1155" s="71" t="n">
        <v>8352018.1</v>
      </c>
      <c r="N1155" s="71" t="n">
        <v>2088004.52</v>
      </c>
      <c r="O1155" s="71" t="n">
        <v>6264013.58</v>
      </c>
      <c r="P1155" s="71" t="n">
        <v>1062310.96</v>
      </c>
      <c r="Q1155" s="71" t="n">
        <v>5201702.62</v>
      </c>
      <c r="R1155" t="inlineStr">
        <is>
          <t>Rare disease</t>
        </is>
      </c>
      <c r="S1155" s="70" t="n">
        <v>1649</v>
      </c>
      <c r="T1155" s="71" t="n">
        <v>1284791</v>
      </c>
      <c r="U1155" t="inlineStr">
        <is>
          <t>Medium</t>
        </is>
      </c>
      <c r="V1155">
        <f>IF(AND(OR(Dashboard!$C$6="All",E1155=Dashboard!$C$6),OR(Dashboard!$F$6="All",G1155=Dashboard!$F$6),OR(Dashboard!$I$6="All",H1155=Dashboard!$I$6)),1,0)</f>
        <v/>
      </c>
    </row>
    <row r="1156">
      <c r="A1156" t="inlineStr">
        <is>
          <t>PF101147</t>
        </is>
      </c>
      <c r="B1156" s="68" t="n">
        <v>45795</v>
      </c>
      <c r="C1156" s="69" t="n">
        <v>2025</v>
      </c>
      <c r="D1156" t="inlineStr">
        <is>
          <t>May</t>
        </is>
      </c>
      <c r="E1156" t="inlineStr">
        <is>
          <t>Europe</t>
        </is>
      </c>
      <c r="F1156" t="inlineStr">
        <is>
          <t>Germany</t>
        </is>
      </c>
      <c r="G1156" t="inlineStr">
        <is>
          <t>Xeljanz</t>
        </is>
      </c>
      <c r="H1156" t="inlineStr">
        <is>
          <t>Hospital</t>
        </is>
      </c>
      <c r="I1156" t="inlineStr">
        <is>
          <t>Private insurer</t>
        </is>
      </c>
      <c r="J1156" t="inlineStr">
        <is>
          <t>Priya Nair</t>
        </is>
      </c>
      <c r="K1156" s="70" t="n">
        <v>2000</v>
      </c>
      <c r="L1156" s="71" t="n">
        <v>1342.52</v>
      </c>
      <c r="M1156" s="71" t="n">
        <v>2685040</v>
      </c>
      <c r="N1156" s="71" t="n">
        <v>402756</v>
      </c>
      <c r="O1156" s="71" t="n">
        <v>2282284</v>
      </c>
      <c r="P1156" s="71" t="n">
        <v>502831.64</v>
      </c>
      <c r="Q1156" s="71" t="n">
        <v>1779452.36</v>
      </c>
      <c r="R1156" t="inlineStr">
        <is>
          <t>Inflammation</t>
        </is>
      </c>
      <c r="S1156" s="70" t="n">
        <v>1260</v>
      </c>
      <c r="T1156" s="71" t="n">
        <v>336247.23</v>
      </c>
      <c r="U1156" t="inlineStr">
        <is>
          <t>High</t>
        </is>
      </c>
      <c r="V1156">
        <f>IF(AND(OR(Dashboard!$C$6="All",E1156=Dashboard!$C$6),OR(Dashboard!$F$6="All",G1156=Dashboard!$F$6),OR(Dashboard!$I$6="All",H1156=Dashboard!$I$6)),1,0)</f>
        <v/>
      </c>
    </row>
    <row r="1157">
      <c r="A1157" t="inlineStr">
        <is>
          <t>PF101148</t>
        </is>
      </c>
      <c r="B1157" s="68" t="n">
        <v>45795</v>
      </c>
      <c r="C1157" s="69" t="n">
        <v>2025</v>
      </c>
      <c r="D1157" t="inlineStr">
        <is>
          <t>May</t>
        </is>
      </c>
      <c r="E1157" t="inlineStr">
        <is>
          <t>United States</t>
        </is>
      </c>
      <c r="F1157" t="inlineStr">
        <is>
          <t>USA</t>
        </is>
      </c>
      <c r="G1157" t="inlineStr">
        <is>
          <t>Xeljanz</t>
        </is>
      </c>
      <c r="H1157" t="inlineStr">
        <is>
          <t>Hospital</t>
        </is>
      </c>
      <c r="I1157" t="inlineStr">
        <is>
          <t>Public payer</t>
        </is>
      </c>
      <c r="J1157" t="inlineStr">
        <is>
          <t>Ana Costa</t>
        </is>
      </c>
      <c r="K1157" s="70" t="n">
        <v>521</v>
      </c>
      <c r="L1157" s="71" t="n">
        <v>2120.62</v>
      </c>
      <c r="M1157" s="71" t="n">
        <v>1104843.02</v>
      </c>
      <c r="N1157" s="71" t="n">
        <v>165726.45</v>
      </c>
      <c r="O1157" s="71" t="n">
        <v>939116.5699999999</v>
      </c>
      <c r="P1157" s="71" t="n">
        <v>129696.68</v>
      </c>
      <c r="Q1157" s="71" t="n">
        <v>809419.89</v>
      </c>
      <c r="R1157" t="inlineStr">
        <is>
          <t>Inflammation</t>
        </is>
      </c>
      <c r="S1157" s="70" t="n">
        <v>499</v>
      </c>
      <c r="T1157" s="71" t="n">
        <v>152348.93</v>
      </c>
      <c r="U1157" t="inlineStr">
        <is>
          <t>High</t>
        </is>
      </c>
      <c r="V1157">
        <f>IF(AND(OR(Dashboard!$C$6="All",E1157=Dashboard!$C$6),OR(Dashboard!$F$6="All",G1157=Dashboard!$F$6),OR(Dashboard!$I$6="All",H1157=Dashboard!$I$6)),1,0)</f>
        <v/>
      </c>
    </row>
    <row r="1158">
      <c r="A1158" t="inlineStr">
        <is>
          <t>PF101149</t>
        </is>
      </c>
      <c r="B1158" s="68" t="n">
        <v>45795</v>
      </c>
      <c r="C1158" s="69" t="n">
        <v>2025</v>
      </c>
      <c r="D1158" t="inlineStr">
        <is>
          <t>May</t>
        </is>
      </c>
      <c r="E1158" t="inlineStr">
        <is>
          <t>Europe</t>
        </is>
      </c>
      <c r="F1158" t="inlineStr">
        <is>
          <t>France</t>
        </is>
      </c>
      <c r="G1158" t="inlineStr">
        <is>
          <t>Xeljanz</t>
        </is>
      </c>
      <c r="H1158" t="inlineStr">
        <is>
          <t>Retail pharmacy</t>
        </is>
      </c>
      <c r="I1158" t="inlineStr">
        <is>
          <t>Private insurer</t>
        </is>
      </c>
      <c r="J1158" t="inlineStr">
        <is>
          <t>Liam O'Brien</t>
        </is>
      </c>
      <c r="K1158" s="70" t="n">
        <v>2972</v>
      </c>
      <c r="L1158" s="71" t="n">
        <v>1317.67</v>
      </c>
      <c r="M1158" s="71" t="n">
        <v>3916115.24</v>
      </c>
      <c r="N1158" s="71" t="n">
        <v>391611.52</v>
      </c>
      <c r="O1158" s="71" t="n">
        <v>3524503.72</v>
      </c>
      <c r="P1158" s="71" t="n">
        <v>764534</v>
      </c>
      <c r="Q1158" s="71" t="n">
        <v>2759969.72</v>
      </c>
      <c r="R1158" t="inlineStr">
        <is>
          <t>Inflammation</t>
        </is>
      </c>
      <c r="S1158" s="70" t="n">
        <v>2177</v>
      </c>
      <c r="T1158" s="71" t="n">
        <v>607756.26</v>
      </c>
      <c r="U1158" t="inlineStr">
        <is>
          <t>High</t>
        </is>
      </c>
      <c r="V1158">
        <f>IF(AND(OR(Dashboard!$C$6="All",E1158=Dashboard!$C$6),OR(Dashboard!$F$6="All",G1158=Dashboard!$F$6),OR(Dashboard!$I$6="All",H1158=Dashboard!$I$6)),1,0)</f>
        <v/>
      </c>
    </row>
    <row r="1159">
      <c r="A1159" t="inlineStr">
        <is>
          <t>PF101150</t>
        </is>
      </c>
      <c r="B1159" s="68" t="n">
        <v>45795</v>
      </c>
      <c r="C1159" s="69" t="n">
        <v>2025</v>
      </c>
      <c r="D1159" t="inlineStr">
        <is>
          <t>May</t>
        </is>
      </c>
      <c r="E1159" t="inlineStr">
        <is>
          <t>Europe</t>
        </is>
      </c>
      <c r="F1159" t="inlineStr">
        <is>
          <t>Italy</t>
        </is>
      </c>
      <c r="G1159" t="inlineStr">
        <is>
          <t>Prevnar 20</t>
        </is>
      </c>
      <c r="H1159" t="inlineStr">
        <is>
          <t>Government / tender</t>
        </is>
      </c>
      <c r="I1159" t="inlineStr">
        <is>
          <t>Public payer</t>
        </is>
      </c>
      <c r="J1159" t="inlineStr">
        <is>
          <t>Yuki Sato</t>
        </is>
      </c>
      <c r="K1159" s="70" t="n">
        <v>1277</v>
      </c>
      <c r="L1159" s="71" t="n">
        <v>217.75</v>
      </c>
      <c r="M1159" s="71" t="n">
        <v>278066.75</v>
      </c>
      <c r="N1159" s="71" t="n">
        <v>27806.68</v>
      </c>
      <c r="O1159" s="71" t="n">
        <v>250260.07</v>
      </c>
      <c r="P1159" s="71" t="n">
        <v>86446.88</v>
      </c>
      <c r="Q1159" s="71" t="n">
        <v>163813.19</v>
      </c>
      <c r="R1159" t="inlineStr">
        <is>
          <t>Vaccines</t>
        </is>
      </c>
      <c r="S1159" s="70" t="n">
        <v>949</v>
      </c>
      <c r="T1159" s="71" t="n">
        <v>55481.34</v>
      </c>
      <c r="U1159" t="inlineStr">
        <is>
          <t>Low</t>
        </is>
      </c>
      <c r="V1159">
        <f>IF(AND(OR(Dashboard!$C$6="All",E1159=Dashboard!$C$6),OR(Dashboard!$F$6="All",G1159=Dashboard!$F$6),OR(Dashboard!$I$6="All",H1159=Dashboard!$I$6)),1,0)</f>
        <v/>
      </c>
    </row>
    <row r="1160">
      <c r="A1160" t="inlineStr">
        <is>
          <t>PF101151</t>
        </is>
      </c>
      <c r="B1160" s="68" t="n">
        <v>45795</v>
      </c>
      <c r="C1160" s="69" t="n">
        <v>2025</v>
      </c>
      <c r="D1160" t="inlineStr">
        <is>
          <t>May</t>
        </is>
      </c>
      <c r="E1160" t="inlineStr">
        <is>
          <t>Emerging markets</t>
        </is>
      </c>
      <c r="F1160" t="inlineStr">
        <is>
          <t>China</t>
        </is>
      </c>
      <c r="G1160" t="inlineStr">
        <is>
          <t>Paxlovid</t>
        </is>
      </c>
      <c r="H1160" t="inlineStr">
        <is>
          <t>Hospital</t>
        </is>
      </c>
      <c r="I1160" t="inlineStr">
        <is>
          <t>Private insurer</t>
        </is>
      </c>
      <c r="J1160" t="inlineStr">
        <is>
          <t>Ana Costa</t>
        </is>
      </c>
      <c r="K1160" s="70" t="n">
        <v>2073</v>
      </c>
      <c r="L1160" s="71" t="n">
        <v>1077.49</v>
      </c>
      <c r="M1160" s="71" t="n">
        <v>2233636.77</v>
      </c>
      <c r="N1160" s="71" t="n">
        <v>335045.52</v>
      </c>
      <c r="O1160" s="71" t="n">
        <v>1898591.25</v>
      </c>
      <c r="P1160" s="71" t="n">
        <v>559801.66</v>
      </c>
      <c r="Q1160" s="71" t="n">
        <v>1338789.59</v>
      </c>
      <c r="R1160" t="inlineStr">
        <is>
          <t>Antiviral</t>
        </is>
      </c>
      <c r="S1160" s="70" t="n">
        <v>1353</v>
      </c>
      <c r="T1160" s="71" t="n">
        <v>453322.61</v>
      </c>
      <c r="U1160" t="inlineStr">
        <is>
          <t>Low</t>
        </is>
      </c>
      <c r="V1160">
        <f>IF(AND(OR(Dashboard!$C$6="All",E1160=Dashboard!$C$6),OR(Dashboard!$F$6="All",G1160=Dashboard!$F$6),OR(Dashboard!$I$6="All",H1160=Dashboard!$I$6)),1,0)</f>
        <v/>
      </c>
    </row>
    <row r="1161">
      <c r="A1161" t="inlineStr">
        <is>
          <t>PF101152</t>
        </is>
      </c>
      <c r="B1161" s="68" t="n">
        <v>45795</v>
      </c>
      <c r="C1161" s="69" t="n">
        <v>2025</v>
      </c>
      <c r="D1161" t="inlineStr">
        <is>
          <t>May</t>
        </is>
      </c>
      <c r="E1161" t="inlineStr">
        <is>
          <t>United States</t>
        </is>
      </c>
      <c r="F1161" t="inlineStr">
        <is>
          <t>USA</t>
        </is>
      </c>
      <c r="G1161" t="inlineStr">
        <is>
          <t>Comirnaty</t>
        </is>
      </c>
      <c r="H1161" t="inlineStr">
        <is>
          <t>Hospital</t>
        </is>
      </c>
      <c r="I1161" t="inlineStr">
        <is>
          <t>Self-pay</t>
        </is>
      </c>
      <c r="J1161" t="inlineStr">
        <is>
          <t>Priya Nair</t>
        </is>
      </c>
      <c r="K1161" s="70" t="n">
        <v>441</v>
      </c>
      <c r="L1161" s="71" t="n">
        <v>179.1</v>
      </c>
      <c r="M1161" s="71" t="n">
        <v>78983.10000000001</v>
      </c>
      <c r="N1161" s="71" t="n">
        <v>15796.62</v>
      </c>
      <c r="O1161" s="71" t="n">
        <v>63186.48</v>
      </c>
      <c r="P1161" s="71" t="n">
        <v>17347.45</v>
      </c>
      <c r="Q1161" s="71" t="n">
        <v>45839.03</v>
      </c>
      <c r="R1161" t="inlineStr">
        <is>
          <t>Vaccines</t>
        </is>
      </c>
      <c r="S1161" s="70" t="n">
        <v>325</v>
      </c>
      <c r="T1161" s="71" t="n">
        <v>15579.21</v>
      </c>
      <c r="U1161" t="inlineStr">
        <is>
          <t>Low</t>
        </is>
      </c>
      <c r="V1161">
        <f>IF(AND(OR(Dashboard!$C$6="All",E1161=Dashboard!$C$6),OR(Dashboard!$F$6="All",G1161=Dashboard!$F$6),OR(Dashboard!$I$6="All",H1161=Dashboard!$I$6)),1,0)</f>
        <v/>
      </c>
    </row>
    <row r="1162">
      <c r="A1162" t="inlineStr">
        <is>
          <t>PF101153</t>
        </is>
      </c>
      <c r="B1162" s="68" t="n">
        <v>45796</v>
      </c>
      <c r="C1162" s="69" t="n">
        <v>2025</v>
      </c>
      <c r="D1162" t="inlineStr">
        <is>
          <t>May</t>
        </is>
      </c>
      <c r="E1162" t="inlineStr">
        <is>
          <t>Emerging markets</t>
        </is>
      </c>
      <c r="F1162" t="inlineStr">
        <is>
          <t>China</t>
        </is>
      </c>
      <c r="G1162" t="inlineStr">
        <is>
          <t>Xeljanz</t>
        </is>
      </c>
      <c r="H1162" t="inlineStr">
        <is>
          <t>Hospital</t>
        </is>
      </c>
      <c r="I1162" t="inlineStr">
        <is>
          <t>Public payer</t>
        </is>
      </c>
      <c r="J1162" t="inlineStr">
        <is>
          <t>Lucas Martin</t>
        </is>
      </c>
      <c r="K1162" s="70" t="n">
        <v>2148</v>
      </c>
      <c r="L1162" s="71" t="n">
        <v>1460.69</v>
      </c>
      <c r="M1162" s="71" t="n">
        <v>3137562.12</v>
      </c>
      <c r="N1162" s="71" t="n">
        <v>313756.21</v>
      </c>
      <c r="O1162" s="71" t="n">
        <v>2823805.91</v>
      </c>
      <c r="P1162" s="71" t="n">
        <v>561263.34</v>
      </c>
      <c r="Q1162" s="71" t="n">
        <v>2262542.57</v>
      </c>
      <c r="R1162" t="inlineStr">
        <is>
          <t>Inflammation</t>
        </is>
      </c>
      <c r="S1162" s="70" t="n">
        <v>1579</v>
      </c>
      <c r="T1162" s="71" t="n">
        <v>605335.45</v>
      </c>
      <c r="U1162" t="inlineStr">
        <is>
          <t>High</t>
        </is>
      </c>
      <c r="V1162">
        <f>IF(AND(OR(Dashboard!$C$6="All",E1162=Dashboard!$C$6),OR(Dashboard!$F$6="All",G1162=Dashboard!$F$6),OR(Dashboard!$I$6="All",H1162=Dashboard!$I$6)),1,0)</f>
        <v/>
      </c>
    </row>
    <row r="1163">
      <c r="A1163" t="inlineStr">
        <is>
          <t>PF101154</t>
        </is>
      </c>
      <c r="B1163" s="68" t="n">
        <v>45796</v>
      </c>
      <c r="C1163" s="69" t="n">
        <v>2025</v>
      </c>
      <c r="D1163" t="inlineStr">
        <is>
          <t>May</t>
        </is>
      </c>
      <c r="E1163" t="inlineStr">
        <is>
          <t>United States</t>
        </is>
      </c>
      <c r="F1163" t="inlineStr">
        <is>
          <t>USA</t>
        </is>
      </c>
      <c r="G1163" t="inlineStr">
        <is>
          <t>Eliquis</t>
        </is>
      </c>
      <c r="H1163" t="inlineStr">
        <is>
          <t>Retail pharmacy</t>
        </is>
      </c>
      <c r="I1163" t="inlineStr">
        <is>
          <t>Private insurer</t>
        </is>
      </c>
      <c r="J1163" t="inlineStr">
        <is>
          <t>Omar Haddad</t>
        </is>
      </c>
      <c r="K1163" s="70" t="n">
        <v>2822</v>
      </c>
      <c r="L1163" s="71" t="n">
        <v>623.9</v>
      </c>
      <c r="M1163" s="71" t="n">
        <v>1760645.8</v>
      </c>
      <c r="N1163" s="71" t="n">
        <v>352129.16</v>
      </c>
      <c r="O1163" s="71" t="n">
        <v>1408516.64</v>
      </c>
      <c r="P1163" s="71" t="n">
        <v>209198.3</v>
      </c>
      <c r="Q1163" s="71" t="n">
        <v>1199318.34</v>
      </c>
      <c r="R1163" t="inlineStr">
        <is>
          <t>Cardiology</t>
        </is>
      </c>
      <c r="S1163" s="70" t="n">
        <v>1848</v>
      </c>
      <c r="T1163" s="71" t="n">
        <v>322052.26</v>
      </c>
      <c r="U1163" t="inlineStr">
        <is>
          <t>High</t>
        </is>
      </c>
      <c r="V1163">
        <f>IF(AND(OR(Dashboard!$C$6="All",E1163=Dashboard!$C$6),OR(Dashboard!$F$6="All",G1163=Dashboard!$F$6),OR(Dashboard!$I$6="All",H1163=Dashboard!$I$6)),1,0)</f>
        <v/>
      </c>
    </row>
    <row r="1164">
      <c r="A1164" t="inlineStr">
        <is>
          <t>PF101155</t>
        </is>
      </c>
      <c r="B1164" s="68" t="n">
        <v>45796</v>
      </c>
      <c r="C1164" s="69" t="n">
        <v>2025</v>
      </c>
      <c r="D1164" t="inlineStr">
        <is>
          <t>May</t>
        </is>
      </c>
      <c r="E1164" t="inlineStr">
        <is>
          <t>Europe</t>
        </is>
      </c>
      <c r="F1164" t="inlineStr">
        <is>
          <t>Germany</t>
        </is>
      </c>
      <c r="G1164" t="inlineStr">
        <is>
          <t>Abrysvo</t>
        </is>
      </c>
      <c r="H1164" t="inlineStr">
        <is>
          <t>Hospital</t>
        </is>
      </c>
      <c r="I1164" t="inlineStr">
        <is>
          <t>Public payer</t>
        </is>
      </c>
      <c r="J1164" t="inlineStr">
        <is>
          <t>Olivia Brown</t>
        </is>
      </c>
      <c r="K1164" s="70" t="n">
        <v>1042</v>
      </c>
      <c r="L1164" s="71" t="n">
        <v>303.95</v>
      </c>
      <c r="M1164" s="71" t="n">
        <v>316715.9</v>
      </c>
      <c r="N1164" s="71" t="n">
        <v>47507.39</v>
      </c>
      <c r="O1164" s="71" t="n">
        <v>269208.51</v>
      </c>
      <c r="P1164" s="71" t="n">
        <v>88689.3</v>
      </c>
      <c r="Q1164" s="71" t="n">
        <v>180519.21</v>
      </c>
      <c r="R1164" t="inlineStr">
        <is>
          <t>Vaccines</t>
        </is>
      </c>
      <c r="S1164" s="70" t="n">
        <v>672</v>
      </c>
      <c r="T1164" s="71" t="n">
        <v>50792.55</v>
      </c>
      <c r="U1164" t="inlineStr">
        <is>
          <t>Low</t>
        </is>
      </c>
      <c r="V1164">
        <f>IF(AND(OR(Dashboard!$C$6="All",E1164=Dashboard!$C$6),OR(Dashboard!$F$6="All",G1164=Dashboard!$F$6),OR(Dashboard!$I$6="All",H1164=Dashboard!$I$6)),1,0)</f>
        <v/>
      </c>
    </row>
    <row r="1165">
      <c r="A1165" t="inlineStr">
        <is>
          <t>PF101156</t>
        </is>
      </c>
      <c r="B1165" s="68" t="n">
        <v>45796</v>
      </c>
      <c r="C1165" s="69" t="n">
        <v>2025</v>
      </c>
      <c r="D1165" t="inlineStr">
        <is>
          <t>May</t>
        </is>
      </c>
      <c r="E1165" t="inlineStr">
        <is>
          <t>International developed</t>
        </is>
      </c>
      <c r="F1165" t="inlineStr">
        <is>
          <t>Australia</t>
        </is>
      </c>
      <c r="G1165" t="inlineStr">
        <is>
          <t>Paxlovid</t>
        </is>
      </c>
      <c r="H1165" t="inlineStr">
        <is>
          <t>Government / tender</t>
        </is>
      </c>
      <c r="I1165" t="inlineStr">
        <is>
          <t>Private insurer</t>
        </is>
      </c>
      <c r="J1165" t="inlineStr">
        <is>
          <t>Shraddha Kulkarni</t>
        </is>
      </c>
      <c r="K1165" s="70" t="n">
        <v>2192</v>
      </c>
      <c r="L1165" s="71" t="n">
        <v>1125.16</v>
      </c>
      <c r="M1165" s="71" t="n">
        <v>2466350.72</v>
      </c>
      <c r="N1165" s="71" t="n">
        <v>369952.61</v>
      </c>
      <c r="O1165" s="71" t="n">
        <v>2096398.11</v>
      </c>
      <c r="P1165" s="71" t="n">
        <v>587130.39</v>
      </c>
      <c r="Q1165" s="71" t="n">
        <v>1509267.72</v>
      </c>
      <c r="R1165" t="inlineStr">
        <is>
          <t>Antiviral</t>
        </is>
      </c>
      <c r="S1165" s="70" t="n">
        <v>1854</v>
      </c>
      <c r="T1165" s="71" t="n">
        <v>354151.31</v>
      </c>
      <c r="U1165" t="inlineStr">
        <is>
          <t>Low</t>
        </is>
      </c>
      <c r="V1165">
        <f>IF(AND(OR(Dashboard!$C$6="All",E1165=Dashboard!$C$6),OR(Dashboard!$F$6="All",G1165=Dashboard!$F$6),OR(Dashboard!$I$6="All",H1165=Dashboard!$I$6)),1,0)</f>
        <v/>
      </c>
    </row>
    <row r="1166">
      <c r="A1166" t="inlineStr">
        <is>
          <t>PF101157</t>
        </is>
      </c>
      <c r="B1166" s="68" t="n">
        <v>45796</v>
      </c>
      <c r="C1166" s="69" t="n">
        <v>2025</v>
      </c>
      <c r="D1166" t="inlineStr">
        <is>
          <t>May</t>
        </is>
      </c>
      <c r="E1166" t="inlineStr">
        <is>
          <t>United States</t>
        </is>
      </c>
      <c r="F1166" t="inlineStr">
        <is>
          <t>USA</t>
        </is>
      </c>
      <c r="G1166" t="inlineStr">
        <is>
          <t>Xeljanz</t>
        </is>
      </c>
      <c r="H1166" t="inlineStr">
        <is>
          <t>Hospital</t>
        </is>
      </c>
      <c r="I1166" t="inlineStr">
        <is>
          <t>Public payer</t>
        </is>
      </c>
      <c r="J1166" t="inlineStr">
        <is>
          <t>Aisha Bello</t>
        </is>
      </c>
      <c r="K1166" s="70" t="n">
        <v>1959</v>
      </c>
      <c r="L1166" s="71" t="n">
        <v>2397.86</v>
      </c>
      <c r="M1166" s="71" t="n">
        <v>4697407.74</v>
      </c>
      <c r="N1166" s="71" t="n">
        <v>1644092.71</v>
      </c>
      <c r="O1166" s="71" t="n">
        <v>3053315.03</v>
      </c>
      <c r="P1166" s="71" t="n">
        <v>475168.49</v>
      </c>
      <c r="Q1166" s="71" t="n">
        <v>2578146.54</v>
      </c>
      <c r="R1166" t="inlineStr">
        <is>
          <t>Inflammation</t>
        </is>
      </c>
      <c r="S1166" s="70" t="n">
        <v>1310</v>
      </c>
      <c r="T1166" s="71" t="n">
        <v>1027497.43</v>
      </c>
      <c r="U1166" t="inlineStr">
        <is>
          <t>High</t>
        </is>
      </c>
      <c r="V1166">
        <f>IF(AND(OR(Dashboard!$C$6="All",E1166=Dashboard!$C$6),OR(Dashboard!$F$6="All",G1166=Dashboard!$F$6),OR(Dashboard!$I$6="All",H1166=Dashboard!$I$6)),1,0)</f>
        <v/>
      </c>
    </row>
    <row r="1167">
      <c r="A1167" t="inlineStr">
        <is>
          <t>PF101158</t>
        </is>
      </c>
      <c r="B1167" s="68" t="n">
        <v>45796</v>
      </c>
      <c r="C1167" s="69" t="n">
        <v>2025</v>
      </c>
      <c r="D1167" t="inlineStr">
        <is>
          <t>May</t>
        </is>
      </c>
      <c r="E1167" t="inlineStr">
        <is>
          <t>United States</t>
        </is>
      </c>
      <c r="F1167" t="inlineStr">
        <is>
          <t>USA</t>
        </is>
      </c>
      <c r="G1167" t="inlineStr">
        <is>
          <t>Comirnaty</t>
        </is>
      </c>
      <c r="H1167" t="inlineStr">
        <is>
          <t>Government / tender</t>
        </is>
      </c>
      <c r="I1167" t="inlineStr">
        <is>
          <t>Private insurer</t>
        </is>
      </c>
      <c r="J1167" t="inlineStr">
        <is>
          <t>Kofi Mensah</t>
        </is>
      </c>
      <c r="K1167" s="70" t="n">
        <v>2976</v>
      </c>
      <c r="L1167" s="71" t="n">
        <v>174.54</v>
      </c>
      <c r="M1167" s="71" t="n">
        <v>519431.04</v>
      </c>
      <c r="N1167" s="71" t="n">
        <v>181800.86</v>
      </c>
      <c r="O1167" s="71" t="n">
        <v>337630.18</v>
      </c>
      <c r="P1167" s="71" t="n">
        <v>118430.82</v>
      </c>
      <c r="Q1167" s="71" t="n">
        <v>219199.36</v>
      </c>
      <c r="R1167" t="inlineStr">
        <is>
          <t>Vaccines</t>
        </is>
      </c>
      <c r="S1167" s="70" t="n">
        <v>2430</v>
      </c>
      <c r="T1167" s="71" t="n">
        <v>89271.67</v>
      </c>
      <c r="U1167" t="inlineStr">
        <is>
          <t>Low</t>
        </is>
      </c>
      <c r="V1167">
        <f>IF(AND(OR(Dashboard!$C$6="All",E1167=Dashboard!$C$6),OR(Dashboard!$F$6="All",G1167=Dashboard!$F$6),OR(Dashboard!$I$6="All",H1167=Dashboard!$I$6)),1,0)</f>
        <v/>
      </c>
    </row>
    <row r="1168">
      <c r="A1168" t="inlineStr">
        <is>
          <t>PF101159</t>
        </is>
      </c>
      <c r="B1168" s="68" t="n">
        <v>45797</v>
      </c>
      <c r="C1168" s="69" t="n">
        <v>2025</v>
      </c>
      <c r="D1168" t="inlineStr">
        <is>
          <t>May</t>
        </is>
      </c>
      <c r="E1168" t="inlineStr">
        <is>
          <t>Emerging markets</t>
        </is>
      </c>
      <c r="F1168" t="inlineStr">
        <is>
          <t>China</t>
        </is>
      </c>
      <c r="G1168" t="inlineStr">
        <is>
          <t>Ibrance</t>
        </is>
      </c>
      <c r="H1168" t="inlineStr">
        <is>
          <t>Retail pharmacy</t>
        </is>
      </c>
      <c r="I1168" t="inlineStr">
        <is>
          <t>Private insurer</t>
        </is>
      </c>
      <c r="J1168" t="inlineStr">
        <is>
          <t>Yuki Sato</t>
        </is>
      </c>
      <c r="K1168" s="70" t="n">
        <v>929</v>
      </c>
      <c r="L1168" s="71" t="n">
        <v>2859.07</v>
      </c>
      <c r="M1168" s="71" t="n">
        <v>2656076.03</v>
      </c>
      <c r="N1168" s="71" t="n">
        <v>664019.01</v>
      </c>
      <c r="O1168" s="71" t="n">
        <v>1992057.02</v>
      </c>
      <c r="P1168" s="71" t="n">
        <v>390698.06</v>
      </c>
      <c r="Q1168" s="71" t="n">
        <v>1601358.96</v>
      </c>
      <c r="R1168" t="inlineStr">
        <is>
          <t>Oncology</t>
        </is>
      </c>
      <c r="S1168" s="70" t="n">
        <v>830</v>
      </c>
      <c r="T1168" s="71" t="n">
        <v>335780.36</v>
      </c>
      <c r="U1168" t="inlineStr">
        <is>
          <t>High</t>
        </is>
      </c>
      <c r="V1168">
        <f>IF(AND(OR(Dashboard!$C$6="All",E1168=Dashboard!$C$6),OR(Dashboard!$F$6="All",G1168=Dashboard!$F$6),OR(Dashboard!$I$6="All",H1168=Dashboard!$I$6)),1,0)</f>
        <v/>
      </c>
    </row>
    <row r="1169">
      <c r="A1169" t="inlineStr">
        <is>
          <t>PF101160</t>
        </is>
      </c>
      <c r="B1169" s="68" t="n">
        <v>45797</v>
      </c>
      <c r="C1169" s="69" t="n">
        <v>2025</v>
      </c>
      <c r="D1169" t="inlineStr">
        <is>
          <t>May</t>
        </is>
      </c>
      <c r="E1169" t="inlineStr">
        <is>
          <t>United States</t>
        </is>
      </c>
      <c r="F1169" t="inlineStr">
        <is>
          <t>USA</t>
        </is>
      </c>
      <c r="G1169" t="inlineStr">
        <is>
          <t>Paxlovid</t>
        </is>
      </c>
      <c r="H1169" t="inlineStr">
        <is>
          <t>Hospital</t>
        </is>
      </c>
      <c r="I1169" t="inlineStr">
        <is>
          <t>Self-pay</t>
        </is>
      </c>
      <c r="J1169" t="inlineStr">
        <is>
          <t>Ana Costa</t>
        </is>
      </c>
      <c r="K1169" s="70" t="n">
        <v>1966</v>
      </c>
      <c r="L1169" s="71" t="n">
        <v>1745.65</v>
      </c>
      <c r="M1169" s="71" t="n">
        <v>3431947.9</v>
      </c>
      <c r="N1169" s="71" t="n">
        <v>1201181.76</v>
      </c>
      <c r="O1169" s="71" t="n">
        <v>2230766.14</v>
      </c>
      <c r="P1169" s="71" t="n">
        <v>553499.84</v>
      </c>
      <c r="Q1169" s="71" t="n">
        <v>1677266.3</v>
      </c>
      <c r="R1169" t="inlineStr">
        <is>
          <t>Antiviral</t>
        </is>
      </c>
      <c r="S1169" s="70" t="n">
        <v>1308</v>
      </c>
      <c r="T1169" s="71" t="n">
        <v>580805.78</v>
      </c>
      <c r="U1169" t="inlineStr">
        <is>
          <t>Low</t>
        </is>
      </c>
      <c r="V1169">
        <f>IF(AND(OR(Dashboard!$C$6="All",E1169=Dashboard!$C$6),OR(Dashboard!$F$6="All",G1169=Dashboard!$F$6),OR(Dashboard!$I$6="All",H1169=Dashboard!$I$6)),1,0)</f>
        <v/>
      </c>
    </row>
    <row r="1170">
      <c r="A1170" t="inlineStr">
        <is>
          <t>PF101161</t>
        </is>
      </c>
      <c r="B1170" s="68" t="n">
        <v>45797</v>
      </c>
      <c r="C1170" s="69" t="n">
        <v>2025</v>
      </c>
      <c r="D1170" t="inlineStr">
        <is>
          <t>May</t>
        </is>
      </c>
      <c r="E1170" t="inlineStr">
        <is>
          <t>United States</t>
        </is>
      </c>
      <c r="F1170" t="inlineStr">
        <is>
          <t>USA</t>
        </is>
      </c>
      <c r="G1170" t="inlineStr">
        <is>
          <t>Eliquis</t>
        </is>
      </c>
      <c r="H1170" t="inlineStr">
        <is>
          <t>Retail pharmacy</t>
        </is>
      </c>
      <c r="I1170" t="inlineStr">
        <is>
          <t>Public payer</t>
        </is>
      </c>
      <c r="J1170" t="inlineStr">
        <is>
          <t>Mei Lin</t>
        </is>
      </c>
      <c r="K1170" s="70" t="n">
        <v>1164</v>
      </c>
      <c r="L1170" s="71" t="n">
        <v>722.14</v>
      </c>
      <c r="M1170" s="71" t="n">
        <v>840570.96</v>
      </c>
      <c r="N1170" s="71" t="n">
        <v>126085.64</v>
      </c>
      <c r="O1170" s="71" t="n">
        <v>714485.3199999999</v>
      </c>
      <c r="P1170" s="71" t="n">
        <v>90864.91</v>
      </c>
      <c r="Q1170" s="71" t="n">
        <v>623620.41</v>
      </c>
      <c r="R1170" t="inlineStr">
        <is>
          <t>Cardiology</t>
        </is>
      </c>
      <c r="S1170" s="70" t="n">
        <v>945</v>
      </c>
      <c r="T1170" s="71" t="n">
        <v>163580.81</v>
      </c>
      <c r="U1170" t="inlineStr">
        <is>
          <t>High</t>
        </is>
      </c>
      <c r="V1170">
        <f>IF(AND(OR(Dashboard!$C$6="All",E1170=Dashboard!$C$6),OR(Dashboard!$F$6="All",G1170=Dashboard!$F$6),OR(Dashboard!$I$6="All",H1170=Dashboard!$I$6)),1,0)</f>
        <v/>
      </c>
    </row>
    <row r="1171">
      <c r="A1171" t="inlineStr">
        <is>
          <t>PF101162</t>
        </is>
      </c>
      <c r="B1171" s="68" t="n">
        <v>45797</v>
      </c>
      <c r="C1171" s="69" t="n">
        <v>2025</v>
      </c>
      <c r="D1171" t="inlineStr">
        <is>
          <t>May</t>
        </is>
      </c>
      <c r="E1171" t="inlineStr">
        <is>
          <t>United States</t>
        </is>
      </c>
      <c r="F1171" t="inlineStr">
        <is>
          <t>USA</t>
        </is>
      </c>
      <c r="G1171" t="inlineStr">
        <is>
          <t>Prevnar 20</t>
        </is>
      </c>
      <c r="H1171" t="inlineStr">
        <is>
          <t>Hospital</t>
        </is>
      </c>
      <c r="I1171" t="inlineStr">
        <is>
          <t>Private insurer</t>
        </is>
      </c>
      <c r="J1171" t="inlineStr">
        <is>
          <t>Lucas Martin</t>
        </is>
      </c>
      <c r="K1171" s="70" t="n">
        <v>1690</v>
      </c>
      <c r="L1171" s="71" t="n">
        <v>344.61</v>
      </c>
      <c r="M1171" s="71" t="n">
        <v>582390.9</v>
      </c>
      <c r="N1171" s="71" t="n">
        <v>87358.64</v>
      </c>
      <c r="O1171" s="71" t="n">
        <v>495032.26</v>
      </c>
      <c r="P1171" s="71" t="n">
        <v>118411.64</v>
      </c>
      <c r="Q1171" s="71" t="n">
        <v>376620.62</v>
      </c>
      <c r="R1171" t="inlineStr">
        <is>
          <t>Vaccines</t>
        </is>
      </c>
      <c r="S1171" s="70" t="n">
        <v>1205</v>
      </c>
      <c r="T1171" s="71" t="n">
        <v>104112.24</v>
      </c>
      <c r="U1171" t="inlineStr">
        <is>
          <t>Low</t>
        </is>
      </c>
      <c r="V1171">
        <f>IF(AND(OR(Dashboard!$C$6="All",E1171=Dashboard!$C$6),OR(Dashboard!$F$6="All",G1171=Dashboard!$F$6),OR(Dashboard!$I$6="All",H1171=Dashboard!$I$6)),1,0)</f>
        <v/>
      </c>
    </row>
    <row r="1172">
      <c r="A1172" t="inlineStr">
        <is>
          <t>PF101163</t>
        </is>
      </c>
      <c r="B1172" s="68" t="n">
        <v>45797</v>
      </c>
      <c r="C1172" s="69" t="n">
        <v>2025</v>
      </c>
      <c r="D1172" t="inlineStr">
        <is>
          <t>May</t>
        </is>
      </c>
      <c r="E1172" t="inlineStr">
        <is>
          <t>Europe</t>
        </is>
      </c>
      <c r="F1172" t="inlineStr">
        <is>
          <t>France</t>
        </is>
      </c>
      <c r="G1172" t="inlineStr">
        <is>
          <t>Paxlovid</t>
        </is>
      </c>
      <c r="H1172" t="inlineStr">
        <is>
          <t>Retail pharmacy</t>
        </is>
      </c>
      <c r="I1172" t="inlineStr">
        <is>
          <t>Public payer</t>
        </is>
      </c>
      <c r="J1172" t="inlineStr">
        <is>
          <t>Ana Costa</t>
        </is>
      </c>
      <c r="K1172" s="70" t="n">
        <v>744</v>
      </c>
      <c r="L1172" s="71" t="n">
        <v>1068.36</v>
      </c>
      <c r="M1172" s="71" t="n">
        <v>794859.84</v>
      </c>
      <c r="N1172" s="71" t="n">
        <v>39742.99</v>
      </c>
      <c r="O1172" s="71" t="n">
        <v>755116.85</v>
      </c>
      <c r="P1172" s="71" t="n">
        <v>196588.36</v>
      </c>
      <c r="Q1172" s="71" t="n">
        <v>558528.49</v>
      </c>
      <c r="R1172" t="inlineStr">
        <is>
          <t>Antiviral</t>
        </is>
      </c>
      <c r="S1172" s="70" t="n">
        <v>500</v>
      </c>
      <c r="T1172" s="71" t="n">
        <v>165897.44</v>
      </c>
      <c r="U1172" t="inlineStr">
        <is>
          <t>Low</t>
        </is>
      </c>
      <c r="V1172">
        <f>IF(AND(OR(Dashboard!$C$6="All",E1172=Dashboard!$C$6),OR(Dashboard!$F$6="All",G1172=Dashboard!$F$6),OR(Dashboard!$I$6="All",H1172=Dashboard!$I$6)),1,0)</f>
        <v/>
      </c>
    </row>
    <row r="1173">
      <c r="A1173" t="inlineStr">
        <is>
          <t>PF101164</t>
        </is>
      </c>
      <c r="B1173" s="68" t="n">
        <v>45797</v>
      </c>
      <c r="C1173" s="69" t="n">
        <v>2025</v>
      </c>
      <c r="D1173" t="inlineStr">
        <is>
          <t>May</t>
        </is>
      </c>
      <c r="E1173" t="inlineStr">
        <is>
          <t>Emerging markets</t>
        </is>
      </c>
      <c r="F1173" t="inlineStr">
        <is>
          <t>Brazil</t>
        </is>
      </c>
      <c r="G1173" t="inlineStr">
        <is>
          <t>Comirnaty</t>
        </is>
      </c>
      <c r="H1173" t="inlineStr">
        <is>
          <t>Retail pharmacy</t>
        </is>
      </c>
      <c r="I1173" t="inlineStr">
        <is>
          <t>Private insurer</t>
        </is>
      </c>
      <c r="J1173" t="inlineStr">
        <is>
          <t>Carlos Silva</t>
        </is>
      </c>
      <c r="K1173" s="70" t="n">
        <v>2588</v>
      </c>
      <c r="L1173" s="71" t="n">
        <v>106.25</v>
      </c>
      <c r="M1173" s="71" t="n">
        <v>274975</v>
      </c>
      <c r="N1173" s="71" t="n">
        <v>68743.75</v>
      </c>
      <c r="O1173" s="71" t="n">
        <v>206231.25</v>
      </c>
      <c r="P1173" s="71" t="n">
        <v>99902.46000000001</v>
      </c>
      <c r="Q1173" s="71" t="n">
        <v>106328.79</v>
      </c>
      <c r="R1173" t="inlineStr">
        <is>
          <t>Vaccines</t>
        </is>
      </c>
      <c r="S1173" s="70" t="n">
        <v>2391</v>
      </c>
      <c r="T1173" s="71" t="n">
        <v>37701.11</v>
      </c>
      <c r="U1173" t="inlineStr">
        <is>
          <t>Low</t>
        </is>
      </c>
      <c r="V1173">
        <f>IF(AND(OR(Dashboard!$C$6="All",E1173=Dashboard!$C$6),OR(Dashboard!$F$6="All",G1173=Dashboard!$F$6),OR(Dashboard!$I$6="All",H1173=Dashboard!$I$6)),1,0)</f>
        <v/>
      </c>
    </row>
    <row r="1174">
      <c r="A1174" t="inlineStr">
        <is>
          <t>PF101165</t>
        </is>
      </c>
      <c r="B1174" s="68" t="n">
        <v>45797</v>
      </c>
      <c r="C1174" s="69" t="n">
        <v>2025</v>
      </c>
      <c r="D1174" t="inlineStr">
        <is>
          <t>May</t>
        </is>
      </c>
      <c r="E1174" t="inlineStr">
        <is>
          <t>United States</t>
        </is>
      </c>
      <c r="F1174" t="inlineStr">
        <is>
          <t>USA</t>
        </is>
      </c>
      <c r="G1174" t="inlineStr">
        <is>
          <t>Eliquis</t>
        </is>
      </c>
      <c r="H1174" t="inlineStr">
        <is>
          <t>Retail pharmacy</t>
        </is>
      </c>
      <c r="I1174" t="inlineStr">
        <is>
          <t>Private insurer</t>
        </is>
      </c>
      <c r="J1174" t="inlineStr">
        <is>
          <t>Aisha Bello</t>
        </is>
      </c>
      <c r="K1174" s="70" t="n">
        <v>658</v>
      </c>
      <c r="L1174" s="71" t="n">
        <v>613.79</v>
      </c>
      <c r="M1174" s="71" t="n">
        <v>403873.82</v>
      </c>
      <c r="N1174" s="71" t="n">
        <v>100968.46</v>
      </c>
      <c r="O1174" s="71" t="n">
        <v>302905.36</v>
      </c>
      <c r="P1174" s="71" t="n">
        <v>49317.06</v>
      </c>
      <c r="Q1174" s="71" t="n">
        <v>253588.3</v>
      </c>
      <c r="R1174" t="inlineStr">
        <is>
          <t>Cardiology</t>
        </is>
      </c>
      <c r="S1174" s="70" t="n">
        <v>497</v>
      </c>
      <c r="T1174" s="71" t="n">
        <v>65607.21000000001</v>
      </c>
      <c r="U1174" t="inlineStr">
        <is>
          <t>High</t>
        </is>
      </c>
      <c r="V1174">
        <f>IF(AND(OR(Dashboard!$C$6="All",E1174=Dashboard!$C$6),OR(Dashboard!$F$6="All",G1174=Dashboard!$F$6),OR(Dashboard!$I$6="All",H1174=Dashboard!$I$6)),1,0)</f>
        <v/>
      </c>
    </row>
    <row r="1175">
      <c r="A1175" t="inlineStr">
        <is>
          <t>PF101166</t>
        </is>
      </c>
      <c r="B1175" s="68" t="n">
        <v>45797</v>
      </c>
      <c r="C1175" s="69" t="n">
        <v>2025</v>
      </c>
      <c r="D1175" t="inlineStr">
        <is>
          <t>May</t>
        </is>
      </c>
      <c r="E1175" t="inlineStr">
        <is>
          <t>International developed</t>
        </is>
      </c>
      <c r="F1175" t="inlineStr">
        <is>
          <t>Japan</t>
        </is>
      </c>
      <c r="G1175" t="inlineStr">
        <is>
          <t>Abrysvo</t>
        </is>
      </c>
      <c r="H1175" t="inlineStr">
        <is>
          <t>Hospital</t>
        </is>
      </c>
      <c r="I1175" t="inlineStr">
        <is>
          <t>Public payer</t>
        </is>
      </c>
      <c r="J1175" t="inlineStr">
        <is>
          <t>Amir Khan</t>
        </is>
      </c>
      <c r="K1175" s="70" t="n">
        <v>423</v>
      </c>
      <c r="L1175" s="71" t="n">
        <v>293.67</v>
      </c>
      <c r="M1175" s="71" t="n">
        <v>124222.41</v>
      </c>
      <c r="N1175" s="71" t="n">
        <v>12422.24</v>
      </c>
      <c r="O1175" s="71" t="n">
        <v>111800.17</v>
      </c>
      <c r="P1175" s="71" t="n">
        <v>34356.69</v>
      </c>
      <c r="Q1175" s="71" t="n">
        <v>77443.48</v>
      </c>
      <c r="R1175" t="inlineStr">
        <is>
          <t>Vaccines</t>
        </is>
      </c>
      <c r="S1175" s="70" t="n">
        <v>270</v>
      </c>
      <c r="T1175" s="71" t="n">
        <v>24325.1</v>
      </c>
      <c r="U1175" t="inlineStr">
        <is>
          <t>Low</t>
        </is>
      </c>
      <c r="V1175">
        <f>IF(AND(OR(Dashboard!$C$6="All",E1175=Dashboard!$C$6),OR(Dashboard!$F$6="All",G1175=Dashboard!$F$6),OR(Dashboard!$I$6="All",H1175=Dashboard!$I$6)),1,0)</f>
        <v/>
      </c>
    </row>
    <row r="1176">
      <c r="A1176" t="inlineStr">
        <is>
          <t>PF101167</t>
        </is>
      </c>
      <c r="B1176" s="68" t="n">
        <v>45797</v>
      </c>
      <c r="C1176" s="69" t="n">
        <v>2025</v>
      </c>
      <c r="D1176" t="inlineStr">
        <is>
          <t>May</t>
        </is>
      </c>
      <c r="E1176" t="inlineStr">
        <is>
          <t>Europe</t>
        </is>
      </c>
      <c r="F1176" t="inlineStr">
        <is>
          <t>Germany</t>
        </is>
      </c>
      <c r="G1176" t="inlineStr">
        <is>
          <t>Abrysvo</t>
        </is>
      </c>
      <c r="H1176" t="inlineStr">
        <is>
          <t>Government / tender</t>
        </is>
      </c>
      <c r="I1176" t="inlineStr">
        <is>
          <t>Self-pay</t>
        </is>
      </c>
      <c r="J1176" t="inlineStr">
        <is>
          <t>Wei Chen</t>
        </is>
      </c>
      <c r="K1176" s="70" t="n">
        <v>516</v>
      </c>
      <c r="L1176" s="71" t="n">
        <v>278.45</v>
      </c>
      <c r="M1176" s="71" t="n">
        <v>143680.2</v>
      </c>
      <c r="N1176" s="71" t="n">
        <v>28736.04</v>
      </c>
      <c r="O1176" s="71" t="n">
        <v>114944.16</v>
      </c>
      <c r="P1176" s="71" t="n">
        <v>43961.73</v>
      </c>
      <c r="Q1176" s="71" t="n">
        <v>70982.42999999999</v>
      </c>
      <c r="R1176" t="inlineStr">
        <is>
          <t>Vaccines</t>
        </is>
      </c>
      <c r="S1176" s="70" t="n">
        <v>359</v>
      </c>
      <c r="T1176" s="71" t="n">
        <v>18045.78</v>
      </c>
      <c r="U1176" t="inlineStr">
        <is>
          <t>Low</t>
        </is>
      </c>
      <c r="V1176">
        <f>IF(AND(OR(Dashboard!$C$6="All",E1176=Dashboard!$C$6),OR(Dashboard!$F$6="All",G1176=Dashboard!$F$6),OR(Dashboard!$I$6="All",H1176=Dashboard!$I$6)),1,0)</f>
        <v/>
      </c>
    </row>
    <row r="1177">
      <c r="A1177" t="inlineStr">
        <is>
          <t>PF101168</t>
        </is>
      </c>
      <c r="B1177" s="68" t="n">
        <v>45797</v>
      </c>
      <c r="C1177" s="69" t="n">
        <v>2025</v>
      </c>
      <c r="D1177" t="inlineStr">
        <is>
          <t>May</t>
        </is>
      </c>
      <c r="E1177" t="inlineStr">
        <is>
          <t>Europe</t>
        </is>
      </c>
      <c r="F1177" t="inlineStr">
        <is>
          <t>Spain</t>
        </is>
      </c>
      <c r="G1177" t="inlineStr">
        <is>
          <t>Abrysvo</t>
        </is>
      </c>
      <c r="H1177" t="inlineStr">
        <is>
          <t>Retail pharmacy</t>
        </is>
      </c>
      <c r="I1177" t="inlineStr">
        <is>
          <t>Public payer</t>
        </is>
      </c>
      <c r="J1177" t="inlineStr">
        <is>
          <t>Shraddha Kulkarni</t>
        </is>
      </c>
      <c r="K1177" s="70" t="n">
        <v>2870</v>
      </c>
      <c r="L1177" s="71" t="n">
        <v>276.65</v>
      </c>
      <c r="M1177" s="71" t="n">
        <v>793985.5</v>
      </c>
      <c r="N1177" s="71" t="n">
        <v>158797.1</v>
      </c>
      <c r="O1177" s="71" t="n">
        <v>635188.4</v>
      </c>
      <c r="P1177" s="71" t="n">
        <v>239041.54</v>
      </c>
      <c r="Q1177" s="71" t="n">
        <v>396146.86</v>
      </c>
      <c r="R1177" t="inlineStr">
        <is>
          <t>Vaccines</t>
        </is>
      </c>
      <c r="S1177" s="70" t="n">
        <v>2404</v>
      </c>
      <c r="T1177" s="71" t="n">
        <v>101200.39</v>
      </c>
      <c r="U1177" t="inlineStr">
        <is>
          <t>Low</t>
        </is>
      </c>
      <c r="V1177">
        <f>IF(AND(OR(Dashboard!$C$6="All",E1177=Dashboard!$C$6),OR(Dashboard!$F$6="All",G1177=Dashboard!$F$6),OR(Dashboard!$I$6="All",H1177=Dashboard!$I$6)),1,0)</f>
        <v/>
      </c>
    </row>
    <row r="1178">
      <c r="A1178" t="inlineStr">
        <is>
          <t>PF101169</t>
        </is>
      </c>
      <c r="B1178" s="68" t="n">
        <v>45797</v>
      </c>
      <c r="C1178" s="69" t="n">
        <v>2025</v>
      </c>
      <c r="D1178" t="inlineStr">
        <is>
          <t>May</t>
        </is>
      </c>
      <c r="E1178" t="inlineStr">
        <is>
          <t>United States</t>
        </is>
      </c>
      <c r="F1178" t="inlineStr">
        <is>
          <t>USA</t>
        </is>
      </c>
      <c r="G1178" t="inlineStr">
        <is>
          <t>Eliquis</t>
        </is>
      </c>
      <c r="H1178" t="inlineStr">
        <is>
          <t>Retail pharmacy</t>
        </is>
      </c>
      <c r="I1178" t="inlineStr">
        <is>
          <t>Private insurer</t>
        </is>
      </c>
      <c r="J1178" t="inlineStr">
        <is>
          <t>Olivia Brown</t>
        </is>
      </c>
      <c r="K1178" s="70" t="n">
        <v>633</v>
      </c>
      <c r="L1178" s="71" t="n">
        <v>659.63</v>
      </c>
      <c r="M1178" s="71" t="n">
        <v>417545.79</v>
      </c>
      <c r="N1178" s="71" t="n">
        <v>146141.03</v>
      </c>
      <c r="O1178" s="71" t="n">
        <v>271404.76</v>
      </c>
      <c r="P1178" s="71" t="n">
        <v>46667.71</v>
      </c>
      <c r="Q1178" s="71" t="n">
        <v>224737.05</v>
      </c>
      <c r="R1178" t="inlineStr">
        <is>
          <t>Cardiology</t>
        </is>
      </c>
      <c r="S1178" s="70" t="n">
        <v>503</v>
      </c>
      <c r="T1178" s="71" t="n">
        <v>81968.89</v>
      </c>
      <c r="U1178" t="inlineStr">
        <is>
          <t>High</t>
        </is>
      </c>
      <c r="V1178">
        <f>IF(AND(OR(Dashboard!$C$6="All",E1178=Dashboard!$C$6),OR(Dashboard!$F$6="All",G1178=Dashboard!$F$6),OR(Dashboard!$I$6="All",H1178=Dashboard!$I$6)),1,0)</f>
        <v/>
      </c>
    </row>
    <row r="1179">
      <c r="A1179" t="inlineStr">
        <is>
          <t>PF101170</t>
        </is>
      </c>
      <c r="B1179" s="68" t="n">
        <v>45798</v>
      </c>
      <c r="C1179" s="69" t="n">
        <v>2025</v>
      </c>
      <c r="D1179" t="inlineStr">
        <is>
          <t>May</t>
        </is>
      </c>
      <c r="E1179" t="inlineStr">
        <is>
          <t>Europe</t>
        </is>
      </c>
      <c r="F1179" t="inlineStr">
        <is>
          <t>France</t>
        </is>
      </c>
      <c r="G1179" t="inlineStr">
        <is>
          <t>Eliquis</t>
        </is>
      </c>
      <c r="H1179" t="inlineStr">
        <is>
          <t>Retail pharmacy</t>
        </is>
      </c>
      <c r="I1179" t="inlineStr">
        <is>
          <t>Public payer</t>
        </is>
      </c>
      <c r="J1179" t="inlineStr">
        <is>
          <t>Olivia Brown</t>
        </is>
      </c>
      <c r="K1179" s="70" t="n">
        <v>664</v>
      </c>
      <c r="L1179" s="71" t="n">
        <v>435.1</v>
      </c>
      <c r="M1179" s="71" t="n">
        <v>288906.4</v>
      </c>
      <c r="N1179" s="71" t="n">
        <v>28890.64</v>
      </c>
      <c r="O1179" s="71" t="n">
        <v>260015.76</v>
      </c>
      <c r="P1179" s="71" t="n">
        <v>52154.66</v>
      </c>
      <c r="Q1179" s="71" t="n">
        <v>207861.1</v>
      </c>
      <c r="R1179" t="inlineStr">
        <is>
          <t>Cardiology</t>
        </is>
      </c>
      <c r="S1179" s="70" t="n">
        <v>618</v>
      </c>
      <c r="T1179" s="71" t="n">
        <v>61340.32</v>
      </c>
      <c r="U1179" t="inlineStr">
        <is>
          <t>High</t>
        </is>
      </c>
      <c r="V1179">
        <f>IF(AND(OR(Dashboard!$C$6="All",E1179=Dashboard!$C$6),OR(Dashboard!$F$6="All",G1179=Dashboard!$F$6),OR(Dashboard!$I$6="All",H1179=Dashboard!$I$6)),1,0)</f>
        <v/>
      </c>
    </row>
    <row r="1180">
      <c r="A1180" t="inlineStr">
        <is>
          <t>PF101171</t>
        </is>
      </c>
      <c r="B1180" s="68" t="n">
        <v>45798</v>
      </c>
      <c r="C1180" s="69" t="n">
        <v>2025</v>
      </c>
      <c r="D1180" t="inlineStr">
        <is>
          <t>May</t>
        </is>
      </c>
      <c r="E1180" t="inlineStr">
        <is>
          <t>United States</t>
        </is>
      </c>
      <c r="F1180" t="inlineStr">
        <is>
          <t>USA</t>
        </is>
      </c>
      <c r="G1180" t="inlineStr">
        <is>
          <t>Eliquis</t>
        </is>
      </c>
      <c r="H1180" t="inlineStr">
        <is>
          <t>Hospital</t>
        </is>
      </c>
      <c r="I1180" t="inlineStr">
        <is>
          <t>Self-pay</t>
        </is>
      </c>
      <c r="J1180" t="inlineStr">
        <is>
          <t>Olivia Brown</t>
        </is>
      </c>
      <c r="K1180" s="70" t="n">
        <v>1231</v>
      </c>
      <c r="L1180" s="71" t="n">
        <v>621.41</v>
      </c>
      <c r="M1180" s="71" t="n">
        <v>764955.71</v>
      </c>
      <c r="N1180" s="71" t="n">
        <v>191238.93</v>
      </c>
      <c r="O1180" s="71" t="n">
        <v>573716.78</v>
      </c>
      <c r="P1180" s="71" t="n">
        <v>95081.59</v>
      </c>
      <c r="Q1180" s="71" t="n">
        <v>478635.19</v>
      </c>
      <c r="R1180" t="inlineStr">
        <is>
          <t>Cardiology</t>
        </is>
      </c>
      <c r="S1180" s="70" t="n">
        <v>843</v>
      </c>
      <c r="T1180" s="71" t="n">
        <v>117960</v>
      </c>
      <c r="U1180" t="inlineStr">
        <is>
          <t>High</t>
        </is>
      </c>
      <c r="V1180">
        <f>IF(AND(OR(Dashboard!$C$6="All",E1180=Dashboard!$C$6),OR(Dashboard!$F$6="All",G1180=Dashboard!$F$6),OR(Dashboard!$I$6="All",H1180=Dashboard!$I$6)),1,0)</f>
        <v/>
      </c>
    </row>
    <row r="1181">
      <c r="A1181" t="inlineStr">
        <is>
          <t>PF101172</t>
        </is>
      </c>
      <c r="B1181" s="68" t="n">
        <v>45798</v>
      </c>
      <c r="C1181" s="69" t="n">
        <v>2025</v>
      </c>
      <c r="D1181" t="inlineStr">
        <is>
          <t>May</t>
        </is>
      </c>
      <c r="E1181" t="inlineStr">
        <is>
          <t>International developed</t>
        </is>
      </c>
      <c r="F1181" t="inlineStr">
        <is>
          <t>Japan</t>
        </is>
      </c>
      <c r="G1181" t="inlineStr">
        <is>
          <t>Ibrance</t>
        </is>
      </c>
      <c r="H1181" t="inlineStr">
        <is>
          <t>Hospital</t>
        </is>
      </c>
      <c r="I1181" t="inlineStr">
        <is>
          <t>Private insurer</t>
        </is>
      </c>
      <c r="J1181" t="inlineStr">
        <is>
          <t>Aisha Bello</t>
        </is>
      </c>
      <c r="K1181" s="70" t="n">
        <v>431</v>
      </c>
      <c r="L1181" s="71" t="n">
        <v>2841.49</v>
      </c>
      <c r="M1181" s="71" t="n">
        <v>1224682.19</v>
      </c>
      <c r="N1181" s="71" t="n">
        <v>306170.55</v>
      </c>
      <c r="O1181" s="71" t="n">
        <v>918511.64</v>
      </c>
      <c r="P1181" s="71" t="n">
        <v>182243.67</v>
      </c>
      <c r="Q1181" s="71" t="n">
        <v>736267.97</v>
      </c>
      <c r="R1181" t="inlineStr">
        <is>
          <t>Oncology</t>
        </is>
      </c>
      <c r="S1181" s="70" t="n">
        <v>344</v>
      </c>
      <c r="T1181" s="71" t="n">
        <v>236190.35</v>
      </c>
      <c r="U1181" t="inlineStr">
        <is>
          <t>High</t>
        </is>
      </c>
      <c r="V1181">
        <f>IF(AND(OR(Dashboard!$C$6="All",E1181=Dashboard!$C$6),OR(Dashboard!$F$6="All",G1181=Dashboard!$F$6),OR(Dashboard!$I$6="All",H1181=Dashboard!$I$6)),1,0)</f>
        <v/>
      </c>
    </row>
    <row r="1182">
      <c r="A1182" t="inlineStr">
        <is>
          <t>PF101173</t>
        </is>
      </c>
      <c r="B1182" s="68" t="n">
        <v>45798</v>
      </c>
      <c r="C1182" s="69" t="n">
        <v>2025</v>
      </c>
      <c r="D1182" t="inlineStr">
        <is>
          <t>May</t>
        </is>
      </c>
      <c r="E1182" t="inlineStr">
        <is>
          <t>International developed</t>
        </is>
      </c>
      <c r="F1182" t="inlineStr">
        <is>
          <t>Australia</t>
        </is>
      </c>
      <c r="G1182" t="inlineStr">
        <is>
          <t>Paxlovid</t>
        </is>
      </c>
      <c r="H1182" t="inlineStr">
        <is>
          <t>Government / tender</t>
        </is>
      </c>
      <c r="I1182" t="inlineStr">
        <is>
          <t>Private insurer</t>
        </is>
      </c>
      <c r="J1182" t="inlineStr">
        <is>
          <t>Sophie Müller</t>
        </is>
      </c>
      <c r="K1182" s="70" t="n">
        <v>592</v>
      </c>
      <c r="L1182" s="71" t="n">
        <v>1203.69</v>
      </c>
      <c r="M1182" s="71" t="n">
        <v>712584.48</v>
      </c>
      <c r="N1182" s="71" t="n">
        <v>35629.22</v>
      </c>
      <c r="O1182" s="71" t="n">
        <v>676955.26</v>
      </c>
      <c r="P1182" s="71" t="n">
        <v>168628.94</v>
      </c>
      <c r="Q1182" s="71" t="n">
        <v>508326.32</v>
      </c>
      <c r="R1182" t="inlineStr">
        <is>
          <t>Antiviral</t>
        </is>
      </c>
      <c r="S1182" s="70" t="n">
        <v>384</v>
      </c>
      <c r="T1182" s="71" t="n">
        <v>109109.01</v>
      </c>
      <c r="U1182" t="inlineStr">
        <is>
          <t>Low</t>
        </is>
      </c>
      <c r="V1182">
        <f>IF(AND(OR(Dashboard!$C$6="All",E1182=Dashboard!$C$6),OR(Dashboard!$F$6="All",G1182=Dashboard!$F$6),OR(Dashboard!$I$6="All",H1182=Dashboard!$I$6)),1,0)</f>
        <v/>
      </c>
    </row>
    <row r="1183">
      <c r="A1183" t="inlineStr">
        <is>
          <t>PF101174</t>
        </is>
      </c>
      <c r="B1183" s="68" t="n">
        <v>45798</v>
      </c>
      <c r="C1183" s="69" t="n">
        <v>2025</v>
      </c>
      <c r="D1183" t="inlineStr">
        <is>
          <t>May</t>
        </is>
      </c>
      <c r="E1183" t="inlineStr">
        <is>
          <t>United States</t>
        </is>
      </c>
      <c r="F1183" t="inlineStr">
        <is>
          <t>USA</t>
        </is>
      </c>
      <c r="G1183" t="inlineStr">
        <is>
          <t>Comirnaty</t>
        </is>
      </c>
      <c r="H1183" t="inlineStr">
        <is>
          <t>Retail pharmacy</t>
        </is>
      </c>
      <c r="I1183" t="inlineStr">
        <is>
          <t>Private insurer</t>
        </is>
      </c>
      <c r="J1183" t="inlineStr">
        <is>
          <t>Aisha Bello</t>
        </is>
      </c>
      <c r="K1183" s="70" t="n">
        <v>472</v>
      </c>
      <c r="L1183" s="71" t="n">
        <v>169.89</v>
      </c>
      <c r="M1183" s="71" t="n">
        <v>80188.08</v>
      </c>
      <c r="N1183" s="71" t="n">
        <v>20047.02</v>
      </c>
      <c r="O1183" s="71" t="n">
        <v>60141.06</v>
      </c>
      <c r="P1183" s="71" t="n">
        <v>18347.3</v>
      </c>
      <c r="Q1183" s="71" t="n">
        <v>41793.76</v>
      </c>
      <c r="R1183" t="inlineStr">
        <is>
          <t>Vaccines</t>
        </is>
      </c>
      <c r="S1183" s="70" t="n">
        <v>351</v>
      </c>
      <c r="T1183" s="71" t="n">
        <v>13971.62</v>
      </c>
      <c r="U1183" t="inlineStr">
        <is>
          <t>Low</t>
        </is>
      </c>
      <c r="V1183">
        <f>IF(AND(OR(Dashboard!$C$6="All",E1183=Dashboard!$C$6),OR(Dashboard!$F$6="All",G1183=Dashboard!$F$6),OR(Dashboard!$I$6="All",H1183=Dashboard!$I$6)),1,0)</f>
        <v/>
      </c>
    </row>
    <row r="1184">
      <c r="A1184" t="inlineStr">
        <is>
          <t>PF101175</t>
        </is>
      </c>
      <c r="B1184" s="68" t="n">
        <v>45798</v>
      </c>
      <c r="C1184" s="69" t="n">
        <v>2025</v>
      </c>
      <c r="D1184" t="inlineStr">
        <is>
          <t>May</t>
        </is>
      </c>
      <c r="E1184" t="inlineStr">
        <is>
          <t>Emerging markets</t>
        </is>
      </c>
      <c r="F1184" t="inlineStr">
        <is>
          <t>Mexico</t>
        </is>
      </c>
      <c r="G1184" t="inlineStr">
        <is>
          <t>Eliquis</t>
        </is>
      </c>
      <c r="H1184" t="inlineStr">
        <is>
          <t>Retail pharmacy</t>
        </is>
      </c>
      <c r="I1184" t="inlineStr">
        <is>
          <t>Private insurer</t>
        </is>
      </c>
      <c r="J1184" t="inlineStr">
        <is>
          <t>Noah Smith</t>
        </is>
      </c>
      <c r="K1184" s="70" t="n">
        <v>2489</v>
      </c>
      <c r="L1184" s="71" t="n">
        <v>399.79</v>
      </c>
      <c r="M1184" s="71" t="n">
        <v>995077.3100000001</v>
      </c>
      <c r="N1184" s="71" t="n">
        <v>199015.46</v>
      </c>
      <c r="O1184" s="71" t="n">
        <v>796061.85</v>
      </c>
      <c r="P1184" s="71" t="n">
        <v>181629.84</v>
      </c>
      <c r="Q1184" s="71" t="n">
        <v>614432.01</v>
      </c>
      <c r="R1184" t="inlineStr">
        <is>
          <t>Cardiology</t>
        </is>
      </c>
      <c r="S1184" s="70" t="n">
        <v>2210</v>
      </c>
      <c r="T1184" s="71" t="n">
        <v>146672.97</v>
      </c>
      <c r="U1184" t="inlineStr">
        <is>
          <t>High</t>
        </is>
      </c>
      <c r="V1184">
        <f>IF(AND(OR(Dashboard!$C$6="All",E1184=Dashboard!$C$6),OR(Dashboard!$F$6="All",G1184=Dashboard!$F$6),OR(Dashboard!$I$6="All",H1184=Dashboard!$I$6)),1,0)</f>
        <v/>
      </c>
    </row>
    <row r="1185">
      <c r="A1185" t="inlineStr">
        <is>
          <t>PF101176</t>
        </is>
      </c>
      <c r="B1185" s="68" t="n">
        <v>45798</v>
      </c>
      <c r="C1185" s="69" t="n">
        <v>2025</v>
      </c>
      <c r="D1185" t="inlineStr">
        <is>
          <t>May</t>
        </is>
      </c>
      <c r="E1185" t="inlineStr">
        <is>
          <t>International developed</t>
        </is>
      </c>
      <c r="F1185" t="inlineStr">
        <is>
          <t>Australia</t>
        </is>
      </c>
      <c r="G1185" t="inlineStr">
        <is>
          <t>Comirnaty</t>
        </is>
      </c>
      <c r="H1185" t="inlineStr">
        <is>
          <t>Retail pharmacy</t>
        </is>
      </c>
      <c r="I1185" t="inlineStr">
        <is>
          <t>Public payer</t>
        </is>
      </c>
      <c r="J1185" t="inlineStr">
        <is>
          <t>Hiroshi Tanaka</t>
        </is>
      </c>
      <c r="K1185" s="70" t="n">
        <v>1893</v>
      </c>
      <c r="L1185" s="71" t="n">
        <v>105.33</v>
      </c>
      <c r="M1185" s="71" t="n">
        <v>199389.69</v>
      </c>
      <c r="N1185" s="71" t="n">
        <v>19938.97</v>
      </c>
      <c r="O1185" s="71" t="n">
        <v>179450.72</v>
      </c>
      <c r="P1185" s="71" t="n">
        <v>75374.82000000001</v>
      </c>
      <c r="Q1185" s="71" t="n">
        <v>104075.9</v>
      </c>
      <c r="R1185" t="inlineStr">
        <is>
          <t>Vaccines</t>
        </is>
      </c>
      <c r="S1185" s="70" t="n">
        <v>1389</v>
      </c>
      <c r="T1185" s="71" t="n">
        <v>41019.55</v>
      </c>
      <c r="U1185" t="inlineStr">
        <is>
          <t>Low</t>
        </is>
      </c>
      <c r="V1185">
        <f>IF(AND(OR(Dashboard!$C$6="All",E1185=Dashboard!$C$6),OR(Dashboard!$F$6="All",G1185=Dashboard!$F$6),OR(Dashboard!$I$6="All",H1185=Dashboard!$I$6)),1,0)</f>
        <v/>
      </c>
    </row>
    <row r="1186">
      <c r="A1186" t="inlineStr">
        <is>
          <t>PF101177</t>
        </is>
      </c>
      <c r="B1186" s="68" t="n">
        <v>45799</v>
      </c>
      <c r="C1186" s="69" t="n">
        <v>2025</v>
      </c>
      <c r="D1186" t="inlineStr">
        <is>
          <t>May</t>
        </is>
      </c>
      <c r="E1186" t="inlineStr">
        <is>
          <t>Europe</t>
        </is>
      </c>
      <c r="F1186" t="inlineStr">
        <is>
          <t>France</t>
        </is>
      </c>
      <c r="G1186" t="inlineStr">
        <is>
          <t>Vyndaqel</t>
        </is>
      </c>
      <c r="H1186" t="inlineStr">
        <is>
          <t>Retail pharmacy</t>
        </is>
      </c>
      <c r="I1186" t="inlineStr">
        <is>
          <t>Private insurer</t>
        </is>
      </c>
      <c r="J1186" t="inlineStr">
        <is>
          <t>Shraddha Kulkarni</t>
        </is>
      </c>
      <c r="K1186" s="70" t="n">
        <v>2026</v>
      </c>
      <c r="L1186" s="71" t="n">
        <v>4930.85</v>
      </c>
      <c r="M1186" s="71" t="n">
        <v>9989902.1</v>
      </c>
      <c r="N1186" s="71" t="n">
        <v>2497475.52</v>
      </c>
      <c r="O1186" s="71" t="n">
        <v>7492426.58</v>
      </c>
      <c r="P1186" s="71" t="n">
        <v>1295346.4</v>
      </c>
      <c r="Q1186" s="71" t="n">
        <v>6197080.18</v>
      </c>
      <c r="R1186" t="inlineStr">
        <is>
          <t>Rare disease</t>
        </is>
      </c>
      <c r="S1186" s="70" t="n">
        <v>1332</v>
      </c>
      <c r="T1186" s="71" t="n">
        <v>1793754.21</v>
      </c>
      <c r="U1186" t="inlineStr">
        <is>
          <t>Medium</t>
        </is>
      </c>
      <c r="V1186">
        <f>IF(AND(OR(Dashboard!$C$6="All",E1186=Dashboard!$C$6),OR(Dashboard!$F$6="All",G1186=Dashboard!$F$6),OR(Dashboard!$I$6="All",H1186=Dashboard!$I$6)),1,0)</f>
        <v/>
      </c>
    </row>
    <row r="1187">
      <c r="A1187" t="inlineStr">
        <is>
          <t>PF101178</t>
        </is>
      </c>
      <c r="B1187" s="68" t="n">
        <v>45799</v>
      </c>
      <c r="C1187" s="69" t="n">
        <v>2025</v>
      </c>
      <c r="D1187" t="inlineStr">
        <is>
          <t>May</t>
        </is>
      </c>
      <c r="E1187" t="inlineStr">
        <is>
          <t>United States</t>
        </is>
      </c>
      <c r="F1187" t="inlineStr">
        <is>
          <t>USA</t>
        </is>
      </c>
      <c r="G1187" t="inlineStr">
        <is>
          <t>Eliquis</t>
        </is>
      </c>
      <c r="H1187" t="inlineStr">
        <is>
          <t>Retail pharmacy</t>
        </is>
      </c>
      <c r="I1187" t="inlineStr">
        <is>
          <t>Private insurer</t>
        </is>
      </c>
      <c r="J1187" t="inlineStr">
        <is>
          <t>Liam O'Brien</t>
        </is>
      </c>
      <c r="K1187" s="70" t="n">
        <v>1404</v>
      </c>
      <c r="L1187" s="71" t="n">
        <v>644.61</v>
      </c>
      <c r="M1187" s="71" t="n">
        <v>905032.4399999999</v>
      </c>
      <c r="N1187" s="71" t="n">
        <v>226258.11</v>
      </c>
      <c r="O1187" s="71" t="n">
        <v>678774.33</v>
      </c>
      <c r="P1187" s="71" t="n">
        <v>107649.44</v>
      </c>
      <c r="Q1187" s="71" t="n">
        <v>571124.89</v>
      </c>
      <c r="R1187" t="inlineStr">
        <is>
          <t>Cardiology</t>
        </is>
      </c>
      <c r="S1187" s="70" t="n">
        <v>1012</v>
      </c>
      <c r="T1187" s="71" t="n">
        <v>133757.54</v>
      </c>
      <c r="U1187" t="inlineStr">
        <is>
          <t>High</t>
        </is>
      </c>
      <c r="V1187">
        <f>IF(AND(OR(Dashboard!$C$6="All",E1187=Dashboard!$C$6),OR(Dashboard!$F$6="All",G1187=Dashboard!$F$6),OR(Dashboard!$I$6="All",H1187=Dashboard!$I$6)),1,0)</f>
        <v/>
      </c>
    </row>
    <row r="1188">
      <c r="A1188" t="inlineStr">
        <is>
          <t>PF101179</t>
        </is>
      </c>
      <c r="B1188" s="68" t="n">
        <v>45799</v>
      </c>
      <c r="C1188" s="69" t="n">
        <v>2025</v>
      </c>
      <c r="D1188" t="inlineStr">
        <is>
          <t>May</t>
        </is>
      </c>
      <c r="E1188" t="inlineStr">
        <is>
          <t>Emerging markets</t>
        </is>
      </c>
      <c r="F1188" t="inlineStr">
        <is>
          <t>Brazil</t>
        </is>
      </c>
      <c r="G1188" t="inlineStr">
        <is>
          <t>Eliquis</t>
        </is>
      </c>
      <c r="H1188" t="inlineStr">
        <is>
          <t>Retail pharmacy</t>
        </is>
      </c>
      <c r="I1188" t="inlineStr">
        <is>
          <t>Public payer</t>
        </is>
      </c>
      <c r="J1188" t="inlineStr">
        <is>
          <t>Fatima Al-Saud</t>
        </is>
      </c>
      <c r="K1188" s="70" t="n">
        <v>1326</v>
      </c>
      <c r="L1188" s="71" t="n">
        <v>391.97</v>
      </c>
      <c r="M1188" s="71" t="n">
        <v>519752.22</v>
      </c>
      <c r="N1188" s="71" t="n">
        <v>25987.61</v>
      </c>
      <c r="O1188" s="71" t="n">
        <v>493764.61</v>
      </c>
      <c r="P1188" s="71" t="n">
        <v>101823.23</v>
      </c>
      <c r="Q1188" s="71" t="n">
        <v>391941.38</v>
      </c>
      <c r="R1188" t="inlineStr">
        <is>
          <t>Cardiology</t>
        </is>
      </c>
      <c r="S1188" s="70" t="n">
        <v>1167</v>
      </c>
      <c r="T1188" s="71" t="n">
        <v>90846.03999999999</v>
      </c>
      <c r="U1188" t="inlineStr">
        <is>
          <t>High</t>
        </is>
      </c>
      <c r="V1188">
        <f>IF(AND(OR(Dashboard!$C$6="All",E1188=Dashboard!$C$6),OR(Dashboard!$F$6="All",G1188=Dashboard!$F$6),OR(Dashboard!$I$6="All",H1188=Dashboard!$I$6)),1,0)</f>
        <v/>
      </c>
    </row>
    <row r="1189">
      <c r="A1189" t="inlineStr">
        <is>
          <t>PF101180</t>
        </is>
      </c>
      <c r="B1189" s="68" t="n">
        <v>45799</v>
      </c>
      <c r="C1189" s="69" t="n">
        <v>2025</v>
      </c>
      <c r="D1189" t="inlineStr">
        <is>
          <t>May</t>
        </is>
      </c>
      <c r="E1189" t="inlineStr">
        <is>
          <t>Europe</t>
        </is>
      </c>
      <c r="F1189" t="inlineStr">
        <is>
          <t>Germany</t>
        </is>
      </c>
      <c r="G1189" t="inlineStr">
        <is>
          <t>Comirnaty</t>
        </is>
      </c>
      <c r="H1189" t="inlineStr">
        <is>
          <t>Retail pharmacy</t>
        </is>
      </c>
      <c r="I1189" t="inlineStr">
        <is>
          <t>Public payer</t>
        </is>
      </c>
      <c r="J1189" t="inlineStr">
        <is>
          <t>Ruhi Shaikh</t>
        </is>
      </c>
      <c r="K1189" s="70" t="n">
        <v>209</v>
      </c>
      <c r="L1189" s="71" t="n">
        <v>99.40000000000001</v>
      </c>
      <c r="M1189" s="71" t="n">
        <v>20774.6</v>
      </c>
      <c r="N1189" s="71" t="n">
        <v>1038.73</v>
      </c>
      <c r="O1189" s="71" t="n">
        <v>19735.87</v>
      </c>
      <c r="P1189" s="71" t="n">
        <v>7894.17</v>
      </c>
      <c r="Q1189" s="71" t="n">
        <v>11841.7</v>
      </c>
      <c r="R1189" t="inlineStr">
        <is>
          <t>Vaccines</t>
        </is>
      </c>
      <c r="S1189" s="70" t="n">
        <v>183</v>
      </c>
      <c r="T1189" s="71" t="n">
        <v>4372.2</v>
      </c>
      <c r="U1189" t="inlineStr">
        <is>
          <t>Low</t>
        </is>
      </c>
      <c r="V1189">
        <f>IF(AND(OR(Dashboard!$C$6="All",E1189=Dashboard!$C$6),OR(Dashboard!$F$6="All",G1189=Dashboard!$F$6),OR(Dashboard!$I$6="All",H1189=Dashboard!$I$6)),1,0)</f>
        <v/>
      </c>
    </row>
    <row r="1190">
      <c r="A1190" t="inlineStr">
        <is>
          <t>PF101181</t>
        </is>
      </c>
      <c r="B1190" s="68" t="n">
        <v>45799</v>
      </c>
      <c r="C1190" s="69" t="n">
        <v>2025</v>
      </c>
      <c r="D1190" t="inlineStr">
        <is>
          <t>May</t>
        </is>
      </c>
      <c r="E1190" t="inlineStr">
        <is>
          <t>Emerging markets</t>
        </is>
      </c>
      <c r="F1190" t="inlineStr">
        <is>
          <t>India</t>
        </is>
      </c>
      <c r="G1190" t="inlineStr">
        <is>
          <t>Prevnar 20</t>
        </is>
      </c>
      <c r="H1190" t="inlineStr">
        <is>
          <t>Retail pharmacy</t>
        </is>
      </c>
      <c r="I1190" t="inlineStr">
        <is>
          <t>Public payer</t>
        </is>
      </c>
      <c r="J1190" t="inlineStr">
        <is>
          <t>Yuki Sato</t>
        </is>
      </c>
      <c r="K1190" s="70" t="n">
        <v>148</v>
      </c>
      <c r="L1190" s="71" t="n">
        <v>246.01</v>
      </c>
      <c r="M1190" s="71" t="n">
        <v>36409.48</v>
      </c>
      <c r="N1190" s="71" t="n">
        <v>3640.95</v>
      </c>
      <c r="O1190" s="71" t="n">
        <v>32768.53</v>
      </c>
      <c r="P1190" s="71" t="n">
        <v>10533.22</v>
      </c>
      <c r="Q1190" s="71" t="n">
        <v>22235.31</v>
      </c>
      <c r="R1190" t="inlineStr">
        <is>
          <t>Vaccines</t>
        </is>
      </c>
      <c r="S1190" s="70" t="n">
        <v>106</v>
      </c>
      <c r="T1190" s="71" t="n">
        <v>7402.55</v>
      </c>
      <c r="U1190" t="inlineStr">
        <is>
          <t>Low</t>
        </is>
      </c>
      <c r="V1190">
        <f>IF(AND(OR(Dashboard!$C$6="All",E1190=Dashboard!$C$6),OR(Dashboard!$F$6="All",G1190=Dashboard!$F$6),OR(Dashboard!$I$6="All",H1190=Dashboard!$I$6)),1,0)</f>
        <v/>
      </c>
    </row>
    <row r="1191">
      <c r="A1191" t="inlineStr">
        <is>
          <t>PF101182</t>
        </is>
      </c>
      <c r="B1191" s="68" t="n">
        <v>45799</v>
      </c>
      <c r="C1191" s="69" t="n">
        <v>2025</v>
      </c>
      <c r="D1191" t="inlineStr">
        <is>
          <t>May</t>
        </is>
      </c>
      <c r="E1191" t="inlineStr">
        <is>
          <t>International developed</t>
        </is>
      </c>
      <c r="F1191" t="inlineStr">
        <is>
          <t>Japan</t>
        </is>
      </c>
      <c r="G1191" t="inlineStr">
        <is>
          <t>Prevnar 20</t>
        </is>
      </c>
      <c r="H1191" t="inlineStr">
        <is>
          <t>Government / tender</t>
        </is>
      </c>
      <c r="I1191" t="inlineStr">
        <is>
          <t>Public payer</t>
        </is>
      </c>
      <c r="J1191" t="inlineStr">
        <is>
          <t>Aisha Bello</t>
        </is>
      </c>
      <c r="K1191" s="70" t="n">
        <v>1075</v>
      </c>
      <c r="L1191" s="71" t="n">
        <v>252.69</v>
      </c>
      <c r="M1191" s="71" t="n">
        <v>271641.75</v>
      </c>
      <c r="N1191" s="71" t="n">
        <v>40746.26</v>
      </c>
      <c r="O1191" s="71" t="n">
        <v>230895.49</v>
      </c>
      <c r="P1191" s="71" t="n">
        <v>72477.31</v>
      </c>
      <c r="Q1191" s="71" t="n">
        <v>158418.18</v>
      </c>
      <c r="R1191" t="inlineStr">
        <is>
          <t>Vaccines</t>
        </is>
      </c>
      <c r="S1191" s="70" t="n">
        <v>857</v>
      </c>
      <c r="T1191" s="71" t="n">
        <v>58431.29</v>
      </c>
      <c r="U1191" t="inlineStr">
        <is>
          <t>Low</t>
        </is>
      </c>
      <c r="V1191">
        <f>IF(AND(OR(Dashboard!$C$6="All",E1191=Dashboard!$C$6),OR(Dashboard!$F$6="All",G1191=Dashboard!$F$6),OR(Dashboard!$I$6="All",H1191=Dashboard!$I$6)),1,0)</f>
        <v/>
      </c>
    </row>
    <row r="1192">
      <c r="A1192" t="inlineStr">
        <is>
          <t>PF101183</t>
        </is>
      </c>
      <c r="B1192" s="68" t="n">
        <v>45799</v>
      </c>
      <c r="C1192" s="69" t="n">
        <v>2025</v>
      </c>
      <c r="D1192" t="inlineStr">
        <is>
          <t>May</t>
        </is>
      </c>
      <c r="E1192" t="inlineStr">
        <is>
          <t>Europe</t>
        </is>
      </c>
      <c r="F1192" t="inlineStr">
        <is>
          <t>France</t>
        </is>
      </c>
      <c r="G1192" t="inlineStr">
        <is>
          <t>Paxlovid</t>
        </is>
      </c>
      <c r="H1192" t="inlineStr">
        <is>
          <t>Retail pharmacy</t>
        </is>
      </c>
      <c r="I1192" t="inlineStr">
        <is>
          <t>Public payer</t>
        </is>
      </c>
      <c r="J1192" t="inlineStr">
        <is>
          <t>Yuki Sato</t>
        </is>
      </c>
      <c r="K1192" s="70" t="n">
        <v>646</v>
      </c>
      <c r="L1192" s="71" t="n">
        <v>1130.89</v>
      </c>
      <c r="M1192" s="71" t="n">
        <v>730554.9399999999</v>
      </c>
      <c r="N1192" s="71" t="n">
        <v>182638.73</v>
      </c>
      <c r="O1192" s="71" t="n">
        <v>547916.21</v>
      </c>
      <c r="P1192" s="71" t="n">
        <v>184277.95</v>
      </c>
      <c r="Q1192" s="71" t="n">
        <v>363638.26</v>
      </c>
      <c r="R1192" t="inlineStr">
        <is>
          <t>Antiviral</t>
        </is>
      </c>
      <c r="S1192" s="70" t="n">
        <v>470</v>
      </c>
      <c r="T1192" s="71" t="n">
        <v>148200.26</v>
      </c>
      <c r="U1192" t="inlineStr">
        <is>
          <t>Low</t>
        </is>
      </c>
      <c r="V1192">
        <f>IF(AND(OR(Dashboard!$C$6="All",E1192=Dashboard!$C$6),OR(Dashboard!$F$6="All",G1192=Dashboard!$F$6),OR(Dashboard!$I$6="All",H1192=Dashboard!$I$6)),1,0)</f>
        <v/>
      </c>
    </row>
    <row r="1193">
      <c r="A1193" t="inlineStr">
        <is>
          <t>PF101184</t>
        </is>
      </c>
      <c r="B1193" s="68" t="n">
        <v>45799</v>
      </c>
      <c r="C1193" s="69" t="n">
        <v>2025</v>
      </c>
      <c r="D1193" t="inlineStr">
        <is>
          <t>May</t>
        </is>
      </c>
      <c r="E1193" t="inlineStr">
        <is>
          <t>Emerging markets</t>
        </is>
      </c>
      <c r="F1193" t="inlineStr">
        <is>
          <t>Mexico</t>
        </is>
      </c>
      <c r="G1193" t="inlineStr">
        <is>
          <t>Ibrance</t>
        </is>
      </c>
      <c r="H1193" t="inlineStr">
        <is>
          <t>Retail pharmacy</t>
        </is>
      </c>
      <c r="I1193" t="inlineStr">
        <is>
          <t>Public payer</t>
        </is>
      </c>
      <c r="J1193" t="inlineStr">
        <is>
          <t>Sara Rossi</t>
        </is>
      </c>
      <c r="K1193" s="70" t="n">
        <v>2230</v>
      </c>
      <c r="L1193" s="71" t="n">
        <v>3114.76</v>
      </c>
      <c r="M1193" s="71" t="n">
        <v>6945914.8</v>
      </c>
      <c r="N1193" s="71" t="n">
        <v>1041887.22</v>
      </c>
      <c r="O1193" s="71" t="n">
        <v>5904027.58</v>
      </c>
      <c r="P1193" s="71" t="n">
        <v>968478.88</v>
      </c>
      <c r="Q1193" s="71" t="n">
        <v>4935548.7</v>
      </c>
      <c r="R1193" t="inlineStr">
        <is>
          <t>Oncology</t>
        </is>
      </c>
      <c r="S1193" s="70" t="n">
        <v>1909</v>
      </c>
      <c r="T1193" s="71" t="n">
        <v>1497575.28</v>
      </c>
      <c r="U1193" t="inlineStr">
        <is>
          <t>High</t>
        </is>
      </c>
      <c r="V1193">
        <f>IF(AND(OR(Dashboard!$C$6="All",E1193=Dashboard!$C$6),OR(Dashboard!$F$6="All",G1193=Dashboard!$F$6),OR(Dashboard!$I$6="All",H1193=Dashboard!$I$6)),1,0)</f>
        <v/>
      </c>
    </row>
    <row r="1194">
      <c r="A1194" t="inlineStr">
        <is>
          <t>PF101185</t>
        </is>
      </c>
      <c r="B1194" s="68" t="n">
        <v>45800</v>
      </c>
      <c r="C1194" s="69" t="n">
        <v>2025</v>
      </c>
      <c r="D1194" t="inlineStr">
        <is>
          <t>May</t>
        </is>
      </c>
      <c r="E1194" t="inlineStr">
        <is>
          <t>Europe</t>
        </is>
      </c>
      <c r="F1194" t="inlineStr">
        <is>
          <t>UK</t>
        </is>
      </c>
      <c r="G1194" t="inlineStr">
        <is>
          <t>Prevnar 20</t>
        </is>
      </c>
      <c r="H1194" t="inlineStr">
        <is>
          <t>Retail pharmacy</t>
        </is>
      </c>
      <c r="I1194" t="inlineStr">
        <is>
          <t>Public payer</t>
        </is>
      </c>
      <c r="J1194" t="inlineStr">
        <is>
          <t>Sara Rossi</t>
        </is>
      </c>
      <c r="K1194" s="70" t="n">
        <v>577</v>
      </c>
      <c r="L1194" s="71" t="n">
        <v>233.81</v>
      </c>
      <c r="M1194" s="71" t="n">
        <v>134908.37</v>
      </c>
      <c r="N1194" s="71" t="n">
        <v>13490.84</v>
      </c>
      <c r="O1194" s="71" t="n">
        <v>121417.53</v>
      </c>
      <c r="P1194" s="71" t="n">
        <v>40653.65</v>
      </c>
      <c r="Q1194" s="71" t="n">
        <v>80763.88</v>
      </c>
      <c r="R1194" t="inlineStr">
        <is>
          <t>Vaccines</t>
        </is>
      </c>
      <c r="S1194" s="70" t="n">
        <v>448</v>
      </c>
      <c r="T1194" s="71" t="n">
        <v>22228.03</v>
      </c>
      <c r="U1194" t="inlineStr">
        <is>
          <t>Low</t>
        </is>
      </c>
      <c r="V1194">
        <f>IF(AND(OR(Dashboard!$C$6="All",E1194=Dashboard!$C$6),OR(Dashboard!$F$6="All",G1194=Dashboard!$F$6),OR(Dashboard!$I$6="All",H1194=Dashboard!$I$6)),1,0)</f>
        <v/>
      </c>
    </row>
    <row r="1195">
      <c r="A1195" t="inlineStr">
        <is>
          <t>PF101186</t>
        </is>
      </c>
      <c r="B1195" s="68" t="n">
        <v>45800</v>
      </c>
      <c r="C1195" s="69" t="n">
        <v>2025</v>
      </c>
      <c r="D1195" t="inlineStr">
        <is>
          <t>May</t>
        </is>
      </c>
      <c r="E1195" t="inlineStr">
        <is>
          <t>United States</t>
        </is>
      </c>
      <c r="F1195" t="inlineStr">
        <is>
          <t>USA</t>
        </is>
      </c>
      <c r="G1195" t="inlineStr">
        <is>
          <t>Prevnar 20</t>
        </is>
      </c>
      <c r="H1195" t="inlineStr">
        <is>
          <t>Retail pharmacy</t>
        </is>
      </c>
      <c r="I1195" t="inlineStr">
        <is>
          <t>Self-pay</t>
        </is>
      </c>
      <c r="J1195" t="inlineStr">
        <is>
          <t>Fatima Al-Saud</t>
        </is>
      </c>
      <c r="K1195" s="70" t="n">
        <v>1218</v>
      </c>
      <c r="L1195" s="71" t="n">
        <v>338</v>
      </c>
      <c r="M1195" s="71" t="n">
        <v>411684</v>
      </c>
      <c r="N1195" s="71" t="n">
        <v>102921</v>
      </c>
      <c r="O1195" s="71" t="n">
        <v>308763</v>
      </c>
      <c r="P1195" s="71" t="n">
        <v>84564.07000000001</v>
      </c>
      <c r="Q1195" s="71" t="n">
        <v>224198.93</v>
      </c>
      <c r="R1195" t="inlineStr">
        <is>
          <t>Vaccines</t>
        </is>
      </c>
      <c r="S1195" s="70" t="n">
        <v>962</v>
      </c>
      <c r="T1195" s="71" t="n">
        <v>77781.78999999999</v>
      </c>
      <c r="U1195" t="inlineStr">
        <is>
          <t>Low</t>
        </is>
      </c>
      <c r="V1195">
        <f>IF(AND(OR(Dashboard!$C$6="All",E1195=Dashboard!$C$6),OR(Dashboard!$F$6="All",G1195=Dashboard!$F$6),OR(Dashboard!$I$6="All",H1195=Dashboard!$I$6)),1,0)</f>
        <v/>
      </c>
    </row>
    <row r="1196">
      <c r="A1196" t="inlineStr">
        <is>
          <t>PF101187</t>
        </is>
      </c>
      <c r="B1196" s="68" t="n">
        <v>45800</v>
      </c>
      <c r="C1196" s="69" t="n">
        <v>2025</v>
      </c>
      <c r="D1196" t="inlineStr">
        <is>
          <t>May</t>
        </is>
      </c>
      <c r="E1196" t="inlineStr">
        <is>
          <t>Emerging markets</t>
        </is>
      </c>
      <c r="F1196" t="inlineStr">
        <is>
          <t>India</t>
        </is>
      </c>
      <c r="G1196" t="inlineStr">
        <is>
          <t>Prevnar 20</t>
        </is>
      </c>
      <c r="H1196" t="inlineStr">
        <is>
          <t>Retail pharmacy</t>
        </is>
      </c>
      <c r="I1196" t="inlineStr">
        <is>
          <t>Private insurer</t>
        </is>
      </c>
      <c r="J1196" t="inlineStr">
        <is>
          <t>Ana Costa</t>
        </is>
      </c>
      <c r="K1196" s="70" t="n">
        <v>716</v>
      </c>
      <c r="L1196" s="71" t="n">
        <v>209.12</v>
      </c>
      <c r="M1196" s="71" t="n">
        <v>149729.92</v>
      </c>
      <c r="N1196" s="71" t="n">
        <v>29945.98</v>
      </c>
      <c r="O1196" s="71" t="n">
        <v>119783.94</v>
      </c>
      <c r="P1196" s="71" t="n">
        <v>49356.39</v>
      </c>
      <c r="Q1196" s="71" t="n">
        <v>70427.55</v>
      </c>
      <c r="R1196" t="inlineStr">
        <is>
          <t>Vaccines</t>
        </is>
      </c>
      <c r="S1196" s="70" t="n">
        <v>641</v>
      </c>
      <c r="T1196" s="71" t="n">
        <v>28417.66</v>
      </c>
      <c r="U1196" t="inlineStr">
        <is>
          <t>Low</t>
        </is>
      </c>
      <c r="V1196">
        <f>IF(AND(OR(Dashboard!$C$6="All",E1196=Dashboard!$C$6),OR(Dashboard!$F$6="All",G1196=Dashboard!$F$6),OR(Dashboard!$I$6="All",H1196=Dashboard!$I$6)),1,0)</f>
        <v/>
      </c>
    </row>
    <row r="1197">
      <c r="A1197" t="inlineStr">
        <is>
          <t>PF101188</t>
        </is>
      </c>
      <c r="B1197" s="68" t="n">
        <v>45800</v>
      </c>
      <c r="C1197" s="69" t="n">
        <v>2025</v>
      </c>
      <c r="D1197" t="inlineStr">
        <is>
          <t>May</t>
        </is>
      </c>
      <c r="E1197" t="inlineStr">
        <is>
          <t>United States</t>
        </is>
      </c>
      <c r="F1197" t="inlineStr">
        <is>
          <t>USA</t>
        </is>
      </c>
      <c r="G1197" t="inlineStr">
        <is>
          <t>Eliquis</t>
        </is>
      </c>
      <c r="H1197" t="inlineStr">
        <is>
          <t>Hospital</t>
        </is>
      </c>
      <c r="I1197" t="inlineStr">
        <is>
          <t>Private insurer</t>
        </is>
      </c>
      <c r="J1197" t="inlineStr">
        <is>
          <t>Mei Lin</t>
        </is>
      </c>
      <c r="K1197" s="70" t="n">
        <v>967</v>
      </c>
      <c r="L1197" s="71" t="n">
        <v>705.46</v>
      </c>
      <c r="M1197" s="71" t="n">
        <v>682179.8199999999</v>
      </c>
      <c r="N1197" s="71" t="n">
        <v>136435.96</v>
      </c>
      <c r="O1197" s="71" t="n">
        <v>545743.86</v>
      </c>
      <c r="P1197" s="71" t="n">
        <v>74720.42999999999</v>
      </c>
      <c r="Q1197" s="71" t="n">
        <v>471023.43</v>
      </c>
      <c r="R1197" t="inlineStr">
        <is>
          <t>Cardiology</t>
        </is>
      </c>
      <c r="S1197" s="70" t="n">
        <v>861</v>
      </c>
      <c r="T1197" s="71" t="n">
        <v>99807.98</v>
      </c>
      <c r="U1197" t="inlineStr">
        <is>
          <t>High</t>
        </is>
      </c>
      <c r="V1197">
        <f>IF(AND(OR(Dashboard!$C$6="All",E1197=Dashboard!$C$6),OR(Dashboard!$F$6="All",G1197=Dashboard!$F$6),OR(Dashboard!$I$6="All",H1197=Dashboard!$I$6)),1,0)</f>
        <v/>
      </c>
    </row>
    <row r="1198">
      <c r="A1198" t="inlineStr">
        <is>
          <t>PF101189</t>
        </is>
      </c>
      <c r="B1198" s="68" t="n">
        <v>45800</v>
      </c>
      <c r="C1198" s="69" t="n">
        <v>2025</v>
      </c>
      <c r="D1198" t="inlineStr">
        <is>
          <t>May</t>
        </is>
      </c>
      <c r="E1198" t="inlineStr">
        <is>
          <t>United States</t>
        </is>
      </c>
      <c r="F1198" t="inlineStr">
        <is>
          <t>USA</t>
        </is>
      </c>
      <c r="G1198" t="inlineStr">
        <is>
          <t>Abrysvo</t>
        </is>
      </c>
      <c r="H1198" t="inlineStr">
        <is>
          <t>Hospital</t>
        </is>
      </c>
      <c r="I1198" t="inlineStr">
        <is>
          <t>Public payer</t>
        </is>
      </c>
      <c r="J1198" t="inlineStr">
        <is>
          <t>Ravindra Patil</t>
        </is>
      </c>
      <c r="K1198" s="70" t="n">
        <v>2442</v>
      </c>
      <c r="L1198" s="71" t="n">
        <v>440.42</v>
      </c>
      <c r="M1198" s="71" t="n">
        <v>1075505.64</v>
      </c>
      <c r="N1198" s="71" t="n">
        <v>161325.85</v>
      </c>
      <c r="O1198" s="71" t="n">
        <v>914179.79</v>
      </c>
      <c r="P1198" s="71" t="n">
        <v>211570.15</v>
      </c>
      <c r="Q1198" s="71" t="n">
        <v>702609.64</v>
      </c>
      <c r="R1198" t="inlineStr">
        <is>
          <t>Vaccines</t>
        </is>
      </c>
      <c r="S1198" s="70" t="n">
        <v>2209</v>
      </c>
      <c r="T1198" s="71" t="n">
        <v>164957.35</v>
      </c>
      <c r="U1198" t="inlineStr">
        <is>
          <t>Low</t>
        </is>
      </c>
      <c r="V1198">
        <f>IF(AND(OR(Dashboard!$C$6="All",E1198=Dashboard!$C$6),OR(Dashboard!$F$6="All",G1198=Dashboard!$F$6),OR(Dashboard!$I$6="All",H1198=Dashboard!$I$6)),1,0)</f>
        <v/>
      </c>
    </row>
    <row r="1199">
      <c r="A1199" t="inlineStr">
        <is>
          <t>PF101190</t>
        </is>
      </c>
      <c r="B1199" s="68" t="n">
        <v>45801</v>
      </c>
      <c r="C1199" s="69" t="n">
        <v>2025</v>
      </c>
      <c r="D1199" t="inlineStr">
        <is>
          <t>May</t>
        </is>
      </c>
      <c r="E1199" t="inlineStr">
        <is>
          <t>Europe</t>
        </is>
      </c>
      <c r="F1199" t="inlineStr">
        <is>
          <t>UK</t>
        </is>
      </c>
      <c r="G1199" t="inlineStr">
        <is>
          <t>Comirnaty</t>
        </is>
      </c>
      <c r="H1199" t="inlineStr">
        <is>
          <t>Hospital</t>
        </is>
      </c>
      <c r="I1199" t="inlineStr">
        <is>
          <t>Private insurer</t>
        </is>
      </c>
      <c r="J1199" t="inlineStr">
        <is>
          <t>Amir Khan</t>
        </is>
      </c>
      <c r="K1199" s="70" t="n">
        <v>1245</v>
      </c>
      <c r="L1199" s="71" t="n">
        <v>117.8</v>
      </c>
      <c r="M1199" s="71" t="n">
        <v>146661</v>
      </c>
      <c r="N1199" s="71" t="n">
        <v>21999.15</v>
      </c>
      <c r="O1199" s="71" t="n">
        <v>124661.85</v>
      </c>
      <c r="P1199" s="71" t="n">
        <v>47608.55</v>
      </c>
      <c r="Q1199" s="71" t="n">
        <v>77053.3</v>
      </c>
      <c r="R1199" t="inlineStr">
        <is>
          <t>Vaccines</t>
        </is>
      </c>
      <c r="S1199" s="70" t="n">
        <v>946</v>
      </c>
      <c r="T1199" s="71" t="n">
        <v>24283.91</v>
      </c>
      <c r="U1199" t="inlineStr">
        <is>
          <t>Low</t>
        </is>
      </c>
      <c r="V1199">
        <f>IF(AND(OR(Dashboard!$C$6="All",E1199=Dashboard!$C$6),OR(Dashboard!$F$6="All",G1199=Dashboard!$F$6),OR(Dashboard!$I$6="All",H1199=Dashboard!$I$6)),1,0)</f>
        <v/>
      </c>
    </row>
    <row r="1200">
      <c r="A1200" t="inlineStr">
        <is>
          <t>PF101191</t>
        </is>
      </c>
      <c r="B1200" s="68" t="n">
        <v>45801</v>
      </c>
      <c r="C1200" s="69" t="n">
        <v>2025</v>
      </c>
      <c r="D1200" t="inlineStr">
        <is>
          <t>May</t>
        </is>
      </c>
      <c r="E1200" t="inlineStr">
        <is>
          <t>Emerging markets</t>
        </is>
      </c>
      <c r="F1200" t="inlineStr">
        <is>
          <t>China</t>
        </is>
      </c>
      <c r="G1200" t="inlineStr">
        <is>
          <t>Ibrance</t>
        </is>
      </c>
      <c r="H1200" t="inlineStr">
        <is>
          <t>Retail pharmacy</t>
        </is>
      </c>
      <c r="I1200" t="inlineStr">
        <is>
          <t>Public payer</t>
        </is>
      </c>
      <c r="J1200" t="inlineStr">
        <is>
          <t>Sophie Müller</t>
        </is>
      </c>
      <c r="K1200" s="70" t="n">
        <v>1949</v>
      </c>
      <c r="L1200" s="71" t="n">
        <v>2899.29</v>
      </c>
      <c r="M1200" s="71" t="n">
        <v>5650716.21</v>
      </c>
      <c r="N1200" s="71" t="n">
        <v>1412679.05</v>
      </c>
      <c r="O1200" s="71" t="n">
        <v>4238037.16</v>
      </c>
      <c r="P1200" s="71" t="n">
        <v>834839.5600000001</v>
      </c>
      <c r="Q1200" s="71" t="n">
        <v>3403197.6</v>
      </c>
      <c r="R1200" t="inlineStr">
        <is>
          <t>Oncology</t>
        </is>
      </c>
      <c r="S1200" s="70" t="n">
        <v>1567</v>
      </c>
      <c r="T1200" s="71" t="n">
        <v>751100.62</v>
      </c>
      <c r="U1200" t="inlineStr">
        <is>
          <t>High</t>
        </is>
      </c>
      <c r="V1200">
        <f>IF(AND(OR(Dashboard!$C$6="All",E1200=Dashboard!$C$6),OR(Dashboard!$F$6="All",G1200=Dashboard!$F$6),OR(Dashboard!$I$6="All",H1200=Dashboard!$I$6)),1,0)</f>
        <v/>
      </c>
    </row>
    <row r="1201">
      <c r="A1201" t="inlineStr">
        <is>
          <t>PF101192</t>
        </is>
      </c>
      <c r="B1201" s="68" t="n">
        <v>45801</v>
      </c>
      <c r="C1201" s="69" t="n">
        <v>2025</v>
      </c>
      <c r="D1201" t="inlineStr">
        <is>
          <t>May</t>
        </is>
      </c>
      <c r="E1201" t="inlineStr">
        <is>
          <t>United States</t>
        </is>
      </c>
      <c r="F1201" t="inlineStr">
        <is>
          <t>USA</t>
        </is>
      </c>
      <c r="G1201" t="inlineStr">
        <is>
          <t>Xeljanz</t>
        </is>
      </c>
      <c r="H1201" t="inlineStr">
        <is>
          <t>Retail pharmacy</t>
        </is>
      </c>
      <c r="I1201" t="inlineStr">
        <is>
          <t>Public payer</t>
        </is>
      </c>
      <c r="J1201" t="inlineStr">
        <is>
          <t>Fatima Al-Saud</t>
        </is>
      </c>
      <c r="K1201" s="70" t="n">
        <v>2455</v>
      </c>
      <c r="L1201" s="71" t="n">
        <v>2135.92</v>
      </c>
      <c r="M1201" s="71" t="n">
        <v>5243683.6</v>
      </c>
      <c r="N1201" s="71" t="n">
        <v>1835289.26</v>
      </c>
      <c r="O1201" s="71" t="n">
        <v>3408394.34</v>
      </c>
      <c r="P1201" s="71" t="n">
        <v>636697.97</v>
      </c>
      <c r="Q1201" s="71" t="n">
        <v>2771696.37</v>
      </c>
      <c r="R1201" t="inlineStr">
        <is>
          <t>Inflammation</t>
        </is>
      </c>
      <c r="S1201" s="70" t="n">
        <v>2445</v>
      </c>
      <c r="T1201" s="71" t="n">
        <v>831432.85</v>
      </c>
      <c r="U1201" t="inlineStr">
        <is>
          <t>High</t>
        </is>
      </c>
      <c r="V1201">
        <f>IF(AND(OR(Dashboard!$C$6="All",E1201=Dashboard!$C$6),OR(Dashboard!$F$6="All",G1201=Dashboard!$F$6),OR(Dashboard!$I$6="All",H1201=Dashboard!$I$6)),1,0)</f>
        <v/>
      </c>
    </row>
    <row r="1202">
      <c r="A1202" t="inlineStr">
        <is>
          <t>PF101193</t>
        </is>
      </c>
      <c r="B1202" s="68" t="n">
        <v>45801</v>
      </c>
      <c r="C1202" s="69" t="n">
        <v>2025</v>
      </c>
      <c r="D1202" t="inlineStr">
        <is>
          <t>May</t>
        </is>
      </c>
      <c r="E1202" t="inlineStr">
        <is>
          <t>United States</t>
        </is>
      </c>
      <c r="F1202" t="inlineStr">
        <is>
          <t>USA</t>
        </is>
      </c>
      <c r="G1202" t="inlineStr">
        <is>
          <t>Ibrance</t>
        </is>
      </c>
      <c r="H1202" t="inlineStr">
        <is>
          <t>Government / tender</t>
        </is>
      </c>
      <c r="I1202" t="inlineStr">
        <is>
          <t>Public payer</t>
        </is>
      </c>
      <c r="J1202" t="inlineStr">
        <is>
          <t>Arjun Mehta</t>
        </is>
      </c>
      <c r="K1202" s="70" t="n">
        <v>2860</v>
      </c>
      <c r="L1202" s="71" t="n">
        <v>4473.81</v>
      </c>
      <c r="M1202" s="71" t="n">
        <v>12795096.6</v>
      </c>
      <c r="N1202" s="71" t="n">
        <v>2559019.32</v>
      </c>
      <c r="O1202" s="71" t="n">
        <v>10236077.28</v>
      </c>
      <c r="P1202" s="71" t="n">
        <v>1250587.83</v>
      </c>
      <c r="Q1202" s="71" t="n">
        <v>8985489.449999999</v>
      </c>
      <c r="R1202" t="inlineStr">
        <is>
          <t>Oncology</t>
        </is>
      </c>
      <c r="S1202" s="70" t="n">
        <v>1837</v>
      </c>
      <c r="T1202" s="71" t="n">
        <v>2428782.74</v>
      </c>
      <c r="U1202" t="inlineStr">
        <is>
          <t>High</t>
        </is>
      </c>
      <c r="V1202">
        <f>IF(AND(OR(Dashboard!$C$6="All",E1202=Dashboard!$C$6),OR(Dashboard!$F$6="All",G1202=Dashboard!$F$6),OR(Dashboard!$I$6="All",H1202=Dashboard!$I$6)),1,0)</f>
        <v/>
      </c>
    </row>
    <row r="1203">
      <c r="A1203" t="inlineStr">
        <is>
          <t>PF101194</t>
        </is>
      </c>
      <c r="B1203" s="68" t="n">
        <v>45801</v>
      </c>
      <c r="C1203" s="69" t="n">
        <v>2025</v>
      </c>
      <c r="D1203" t="inlineStr">
        <is>
          <t>May</t>
        </is>
      </c>
      <c r="E1203" t="inlineStr">
        <is>
          <t>United States</t>
        </is>
      </c>
      <c r="F1203" t="inlineStr">
        <is>
          <t>USA</t>
        </is>
      </c>
      <c r="G1203" t="inlineStr">
        <is>
          <t>Comirnaty</t>
        </is>
      </c>
      <c r="H1203" t="inlineStr">
        <is>
          <t>Hospital</t>
        </is>
      </c>
      <c r="I1203" t="inlineStr">
        <is>
          <t>Public payer</t>
        </is>
      </c>
      <c r="J1203" t="inlineStr">
        <is>
          <t>Zoya Ahmed</t>
        </is>
      </c>
      <c r="K1203" s="70" t="n">
        <v>427</v>
      </c>
      <c r="L1203" s="71" t="n">
        <v>166.35</v>
      </c>
      <c r="M1203" s="71" t="n">
        <v>71031.45</v>
      </c>
      <c r="N1203" s="71" t="n">
        <v>17757.86</v>
      </c>
      <c r="O1203" s="71" t="n">
        <v>53273.59</v>
      </c>
      <c r="P1203" s="71" t="n">
        <v>16127.38</v>
      </c>
      <c r="Q1203" s="71" t="n">
        <v>37146.21</v>
      </c>
      <c r="R1203" t="inlineStr">
        <is>
          <t>Vaccines</t>
        </is>
      </c>
      <c r="S1203" s="70" t="n">
        <v>280</v>
      </c>
      <c r="T1203" s="71" t="n">
        <v>11089.68</v>
      </c>
      <c r="U1203" t="inlineStr">
        <is>
          <t>Low</t>
        </is>
      </c>
      <c r="V1203">
        <f>IF(AND(OR(Dashboard!$C$6="All",E1203=Dashboard!$C$6),OR(Dashboard!$F$6="All",G1203=Dashboard!$F$6),OR(Dashboard!$I$6="All",H1203=Dashboard!$I$6)),1,0)</f>
        <v/>
      </c>
    </row>
    <row r="1204">
      <c r="A1204" t="inlineStr">
        <is>
          <t>PF101195</t>
        </is>
      </c>
      <c r="B1204" s="68" t="n">
        <v>45801</v>
      </c>
      <c r="C1204" s="69" t="n">
        <v>2025</v>
      </c>
      <c r="D1204" t="inlineStr">
        <is>
          <t>May</t>
        </is>
      </c>
      <c r="E1204" t="inlineStr">
        <is>
          <t>Europe</t>
        </is>
      </c>
      <c r="F1204" t="inlineStr">
        <is>
          <t>Italy</t>
        </is>
      </c>
      <c r="G1204" t="inlineStr">
        <is>
          <t>Vyndaqel</t>
        </is>
      </c>
      <c r="H1204" t="inlineStr">
        <is>
          <t>Hospital</t>
        </is>
      </c>
      <c r="I1204" t="inlineStr">
        <is>
          <t>Private insurer</t>
        </is>
      </c>
      <c r="J1204" t="inlineStr">
        <is>
          <t>Hiroshi Tanaka</t>
        </is>
      </c>
      <c r="K1204" s="70" t="n">
        <v>1153</v>
      </c>
      <c r="L1204" s="71" t="n">
        <v>5057.84</v>
      </c>
      <c r="M1204" s="71" t="n">
        <v>5831689.52</v>
      </c>
      <c r="N1204" s="71" t="n">
        <v>874753.4300000001</v>
      </c>
      <c r="O1204" s="71" t="n">
        <v>4956936.09</v>
      </c>
      <c r="P1204" s="71" t="n">
        <v>723912.6899999999</v>
      </c>
      <c r="Q1204" s="71" t="n">
        <v>4233023.4</v>
      </c>
      <c r="R1204" t="inlineStr">
        <is>
          <t>Rare disease</t>
        </is>
      </c>
      <c r="S1204" s="70" t="n">
        <v>808</v>
      </c>
      <c r="T1204" s="71" t="n">
        <v>1264982.2</v>
      </c>
      <c r="U1204" t="inlineStr">
        <is>
          <t>Medium</t>
        </is>
      </c>
      <c r="V1204">
        <f>IF(AND(OR(Dashboard!$C$6="All",E1204=Dashboard!$C$6),OR(Dashboard!$F$6="All",G1204=Dashboard!$F$6),OR(Dashboard!$I$6="All",H1204=Dashboard!$I$6)),1,0)</f>
        <v/>
      </c>
    </row>
    <row r="1205">
      <c r="A1205" t="inlineStr">
        <is>
          <t>PF101196</t>
        </is>
      </c>
      <c r="B1205" s="68" t="n">
        <v>45801</v>
      </c>
      <c r="C1205" s="69" t="n">
        <v>2025</v>
      </c>
      <c r="D1205" t="inlineStr">
        <is>
          <t>May</t>
        </is>
      </c>
      <c r="E1205" t="inlineStr">
        <is>
          <t>Emerging markets</t>
        </is>
      </c>
      <c r="F1205" t="inlineStr">
        <is>
          <t>Brazil</t>
        </is>
      </c>
      <c r="G1205" t="inlineStr">
        <is>
          <t>Prevnar 20</t>
        </is>
      </c>
      <c r="H1205" t="inlineStr">
        <is>
          <t>Hospital</t>
        </is>
      </c>
      <c r="I1205" t="inlineStr">
        <is>
          <t>Private insurer</t>
        </is>
      </c>
      <c r="J1205" t="inlineStr">
        <is>
          <t>Ruhi Shaikh</t>
        </is>
      </c>
      <c r="K1205" s="70" t="n">
        <v>2350</v>
      </c>
      <c r="L1205" s="71" t="n">
        <v>252.56</v>
      </c>
      <c r="M1205" s="71" t="n">
        <v>593516</v>
      </c>
      <c r="N1205" s="71" t="n">
        <v>29675.8</v>
      </c>
      <c r="O1205" s="71" t="n">
        <v>563840.2</v>
      </c>
      <c r="P1205" s="71" t="n">
        <v>160666.65</v>
      </c>
      <c r="Q1205" s="71" t="n">
        <v>403173.55</v>
      </c>
      <c r="R1205" t="inlineStr">
        <is>
          <t>Vaccines</t>
        </is>
      </c>
      <c r="S1205" s="70" t="n">
        <v>1630</v>
      </c>
      <c r="T1205" s="71" t="n">
        <v>130404.14</v>
      </c>
      <c r="U1205" t="inlineStr">
        <is>
          <t>Low</t>
        </is>
      </c>
      <c r="V1205">
        <f>IF(AND(OR(Dashboard!$C$6="All",E1205=Dashboard!$C$6),OR(Dashboard!$F$6="All",G1205=Dashboard!$F$6),OR(Dashboard!$I$6="All",H1205=Dashboard!$I$6)),1,0)</f>
        <v/>
      </c>
    </row>
    <row r="1206">
      <c r="A1206" t="inlineStr">
        <is>
          <t>PF101197</t>
        </is>
      </c>
      <c r="B1206" s="68" t="n">
        <v>45801</v>
      </c>
      <c r="C1206" s="69" t="n">
        <v>2025</v>
      </c>
      <c r="D1206" t="inlineStr">
        <is>
          <t>May</t>
        </is>
      </c>
      <c r="E1206" t="inlineStr">
        <is>
          <t>United States</t>
        </is>
      </c>
      <c r="F1206" t="inlineStr">
        <is>
          <t>USA</t>
        </is>
      </c>
      <c r="G1206" t="inlineStr">
        <is>
          <t>Vyndaqel</t>
        </is>
      </c>
      <c r="H1206" t="inlineStr">
        <is>
          <t>Hospital</t>
        </is>
      </c>
      <c r="I1206" t="inlineStr">
        <is>
          <t>Private insurer</t>
        </is>
      </c>
      <c r="J1206" t="inlineStr">
        <is>
          <t>Priya Nair</t>
        </is>
      </c>
      <c r="K1206" s="70" t="n">
        <v>2381</v>
      </c>
      <c r="L1206" s="71" t="n">
        <v>8345.059999999999</v>
      </c>
      <c r="M1206" s="71" t="n">
        <v>19869587.86</v>
      </c>
      <c r="N1206" s="71" t="n">
        <v>4967396.96</v>
      </c>
      <c r="O1206" s="71" t="n">
        <v>14902190.9</v>
      </c>
      <c r="P1206" s="71" t="n">
        <v>1449967.94</v>
      </c>
      <c r="Q1206" s="71" t="n">
        <v>13452222.96</v>
      </c>
      <c r="R1206" t="inlineStr">
        <is>
          <t>Rare disease</t>
        </is>
      </c>
      <c r="S1206" s="70" t="n">
        <v>1599</v>
      </c>
      <c r="T1206" s="71" t="n">
        <v>2646402.63</v>
      </c>
      <c r="U1206" t="inlineStr">
        <is>
          <t>Medium</t>
        </is>
      </c>
      <c r="V1206">
        <f>IF(AND(OR(Dashboard!$C$6="All",E1206=Dashboard!$C$6),OR(Dashboard!$F$6="All",G1206=Dashboard!$F$6),OR(Dashboard!$I$6="All",H1206=Dashboard!$I$6)),1,0)</f>
        <v/>
      </c>
    </row>
    <row r="1207">
      <c r="A1207" t="inlineStr">
        <is>
          <t>PF101198</t>
        </is>
      </c>
      <c r="B1207" s="68" t="n">
        <v>45801</v>
      </c>
      <c r="C1207" s="69" t="n">
        <v>2025</v>
      </c>
      <c r="D1207" t="inlineStr">
        <is>
          <t>May</t>
        </is>
      </c>
      <c r="E1207" t="inlineStr">
        <is>
          <t>United States</t>
        </is>
      </c>
      <c r="F1207" t="inlineStr">
        <is>
          <t>USA</t>
        </is>
      </c>
      <c r="G1207" t="inlineStr">
        <is>
          <t>Paxlovid</t>
        </is>
      </c>
      <c r="H1207" t="inlineStr">
        <is>
          <t>Retail pharmacy</t>
        </is>
      </c>
      <c r="I1207" t="inlineStr">
        <is>
          <t>Private insurer</t>
        </is>
      </c>
      <c r="J1207" t="inlineStr">
        <is>
          <t>Carlos Silva</t>
        </is>
      </c>
      <c r="K1207" s="70" t="n">
        <v>2628</v>
      </c>
      <c r="L1207" s="71" t="n">
        <v>1634.02</v>
      </c>
      <c r="M1207" s="71" t="n">
        <v>4294204.56</v>
      </c>
      <c r="N1207" s="71" t="n">
        <v>1073551.14</v>
      </c>
      <c r="O1207" s="71" t="n">
        <v>3220653.42</v>
      </c>
      <c r="P1207" s="71" t="n">
        <v>698714.54</v>
      </c>
      <c r="Q1207" s="71" t="n">
        <v>2521938.88</v>
      </c>
      <c r="R1207" t="inlineStr">
        <is>
          <t>Antiviral</t>
        </is>
      </c>
      <c r="S1207" s="70" t="n">
        <v>2148</v>
      </c>
      <c r="T1207" s="71" t="n">
        <v>674984.2</v>
      </c>
      <c r="U1207" t="inlineStr">
        <is>
          <t>Low</t>
        </is>
      </c>
      <c r="V1207">
        <f>IF(AND(OR(Dashboard!$C$6="All",E1207=Dashboard!$C$6),OR(Dashboard!$F$6="All",G1207=Dashboard!$F$6),OR(Dashboard!$I$6="All",H1207=Dashboard!$I$6)),1,0)</f>
        <v/>
      </c>
    </row>
    <row r="1208">
      <c r="A1208" t="inlineStr">
        <is>
          <t>PF101199</t>
        </is>
      </c>
      <c r="B1208" s="68" t="n">
        <v>45801</v>
      </c>
      <c r="C1208" s="69" t="n">
        <v>2025</v>
      </c>
      <c r="D1208" t="inlineStr">
        <is>
          <t>May</t>
        </is>
      </c>
      <c r="E1208" t="inlineStr">
        <is>
          <t>Europe</t>
        </is>
      </c>
      <c r="F1208" t="inlineStr">
        <is>
          <t>France</t>
        </is>
      </c>
      <c r="G1208" t="inlineStr">
        <is>
          <t>Xeljanz</t>
        </is>
      </c>
      <c r="H1208" t="inlineStr">
        <is>
          <t>Hospital</t>
        </is>
      </c>
      <c r="I1208" t="inlineStr">
        <is>
          <t>Self-pay</t>
        </is>
      </c>
      <c r="J1208" t="inlineStr">
        <is>
          <t>Sara Rossi</t>
        </is>
      </c>
      <c r="K1208" s="70" t="n">
        <v>721</v>
      </c>
      <c r="L1208" s="71" t="n">
        <v>1503.75</v>
      </c>
      <c r="M1208" s="71" t="n">
        <v>1084203.75</v>
      </c>
      <c r="N1208" s="71" t="n">
        <v>54210.19</v>
      </c>
      <c r="O1208" s="71" t="n">
        <v>1029993.56</v>
      </c>
      <c r="P1208" s="71" t="n">
        <v>181373.13</v>
      </c>
      <c r="Q1208" s="71" t="n">
        <v>848620.4300000001</v>
      </c>
      <c r="R1208" t="inlineStr">
        <is>
          <t>Inflammation</t>
        </is>
      </c>
      <c r="S1208" s="70" t="n">
        <v>547</v>
      </c>
      <c r="T1208" s="71" t="n">
        <v>215365.25</v>
      </c>
      <c r="U1208" t="inlineStr">
        <is>
          <t>High</t>
        </is>
      </c>
      <c r="V1208">
        <f>IF(AND(OR(Dashboard!$C$6="All",E1208=Dashboard!$C$6),OR(Dashboard!$F$6="All",G1208=Dashboard!$F$6),OR(Dashboard!$I$6="All",H1208=Dashboard!$I$6)),1,0)</f>
        <v/>
      </c>
    </row>
    <row r="1209">
      <c r="A1209" t="inlineStr">
        <is>
          <t>PF101200</t>
        </is>
      </c>
      <c r="B1209" s="68" t="n">
        <v>45802</v>
      </c>
      <c r="C1209" s="69" t="n">
        <v>2025</v>
      </c>
      <c r="D1209" t="inlineStr">
        <is>
          <t>May</t>
        </is>
      </c>
      <c r="E1209" t="inlineStr">
        <is>
          <t>Emerging markets</t>
        </is>
      </c>
      <c r="F1209" t="inlineStr">
        <is>
          <t>India</t>
        </is>
      </c>
      <c r="G1209" t="inlineStr">
        <is>
          <t>Comirnaty</t>
        </is>
      </c>
      <c r="H1209" t="inlineStr">
        <is>
          <t>Government / tender</t>
        </is>
      </c>
      <c r="I1209" t="inlineStr">
        <is>
          <t>Private insurer</t>
        </is>
      </c>
      <c r="J1209" t="inlineStr">
        <is>
          <t>Kofi Mensah</t>
        </is>
      </c>
      <c r="K1209" s="70" t="n">
        <v>2957</v>
      </c>
      <c r="L1209" s="71" t="n">
        <v>101.29</v>
      </c>
      <c r="M1209" s="71" t="n">
        <v>299514.53</v>
      </c>
      <c r="N1209" s="71" t="n">
        <v>44927.18</v>
      </c>
      <c r="O1209" s="71" t="n">
        <v>254587.35</v>
      </c>
      <c r="P1209" s="71" t="n">
        <v>114457.41</v>
      </c>
      <c r="Q1209" s="71" t="n">
        <v>140129.94</v>
      </c>
      <c r="R1209" t="inlineStr">
        <is>
          <t>Vaccines</t>
        </is>
      </c>
      <c r="S1209" s="70" t="n">
        <v>1866</v>
      </c>
      <c r="T1209" s="71" t="n">
        <v>53171.74</v>
      </c>
      <c r="U1209" t="inlineStr">
        <is>
          <t>Low</t>
        </is>
      </c>
      <c r="V1209">
        <f>IF(AND(OR(Dashboard!$C$6="All",E1209=Dashboard!$C$6),OR(Dashboard!$F$6="All",G1209=Dashboard!$F$6),OR(Dashboard!$I$6="All",H1209=Dashboard!$I$6)),1,0)</f>
        <v/>
      </c>
    </row>
    <row r="1210">
      <c r="A1210" t="inlineStr">
        <is>
          <t>PF101201</t>
        </is>
      </c>
      <c r="B1210" s="68" t="n">
        <v>45802</v>
      </c>
      <c r="C1210" s="69" t="n">
        <v>2025</v>
      </c>
      <c r="D1210" t="inlineStr">
        <is>
          <t>May</t>
        </is>
      </c>
      <c r="E1210" t="inlineStr">
        <is>
          <t>Emerging markets</t>
        </is>
      </c>
      <c r="F1210" t="inlineStr">
        <is>
          <t>Brazil</t>
        </is>
      </c>
      <c r="G1210" t="inlineStr">
        <is>
          <t>Comirnaty</t>
        </is>
      </c>
      <c r="H1210" t="inlineStr">
        <is>
          <t>Retail pharmacy</t>
        </is>
      </c>
      <c r="I1210" t="inlineStr">
        <is>
          <t>Self-pay</t>
        </is>
      </c>
      <c r="J1210" t="inlineStr">
        <is>
          <t>Ruhi Shaikh</t>
        </is>
      </c>
      <c r="K1210" s="70" t="n">
        <v>1425</v>
      </c>
      <c r="L1210" s="71" t="n">
        <v>114.56</v>
      </c>
      <c r="M1210" s="71" t="n">
        <v>163248</v>
      </c>
      <c r="N1210" s="71" t="n">
        <v>8162.4</v>
      </c>
      <c r="O1210" s="71" t="n">
        <v>155085.6</v>
      </c>
      <c r="P1210" s="71" t="n">
        <v>56068.37</v>
      </c>
      <c r="Q1210" s="71" t="n">
        <v>99017.23</v>
      </c>
      <c r="R1210" t="inlineStr">
        <is>
          <t>Vaccines</t>
        </is>
      </c>
      <c r="S1210" s="70" t="n">
        <v>985</v>
      </c>
      <c r="T1210" s="71" t="n">
        <v>33139.52</v>
      </c>
      <c r="U1210" t="inlineStr">
        <is>
          <t>Low</t>
        </is>
      </c>
      <c r="V1210">
        <f>IF(AND(OR(Dashboard!$C$6="All",E1210=Dashboard!$C$6),OR(Dashboard!$F$6="All",G1210=Dashboard!$F$6),OR(Dashboard!$I$6="All",H1210=Dashboard!$I$6)),1,0)</f>
        <v/>
      </c>
    </row>
    <row r="1211">
      <c r="A1211" t="inlineStr">
        <is>
          <t>PF101202</t>
        </is>
      </c>
      <c r="B1211" s="68" t="n">
        <v>45802</v>
      </c>
      <c r="C1211" s="69" t="n">
        <v>2025</v>
      </c>
      <c r="D1211" t="inlineStr">
        <is>
          <t>May</t>
        </is>
      </c>
      <c r="E1211" t="inlineStr">
        <is>
          <t>United States</t>
        </is>
      </c>
      <c r="F1211" t="inlineStr">
        <is>
          <t>USA</t>
        </is>
      </c>
      <c r="G1211" t="inlineStr">
        <is>
          <t>Ibrance</t>
        </is>
      </c>
      <c r="H1211" t="inlineStr">
        <is>
          <t>Retail pharmacy</t>
        </is>
      </c>
      <c r="I1211" t="inlineStr">
        <is>
          <t>Private insurer</t>
        </is>
      </c>
      <c r="J1211" t="inlineStr">
        <is>
          <t>Hiroshi Tanaka</t>
        </is>
      </c>
      <c r="K1211" s="70" t="n">
        <v>122</v>
      </c>
      <c r="L1211" s="71" t="n">
        <v>4986.83</v>
      </c>
      <c r="M1211" s="71" t="n">
        <v>608393.26</v>
      </c>
      <c r="N1211" s="71" t="n">
        <v>152098.32</v>
      </c>
      <c r="O1211" s="71" t="n">
        <v>456294.94</v>
      </c>
      <c r="P1211" s="71" t="n">
        <v>53428.99</v>
      </c>
      <c r="Q1211" s="71" t="n">
        <v>402865.95</v>
      </c>
      <c r="R1211" t="inlineStr">
        <is>
          <t>Oncology</t>
        </is>
      </c>
      <c r="S1211" s="70" t="n">
        <v>82</v>
      </c>
      <c r="T1211" s="71" t="n">
        <v>111236.09</v>
      </c>
      <c r="U1211" t="inlineStr">
        <is>
          <t>High</t>
        </is>
      </c>
      <c r="V1211">
        <f>IF(AND(OR(Dashboard!$C$6="All",E1211=Dashboard!$C$6),OR(Dashboard!$F$6="All",G1211=Dashboard!$F$6),OR(Dashboard!$I$6="All",H1211=Dashboard!$I$6)),1,0)</f>
        <v/>
      </c>
    </row>
    <row r="1212">
      <c r="A1212" t="inlineStr">
        <is>
          <t>PF101203</t>
        </is>
      </c>
      <c r="B1212" s="68" t="n">
        <v>45802</v>
      </c>
      <c r="C1212" s="69" t="n">
        <v>2025</v>
      </c>
      <c r="D1212" t="inlineStr">
        <is>
          <t>May</t>
        </is>
      </c>
      <c r="E1212" t="inlineStr">
        <is>
          <t>United States</t>
        </is>
      </c>
      <c r="F1212" t="inlineStr">
        <is>
          <t>USA</t>
        </is>
      </c>
      <c r="G1212" t="inlineStr">
        <is>
          <t>Abrysvo</t>
        </is>
      </c>
      <c r="H1212" t="inlineStr">
        <is>
          <t>Government / tender</t>
        </is>
      </c>
      <c r="I1212" t="inlineStr">
        <is>
          <t>Public payer</t>
        </is>
      </c>
      <c r="J1212" t="inlineStr">
        <is>
          <t>Shraddha Kulkarni</t>
        </is>
      </c>
      <c r="K1212" s="70" t="n">
        <v>428</v>
      </c>
      <c r="L1212" s="71" t="n">
        <v>417.81</v>
      </c>
      <c r="M1212" s="71" t="n">
        <v>178822.68</v>
      </c>
      <c r="N1212" s="71" t="n">
        <v>62587.94</v>
      </c>
      <c r="O1212" s="71" t="n">
        <v>116234.74</v>
      </c>
      <c r="P1212" s="71" t="n">
        <v>34767.8</v>
      </c>
      <c r="Q1212" s="71" t="n">
        <v>81466.94</v>
      </c>
      <c r="R1212" t="inlineStr">
        <is>
          <t>Vaccines</t>
        </is>
      </c>
      <c r="S1212" s="70" t="n">
        <v>421</v>
      </c>
      <c r="T1212" s="71" t="n">
        <v>21500.6</v>
      </c>
      <c r="U1212" t="inlineStr">
        <is>
          <t>Low</t>
        </is>
      </c>
      <c r="V1212">
        <f>IF(AND(OR(Dashboard!$C$6="All",E1212=Dashboard!$C$6),OR(Dashboard!$F$6="All",G1212=Dashboard!$F$6),OR(Dashboard!$I$6="All",H1212=Dashboard!$I$6)),1,0)</f>
        <v/>
      </c>
    </row>
    <row r="1213">
      <c r="A1213" t="inlineStr">
        <is>
          <t>PF101204</t>
        </is>
      </c>
      <c r="B1213" s="68" t="n">
        <v>45802</v>
      </c>
      <c r="C1213" s="69" t="n">
        <v>2025</v>
      </c>
      <c r="D1213" t="inlineStr">
        <is>
          <t>May</t>
        </is>
      </c>
      <c r="E1213" t="inlineStr">
        <is>
          <t>United States</t>
        </is>
      </c>
      <c r="F1213" t="inlineStr">
        <is>
          <t>USA</t>
        </is>
      </c>
      <c r="G1213" t="inlineStr">
        <is>
          <t>Vyndaqel</t>
        </is>
      </c>
      <c r="H1213" t="inlineStr">
        <is>
          <t>Hospital</t>
        </is>
      </c>
      <c r="I1213" t="inlineStr">
        <is>
          <t>Public payer</t>
        </is>
      </c>
      <c r="J1213" t="inlineStr">
        <is>
          <t>Ana Costa</t>
        </is>
      </c>
      <c r="K1213" s="70" t="n">
        <v>2616</v>
      </c>
      <c r="L1213" s="71" t="n">
        <v>8777.219999999999</v>
      </c>
      <c r="M1213" s="71" t="n">
        <v>22961207.52</v>
      </c>
      <c r="N1213" s="71" t="n">
        <v>5740301.88</v>
      </c>
      <c r="O1213" s="71" t="n">
        <v>17220905.64</v>
      </c>
      <c r="P1213" s="71" t="n">
        <v>1586579.28</v>
      </c>
      <c r="Q1213" s="71" t="n">
        <v>15634326.36</v>
      </c>
      <c r="R1213" t="inlineStr">
        <is>
          <t>Rare disease</t>
        </is>
      </c>
      <c r="S1213" s="70" t="n">
        <v>2371</v>
      </c>
      <c r="T1213" s="71" t="n">
        <v>4789636.13</v>
      </c>
      <c r="U1213" t="inlineStr">
        <is>
          <t>Medium</t>
        </is>
      </c>
      <c r="V1213">
        <f>IF(AND(OR(Dashboard!$C$6="All",E1213=Dashboard!$C$6),OR(Dashboard!$F$6="All",G1213=Dashboard!$F$6),OR(Dashboard!$I$6="All",H1213=Dashboard!$I$6)),1,0)</f>
        <v/>
      </c>
    </row>
    <row r="1214">
      <c r="A1214" t="inlineStr">
        <is>
          <t>PF101205</t>
        </is>
      </c>
      <c r="B1214" s="68" t="n">
        <v>45802</v>
      </c>
      <c r="C1214" s="69" t="n">
        <v>2025</v>
      </c>
      <c r="D1214" t="inlineStr">
        <is>
          <t>May</t>
        </is>
      </c>
      <c r="E1214" t="inlineStr">
        <is>
          <t>Emerging markets</t>
        </is>
      </c>
      <c r="F1214" t="inlineStr">
        <is>
          <t>Brazil</t>
        </is>
      </c>
      <c r="G1214" t="inlineStr">
        <is>
          <t>Ibrance</t>
        </is>
      </c>
      <c r="H1214" t="inlineStr">
        <is>
          <t>Retail pharmacy</t>
        </is>
      </c>
      <c r="I1214" t="inlineStr">
        <is>
          <t>Private insurer</t>
        </is>
      </c>
      <c r="J1214" t="inlineStr">
        <is>
          <t>Liam O'Brien</t>
        </is>
      </c>
      <c r="K1214" s="70" t="n">
        <v>1392</v>
      </c>
      <c r="L1214" s="71" t="n">
        <v>2978.37</v>
      </c>
      <c r="M1214" s="71" t="n">
        <v>4145891.04</v>
      </c>
      <c r="N1214" s="71" t="n">
        <v>829178.21</v>
      </c>
      <c r="O1214" s="71" t="n">
        <v>3316712.83</v>
      </c>
      <c r="P1214" s="71" t="n">
        <v>598027.15</v>
      </c>
      <c r="Q1214" s="71" t="n">
        <v>2718685.68</v>
      </c>
      <c r="R1214" t="inlineStr">
        <is>
          <t>Oncology</t>
        </is>
      </c>
      <c r="S1214" s="70" t="n">
        <v>1013</v>
      </c>
      <c r="T1214" s="71" t="n">
        <v>614701.61</v>
      </c>
      <c r="U1214" t="inlineStr">
        <is>
          <t>High</t>
        </is>
      </c>
      <c r="V1214">
        <f>IF(AND(OR(Dashboard!$C$6="All",E1214=Dashboard!$C$6),OR(Dashboard!$F$6="All",G1214=Dashboard!$F$6),OR(Dashboard!$I$6="All",H1214=Dashboard!$I$6)),1,0)</f>
        <v/>
      </c>
    </row>
    <row r="1215">
      <c r="A1215" t="inlineStr">
        <is>
          <t>PF101206</t>
        </is>
      </c>
      <c r="B1215" s="68" t="n">
        <v>45802</v>
      </c>
      <c r="C1215" s="69" t="n">
        <v>2025</v>
      </c>
      <c r="D1215" t="inlineStr">
        <is>
          <t>May</t>
        </is>
      </c>
      <c r="E1215" t="inlineStr">
        <is>
          <t>United States</t>
        </is>
      </c>
      <c r="F1215" t="inlineStr">
        <is>
          <t>USA</t>
        </is>
      </c>
      <c r="G1215" t="inlineStr">
        <is>
          <t>Abrysvo</t>
        </is>
      </c>
      <c r="H1215" t="inlineStr">
        <is>
          <t>Retail pharmacy</t>
        </is>
      </c>
      <c r="I1215" t="inlineStr">
        <is>
          <t>Public payer</t>
        </is>
      </c>
      <c r="J1215" t="inlineStr">
        <is>
          <t>Mei Lin</t>
        </is>
      </c>
      <c r="K1215" s="70" t="n">
        <v>2434</v>
      </c>
      <c r="L1215" s="71" t="n">
        <v>409.04</v>
      </c>
      <c r="M1215" s="71" t="n">
        <v>995603.36</v>
      </c>
      <c r="N1215" s="71" t="n">
        <v>149340.5</v>
      </c>
      <c r="O1215" s="71" t="n">
        <v>846262.86</v>
      </c>
      <c r="P1215" s="71" t="n">
        <v>201711.67</v>
      </c>
      <c r="Q1215" s="71" t="n">
        <v>644551.1899999999</v>
      </c>
      <c r="R1215" t="inlineStr">
        <is>
          <t>Vaccines</t>
        </is>
      </c>
      <c r="S1215" s="70" t="n">
        <v>1556</v>
      </c>
      <c r="T1215" s="71" t="n">
        <v>198691.92</v>
      </c>
      <c r="U1215" t="inlineStr">
        <is>
          <t>Low</t>
        </is>
      </c>
      <c r="V1215">
        <f>IF(AND(OR(Dashboard!$C$6="All",E1215=Dashboard!$C$6),OR(Dashboard!$F$6="All",G1215=Dashboard!$F$6),OR(Dashboard!$I$6="All",H1215=Dashboard!$I$6)),1,0)</f>
        <v/>
      </c>
    </row>
    <row r="1216">
      <c r="A1216" t="inlineStr">
        <is>
          <t>PF101207</t>
        </is>
      </c>
      <c r="B1216" s="68" t="n">
        <v>45802</v>
      </c>
      <c r="C1216" s="69" t="n">
        <v>2025</v>
      </c>
      <c r="D1216" t="inlineStr">
        <is>
          <t>May</t>
        </is>
      </c>
      <c r="E1216" t="inlineStr">
        <is>
          <t>International developed</t>
        </is>
      </c>
      <c r="F1216" t="inlineStr">
        <is>
          <t>Australia</t>
        </is>
      </c>
      <c r="G1216" t="inlineStr">
        <is>
          <t>Paxlovid</t>
        </is>
      </c>
      <c r="H1216" t="inlineStr">
        <is>
          <t>Hospital</t>
        </is>
      </c>
      <c r="I1216" t="inlineStr">
        <is>
          <t>Public payer</t>
        </is>
      </c>
      <c r="J1216" t="inlineStr">
        <is>
          <t>Aisha Bello</t>
        </is>
      </c>
      <c r="K1216" s="70" t="n">
        <v>1987</v>
      </c>
      <c r="L1216" s="71" t="n">
        <v>1094.7</v>
      </c>
      <c r="M1216" s="71" t="n">
        <v>2175168.9</v>
      </c>
      <c r="N1216" s="71" t="n">
        <v>326275.33</v>
      </c>
      <c r="O1216" s="71" t="n">
        <v>1848893.57</v>
      </c>
      <c r="P1216" s="71" t="n">
        <v>543691.77</v>
      </c>
      <c r="Q1216" s="71" t="n">
        <v>1305201.8</v>
      </c>
      <c r="R1216" t="inlineStr">
        <is>
          <t>Antiviral</t>
        </is>
      </c>
      <c r="S1216" s="70" t="n">
        <v>1606</v>
      </c>
      <c r="T1216" s="71" t="n">
        <v>364382.44</v>
      </c>
      <c r="U1216" t="inlineStr">
        <is>
          <t>Low</t>
        </is>
      </c>
      <c r="V1216">
        <f>IF(AND(OR(Dashboard!$C$6="All",E1216=Dashboard!$C$6),OR(Dashboard!$F$6="All",G1216=Dashboard!$F$6),OR(Dashboard!$I$6="All",H1216=Dashboard!$I$6)),1,0)</f>
        <v/>
      </c>
    </row>
    <row r="1217">
      <c r="A1217" t="inlineStr">
        <is>
          <t>PF101208</t>
        </is>
      </c>
      <c r="B1217" s="68" t="n">
        <v>45802</v>
      </c>
      <c r="C1217" s="69" t="n">
        <v>2025</v>
      </c>
      <c r="D1217" t="inlineStr">
        <is>
          <t>May</t>
        </is>
      </c>
      <c r="E1217" t="inlineStr">
        <is>
          <t>United States</t>
        </is>
      </c>
      <c r="F1217" t="inlineStr">
        <is>
          <t>USA</t>
        </is>
      </c>
      <c r="G1217" t="inlineStr">
        <is>
          <t>Comirnaty</t>
        </is>
      </c>
      <c r="H1217" t="inlineStr">
        <is>
          <t>Hospital</t>
        </is>
      </c>
      <c r="I1217" t="inlineStr">
        <is>
          <t>Public payer</t>
        </is>
      </c>
      <c r="J1217" t="inlineStr">
        <is>
          <t>Hiroshi Tanaka</t>
        </is>
      </c>
      <c r="K1217" s="70" t="n">
        <v>812</v>
      </c>
      <c r="L1217" s="71" t="n">
        <v>165.73</v>
      </c>
      <c r="M1217" s="71" t="n">
        <v>134572.76</v>
      </c>
      <c r="N1217" s="71" t="n">
        <v>47100.47</v>
      </c>
      <c r="O1217" s="71" t="n">
        <v>87472.28999999999</v>
      </c>
      <c r="P1217" s="71" t="n">
        <v>30101.2</v>
      </c>
      <c r="Q1217" s="71" t="n">
        <v>57371.09</v>
      </c>
      <c r="R1217" t="inlineStr">
        <is>
          <t>Vaccines</t>
        </is>
      </c>
      <c r="S1217" s="70" t="n">
        <v>641</v>
      </c>
      <c r="T1217" s="71" t="n">
        <v>28775.52</v>
      </c>
      <c r="U1217" t="inlineStr">
        <is>
          <t>Low</t>
        </is>
      </c>
      <c r="V1217">
        <f>IF(AND(OR(Dashboard!$C$6="All",E1217=Dashboard!$C$6),OR(Dashboard!$F$6="All",G1217=Dashboard!$F$6),OR(Dashboard!$I$6="All",H1217=Dashboard!$I$6)),1,0)</f>
        <v/>
      </c>
    </row>
    <row r="1218">
      <c r="A1218" t="inlineStr">
        <is>
          <t>PF101209</t>
        </is>
      </c>
      <c r="B1218" s="68" t="n">
        <v>45803</v>
      </c>
      <c r="C1218" s="69" t="n">
        <v>2025</v>
      </c>
      <c r="D1218" t="inlineStr">
        <is>
          <t>May</t>
        </is>
      </c>
      <c r="E1218" t="inlineStr">
        <is>
          <t>United States</t>
        </is>
      </c>
      <c r="F1218" t="inlineStr">
        <is>
          <t>USA</t>
        </is>
      </c>
      <c r="G1218" t="inlineStr">
        <is>
          <t>Paxlovid</t>
        </is>
      </c>
      <c r="H1218" t="inlineStr">
        <is>
          <t>Retail pharmacy</t>
        </is>
      </c>
      <c r="I1218" t="inlineStr">
        <is>
          <t>Self-pay</t>
        </is>
      </c>
      <c r="J1218" t="inlineStr">
        <is>
          <t>Noah Smith</t>
        </is>
      </c>
      <c r="K1218" s="70" t="n">
        <v>1203</v>
      </c>
      <c r="L1218" s="71" t="n">
        <v>1782.03</v>
      </c>
      <c r="M1218" s="71" t="n">
        <v>2143782.09</v>
      </c>
      <c r="N1218" s="71" t="n">
        <v>535945.52</v>
      </c>
      <c r="O1218" s="71" t="n">
        <v>1607836.57</v>
      </c>
      <c r="P1218" s="71" t="n">
        <v>337275.81</v>
      </c>
      <c r="Q1218" s="71" t="n">
        <v>1270560.76</v>
      </c>
      <c r="R1218" t="inlineStr">
        <is>
          <t>Antiviral</t>
        </is>
      </c>
      <c r="S1218" s="70" t="n">
        <v>878</v>
      </c>
      <c r="T1218" s="71" t="n">
        <v>388131.51</v>
      </c>
      <c r="U1218" t="inlineStr">
        <is>
          <t>Low</t>
        </is>
      </c>
      <c r="V1218">
        <f>IF(AND(OR(Dashboard!$C$6="All",E1218=Dashboard!$C$6),OR(Dashboard!$F$6="All",G1218=Dashboard!$F$6),OR(Dashboard!$I$6="All",H1218=Dashboard!$I$6)),1,0)</f>
        <v/>
      </c>
    </row>
    <row r="1219">
      <c r="A1219" t="inlineStr">
        <is>
          <t>PF101210</t>
        </is>
      </c>
      <c r="B1219" s="68" t="n">
        <v>45803</v>
      </c>
      <c r="C1219" s="69" t="n">
        <v>2025</v>
      </c>
      <c r="D1219" t="inlineStr">
        <is>
          <t>May</t>
        </is>
      </c>
      <c r="E1219" t="inlineStr">
        <is>
          <t>Europe</t>
        </is>
      </c>
      <c r="F1219" t="inlineStr">
        <is>
          <t>UK</t>
        </is>
      </c>
      <c r="G1219" t="inlineStr">
        <is>
          <t>Ibrance</t>
        </is>
      </c>
      <c r="H1219" t="inlineStr">
        <is>
          <t>Retail pharmacy</t>
        </is>
      </c>
      <c r="I1219" t="inlineStr">
        <is>
          <t>Private insurer</t>
        </is>
      </c>
      <c r="J1219" t="inlineStr">
        <is>
          <t>Sara Rossi</t>
        </is>
      </c>
      <c r="K1219" s="70" t="n">
        <v>2402</v>
      </c>
      <c r="L1219" s="71" t="n">
        <v>2631.43</v>
      </c>
      <c r="M1219" s="71" t="n">
        <v>6320694.86</v>
      </c>
      <c r="N1219" s="71" t="n">
        <v>948104.23</v>
      </c>
      <c r="O1219" s="71" t="n">
        <v>5372590.63</v>
      </c>
      <c r="P1219" s="71" t="n">
        <v>1037205.64</v>
      </c>
      <c r="Q1219" s="71" t="n">
        <v>4335384.99</v>
      </c>
      <c r="R1219" t="inlineStr">
        <is>
          <t>Oncology</t>
        </is>
      </c>
      <c r="S1219" s="70" t="n">
        <v>1717</v>
      </c>
      <c r="T1219" s="71" t="n">
        <v>1054906.45</v>
      </c>
      <c r="U1219" t="inlineStr">
        <is>
          <t>High</t>
        </is>
      </c>
      <c r="V1219">
        <f>IF(AND(OR(Dashboard!$C$6="All",E1219=Dashboard!$C$6),OR(Dashboard!$F$6="All",G1219=Dashboard!$F$6),OR(Dashboard!$I$6="All",H1219=Dashboard!$I$6)),1,0)</f>
        <v/>
      </c>
    </row>
    <row r="1220">
      <c r="A1220" t="inlineStr">
        <is>
          <t>PF101211</t>
        </is>
      </c>
      <c r="B1220" s="68" t="n">
        <v>45803</v>
      </c>
      <c r="C1220" s="69" t="n">
        <v>2025</v>
      </c>
      <c r="D1220" t="inlineStr">
        <is>
          <t>May</t>
        </is>
      </c>
      <c r="E1220" t="inlineStr">
        <is>
          <t>United States</t>
        </is>
      </c>
      <c r="F1220" t="inlineStr">
        <is>
          <t>USA</t>
        </is>
      </c>
      <c r="G1220" t="inlineStr">
        <is>
          <t>Eliquis</t>
        </is>
      </c>
      <c r="H1220" t="inlineStr">
        <is>
          <t>Hospital</t>
        </is>
      </c>
      <c r="I1220" t="inlineStr">
        <is>
          <t>Private insurer</t>
        </is>
      </c>
      <c r="J1220" t="inlineStr">
        <is>
          <t>Fatima Al-Saud</t>
        </is>
      </c>
      <c r="K1220" s="70" t="n">
        <v>1876</v>
      </c>
      <c r="L1220" s="71" t="n">
        <v>736.77</v>
      </c>
      <c r="M1220" s="71" t="n">
        <v>1382180.52</v>
      </c>
      <c r="N1220" s="71" t="n">
        <v>207327.08</v>
      </c>
      <c r="O1220" s="71" t="n">
        <v>1174853.44</v>
      </c>
      <c r="P1220" s="71" t="n">
        <v>141904.84</v>
      </c>
      <c r="Q1220" s="71" t="n">
        <v>1032948.6</v>
      </c>
      <c r="R1220" t="inlineStr">
        <is>
          <t>Cardiology</t>
        </is>
      </c>
      <c r="S1220" s="70" t="n">
        <v>1582</v>
      </c>
      <c r="T1220" s="71" t="n">
        <v>182930.64</v>
      </c>
      <c r="U1220" t="inlineStr">
        <is>
          <t>High</t>
        </is>
      </c>
      <c r="V1220">
        <f>IF(AND(OR(Dashboard!$C$6="All",E1220=Dashboard!$C$6),OR(Dashboard!$F$6="All",G1220=Dashboard!$F$6),OR(Dashboard!$I$6="All",H1220=Dashboard!$I$6)),1,0)</f>
        <v/>
      </c>
    </row>
    <row r="1221">
      <c r="A1221" t="inlineStr">
        <is>
          <t>PF101212</t>
        </is>
      </c>
      <c r="B1221" s="68" t="n">
        <v>45803</v>
      </c>
      <c r="C1221" s="69" t="n">
        <v>2025</v>
      </c>
      <c r="D1221" t="inlineStr">
        <is>
          <t>May</t>
        </is>
      </c>
      <c r="E1221" t="inlineStr">
        <is>
          <t>United States</t>
        </is>
      </c>
      <c r="F1221" t="inlineStr">
        <is>
          <t>USA</t>
        </is>
      </c>
      <c r="G1221" t="inlineStr">
        <is>
          <t>Vyndaqel</t>
        </is>
      </c>
      <c r="H1221" t="inlineStr">
        <is>
          <t>Government / tender</t>
        </is>
      </c>
      <c r="I1221" t="inlineStr">
        <is>
          <t>Self-pay</t>
        </is>
      </c>
      <c r="J1221" t="inlineStr">
        <is>
          <t>Yuki Sato</t>
        </is>
      </c>
      <c r="K1221" s="70" t="n">
        <v>991</v>
      </c>
      <c r="L1221" s="71" t="n">
        <v>7829.17</v>
      </c>
      <c r="M1221" s="71" t="n">
        <v>7758707.47</v>
      </c>
      <c r="N1221" s="71" t="n">
        <v>2327612.24</v>
      </c>
      <c r="O1221" s="71" t="n">
        <v>5431095.23</v>
      </c>
      <c r="P1221" s="71" t="n">
        <v>618648.22</v>
      </c>
      <c r="Q1221" s="71" t="n">
        <v>4812447.01</v>
      </c>
      <c r="R1221" t="inlineStr">
        <is>
          <t>Rare disease</t>
        </is>
      </c>
      <c r="S1221" s="70" t="n">
        <v>679</v>
      </c>
      <c r="T1221" s="71" t="n">
        <v>1332912.52</v>
      </c>
      <c r="U1221" t="inlineStr">
        <is>
          <t>Medium</t>
        </is>
      </c>
      <c r="V1221">
        <f>IF(AND(OR(Dashboard!$C$6="All",E1221=Dashboard!$C$6),OR(Dashboard!$F$6="All",G1221=Dashboard!$F$6),OR(Dashboard!$I$6="All",H1221=Dashboard!$I$6)),1,0)</f>
        <v/>
      </c>
    </row>
    <row r="1222">
      <c r="A1222" t="inlineStr">
        <is>
          <t>PF101213</t>
        </is>
      </c>
      <c r="B1222" s="68" t="n">
        <v>45803</v>
      </c>
      <c r="C1222" s="69" t="n">
        <v>2025</v>
      </c>
      <c r="D1222" t="inlineStr">
        <is>
          <t>May</t>
        </is>
      </c>
      <c r="E1222" t="inlineStr">
        <is>
          <t>United States</t>
        </is>
      </c>
      <c r="F1222" t="inlineStr">
        <is>
          <t>USA</t>
        </is>
      </c>
      <c r="G1222" t="inlineStr">
        <is>
          <t>Vyndaqel</t>
        </is>
      </c>
      <c r="H1222" t="inlineStr">
        <is>
          <t>Retail pharmacy</t>
        </is>
      </c>
      <c r="I1222" t="inlineStr">
        <is>
          <t>Private insurer</t>
        </is>
      </c>
      <c r="J1222" t="inlineStr">
        <is>
          <t>Arjun Mehta</t>
        </is>
      </c>
      <c r="K1222" s="70" t="n">
        <v>1855</v>
      </c>
      <c r="L1222" s="71" t="n">
        <v>8757.98</v>
      </c>
      <c r="M1222" s="71" t="n">
        <v>16246052.9</v>
      </c>
      <c r="N1222" s="71" t="n">
        <v>4873815.87</v>
      </c>
      <c r="O1222" s="71" t="n">
        <v>11372237.03</v>
      </c>
      <c r="P1222" s="71" t="n">
        <v>1152343.16</v>
      </c>
      <c r="Q1222" s="71" t="n">
        <v>10219893.87</v>
      </c>
      <c r="R1222" t="inlineStr">
        <is>
          <t>Rare disease</t>
        </is>
      </c>
      <c r="S1222" s="70" t="n">
        <v>1395</v>
      </c>
      <c r="T1222" s="71" t="n">
        <v>2328275.95</v>
      </c>
      <c r="U1222" t="inlineStr">
        <is>
          <t>Medium</t>
        </is>
      </c>
      <c r="V1222">
        <f>IF(AND(OR(Dashboard!$C$6="All",E1222=Dashboard!$C$6),OR(Dashboard!$F$6="All",G1222=Dashboard!$F$6),OR(Dashboard!$I$6="All",H1222=Dashboard!$I$6)),1,0)</f>
        <v/>
      </c>
    </row>
    <row r="1223">
      <c r="A1223" t="inlineStr">
        <is>
          <t>PF101214</t>
        </is>
      </c>
      <c r="B1223" s="68" t="n">
        <v>45803</v>
      </c>
      <c r="C1223" s="69" t="n">
        <v>2025</v>
      </c>
      <c r="D1223" t="inlineStr">
        <is>
          <t>May</t>
        </is>
      </c>
      <c r="E1223" t="inlineStr">
        <is>
          <t>Europe</t>
        </is>
      </c>
      <c r="F1223" t="inlineStr">
        <is>
          <t>France</t>
        </is>
      </c>
      <c r="G1223" t="inlineStr">
        <is>
          <t>Ibrance</t>
        </is>
      </c>
      <c r="H1223" t="inlineStr">
        <is>
          <t>Hospital</t>
        </is>
      </c>
      <c r="I1223" t="inlineStr">
        <is>
          <t>Public payer</t>
        </is>
      </c>
      <c r="J1223" t="inlineStr">
        <is>
          <t>Emma Clarke</t>
        </is>
      </c>
      <c r="K1223" s="70" t="n">
        <v>2352</v>
      </c>
      <c r="L1223" s="71" t="n">
        <v>2994.37</v>
      </c>
      <c r="M1223" s="71" t="n">
        <v>7042758.24</v>
      </c>
      <c r="N1223" s="71" t="n">
        <v>352137.91</v>
      </c>
      <c r="O1223" s="71" t="n">
        <v>6690620.33</v>
      </c>
      <c r="P1223" s="71" t="n">
        <v>1051873.13</v>
      </c>
      <c r="Q1223" s="71" t="n">
        <v>5638747.2</v>
      </c>
      <c r="R1223" t="inlineStr">
        <is>
          <t>Oncology</t>
        </is>
      </c>
      <c r="S1223" s="70" t="n">
        <v>2117</v>
      </c>
      <c r="T1223" s="71" t="n">
        <v>872367.02</v>
      </c>
      <c r="U1223" t="inlineStr">
        <is>
          <t>High</t>
        </is>
      </c>
      <c r="V1223">
        <f>IF(AND(OR(Dashboard!$C$6="All",E1223=Dashboard!$C$6),OR(Dashboard!$F$6="All",G1223=Dashboard!$F$6),OR(Dashboard!$I$6="All",H1223=Dashboard!$I$6)),1,0)</f>
        <v/>
      </c>
    </row>
    <row r="1224">
      <c r="A1224" t="inlineStr">
        <is>
          <t>PF101215</t>
        </is>
      </c>
      <c r="B1224" s="68" t="n">
        <v>45803</v>
      </c>
      <c r="C1224" s="69" t="n">
        <v>2025</v>
      </c>
      <c r="D1224" t="inlineStr">
        <is>
          <t>May</t>
        </is>
      </c>
      <c r="E1224" t="inlineStr">
        <is>
          <t>Europe</t>
        </is>
      </c>
      <c r="F1224" t="inlineStr">
        <is>
          <t>France</t>
        </is>
      </c>
      <c r="G1224" t="inlineStr">
        <is>
          <t>Comirnaty</t>
        </is>
      </c>
      <c r="H1224" t="inlineStr">
        <is>
          <t>Hospital</t>
        </is>
      </c>
      <c r="I1224" t="inlineStr">
        <is>
          <t>Private insurer</t>
        </is>
      </c>
      <c r="J1224" t="inlineStr">
        <is>
          <t>Aisha Bello</t>
        </is>
      </c>
      <c r="K1224" s="70" t="n">
        <v>582</v>
      </c>
      <c r="L1224" s="71" t="n">
        <v>117.47</v>
      </c>
      <c r="M1224" s="71" t="n">
        <v>68367.53999999999</v>
      </c>
      <c r="N1224" s="71" t="n">
        <v>13673.51</v>
      </c>
      <c r="O1224" s="71" t="n">
        <v>54694.03</v>
      </c>
      <c r="P1224" s="71" t="n">
        <v>22431.14</v>
      </c>
      <c r="Q1224" s="71" t="n">
        <v>32262.89</v>
      </c>
      <c r="R1224" t="inlineStr">
        <is>
          <t>Vaccines</t>
        </is>
      </c>
      <c r="S1224" s="70" t="n">
        <v>405</v>
      </c>
      <c r="T1224" s="71" t="n">
        <v>8710.51</v>
      </c>
      <c r="U1224" t="inlineStr">
        <is>
          <t>Low</t>
        </is>
      </c>
      <c r="V1224">
        <f>IF(AND(OR(Dashboard!$C$6="All",E1224=Dashboard!$C$6),OR(Dashboard!$F$6="All",G1224=Dashboard!$F$6),OR(Dashboard!$I$6="All",H1224=Dashboard!$I$6)),1,0)</f>
        <v/>
      </c>
    </row>
    <row r="1225">
      <c r="A1225" t="inlineStr">
        <is>
          <t>PF101216</t>
        </is>
      </c>
      <c r="B1225" s="68" t="n">
        <v>45803</v>
      </c>
      <c r="C1225" s="69" t="n">
        <v>2025</v>
      </c>
      <c r="D1225" t="inlineStr">
        <is>
          <t>May</t>
        </is>
      </c>
      <c r="E1225" t="inlineStr">
        <is>
          <t>Europe</t>
        </is>
      </c>
      <c r="F1225" t="inlineStr">
        <is>
          <t>UK</t>
        </is>
      </c>
      <c r="G1225" t="inlineStr">
        <is>
          <t>Paxlovid</t>
        </is>
      </c>
      <c r="H1225" t="inlineStr">
        <is>
          <t>Hospital</t>
        </is>
      </c>
      <c r="I1225" t="inlineStr">
        <is>
          <t>Public payer</t>
        </is>
      </c>
      <c r="J1225" t="inlineStr">
        <is>
          <t>Noah Smith</t>
        </is>
      </c>
      <c r="K1225" s="70" t="n">
        <v>2782</v>
      </c>
      <c r="L1225" s="71" t="n">
        <v>1203.09</v>
      </c>
      <c r="M1225" s="71" t="n">
        <v>3346996.38</v>
      </c>
      <c r="N1225" s="71" t="n">
        <v>167349.82</v>
      </c>
      <c r="O1225" s="71" t="n">
        <v>3179646.56</v>
      </c>
      <c r="P1225" s="71" t="n">
        <v>783465.64</v>
      </c>
      <c r="Q1225" s="71" t="n">
        <v>2396180.92</v>
      </c>
      <c r="R1225" t="inlineStr">
        <is>
          <t>Antiviral</t>
        </is>
      </c>
      <c r="S1225" s="70" t="n">
        <v>1858</v>
      </c>
      <c r="T1225" s="71" t="n">
        <v>554149.91</v>
      </c>
      <c r="U1225" t="inlineStr">
        <is>
          <t>Low</t>
        </is>
      </c>
      <c r="V1225">
        <f>IF(AND(OR(Dashboard!$C$6="All",E1225=Dashboard!$C$6),OR(Dashboard!$F$6="All",G1225=Dashboard!$F$6),OR(Dashboard!$I$6="All",H1225=Dashboard!$I$6)),1,0)</f>
        <v/>
      </c>
    </row>
    <row r="1226">
      <c r="A1226" t="inlineStr">
        <is>
          <t>PF101217</t>
        </is>
      </c>
      <c r="B1226" s="68" t="n">
        <v>45803</v>
      </c>
      <c r="C1226" s="69" t="n">
        <v>2025</v>
      </c>
      <c r="D1226" t="inlineStr">
        <is>
          <t>May</t>
        </is>
      </c>
      <c r="E1226" t="inlineStr">
        <is>
          <t>International developed</t>
        </is>
      </c>
      <c r="F1226" t="inlineStr">
        <is>
          <t>Japan</t>
        </is>
      </c>
      <c r="G1226" t="inlineStr">
        <is>
          <t>Comirnaty</t>
        </is>
      </c>
      <c r="H1226" t="inlineStr">
        <is>
          <t>Hospital</t>
        </is>
      </c>
      <c r="I1226" t="inlineStr">
        <is>
          <t>Private insurer</t>
        </is>
      </c>
      <c r="J1226" t="inlineStr">
        <is>
          <t>Fatima Al-Saud</t>
        </is>
      </c>
      <c r="K1226" s="70" t="n">
        <v>2194</v>
      </c>
      <c r="L1226" s="71" t="n">
        <v>117.33</v>
      </c>
      <c r="M1226" s="71" t="n">
        <v>257422.02</v>
      </c>
      <c r="N1226" s="71" t="n">
        <v>12871.1</v>
      </c>
      <c r="O1226" s="71" t="n">
        <v>244550.92</v>
      </c>
      <c r="P1226" s="71" t="n">
        <v>83675.61</v>
      </c>
      <c r="Q1226" s="71" t="n">
        <v>160875.31</v>
      </c>
      <c r="R1226" t="inlineStr">
        <is>
          <t>Vaccines</t>
        </is>
      </c>
      <c r="S1226" s="70" t="n">
        <v>1449</v>
      </c>
      <c r="T1226" s="71" t="n">
        <v>54620.99</v>
      </c>
      <c r="U1226" t="inlineStr">
        <is>
          <t>Low</t>
        </is>
      </c>
      <c r="V1226">
        <f>IF(AND(OR(Dashboard!$C$6="All",E1226=Dashboard!$C$6),OR(Dashboard!$F$6="All",G1226=Dashboard!$F$6),OR(Dashboard!$I$6="All",H1226=Dashboard!$I$6)),1,0)</f>
        <v/>
      </c>
    </row>
    <row r="1227">
      <c r="A1227" t="inlineStr">
        <is>
          <t>PF101218</t>
        </is>
      </c>
      <c r="B1227" s="68" t="n">
        <v>45803</v>
      </c>
      <c r="C1227" s="69" t="n">
        <v>2025</v>
      </c>
      <c r="D1227" t="inlineStr">
        <is>
          <t>May</t>
        </is>
      </c>
      <c r="E1227" t="inlineStr">
        <is>
          <t>United States</t>
        </is>
      </c>
      <c r="F1227" t="inlineStr">
        <is>
          <t>USA</t>
        </is>
      </c>
      <c r="G1227" t="inlineStr">
        <is>
          <t>Prevnar 20</t>
        </is>
      </c>
      <c r="H1227" t="inlineStr">
        <is>
          <t>Retail pharmacy</t>
        </is>
      </c>
      <c r="I1227" t="inlineStr">
        <is>
          <t>Public payer</t>
        </is>
      </c>
      <c r="J1227" t="inlineStr">
        <is>
          <t>Shraddha Kulkarni</t>
        </is>
      </c>
      <c r="K1227" s="70" t="n">
        <v>319</v>
      </c>
      <c r="L1227" s="71" t="n">
        <v>349.84</v>
      </c>
      <c r="M1227" s="71" t="n">
        <v>111598.96</v>
      </c>
      <c r="N1227" s="71" t="n">
        <v>27899.74</v>
      </c>
      <c r="O1227" s="71" t="n">
        <v>83699.22</v>
      </c>
      <c r="P1227" s="71" t="n">
        <v>21311.78</v>
      </c>
      <c r="Q1227" s="71" t="n">
        <v>62387.44</v>
      </c>
      <c r="R1227" t="inlineStr">
        <is>
          <t>Vaccines</t>
        </is>
      </c>
      <c r="S1227" s="70" t="n">
        <v>286</v>
      </c>
      <c r="T1227" s="71" t="n">
        <v>13466.62</v>
      </c>
      <c r="U1227" t="inlineStr">
        <is>
          <t>Low</t>
        </is>
      </c>
      <c r="V1227">
        <f>IF(AND(OR(Dashboard!$C$6="All",E1227=Dashboard!$C$6),OR(Dashboard!$F$6="All",G1227=Dashboard!$F$6),OR(Dashboard!$I$6="All",H1227=Dashboard!$I$6)),1,0)</f>
        <v/>
      </c>
    </row>
    <row r="1228">
      <c r="A1228" t="inlineStr">
        <is>
          <t>PF101219</t>
        </is>
      </c>
      <c r="B1228" s="68" t="n">
        <v>45803</v>
      </c>
      <c r="C1228" s="69" t="n">
        <v>2025</v>
      </c>
      <c r="D1228" t="inlineStr">
        <is>
          <t>May</t>
        </is>
      </c>
      <c r="E1228" t="inlineStr">
        <is>
          <t>International developed</t>
        </is>
      </c>
      <c r="F1228" t="inlineStr">
        <is>
          <t>Canada</t>
        </is>
      </c>
      <c r="G1228" t="inlineStr">
        <is>
          <t>Xeljanz</t>
        </is>
      </c>
      <c r="H1228" t="inlineStr">
        <is>
          <t>Retail pharmacy</t>
        </is>
      </c>
      <c r="I1228" t="inlineStr">
        <is>
          <t>Public payer</t>
        </is>
      </c>
      <c r="J1228" t="inlineStr">
        <is>
          <t>Omar Haddad</t>
        </is>
      </c>
      <c r="K1228" s="70" t="n">
        <v>1898</v>
      </c>
      <c r="L1228" s="71" t="n">
        <v>1472.52</v>
      </c>
      <c r="M1228" s="71" t="n">
        <v>2794842.96</v>
      </c>
      <c r="N1228" s="71" t="n">
        <v>419226.44</v>
      </c>
      <c r="O1228" s="71" t="n">
        <v>2375616.52</v>
      </c>
      <c r="P1228" s="71" t="n">
        <v>475562.22</v>
      </c>
      <c r="Q1228" s="71" t="n">
        <v>1900054.3</v>
      </c>
      <c r="R1228" t="inlineStr">
        <is>
          <t>Inflammation</t>
        </is>
      </c>
      <c r="S1228" s="70" t="n">
        <v>1365</v>
      </c>
      <c r="T1228" s="71" t="n">
        <v>546363.51</v>
      </c>
      <c r="U1228" t="inlineStr">
        <is>
          <t>High</t>
        </is>
      </c>
      <c r="V1228">
        <f>IF(AND(OR(Dashboard!$C$6="All",E1228=Dashboard!$C$6),OR(Dashboard!$F$6="All",G1228=Dashboard!$F$6),OR(Dashboard!$I$6="All",H1228=Dashboard!$I$6)),1,0)</f>
        <v/>
      </c>
    </row>
    <row r="1229">
      <c r="A1229" t="inlineStr">
        <is>
          <t>PF101220</t>
        </is>
      </c>
      <c r="B1229" s="68" t="n">
        <v>45803</v>
      </c>
      <c r="C1229" s="69" t="n">
        <v>2025</v>
      </c>
      <c r="D1229" t="inlineStr">
        <is>
          <t>May</t>
        </is>
      </c>
      <c r="E1229" t="inlineStr">
        <is>
          <t>Emerging markets</t>
        </is>
      </c>
      <c r="F1229" t="inlineStr">
        <is>
          <t>China</t>
        </is>
      </c>
      <c r="G1229" t="inlineStr">
        <is>
          <t>Paxlovid</t>
        </is>
      </c>
      <c r="H1229" t="inlineStr">
        <is>
          <t>Retail pharmacy</t>
        </is>
      </c>
      <c r="I1229" t="inlineStr">
        <is>
          <t>Self-pay</t>
        </is>
      </c>
      <c r="J1229" t="inlineStr">
        <is>
          <t>Zoya Ahmed</t>
        </is>
      </c>
      <c r="K1229" s="70" t="n">
        <v>1160</v>
      </c>
      <c r="L1229" s="71" t="n">
        <v>1084.46</v>
      </c>
      <c r="M1229" s="71" t="n">
        <v>1257973.6</v>
      </c>
      <c r="N1229" s="71" t="n">
        <v>188696.04</v>
      </c>
      <c r="O1229" s="71" t="n">
        <v>1069277.56</v>
      </c>
      <c r="P1229" s="71" t="n">
        <v>329168.68</v>
      </c>
      <c r="Q1229" s="71" t="n">
        <v>740108.88</v>
      </c>
      <c r="R1229" t="inlineStr">
        <is>
          <t>Antiviral</t>
        </is>
      </c>
      <c r="S1229" s="70" t="n">
        <v>864</v>
      </c>
      <c r="T1229" s="71" t="n">
        <v>173326.15</v>
      </c>
      <c r="U1229" t="inlineStr">
        <is>
          <t>Low</t>
        </is>
      </c>
      <c r="V1229">
        <f>IF(AND(OR(Dashboard!$C$6="All",E1229=Dashboard!$C$6),OR(Dashboard!$F$6="All",G1229=Dashboard!$F$6),OR(Dashboard!$I$6="All",H1229=Dashboard!$I$6)),1,0)</f>
        <v/>
      </c>
    </row>
    <row r="1230">
      <c r="A1230" t="inlineStr">
        <is>
          <t>PF101221</t>
        </is>
      </c>
      <c r="B1230" s="68" t="n">
        <v>45803</v>
      </c>
      <c r="C1230" s="69" t="n">
        <v>2025</v>
      </c>
      <c r="D1230" t="inlineStr">
        <is>
          <t>May</t>
        </is>
      </c>
      <c r="E1230" t="inlineStr">
        <is>
          <t>United States</t>
        </is>
      </c>
      <c r="F1230" t="inlineStr">
        <is>
          <t>USA</t>
        </is>
      </c>
      <c r="G1230" t="inlineStr">
        <is>
          <t>Eliquis</t>
        </is>
      </c>
      <c r="H1230" t="inlineStr">
        <is>
          <t>Hospital</t>
        </is>
      </c>
      <c r="I1230" t="inlineStr">
        <is>
          <t>Private insurer</t>
        </is>
      </c>
      <c r="J1230" t="inlineStr">
        <is>
          <t>Wei Chen</t>
        </is>
      </c>
      <c r="K1230" s="70" t="n">
        <v>1073</v>
      </c>
      <c r="L1230" s="71" t="n">
        <v>698.91</v>
      </c>
      <c r="M1230" s="71" t="n">
        <v>749930.4300000001</v>
      </c>
      <c r="N1230" s="71" t="n">
        <v>187482.61</v>
      </c>
      <c r="O1230" s="71" t="n">
        <v>562447.8199999999</v>
      </c>
      <c r="P1230" s="71" t="n">
        <v>78892.63</v>
      </c>
      <c r="Q1230" s="71" t="n">
        <v>483555.19</v>
      </c>
      <c r="R1230" t="inlineStr">
        <is>
          <t>Cardiology</t>
        </is>
      </c>
      <c r="S1230" s="70" t="n">
        <v>991</v>
      </c>
      <c r="T1230" s="71" t="n">
        <v>90161.03</v>
      </c>
      <c r="U1230" t="inlineStr">
        <is>
          <t>High</t>
        </is>
      </c>
      <c r="V1230">
        <f>IF(AND(OR(Dashboard!$C$6="All",E1230=Dashboard!$C$6),OR(Dashboard!$F$6="All",G1230=Dashboard!$F$6),OR(Dashboard!$I$6="All",H1230=Dashboard!$I$6)),1,0)</f>
        <v/>
      </c>
    </row>
    <row r="1231">
      <c r="A1231" t="inlineStr">
        <is>
          <t>PF101222</t>
        </is>
      </c>
      <c r="B1231" s="68" t="n">
        <v>45804</v>
      </c>
      <c r="C1231" s="69" t="n">
        <v>2025</v>
      </c>
      <c r="D1231" t="inlineStr">
        <is>
          <t>May</t>
        </is>
      </c>
      <c r="E1231" t="inlineStr">
        <is>
          <t>Europe</t>
        </is>
      </c>
      <c r="F1231" t="inlineStr">
        <is>
          <t>UK</t>
        </is>
      </c>
      <c r="G1231" t="inlineStr">
        <is>
          <t>Prevnar 20</t>
        </is>
      </c>
      <c r="H1231" t="inlineStr">
        <is>
          <t>Retail pharmacy</t>
        </is>
      </c>
      <c r="I1231" t="inlineStr">
        <is>
          <t>Self-pay</t>
        </is>
      </c>
      <c r="J1231" t="inlineStr">
        <is>
          <t>Ruhi Shaikh</t>
        </is>
      </c>
      <c r="K1231" s="70" t="n">
        <v>2647</v>
      </c>
      <c r="L1231" s="71" t="n">
        <v>248.88</v>
      </c>
      <c r="M1231" s="71" t="n">
        <v>658785.36</v>
      </c>
      <c r="N1231" s="71" t="n">
        <v>131757.07</v>
      </c>
      <c r="O1231" s="71" t="n">
        <v>527028.29</v>
      </c>
      <c r="P1231" s="71" t="n">
        <v>181706.61</v>
      </c>
      <c r="Q1231" s="71" t="n">
        <v>345321.68</v>
      </c>
      <c r="R1231" t="inlineStr">
        <is>
          <t>Vaccines</t>
        </is>
      </c>
      <c r="S1231" s="70" t="n">
        <v>2271</v>
      </c>
      <c r="T1231" s="71" t="n">
        <v>104443.48</v>
      </c>
      <c r="U1231" t="inlineStr">
        <is>
          <t>Low</t>
        </is>
      </c>
      <c r="V1231">
        <f>IF(AND(OR(Dashboard!$C$6="All",E1231=Dashboard!$C$6),OR(Dashboard!$F$6="All",G1231=Dashboard!$F$6),OR(Dashboard!$I$6="All",H1231=Dashboard!$I$6)),1,0)</f>
        <v/>
      </c>
    </row>
    <row r="1232">
      <c r="A1232" t="inlineStr">
        <is>
          <t>PF101223</t>
        </is>
      </c>
      <c r="B1232" s="68" t="n">
        <v>45804</v>
      </c>
      <c r="C1232" s="69" t="n">
        <v>2025</v>
      </c>
      <c r="D1232" t="inlineStr">
        <is>
          <t>May</t>
        </is>
      </c>
      <c r="E1232" t="inlineStr">
        <is>
          <t>United States</t>
        </is>
      </c>
      <c r="F1232" t="inlineStr">
        <is>
          <t>USA</t>
        </is>
      </c>
      <c r="G1232" t="inlineStr">
        <is>
          <t>Vyndaqel</t>
        </is>
      </c>
      <c r="H1232" t="inlineStr">
        <is>
          <t>Retail pharmacy</t>
        </is>
      </c>
      <c r="I1232" t="inlineStr">
        <is>
          <t>Private insurer</t>
        </is>
      </c>
      <c r="J1232" t="inlineStr">
        <is>
          <t>Lucas Martin</t>
        </is>
      </c>
      <c r="K1232" s="70" t="n">
        <v>2473</v>
      </c>
      <c r="L1232" s="71" t="n">
        <v>8846.639999999999</v>
      </c>
      <c r="M1232" s="71" t="n">
        <v>21877740.72</v>
      </c>
      <c r="N1232" s="71" t="n">
        <v>7657209.25</v>
      </c>
      <c r="O1232" s="71" t="n">
        <v>14220531.47</v>
      </c>
      <c r="P1232" s="71" t="n">
        <v>1595443.04</v>
      </c>
      <c r="Q1232" s="71" t="n">
        <v>12625088.43</v>
      </c>
      <c r="R1232" t="inlineStr">
        <is>
          <t>Rare disease</t>
        </is>
      </c>
      <c r="S1232" s="70" t="n">
        <v>2282</v>
      </c>
      <c r="T1232" s="71" t="n">
        <v>4345560.71</v>
      </c>
      <c r="U1232" t="inlineStr">
        <is>
          <t>Medium</t>
        </is>
      </c>
      <c r="V1232">
        <f>IF(AND(OR(Dashboard!$C$6="All",E1232=Dashboard!$C$6),OR(Dashboard!$F$6="All",G1232=Dashboard!$F$6),OR(Dashboard!$I$6="All",H1232=Dashboard!$I$6)),1,0)</f>
        <v/>
      </c>
    </row>
    <row r="1233">
      <c r="A1233" t="inlineStr">
        <is>
          <t>PF101224</t>
        </is>
      </c>
      <c r="B1233" s="68" t="n">
        <v>45804</v>
      </c>
      <c r="C1233" s="69" t="n">
        <v>2025</v>
      </c>
      <c r="D1233" t="inlineStr">
        <is>
          <t>May</t>
        </is>
      </c>
      <c r="E1233" t="inlineStr">
        <is>
          <t>Europe</t>
        </is>
      </c>
      <c r="F1233" t="inlineStr">
        <is>
          <t>France</t>
        </is>
      </c>
      <c r="G1233" t="inlineStr">
        <is>
          <t>Ibrance</t>
        </is>
      </c>
      <c r="H1233" t="inlineStr">
        <is>
          <t>Retail pharmacy</t>
        </is>
      </c>
      <c r="I1233" t="inlineStr">
        <is>
          <t>Public payer</t>
        </is>
      </c>
      <c r="J1233" t="inlineStr">
        <is>
          <t>Emma Clarke</t>
        </is>
      </c>
      <c r="K1233" s="70" t="n">
        <v>455</v>
      </c>
      <c r="L1233" s="71" t="n">
        <v>2769.23</v>
      </c>
      <c r="M1233" s="71" t="n">
        <v>1259999.65</v>
      </c>
      <c r="N1233" s="71" t="n">
        <v>62999.98</v>
      </c>
      <c r="O1233" s="71" t="n">
        <v>1196999.67</v>
      </c>
      <c r="P1233" s="71" t="n">
        <v>199672.83</v>
      </c>
      <c r="Q1233" s="71" t="n">
        <v>997326.84</v>
      </c>
      <c r="R1233" t="inlineStr">
        <is>
          <t>Oncology</t>
        </is>
      </c>
      <c r="S1233" s="70" t="n">
        <v>302</v>
      </c>
      <c r="T1233" s="71" t="n">
        <v>163025.62</v>
      </c>
      <c r="U1233" t="inlineStr">
        <is>
          <t>High</t>
        </is>
      </c>
      <c r="V1233">
        <f>IF(AND(OR(Dashboard!$C$6="All",E1233=Dashboard!$C$6),OR(Dashboard!$F$6="All",G1233=Dashboard!$F$6),OR(Dashboard!$I$6="All",H1233=Dashboard!$I$6)),1,0)</f>
        <v/>
      </c>
    </row>
    <row r="1234">
      <c r="A1234" t="inlineStr">
        <is>
          <t>PF101225</t>
        </is>
      </c>
      <c r="B1234" s="68" t="n">
        <v>45804</v>
      </c>
      <c r="C1234" s="69" t="n">
        <v>2025</v>
      </c>
      <c r="D1234" t="inlineStr">
        <is>
          <t>May</t>
        </is>
      </c>
      <c r="E1234" t="inlineStr">
        <is>
          <t>United States</t>
        </is>
      </c>
      <c r="F1234" t="inlineStr">
        <is>
          <t>USA</t>
        </is>
      </c>
      <c r="G1234" t="inlineStr">
        <is>
          <t>Paxlovid</t>
        </is>
      </c>
      <c r="H1234" t="inlineStr">
        <is>
          <t>Retail pharmacy</t>
        </is>
      </c>
      <c r="I1234" t="inlineStr">
        <is>
          <t>Public payer</t>
        </is>
      </c>
      <c r="J1234" t="inlineStr">
        <is>
          <t>Ravindra Patil</t>
        </is>
      </c>
      <c r="K1234" s="70" t="n">
        <v>1048</v>
      </c>
      <c r="L1234" s="71" t="n">
        <v>1780.82</v>
      </c>
      <c r="M1234" s="71" t="n">
        <v>1866299.36</v>
      </c>
      <c r="N1234" s="71" t="n">
        <v>653204.78</v>
      </c>
      <c r="O1234" s="71" t="n">
        <v>1213094.58</v>
      </c>
      <c r="P1234" s="71" t="n">
        <v>290753.06</v>
      </c>
      <c r="Q1234" s="71" t="n">
        <v>922341.52</v>
      </c>
      <c r="R1234" t="inlineStr">
        <is>
          <t>Antiviral</t>
        </is>
      </c>
      <c r="S1234" s="70" t="n">
        <v>787</v>
      </c>
      <c r="T1234" s="71" t="n">
        <v>329515</v>
      </c>
      <c r="U1234" t="inlineStr">
        <is>
          <t>Low</t>
        </is>
      </c>
      <c r="V1234">
        <f>IF(AND(OR(Dashboard!$C$6="All",E1234=Dashboard!$C$6),OR(Dashboard!$F$6="All",G1234=Dashboard!$F$6),OR(Dashboard!$I$6="All",H1234=Dashboard!$I$6)),1,0)</f>
        <v/>
      </c>
    </row>
    <row r="1235">
      <c r="A1235" t="inlineStr">
        <is>
          <t>PF101226</t>
        </is>
      </c>
      <c r="B1235" s="68" t="n">
        <v>45804</v>
      </c>
      <c r="C1235" s="69" t="n">
        <v>2025</v>
      </c>
      <c r="D1235" t="inlineStr">
        <is>
          <t>May</t>
        </is>
      </c>
      <c r="E1235" t="inlineStr">
        <is>
          <t>Europe</t>
        </is>
      </c>
      <c r="F1235" t="inlineStr">
        <is>
          <t>UK</t>
        </is>
      </c>
      <c r="G1235" t="inlineStr">
        <is>
          <t>Vyndaqel</t>
        </is>
      </c>
      <c r="H1235" t="inlineStr">
        <is>
          <t>Retail pharmacy</t>
        </is>
      </c>
      <c r="I1235" t="inlineStr">
        <is>
          <t>Public payer</t>
        </is>
      </c>
      <c r="J1235" t="inlineStr">
        <is>
          <t>Shraddha Kulkarni</t>
        </is>
      </c>
      <c r="K1235" s="70" t="n">
        <v>1612</v>
      </c>
      <c r="L1235" s="71" t="n">
        <v>5626.32</v>
      </c>
      <c r="M1235" s="71" t="n">
        <v>9069627.84</v>
      </c>
      <c r="N1235" s="71" t="n">
        <v>453481.39</v>
      </c>
      <c r="O1235" s="71" t="n">
        <v>8616146.449999999</v>
      </c>
      <c r="P1235" s="71" t="n">
        <v>999512.58</v>
      </c>
      <c r="Q1235" s="71" t="n">
        <v>7616633.87</v>
      </c>
      <c r="R1235" t="inlineStr">
        <is>
          <t>Rare disease</t>
        </is>
      </c>
      <c r="S1235" s="70" t="n">
        <v>1360</v>
      </c>
      <c r="T1235" s="71" t="n">
        <v>1176848.58</v>
      </c>
      <c r="U1235" t="inlineStr">
        <is>
          <t>Medium</t>
        </is>
      </c>
      <c r="V1235">
        <f>IF(AND(OR(Dashboard!$C$6="All",E1235=Dashboard!$C$6),OR(Dashboard!$F$6="All",G1235=Dashboard!$F$6),OR(Dashboard!$I$6="All",H1235=Dashboard!$I$6)),1,0)</f>
        <v/>
      </c>
    </row>
    <row r="1236">
      <c r="A1236" t="inlineStr">
        <is>
          <t>PF101227</t>
        </is>
      </c>
      <c r="B1236" s="68" t="n">
        <v>45804</v>
      </c>
      <c r="C1236" s="69" t="n">
        <v>2025</v>
      </c>
      <c r="D1236" t="inlineStr">
        <is>
          <t>May</t>
        </is>
      </c>
      <c r="E1236" t="inlineStr">
        <is>
          <t>International developed</t>
        </is>
      </c>
      <c r="F1236" t="inlineStr">
        <is>
          <t>Australia</t>
        </is>
      </c>
      <c r="G1236" t="inlineStr">
        <is>
          <t>Eliquis</t>
        </is>
      </c>
      <c r="H1236" t="inlineStr">
        <is>
          <t>Retail pharmacy</t>
        </is>
      </c>
      <c r="I1236" t="inlineStr">
        <is>
          <t>Private insurer</t>
        </is>
      </c>
      <c r="J1236" t="inlineStr">
        <is>
          <t>Fatima Al-Saud</t>
        </is>
      </c>
      <c r="K1236" s="70" t="n">
        <v>2890</v>
      </c>
      <c r="L1236" s="71" t="n">
        <v>427.25</v>
      </c>
      <c r="M1236" s="71" t="n">
        <v>1234752.5</v>
      </c>
      <c r="N1236" s="71" t="n">
        <v>61737.62</v>
      </c>
      <c r="O1236" s="71" t="n">
        <v>1173014.88</v>
      </c>
      <c r="P1236" s="71" t="n">
        <v>212408.33</v>
      </c>
      <c r="Q1236" s="71" t="n">
        <v>960606.55</v>
      </c>
      <c r="R1236" t="inlineStr">
        <is>
          <t>Cardiology</t>
        </is>
      </c>
      <c r="S1236" s="70" t="n">
        <v>2758</v>
      </c>
      <c r="T1236" s="71" t="n">
        <v>151523.61</v>
      </c>
      <c r="U1236" t="inlineStr">
        <is>
          <t>High</t>
        </is>
      </c>
      <c r="V1236">
        <f>IF(AND(OR(Dashboard!$C$6="All",E1236=Dashboard!$C$6),OR(Dashboard!$F$6="All",G1236=Dashboard!$F$6),OR(Dashboard!$I$6="All",H1236=Dashboard!$I$6)),1,0)</f>
        <v/>
      </c>
    </row>
    <row r="1237">
      <c r="A1237" t="inlineStr">
        <is>
          <t>PF101228</t>
        </is>
      </c>
      <c r="B1237" s="68" t="n">
        <v>45804</v>
      </c>
      <c r="C1237" s="69" t="n">
        <v>2025</v>
      </c>
      <c r="D1237" t="inlineStr">
        <is>
          <t>May</t>
        </is>
      </c>
      <c r="E1237" t="inlineStr">
        <is>
          <t>Europe</t>
        </is>
      </c>
      <c r="F1237" t="inlineStr">
        <is>
          <t>Germany</t>
        </is>
      </c>
      <c r="G1237" t="inlineStr">
        <is>
          <t>Eliquis</t>
        </is>
      </c>
      <c r="H1237" t="inlineStr">
        <is>
          <t>Government / tender</t>
        </is>
      </c>
      <c r="I1237" t="inlineStr">
        <is>
          <t>Private insurer</t>
        </is>
      </c>
      <c r="J1237" t="inlineStr">
        <is>
          <t>Amir Khan</t>
        </is>
      </c>
      <c r="K1237" s="70" t="n">
        <v>2301</v>
      </c>
      <c r="L1237" s="71" t="n">
        <v>409.68</v>
      </c>
      <c r="M1237" s="71" t="n">
        <v>942673.6800000001</v>
      </c>
      <c r="N1237" s="71" t="n">
        <v>235668.42</v>
      </c>
      <c r="O1237" s="71" t="n">
        <v>707005.26</v>
      </c>
      <c r="P1237" s="71" t="n">
        <v>172959.24</v>
      </c>
      <c r="Q1237" s="71" t="n">
        <v>534046.02</v>
      </c>
      <c r="R1237" t="inlineStr">
        <is>
          <t>Cardiology</t>
        </is>
      </c>
      <c r="S1237" s="70" t="n">
        <v>1472</v>
      </c>
      <c r="T1237" s="71" t="n">
        <v>172072.83</v>
      </c>
      <c r="U1237" t="inlineStr">
        <is>
          <t>High</t>
        </is>
      </c>
      <c r="V1237">
        <f>IF(AND(OR(Dashboard!$C$6="All",E1237=Dashboard!$C$6),OR(Dashboard!$F$6="All",G1237=Dashboard!$F$6),OR(Dashboard!$I$6="All",H1237=Dashboard!$I$6)),1,0)</f>
        <v/>
      </c>
    </row>
    <row r="1238">
      <c r="A1238" t="inlineStr">
        <is>
          <t>PF101229</t>
        </is>
      </c>
      <c r="B1238" s="68" t="n">
        <v>45804</v>
      </c>
      <c r="C1238" s="69" t="n">
        <v>2025</v>
      </c>
      <c r="D1238" t="inlineStr">
        <is>
          <t>May</t>
        </is>
      </c>
      <c r="E1238" t="inlineStr">
        <is>
          <t>Europe</t>
        </is>
      </c>
      <c r="F1238" t="inlineStr">
        <is>
          <t>France</t>
        </is>
      </c>
      <c r="G1238" t="inlineStr">
        <is>
          <t>Paxlovid</t>
        </is>
      </c>
      <c r="H1238" t="inlineStr">
        <is>
          <t>Retail pharmacy</t>
        </is>
      </c>
      <c r="I1238" t="inlineStr">
        <is>
          <t>Private insurer</t>
        </is>
      </c>
      <c r="J1238" t="inlineStr">
        <is>
          <t>Yuki Sato</t>
        </is>
      </c>
      <c r="K1238" s="70" t="n">
        <v>2302</v>
      </c>
      <c r="L1238" s="71" t="n">
        <v>1048.73</v>
      </c>
      <c r="M1238" s="71" t="n">
        <v>2414176.46</v>
      </c>
      <c r="N1238" s="71" t="n">
        <v>362126.47</v>
      </c>
      <c r="O1238" s="71" t="n">
        <v>2052049.99</v>
      </c>
      <c r="P1238" s="71" t="n">
        <v>609087.3100000001</v>
      </c>
      <c r="Q1238" s="71" t="n">
        <v>1442962.68</v>
      </c>
      <c r="R1238" t="inlineStr">
        <is>
          <t>Antiviral</t>
        </is>
      </c>
      <c r="S1238" s="70" t="n">
        <v>2291</v>
      </c>
      <c r="T1238" s="71" t="n">
        <v>370231.02</v>
      </c>
      <c r="U1238" t="inlineStr">
        <is>
          <t>Low</t>
        </is>
      </c>
      <c r="V1238">
        <f>IF(AND(OR(Dashboard!$C$6="All",E1238=Dashboard!$C$6),OR(Dashboard!$F$6="All",G1238=Dashboard!$F$6),OR(Dashboard!$I$6="All",H1238=Dashboard!$I$6)),1,0)</f>
        <v/>
      </c>
    </row>
    <row r="1239">
      <c r="A1239" t="inlineStr">
        <is>
          <t>PF101230</t>
        </is>
      </c>
      <c r="B1239" s="68" t="n">
        <v>45804</v>
      </c>
      <c r="C1239" s="69" t="n">
        <v>2025</v>
      </c>
      <c r="D1239" t="inlineStr">
        <is>
          <t>May</t>
        </is>
      </c>
      <c r="E1239" t="inlineStr">
        <is>
          <t>United States</t>
        </is>
      </c>
      <c r="F1239" t="inlineStr">
        <is>
          <t>USA</t>
        </is>
      </c>
      <c r="G1239" t="inlineStr">
        <is>
          <t>Paxlovid</t>
        </is>
      </c>
      <c r="H1239" t="inlineStr">
        <is>
          <t>Hospital</t>
        </is>
      </c>
      <c r="I1239" t="inlineStr">
        <is>
          <t>Self-pay</t>
        </is>
      </c>
      <c r="J1239" t="inlineStr">
        <is>
          <t>Liam O'Brien</t>
        </is>
      </c>
      <c r="K1239" s="70" t="n">
        <v>1789</v>
      </c>
      <c r="L1239" s="71" t="n">
        <v>1837.22</v>
      </c>
      <c r="M1239" s="71" t="n">
        <v>3286786.58</v>
      </c>
      <c r="N1239" s="71" t="n">
        <v>986035.97</v>
      </c>
      <c r="O1239" s="71" t="n">
        <v>2300750.61</v>
      </c>
      <c r="P1239" s="71" t="n">
        <v>495770.28</v>
      </c>
      <c r="Q1239" s="71" t="n">
        <v>1804980.33</v>
      </c>
      <c r="R1239" t="inlineStr">
        <is>
          <t>Antiviral</t>
        </is>
      </c>
      <c r="S1239" s="70" t="n">
        <v>1419</v>
      </c>
      <c r="T1239" s="71" t="n">
        <v>439014.41</v>
      </c>
      <c r="U1239" t="inlineStr">
        <is>
          <t>Low</t>
        </is>
      </c>
      <c r="V1239">
        <f>IF(AND(OR(Dashboard!$C$6="All",E1239=Dashboard!$C$6),OR(Dashboard!$F$6="All",G1239=Dashboard!$F$6),OR(Dashboard!$I$6="All",H1239=Dashboard!$I$6)),1,0)</f>
        <v/>
      </c>
    </row>
    <row r="1240">
      <c r="A1240" t="inlineStr">
        <is>
          <t>PF101231</t>
        </is>
      </c>
      <c r="B1240" s="68" t="n">
        <v>45804</v>
      </c>
      <c r="C1240" s="69" t="n">
        <v>2025</v>
      </c>
      <c r="D1240" t="inlineStr">
        <is>
          <t>May</t>
        </is>
      </c>
      <c r="E1240" t="inlineStr">
        <is>
          <t>Europe</t>
        </is>
      </c>
      <c r="F1240" t="inlineStr">
        <is>
          <t>Spain</t>
        </is>
      </c>
      <c r="G1240" t="inlineStr">
        <is>
          <t>Xeljanz</t>
        </is>
      </c>
      <c r="H1240" t="inlineStr">
        <is>
          <t>Retail pharmacy</t>
        </is>
      </c>
      <c r="I1240" t="inlineStr">
        <is>
          <t>Private insurer</t>
        </is>
      </c>
      <c r="J1240" t="inlineStr">
        <is>
          <t>Arjun Mehta</t>
        </is>
      </c>
      <c r="K1240" s="70" t="n">
        <v>1541</v>
      </c>
      <c r="L1240" s="71" t="n">
        <v>1405.84</v>
      </c>
      <c r="M1240" s="71" t="n">
        <v>2166399.44</v>
      </c>
      <c r="N1240" s="71" t="n">
        <v>541599.86</v>
      </c>
      <c r="O1240" s="71" t="n">
        <v>1624799.58</v>
      </c>
      <c r="P1240" s="71" t="n">
        <v>382849.34</v>
      </c>
      <c r="Q1240" s="71" t="n">
        <v>1241950.24</v>
      </c>
      <c r="R1240" t="inlineStr">
        <is>
          <t>Inflammation</t>
        </is>
      </c>
      <c r="S1240" s="70" t="n">
        <v>1280</v>
      </c>
      <c r="T1240" s="71" t="n">
        <v>439448.19</v>
      </c>
      <c r="U1240" t="inlineStr">
        <is>
          <t>High</t>
        </is>
      </c>
      <c r="V1240">
        <f>IF(AND(OR(Dashboard!$C$6="All",E1240=Dashboard!$C$6),OR(Dashboard!$F$6="All",G1240=Dashboard!$F$6),OR(Dashboard!$I$6="All",H1240=Dashboard!$I$6)),1,0)</f>
        <v/>
      </c>
    </row>
    <row r="1241">
      <c r="A1241" t="inlineStr">
        <is>
          <t>PF101232</t>
        </is>
      </c>
      <c r="B1241" s="68" t="n">
        <v>45805</v>
      </c>
      <c r="C1241" s="69" t="n">
        <v>2025</v>
      </c>
      <c r="D1241" t="inlineStr">
        <is>
          <t>May</t>
        </is>
      </c>
      <c r="E1241" t="inlineStr">
        <is>
          <t>United States</t>
        </is>
      </c>
      <c r="F1241" t="inlineStr">
        <is>
          <t>USA</t>
        </is>
      </c>
      <c r="G1241" t="inlineStr">
        <is>
          <t>Eliquis</t>
        </is>
      </c>
      <c r="H1241" t="inlineStr">
        <is>
          <t>Retail pharmacy</t>
        </is>
      </c>
      <c r="I1241" t="inlineStr">
        <is>
          <t>Private insurer</t>
        </is>
      </c>
      <c r="J1241" t="inlineStr">
        <is>
          <t>Wei Chen</t>
        </is>
      </c>
      <c r="K1241" s="70" t="n">
        <v>2556</v>
      </c>
      <c r="L1241" s="71" t="n">
        <v>615.22</v>
      </c>
      <c r="M1241" s="71" t="n">
        <v>1572502.32</v>
      </c>
      <c r="N1241" s="71" t="n">
        <v>235875.35</v>
      </c>
      <c r="O1241" s="71" t="n">
        <v>1336626.97</v>
      </c>
      <c r="P1241" s="71" t="n">
        <v>186872.81</v>
      </c>
      <c r="Q1241" s="71" t="n">
        <v>1149754.16</v>
      </c>
      <c r="R1241" t="inlineStr">
        <is>
          <t>Cardiology</t>
        </is>
      </c>
      <c r="S1241" s="70" t="n">
        <v>2313</v>
      </c>
      <c r="T1241" s="71" t="n">
        <v>269839.5</v>
      </c>
      <c r="U1241" t="inlineStr">
        <is>
          <t>High</t>
        </is>
      </c>
      <c r="V1241">
        <f>IF(AND(OR(Dashboard!$C$6="All",E1241=Dashboard!$C$6),OR(Dashboard!$F$6="All",G1241=Dashboard!$F$6),OR(Dashboard!$I$6="All",H1241=Dashboard!$I$6)),1,0)</f>
        <v/>
      </c>
    </row>
    <row r="1242">
      <c r="A1242" t="inlineStr">
        <is>
          <t>PF101233</t>
        </is>
      </c>
      <c r="B1242" s="68" t="n">
        <v>45805</v>
      </c>
      <c r="C1242" s="69" t="n">
        <v>2025</v>
      </c>
      <c r="D1242" t="inlineStr">
        <is>
          <t>May</t>
        </is>
      </c>
      <c r="E1242" t="inlineStr">
        <is>
          <t>Europe</t>
        </is>
      </c>
      <c r="F1242" t="inlineStr">
        <is>
          <t>Germany</t>
        </is>
      </c>
      <c r="G1242" t="inlineStr">
        <is>
          <t>Eliquis</t>
        </is>
      </c>
      <c r="H1242" t="inlineStr">
        <is>
          <t>Hospital</t>
        </is>
      </c>
      <c r="I1242" t="inlineStr">
        <is>
          <t>Public payer</t>
        </is>
      </c>
      <c r="J1242" t="inlineStr">
        <is>
          <t>Omar Haddad</t>
        </is>
      </c>
      <c r="K1242" s="70" t="n">
        <v>1628</v>
      </c>
      <c r="L1242" s="71" t="n">
        <v>461.06</v>
      </c>
      <c r="M1242" s="71" t="n">
        <v>750605.6800000001</v>
      </c>
      <c r="N1242" s="71" t="n">
        <v>150121.14</v>
      </c>
      <c r="O1242" s="71" t="n">
        <v>600484.54</v>
      </c>
      <c r="P1242" s="71" t="n">
        <v>124927.6</v>
      </c>
      <c r="Q1242" s="71" t="n">
        <v>475556.94</v>
      </c>
      <c r="R1242" t="inlineStr">
        <is>
          <t>Cardiology</t>
        </is>
      </c>
      <c r="S1242" s="70" t="n">
        <v>1604</v>
      </c>
      <c r="T1242" s="71" t="n">
        <v>130390.66</v>
      </c>
      <c r="U1242" t="inlineStr">
        <is>
          <t>High</t>
        </is>
      </c>
      <c r="V1242">
        <f>IF(AND(OR(Dashboard!$C$6="All",E1242=Dashboard!$C$6),OR(Dashboard!$F$6="All",G1242=Dashboard!$F$6),OR(Dashboard!$I$6="All",H1242=Dashboard!$I$6)),1,0)</f>
        <v/>
      </c>
    </row>
    <row r="1243">
      <c r="A1243" t="inlineStr">
        <is>
          <t>PF101234</t>
        </is>
      </c>
      <c r="B1243" s="68" t="n">
        <v>45805</v>
      </c>
      <c r="C1243" s="69" t="n">
        <v>2025</v>
      </c>
      <c r="D1243" t="inlineStr">
        <is>
          <t>May</t>
        </is>
      </c>
      <c r="E1243" t="inlineStr">
        <is>
          <t>United States</t>
        </is>
      </c>
      <c r="F1243" t="inlineStr">
        <is>
          <t>USA</t>
        </is>
      </c>
      <c r="G1243" t="inlineStr">
        <is>
          <t>Prevnar 20</t>
        </is>
      </c>
      <c r="H1243" t="inlineStr">
        <is>
          <t>Retail pharmacy</t>
        </is>
      </c>
      <c r="I1243" t="inlineStr">
        <is>
          <t>Public payer</t>
        </is>
      </c>
      <c r="J1243" t="inlineStr">
        <is>
          <t>Olivia Brown</t>
        </is>
      </c>
      <c r="K1243" s="70" t="n">
        <v>1930</v>
      </c>
      <c r="L1243" s="71" t="n">
        <v>341.76</v>
      </c>
      <c r="M1243" s="71" t="n">
        <v>659596.8</v>
      </c>
      <c r="N1243" s="71" t="n">
        <v>98939.52</v>
      </c>
      <c r="O1243" s="71" t="n">
        <v>560657.28</v>
      </c>
      <c r="P1243" s="71" t="n">
        <v>131737.76</v>
      </c>
      <c r="Q1243" s="71" t="n">
        <v>428919.52</v>
      </c>
      <c r="R1243" t="inlineStr">
        <is>
          <t>Vaccines</t>
        </is>
      </c>
      <c r="S1243" s="70" t="n">
        <v>1856</v>
      </c>
      <c r="T1243" s="71" t="n">
        <v>118425.09</v>
      </c>
      <c r="U1243" t="inlineStr">
        <is>
          <t>Low</t>
        </is>
      </c>
      <c r="V1243">
        <f>IF(AND(OR(Dashboard!$C$6="All",E1243=Dashboard!$C$6),OR(Dashboard!$F$6="All",G1243=Dashboard!$F$6),OR(Dashboard!$I$6="All",H1243=Dashboard!$I$6)),1,0)</f>
        <v/>
      </c>
    </row>
    <row r="1244">
      <c r="A1244" t="inlineStr">
        <is>
          <t>PF101235</t>
        </is>
      </c>
      <c r="B1244" s="68" t="n">
        <v>45805</v>
      </c>
      <c r="C1244" s="69" t="n">
        <v>2025</v>
      </c>
      <c r="D1244" t="inlineStr">
        <is>
          <t>May</t>
        </is>
      </c>
      <c r="E1244" t="inlineStr">
        <is>
          <t>Emerging markets</t>
        </is>
      </c>
      <c r="F1244" t="inlineStr">
        <is>
          <t>China</t>
        </is>
      </c>
      <c r="G1244" t="inlineStr">
        <is>
          <t>Prevnar 20</t>
        </is>
      </c>
      <c r="H1244" t="inlineStr">
        <is>
          <t>Government / tender</t>
        </is>
      </c>
      <c r="I1244" t="inlineStr">
        <is>
          <t>Public payer</t>
        </is>
      </c>
      <c r="J1244" t="inlineStr">
        <is>
          <t>Sophie Müller</t>
        </is>
      </c>
      <c r="K1244" s="70" t="n">
        <v>2894</v>
      </c>
      <c r="L1244" s="71" t="n">
        <v>225.27</v>
      </c>
      <c r="M1244" s="71" t="n">
        <v>651931.38</v>
      </c>
      <c r="N1244" s="71" t="n">
        <v>32596.57</v>
      </c>
      <c r="O1244" s="71" t="n">
        <v>619334.8100000001</v>
      </c>
      <c r="P1244" s="71" t="n">
        <v>203339.36</v>
      </c>
      <c r="Q1244" s="71" t="n">
        <v>415995.45</v>
      </c>
      <c r="R1244" t="inlineStr">
        <is>
          <t>Vaccines</t>
        </is>
      </c>
      <c r="S1244" s="70" t="n">
        <v>2066</v>
      </c>
      <c r="T1244" s="71" t="n">
        <v>94361.35000000001</v>
      </c>
      <c r="U1244" t="inlineStr">
        <is>
          <t>Low</t>
        </is>
      </c>
      <c r="V1244">
        <f>IF(AND(OR(Dashboard!$C$6="All",E1244=Dashboard!$C$6),OR(Dashboard!$F$6="All",G1244=Dashboard!$F$6),OR(Dashboard!$I$6="All",H1244=Dashboard!$I$6)),1,0)</f>
        <v/>
      </c>
    </row>
    <row r="1245">
      <c r="A1245" t="inlineStr">
        <is>
          <t>PF101236</t>
        </is>
      </c>
      <c r="B1245" s="68" t="n">
        <v>45805</v>
      </c>
      <c r="C1245" s="69" t="n">
        <v>2025</v>
      </c>
      <c r="D1245" t="inlineStr">
        <is>
          <t>May</t>
        </is>
      </c>
      <c r="E1245" t="inlineStr">
        <is>
          <t>Emerging markets</t>
        </is>
      </c>
      <c r="F1245" t="inlineStr">
        <is>
          <t>China</t>
        </is>
      </c>
      <c r="G1245" t="inlineStr">
        <is>
          <t>Paxlovid</t>
        </is>
      </c>
      <c r="H1245" t="inlineStr">
        <is>
          <t>Hospital</t>
        </is>
      </c>
      <c r="I1245" t="inlineStr">
        <is>
          <t>Public payer</t>
        </is>
      </c>
      <c r="J1245" t="inlineStr">
        <is>
          <t>Wei Chen</t>
        </is>
      </c>
      <c r="K1245" s="70" t="n">
        <v>1766</v>
      </c>
      <c r="L1245" s="71" t="n">
        <v>1137.12</v>
      </c>
      <c r="M1245" s="71" t="n">
        <v>2008153.92</v>
      </c>
      <c r="N1245" s="71" t="n">
        <v>301223.09</v>
      </c>
      <c r="O1245" s="71" t="n">
        <v>1706930.83</v>
      </c>
      <c r="P1245" s="71" t="n">
        <v>492819.85</v>
      </c>
      <c r="Q1245" s="71" t="n">
        <v>1214110.98</v>
      </c>
      <c r="R1245" t="inlineStr">
        <is>
          <t>Antiviral</t>
        </is>
      </c>
      <c r="S1245" s="70" t="n">
        <v>1175</v>
      </c>
      <c r="T1245" s="71" t="n">
        <v>431780.33</v>
      </c>
      <c r="U1245" t="inlineStr">
        <is>
          <t>Low</t>
        </is>
      </c>
      <c r="V1245">
        <f>IF(AND(OR(Dashboard!$C$6="All",E1245=Dashboard!$C$6),OR(Dashboard!$F$6="All",G1245=Dashboard!$F$6),OR(Dashboard!$I$6="All",H1245=Dashboard!$I$6)),1,0)</f>
        <v/>
      </c>
    </row>
    <row r="1246">
      <c r="A1246" t="inlineStr">
        <is>
          <t>PF101237</t>
        </is>
      </c>
      <c r="B1246" s="68" t="n">
        <v>45805</v>
      </c>
      <c r="C1246" s="69" t="n">
        <v>2025</v>
      </c>
      <c r="D1246" t="inlineStr">
        <is>
          <t>May</t>
        </is>
      </c>
      <c r="E1246" t="inlineStr">
        <is>
          <t>Europe</t>
        </is>
      </c>
      <c r="F1246" t="inlineStr">
        <is>
          <t>UK</t>
        </is>
      </c>
      <c r="G1246" t="inlineStr">
        <is>
          <t>Xeljanz</t>
        </is>
      </c>
      <c r="H1246" t="inlineStr">
        <is>
          <t>Retail pharmacy</t>
        </is>
      </c>
      <c r="I1246" t="inlineStr">
        <is>
          <t>Public payer</t>
        </is>
      </c>
      <c r="J1246" t="inlineStr">
        <is>
          <t>Wei Chen</t>
        </is>
      </c>
      <c r="K1246" s="70" t="n">
        <v>1218</v>
      </c>
      <c r="L1246" s="71" t="n">
        <v>1456.56</v>
      </c>
      <c r="M1246" s="71" t="n">
        <v>1774090.08</v>
      </c>
      <c r="N1246" s="71" t="n">
        <v>266113.51</v>
      </c>
      <c r="O1246" s="71" t="n">
        <v>1507976.57</v>
      </c>
      <c r="P1246" s="71" t="n">
        <v>304224.12</v>
      </c>
      <c r="Q1246" s="71" t="n">
        <v>1203752.45</v>
      </c>
      <c r="R1246" t="inlineStr">
        <is>
          <t>Inflammation</t>
        </is>
      </c>
      <c r="S1246" s="70" t="n">
        <v>796</v>
      </c>
      <c r="T1246" s="71" t="n">
        <v>280450.7</v>
      </c>
      <c r="U1246" t="inlineStr">
        <is>
          <t>High</t>
        </is>
      </c>
      <c r="V1246">
        <f>IF(AND(OR(Dashboard!$C$6="All",E1246=Dashboard!$C$6),OR(Dashboard!$F$6="All",G1246=Dashboard!$F$6),OR(Dashboard!$I$6="All",H1246=Dashboard!$I$6)),1,0)</f>
        <v/>
      </c>
    </row>
    <row r="1247">
      <c r="A1247" t="inlineStr">
        <is>
          <t>PF101238</t>
        </is>
      </c>
      <c r="B1247" s="68" t="n">
        <v>45805</v>
      </c>
      <c r="C1247" s="69" t="n">
        <v>2025</v>
      </c>
      <c r="D1247" t="inlineStr">
        <is>
          <t>May</t>
        </is>
      </c>
      <c r="E1247" t="inlineStr">
        <is>
          <t>Europe</t>
        </is>
      </c>
      <c r="F1247" t="inlineStr">
        <is>
          <t>Spain</t>
        </is>
      </c>
      <c r="G1247" t="inlineStr">
        <is>
          <t>Abrysvo</t>
        </is>
      </c>
      <c r="H1247" t="inlineStr">
        <is>
          <t>Government / tender</t>
        </is>
      </c>
      <c r="I1247" t="inlineStr">
        <is>
          <t>Private insurer</t>
        </is>
      </c>
      <c r="J1247" t="inlineStr">
        <is>
          <t>Mei Lin</t>
        </is>
      </c>
      <c r="K1247" s="70" t="n">
        <v>2492</v>
      </c>
      <c r="L1247" s="71" t="n">
        <v>258.46</v>
      </c>
      <c r="M1247" s="71" t="n">
        <v>644082.3199999999</v>
      </c>
      <c r="N1247" s="71" t="n">
        <v>161020.58</v>
      </c>
      <c r="O1247" s="71" t="n">
        <v>483061.74</v>
      </c>
      <c r="P1247" s="71" t="n">
        <v>205358.25</v>
      </c>
      <c r="Q1247" s="71" t="n">
        <v>277703.49</v>
      </c>
      <c r="R1247" t="inlineStr">
        <is>
          <t>Vaccines</t>
        </is>
      </c>
      <c r="S1247" s="70" t="n">
        <v>1832</v>
      </c>
      <c r="T1247" s="71" t="n">
        <v>132812.91</v>
      </c>
      <c r="U1247" t="inlineStr">
        <is>
          <t>Low</t>
        </is>
      </c>
      <c r="V1247">
        <f>IF(AND(OR(Dashboard!$C$6="All",E1247=Dashboard!$C$6),OR(Dashboard!$F$6="All",G1247=Dashboard!$F$6),OR(Dashboard!$I$6="All",H1247=Dashboard!$I$6)),1,0)</f>
        <v/>
      </c>
    </row>
    <row r="1248">
      <c r="A1248" t="inlineStr">
        <is>
          <t>PF101239</t>
        </is>
      </c>
      <c r="B1248" s="68" t="n">
        <v>45805</v>
      </c>
      <c r="C1248" s="69" t="n">
        <v>2025</v>
      </c>
      <c r="D1248" t="inlineStr">
        <is>
          <t>May</t>
        </is>
      </c>
      <c r="E1248" t="inlineStr">
        <is>
          <t>United States</t>
        </is>
      </c>
      <c r="F1248" t="inlineStr">
        <is>
          <t>USA</t>
        </is>
      </c>
      <c r="G1248" t="inlineStr">
        <is>
          <t>Comirnaty</t>
        </is>
      </c>
      <c r="H1248" t="inlineStr">
        <is>
          <t>Government / tender</t>
        </is>
      </c>
      <c r="I1248" t="inlineStr">
        <is>
          <t>Self-pay</t>
        </is>
      </c>
      <c r="J1248" t="inlineStr">
        <is>
          <t>Sara Rossi</t>
        </is>
      </c>
      <c r="K1248" s="70" t="n">
        <v>1883</v>
      </c>
      <c r="L1248" s="71" t="n">
        <v>166.88</v>
      </c>
      <c r="M1248" s="71" t="n">
        <v>314235.04</v>
      </c>
      <c r="N1248" s="71" t="n">
        <v>94270.50999999999</v>
      </c>
      <c r="O1248" s="71" t="n">
        <v>219964.53</v>
      </c>
      <c r="P1248" s="71" t="n">
        <v>73483.53999999999</v>
      </c>
      <c r="Q1248" s="71" t="n">
        <v>146480.99</v>
      </c>
      <c r="R1248" t="inlineStr">
        <is>
          <t>Vaccines</t>
        </is>
      </c>
      <c r="S1248" s="70" t="n">
        <v>1791</v>
      </c>
      <c r="T1248" s="71" t="n">
        <v>57390.64</v>
      </c>
      <c r="U1248" t="inlineStr">
        <is>
          <t>Low</t>
        </is>
      </c>
      <c r="V1248">
        <f>IF(AND(OR(Dashboard!$C$6="All",E1248=Dashboard!$C$6),OR(Dashboard!$F$6="All",G1248=Dashboard!$F$6),OR(Dashboard!$I$6="All",H1248=Dashboard!$I$6)),1,0)</f>
        <v/>
      </c>
    </row>
    <row r="1249">
      <c r="A1249" t="inlineStr">
        <is>
          <t>PF101240</t>
        </is>
      </c>
      <c r="B1249" s="68" t="n">
        <v>45805</v>
      </c>
      <c r="C1249" s="69" t="n">
        <v>2025</v>
      </c>
      <c r="D1249" t="inlineStr">
        <is>
          <t>May</t>
        </is>
      </c>
      <c r="E1249" t="inlineStr">
        <is>
          <t>United States</t>
        </is>
      </c>
      <c r="F1249" t="inlineStr">
        <is>
          <t>USA</t>
        </is>
      </c>
      <c r="G1249" t="inlineStr">
        <is>
          <t>Abrysvo</t>
        </is>
      </c>
      <c r="H1249" t="inlineStr">
        <is>
          <t>Retail pharmacy</t>
        </is>
      </c>
      <c r="I1249" t="inlineStr">
        <is>
          <t>Public payer</t>
        </is>
      </c>
      <c r="J1249" t="inlineStr">
        <is>
          <t>Zoya Ahmed</t>
        </is>
      </c>
      <c r="K1249" s="70" t="n">
        <v>267</v>
      </c>
      <c r="L1249" s="71" t="n">
        <v>477.01</v>
      </c>
      <c r="M1249" s="71" t="n">
        <v>127361.67</v>
      </c>
      <c r="N1249" s="71" t="n">
        <v>19104.25</v>
      </c>
      <c r="O1249" s="71" t="n">
        <v>108257.42</v>
      </c>
      <c r="P1249" s="71" t="n">
        <v>21846.59</v>
      </c>
      <c r="Q1249" s="71" t="n">
        <v>86410.83</v>
      </c>
      <c r="R1249" t="inlineStr">
        <is>
          <t>Vaccines</t>
        </is>
      </c>
      <c r="S1249" s="70" t="n">
        <v>167</v>
      </c>
      <c r="T1249" s="71" t="n">
        <v>27109.7</v>
      </c>
      <c r="U1249" t="inlineStr">
        <is>
          <t>Low</t>
        </is>
      </c>
      <c r="V1249">
        <f>IF(AND(OR(Dashboard!$C$6="All",E1249=Dashboard!$C$6),OR(Dashboard!$F$6="All",G1249=Dashboard!$F$6),OR(Dashboard!$I$6="All",H1249=Dashboard!$I$6)),1,0)</f>
        <v/>
      </c>
    </row>
    <row r="1250">
      <c r="A1250" t="inlineStr">
        <is>
          <t>PF101241</t>
        </is>
      </c>
      <c r="B1250" s="68" t="n">
        <v>45809</v>
      </c>
      <c r="C1250" s="69" t="n">
        <v>2025</v>
      </c>
      <c r="D1250" t="inlineStr">
        <is>
          <t>Jun</t>
        </is>
      </c>
      <c r="E1250" t="inlineStr">
        <is>
          <t>United States</t>
        </is>
      </c>
      <c r="F1250" t="inlineStr">
        <is>
          <t>USA</t>
        </is>
      </c>
      <c r="G1250" t="inlineStr">
        <is>
          <t>Comirnaty</t>
        </is>
      </c>
      <c r="H1250" t="inlineStr">
        <is>
          <t>Hospital</t>
        </is>
      </c>
      <c r="I1250" t="inlineStr">
        <is>
          <t>Public payer</t>
        </is>
      </c>
      <c r="J1250" t="inlineStr">
        <is>
          <t>Liam O'Brien</t>
        </is>
      </c>
      <c r="K1250" s="70" t="n">
        <v>1979</v>
      </c>
      <c r="L1250" s="71" t="n">
        <v>159.5</v>
      </c>
      <c r="M1250" s="71" t="n">
        <v>315650.5</v>
      </c>
      <c r="N1250" s="71" t="n">
        <v>110477.67</v>
      </c>
      <c r="O1250" s="71" t="n">
        <v>205172.83</v>
      </c>
      <c r="P1250" s="71" t="n">
        <v>77944.89999999999</v>
      </c>
      <c r="Q1250" s="71" t="n">
        <v>127227.93</v>
      </c>
      <c r="R1250" t="inlineStr">
        <is>
          <t>Vaccines</t>
        </is>
      </c>
      <c r="S1250" s="70" t="n">
        <v>1438</v>
      </c>
      <c r="T1250" s="71" t="n">
        <v>48066.54</v>
      </c>
      <c r="U1250" t="inlineStr">
        <is>
          <t>Low</t>
        </is>
      </c>
      <c r="V1250">
        <f>IF(AND(OR(Dashboard!$C$6="All",E1250=Dashboard!$C$6),OR(Dashboard!$F$6="All",G1250=Dashboard!$F$6),OR(Dashboard!$I$6="All",H1250=Dashboard!$I$6)),1,0)</f>
        <v/>
      </c>
    </row>
    <row r="1251">
      <c r="A1251" t="inlineStr">
        <is>
          <t>PF101242</t>
        </is>
      </c>
      <c r="B1251" s="68" t="n">
        <v>45809</v>
      </c>
      <c r="C1251" s="69" t="n">
        <v>2025</v>
      </c>
      <c r="D1251" t="inlineStr">
        <is>
          <t>Jun</t>
        </is>
      </c>
      <c r="E1251" t="inlineStr">
        <is>
          <t>United States</t>
        </is>
      </c>
      <c r="F1251" t="inlineStr">
        <is>
          <t>USA</t>
        </is>
      </c>
      <c r="G1251" t="inlineStr">
        <is>
          <t>Prevnar 20</t>
        </is>
      </c>
      <c r="H1251" t="inlineStr">
        <is>
          <t>Hospital</t>
        </is>
      </c>
      <c r="I1251" t="inlineStr">
        <is>
          <t>Private insurer</t>
        </is>
      </c>
      <c r="J1251" t="inlineStr">
        <is>
          <t>Sara Rossi</t>
        </is>
      </c>
      <c r="K1251" s="70" t="n">
        <v>2356</v>
      </c>
      <c r="L1251" s="71" t="n">
        <v>337.9</v>
      </c>
      <c r="M1251" s="71" t="n">
        <v>796092.4</v>
      </c>
      <c r="N1251" s="71" t="n">
        <v>238827.72</v>
      </c>
      <c r="O1251" s="71" t="n">
        <v>557264.6800000001</v>
      </c>
      <c r="P1251" s="71" t="n">
        <v>162372.39</v>
      </c>
      <c r="Q1251" s="71" t="n">
        <v>394892.29</v>
      </c>
      <c r="R1251" t="inlineStr">
        <is>
          <t>Vaccines</t>
        </is>
      </c>
      <c r="S1251" s="70" t="n">
        <v>1939</v>
      </c>
      <c r="T1251" s="71" t="n">
        <v>127080.67</v>
      </c>
      <c r="U1251" t="inlineStr">
        <is>
          <t>Low</t>
        </is>
      </c>
      <c r="V1251">
        <f>IF(AND(OR(Dashboard!$C$6="All",E1251=Dashboard!$C$6),OR(Dashboard!$F$6="All",G1251=Dashboard!$F$6),OR(Dashboard!$I$6="All",H1251=Dashboard!$I$6)),1,0)</f>
        <v/>
      </c>
    </row>
    <row r="1252">
      <c r="A1252" t="inlineStr">
        <is>
          <t>PF101243</t>
        </is>
      </c>
      <c r="B1252" s="68" t="n">
        <v>45809</v>
      </c>
      <c r="C1252" s="69" t="n">
        <v>2025</v>
      </c>
      <c r="D1252" t="inlineStr">
        <is>
          <t>Jun</t>
        </is>
      </c>
      <c r="E1252" t="inlineStr">
        <is>
          <t>United States</t>
        </is>
      </c>
      <c r="F1252" t="inlineStr">
        <is>
          <t>USA</t>
        </is>
      </c>
      <c r="G1252" t="inlineStr">
        <is>
          <t>Prevnar 20</t>
        </is>
      </c>
      <c r="H1252" t="inlineStr">
        <is>
          <t>Retail pharmacy</t>
        </is>
      </c>
      <c r="I1252" t="inlineStr">
        <is>
          <t>Private insurer</t>
        </is>
      </c>
      <c r="J1252" t="inlineStr">
        <is>
          <t>Arjun Mehta</t>
        </is>
      </c>
      <c r="K1252" s="70" t="n">
        <v>2058</v>
      </c>
      <c r="L1252" s="71" t="n">
        <v>385.02</v>
      </c>
      <c r="M1252" s="71" t="n">
        <v>792371.16</v>
      </c>
      <c r="N1252" s="71" t="n">
        <v>237711.35</v>
      </c>
      <c r="O1252" s="71" t="n">
        <v>554659.8100000001</v>
      </c>
      <c r="P1252" s="71" t="n">
        <v>137435.15</v>
      </c>
      <c r="Q1252" s="71" t="n">
        <v>417224.66</v>
      </c>
      <c r="R1252" t="inlineStr">
        <is>
          <t>Vaccines</t>
        </is>
      </c>
      <c r="S1252" s="70" t="n">
        <v>1328</v>
      </c>
      <c r="T1252" s="71" t="n">
        <v>105024.82</v>
      </c>
      <c r="U1252" t="inlineStr">
        <is>
          <t>Low</t>
        </is>
      </c>
      <c r="V1252">
        <f>IF(AND(OR(Dashboard!$C$6="All",E1252=Dashboard!$C$6),OR(Dashboard!$F$6="All",G1252=Dashboard!$F$6),OR(Dashboard!$I$6="All",H1252=Dashboard!$I$6)),1,0)</f>
        <v/>
      </c>
    </row>
    <row r="1253">
      <c r="A1253" t="inlineStr">
        <is>
          <t>PF101244</t>
        </is>
      </c>
      <c r="B1253" s="68" t="n">
        <v>45809</v>
      </c>
      <c r="C1253" s="69" t="n">
        <v>2025</v>
      </c>
      <c r="D1253" t="inlineStr">
        <is>
          <t>Jun</t>
        </is>
      </c>
      <c r="E1253" t="inlineStr">
        <is>
          <t>Emerging markets</t>
        </is>
      </c>
      <c r="F1253" t="inlineStr">
        <is>
          <t>India</t>
        </is>
      </c>
      <c r="G1253" t="inlineStr">
        <is>
          <t>Prevnar 20</t>
        </is>
      </c>
      <c r="H1253" t="inlineStr">
        <is>
          <t>Government / tender</t>
        </is>
      </c>
      <c r="I1253" t="inlineStr">
        <is>
          <t>Public payer</t>
        </is>
      </c>
      <c r="J1253" t="inlineStr">
        <is>
          <t>Omar Haddad</t>
        </is>
      </c>
      <c r="K1253" s="70" t="n">
        <v>370</v>
      </c>
      <c r="L1253" s="71" t="n">
        <v>226.87</v>
      </c>
      <c r="M1253" s="71" t="n">
        <v>83941.89999999999</v>
      </c>
      <c r="N1253" s="71" t="n">
        <v>20985.47</v>
      </c>
      <c r="O1253" s="71" t="n">
        <v>62956.43</v>
      </c>
      <c r="P1253" s="71" t="n">
        <v>24615.76</v>
      </c>
      <c r="Q1253" s="71" t="n">
        <v>38340.67</v>
      </c>
      <c r="R1253" t="inlineStr">
        <is>
          <t>Vaccines</t>
        </is>
      </c>
      <c r="S1253" s="70" t="n">
        <v>285</v>
      </c>
      <c r="T1253" s="71" t="n">
        <v>10326.84</v>
      </c>
      <c r="U1253" t="inlineStr">
        <is>
          <t>Low</t>
        </is>
      </c>
      <c r="V1253">
        <f>IF(AND(OR(Dashboard!$C$6="All",E1253=Dashboard!$C$6),OR(Dashboard!$F$6="All",G1253=Dashboard!$F$6),OR(Dashboard!$I$6="All",H1253=Dashboard!$I$6)),1,0)</f>
        <v/>
      </c>
    </row>
    <row r="1254">
      <c r="A1254" t="inlineStr">
        <is>
          <t>PF101245</t>
        </is>
      </c>
      <c r="B1254" s="68" t="n">
        <v>45809</v>
      </c>
      <c r="C1254" s="69" t="n">
        <v>2025</v>
      </c>
      <c r="D1254" t="inlineStr">
        <is>
          <t>Jun</t>
        </is>
      </c>
      <c r="E1254" t="inlineStr">
        <is>
          <t>International developed</t>
        </is>
      </c>
      <c r="F1254" t="inlineStr">
        <is>
          <t>Japan</t>
        </is>
      </c>
      <c r="G1254" t="inlineStr">
        <is>
          <t>Abrysvo</t>
        </is>
      </c>
      <c r="H1254" t="inlineStr">
        <is>
          <t>Retail pharmacy</t>
        </is>
      </c>
      <c r="I1254" t="inlineStr">
        <is>
          <t>Public payer</t>
        </is>
      </c>
      <c r="J1254" t="inlineStr">
        <is>
          <t>Ravindra Patil</t>
        </is>
      </c>
      <c r="K1254" s="70" t="n">
        <v>386</v>
      </c>
      <c r="L1254" s="71" t="n">
        <v>266.65</v>
      </c>
      <c r="M1254" s="71" t="n">
        <v>102926.9</v>
      </c>
      <c r="N1254" s="71" t="n">
        <v>20585.38</v>
      </c>
      <c r="O1254" s="71" t="n">
        <v>82341.52</v>
      </c>
      <c r="P1254" s="71" t="n">
        <v>31591.44</v>
      </c>
      <c r="Q1254" s="71" t="n">
        <v>50750.08</v>
      </c>
      <c r="R1254" t="inlineStr">
        <is>
          <t>Vaccines</t>
        </is>
      </c>
      <c r="S1254" s="70" t="n">
        <v>261</v>
      </c>
      <c r="T1254" s="71" t="n">
        <v>18427.01</v>
      </c>
      <c r="U1254" t="inlineStr">
        <is>
          <t>Low</t>
        </is>
      </c>
      <c r="V1254">
        <f>IF(AND(OR(Dashboard!$C$6="All",E1254=Dashboard!$C$6),OR(Dashboard!$F$6="All",G1254=Dashboard!$F$6),OR(Dashboard!$I$6="All",H1254=Dashboard!$I$6)),1,0)</f>
        <v/>
      </c>
    </row>
    <row r="1255">
      <c r="A1255" t="inlineStr">
        <is>
          <t>PF101246</t>
        </is>
      </c>
      <c r="B1255" s="68" t="n">
        <v>45809</v>
      </c>
      <c r="C1255" s="69" t="n">
        <v>2025</v>
      </c>
      <c r="D1255" t="inlineStr">
        <is>
          <t>Jun</t>
        </is>
      </c>
      <c r="E1255" t="inlineStr">
        <is>
          <t>Emerging markets</t>
        </is>
      </c>
      <c r="F1255" t="inlineStr">
        <is>
          <t>India</t>
        </is>
      </c>
      <c r="G1255" t="inlineStr">
        <is>
          <t>Comirnaty</t>
        </is>
      </c>
      <c r="H1255" t="inlineStr">
        <is>
          <t>Government / tender</t>
        </is>
      </c>
      <c r="I1255" t="inlineStr">
        <is>
          <t>Private insurer</t>
        </is>
      </c>
      <c r="J1255" t="inlineStr">
        <is>
          <t>Sara Rossi</t>
        </is>
      </c>
      <c r="K1255" s="70" t="n">
        <v>1106</v>
      </c>
      <c r="L1255" s="71" t="n">
        <v>101.7</v>
      </c>
      <c r="M1255" s="71" t="n">
        <v>112480.2</v>
      </c>
      <c r="N1255" s="71" t="n">
        <v>22496.04</v>
      </c>
      <c r="O1255" s="71" t="n">
        <v>89984.16</v>
      </c>
      <c r="P1255" s="71" t="n">
        <v>43581.91</v>
      </c>
      <c r="Q1255" s="71" t="n">
        <v>46402.25</v>
      </c>
      <c r="R1255" t="inlineStr">
        <is>
          <t>Vaccines</t>
        </is>
      </c>
      <c r="S1255" s="70" t="n">
        <v>818</v>
      </c>
      <c r="T1255" s="71" t="n">
        <v>22648.51</v>
      </c>
      <c r="U1255" t="inlineStr">
        <is>
          <t>Low</t>
        </is>
      </c>
      <c r="V1255">
        <f>IF(AND(OR(Dashboard!$C$6="All",E1255=Dashboard!$C$6),OR(Dashboard!$F$6="All",G1255=Dashboard!$F$6),OR(Dashboard!$I$6="All",H1255=Dashboard!$I$6)),1,0)</f>
        <v/>
      </c>
    </row>
    <row r="1256">
      <c r="A1256" t="inlineStr">
        <is>
          <t>PF101247</t>
        </is>
      </c>
      <c r="B1256" s="68" t="n">
        <v>45809</v>
      </c>
      <c r="C1256" s="69" t="n">
        <v>2025</v>
      </c>
      <c r="D1256" t="inlineStr">
        <is>
          <t>Jun</t>
        </is>
      </c>
      <c r="E1256" t="inlineStr">
        <is>
          <t>United States</t>
        </is>
      </c>
      <c r="F1256" t="inlineStr">
        <is>
          <t>USA</t>
        </is>
      </c>
      <c r="G1256" t="inlineStr">
        <is>
          <t>Prevnar 20</t>
        </is>
      </c>
      <c r="H1256" t="inlineStr">
        <is>
          <t>Retail pharmacy</t>
        </is>
      </c>
      <c r="I1256" t="inlineStr">
        <is>
          <t>Private insurer</t>
        </is>
      </c>
      <c r="J1256" t="inlineStr">
        <is>
          <t>Sara Rossi</t>
        </is>
      </c>
      <c r="K1256" s="70" t="n">
        <v>1399</v>
      </c>
      <c r="L1256" s="71" t="n">
        <v>396.42</v>
      </c>
      <c r="M1256" s="71" t="n">
        <v>554591.58</v>
      </c>
      <c r="N1256" s="71" t="n">
        <v>166377.47</v>
      </c>
      <c r="O1256" s="71" t="n">
        <v>388214.11</v>
      </c>
      <c r="P1256" s="71" t="n">
        <v>93562.78</v>
      </c>
      <c r="Q1256" s="71" t="n">
        <v>294651.33</v>
      </c>
      <c r="R1256" t="inlineStr">
        <is>
          <t>Vaccines</t>
        </is>
      </c>
      <c r="S1256" s="70" t="n">
        <v>1026</v>
      </c>
      <c r="T1256" s="71" t="n">
        <v>81209.16</v>
      </c>
      <c r="U1256" t="inlineStr">
        <is>
          <t>Low</t>
        </is>
      </c>
      <c r="V1256">
        <f>IF(AND(OR(Dashboard!$C$6="All",E1256=Dashboard!$C$6),OR(Dashboard!$F$6="All",G1256=Dashboard!$F$6),OR(Dashboard!$I$6="All",H1256=Dashboard!$I$6)),1,0)</f>
        <v/>
      </c>
    </row>
    <row r="1257">
      <c r="A1257" t="inlineStr">
        <is>
          <t>PF101248</t>
        </is>
      </c>
      <c r="B1257" s="68" t="n">
        <v>45809</v>
      </c>
      <c r="C1257" s="69" t="n">
        <v>2025</v>
      </c>
      <c r="D1257" t="inlineStr">
        <is>
          <t>Jun</t>
        </is>
      </c>
      <c r="E1257" t="inlineStr">
        <is>
          <t>Europe</t>
        </is>
      </c>
      <c r="F1257" t="inlineStr">
        <is>
          <t>Germany</t>
        </is>
      </c>
      <c r="G1257" t="inlineStr">
        <is>
          <t>Eliquis</t>
        </is>
      </c>
      <c r="H1257" t="inlineStr">
        <is>
          <t>Hospital</t>
        </is>
      </c>
      <c r="I1257" t="inlineStr">
        <is>
          <t>Public payer</t>
        </is>
      </c>
      <c r="J1257" t="inlineStr">
        <is>
          <t>Sophie Müller</t>
        </is>
      </c>
      <c r="K1257" s="70" t="n">
        <v>2082</v>
      </c>
      <c r="L1257" s="71" t="n">
        <v>406.83</v>
      </c>
      <c r="M1257" s="71" t="n">
        <v>847020.0600000001</v>
      </c>
      <c r="N1257" s="71" t="n">
        <v>42351</v>
      </c>
      <c r="O1257" s="71" t="n">
        <v>804669.0600000001</v>
      </c>
      <c r="P1257" s="71" t="n">
        <v>162492.17</v>
      </c>
      <c r="Q1257" s="71" t="n">
        <v>642176.89</v>
      </c>
      <c r="R1257" t="inlineStr">
        <is>
          <t>Cardiology</t>
        </is>
      </c>
      <c r="S1257" s="70" t="n">
        <v>1334</v>
      </c>
      <c r="T1257" s="71" t="n">
        <v>136868.6</v>
      </c>
      <c r="U1257" t="inlineStr">
        <is>
          <t>High</t>
        </is>
      </c>
      <c r="V1257">
        <f>IF(AND(OR(Dashboard!$C$6="All",E1257=Dashboard!$C$6),OR(Dashboard!$F$6="All",G1257=Dashboard!$F$6),OR(Dashboard!$I$6="All",H1257=Dashboard!$I$6)),1,0)</f>
        <v/>
      </c>
    </row>
    <row r="1258">
      <c r="A1258" t="inlineStr">
        <is>
          <t>PF101249</t>
        </is>
      </c>
      <c r="B1258" s="68" t="n">
        <v>45809</v>
      </c>
      <c r="C1258" s="69" t="n">
        <v>2025</v>
      </c>
      <c r="D1258" t="inlineStr">
        <is>
          <t>Jun</t>
        </is>
      </c>
      <c r="E1258" t="inlineStr">
        <is>
          <t>United States</t>
        </is>
      </c>
      <c r="F1258" t="inlineStr">
        <is>
          <t>USA</t>
        </is>
      </c>
      <c r="G1258" t="inlineStr">
        <is>
          <t>Xeljanz</t>
        </is>
      </c>
      <c r="H1258" t="inlineStr">
        <is>
          <t>Hospital</t>
        </is>
      </c>
      <c r="I1258" t="inlineStr">
        <is>
          <t>Public payer</t>
        </is>
      </c>
      <c r="J1258" t="inlineStr">
        <is>
          <t>Shraddha Kulkarni</t>
        </is>
      </c>
      <c r="K1258" s="70" t="n">
        <v>581</v>
      </c>
      <c r="L1258" s="71" t="n">
        <v>2076.5</v>
      </c>
      <c r="M1258" s="71" t="n">
        <v>1206446.5</v>
      </c>
      <c r="N1258" s="71" t="n">
        <v>241289.3</v>
      </c>
      <c r="O1258" s="71" t="n">
        <v>965157.2</v>
      </c>
      <c r="P1258" s="71" t="n">
        <v>143093.24</v>
      </c>
      <c r="Q1258" s="71" t="n">
        <v>822063.96</v>
      </c>
      <c r="R1258" t="inlineStr">
        <is>
          <t>Inflammation</t>
        </is>
      </c>
      <c r="S1258" s="70" t="n">
        <v>372</v>
      </c>
      <c r="T1258" s="71" t="n">
        <v>206250.53</v>
      </c>
      <c r="U1258" t="inlineStr">
        <is>
          <t>High</t>
        </is>
      </c>
      <c r="V1258">
        <f>IF(AND(OR(Dashboard!$C$6="All",E1258=Dashboard!$C$6),OR(Dashboard!$F$6="All",G1258=Dashboard!$F$6),OR(Dashboard!$I$6="All",H1258=Dashboard!$I$6)),1,0)</f>
        <v/>
      </c>
    </row>
    <row r="1259">
      <c r="A1259" t="inlineStr">
        <is>
          <t>PF101250</t>
        </is>
      </c>
      <c r="B1259" s="68" t="n">
        <v>45809</v>
      </c>
      <c r="C1259" s="69" t="n">
        <v>2025</v>
      </c>
      <c r="D1259" t="inlineStr">
        <is>
          <t>Jun</t>
        </is>
      </c>
      <c r="E1259" t="inlineStr">
        <is>
          <t>Europe</t>
        </is>
      </c>
      <c r="F1259" t="inlineStr">
        <is>
          <t>Spain</t>
        </is>
      </c>
      <c r="G1259" t="inlineStr">
        <is>
          <t>Prevnar 20</t>
        </is>
      </c>
      <c r="H1259" t="inlineStr">
        <is>
          <t>Retail pharmacy</t>
        </is>
      </c>
      <c r="I1259" t="inlineStr">
        <is>
          <t>Self-pay</t>
        </is>
      </c>
      <c r="J1259" t="inlineStr">
        <is>
          <t>Liam O'Brien</t>
        </is>
      </c>
      <c r="K1259" s="70" t="n">
        <v>2817</v>
      </c>
      <c r="L1259" s="71" t="n">
        <v>246.51</v>
      </c>
      <c r="M1259" s="71" t="n">
        <v>694418.67</v>
      </c>
      <c r="N1259" s="71" t="n">
        <v>34720.93</v>
      </c>
      <c r="O1259" s="71" t="n">
        <v>659697.74</v>
      </c>
      <c r="P1259" s="71" t="n">
        <v>188454.96</v>
      </c>
      <c r="Q1259" s="71" t="n">
        <v>471242.78</v>
      </c>
      <c r="R1259" t="inlineStr">
        <is>
          <t>Vaccines</t>
        </is>
      </c>
      <c r="S1259" s="70" t="n">
        <v>2140</v>
      </c>
      <c r="T1259" s="71" t="n">
        <v>140399.16</v>
      </c>
      <c r="U1259" t="inlineStr">
        <is>
          <t>Low</t>
        </is>
      </c>
      <c r="V1259">
        <f>IF(AND(OR(Dashboard!$C$6="All",E1259=Dashboard!$C$6),OR(Dashboard!$F$6="All",G1259=Dashboard!$F$6),OR(Dashboard!$I$6="All",H1259=Dashboard!$I$6)),1,0)</f>
        <v/>
      </c>
    </row>
    <row r="1260">
      <c r="A1260" t="inlineStr">
        <is>
          <t>PF101251</t>
        </is>
      </c>
      <c r="B1260" s="68" t="n">
        <v>45809</v>
      </c>
      <c r="C1260" s="69" t="n">
        <v>2025</v>
      </c>
      <c r="D1260" t="inlineStr">
        <is>
          <t>Jun</t>
        </is>
      </c>
      <c r="E1260" t="inlineStr">
        <is>
          <t>Europe</t>
        </is>
      </c>
      <c r="F1260" t="inlineStr">
        <is>
          <t>Spain</t>
        </is>
      </c>
      <c r="G1260" t="inlineStr">
        <is>
          <t>Comirnaty</t>
        </is>
      </c>
      <c r="H1260" t="inlineStr">
        <is>
          <t>Retail pharmacy</t>
        </is>
      </c>
      <c r="I1260" t="inlineStr">
        <is>
          <t>Self-pay</t>
        </is>
      </c>
      <c r="J1260" t="inlineStr">
        <is>
          <t>Ravindra Patil</t>
        </is>
      </c>
      <c r="K1260" s="70" t="n">
        <v>1092</v>
      </c>
      <c r="L1260" s="71" t="n">
        <v>102.01</v>
      </c>
      <c r="M1260" s="71" t="n">
        <v>111394.92</v>
      </c>
      <c r="N1260" s="71" t="n">
        <v>11139.49</v>
      </c>
      <c r="O1260" s="71" t="n">
        <v>100255.43</v>
      </c>
      <c r="P1260" s="71" t="n">
        <v>41502.56</v>
      </c>
      <c r="Q1260" s="71" t="n">
        <v>58752.87</v>
      </c>
      <c r="R1260" t="inlineStr">
        <is>
          <t>Vaccines</t>
        </is>
      </c>
      <c r="S1260" s="70" t="n">
        <v>737</v>
      </c>
      <c r="T1260" s="71" t="n">
        <v>17644.52</v>
      </c>
      <c r="U1260" t="inlineStr">
        <is>
          <t>Low</t>
        </is>
      </c>
      <c r="V1260">
        <f>IF(AND(OR(Dashboard!$C$6="All",E1260=Dashboard!$C$6),OR(Dashboard!$F$6="All",G1260=Dashboard!$F$6),OR(Dashboard!$I$6="All",H1260=Dashboard!$I$6)),1,0)</f>
        <v/>
      </c>
    </row>
    <row r="1261">
      <c r="A1261" t="inlineStr">
        <is>
          <t>PF101252</t>
        </is>
      </c>
      <c r="B1261" s="68" t="n">
        <v>45809</v>
      </c>
      <c r="C1261" s="69" t="n">
        <v>2025</v>
      </c>
      <c r="D1261" t="inlineStr">
        <is>
          <t>Jun</t>
        </is>
      </c>
      <c r="E1261" t="inlineStr">
        <is>
          <t>United States</t>
        </is>
      </c>
      <c r="F1261" t="inlineStr">
        <is>
          <t>USA</t>
        </is>
      </c>
      <c r="G1261" t="inlineStr">
        <is>
          <t>Vyndaqel</t>
        </is>
      </c>
      <c r="H1261" t="inlineStr">
        <is>
          <t>Hospital</t>
        </is>
      </c>
      <c r="I1261" t="inlineStr">
        <is>
          <t>Public payer</t>
        </is>
      </c>
      <c r="J1261" t="inlineStr">
        <is>
          <t>Hiroshi Tanaka</t>
        </is>
      </c>
      <c r="K1261" s="70" t="n">
        <v>1622</v>
      </c>
      <c r="L1261" s="71" t="n">
        <v>8004.93</v>
      </c>
      <c r="M1261" s="71" t="n">
        <v>12983996.46</v>
      </c>
      <c r="N1261" s="71" t="n">
        <v>2596799.29</v>
      </c>
      <c r="O1261" s="71" t="n">
        <v>10387197.17</v>
      </c>
      <c r="P1261" s="71" t="n">
        <v>1043929</v>
      </c>
      <c r="Q1261" s="71" t="n">
        <v>9343268.17</v>
      </c>
      <c r="R1261" t="inlineStr">
        <is>
          <t>Rare disease</t>
        </is>
      </c>
      <c r="S1261" s="70" t="n">
        <v>1035</v>
      </c>
      <c r="T1261" s="71" t="n">
        <v>2720046.69</v>
      </c>
      <c r="U1261" t="inlineStr">
        <is>
          <t>Medium</t>
        </is>
      </c>
      <c r="V1261">
        <f>IF(AND(OR(Dashboard!$C$6="All",E1261=Dashboard!$C$6),OR(Dashboard!$F$6="All",G1261=Dashboard!$F$6),OR(Dashboard!$I$6="All",H1261=Dashboard!$I$6)),1,0)</f>
        <v/>
      </c>
    </row>
    <row r="1262">
      <c r="A1262" t="inlineStr">
        <is>
          <t>PF101253</t>
        </is>
      </c>
      <c r="B1262" s="68" t="n">
        <v>45809</v>
      </c>
      <c r="C1262" s="69" t="n">
        <v>2025</v>
      </c>
      <c r="D1262" t="inlineStr">
        <is>
          <t>Jun</t>
        </is>
      </c>
      <c r="E1262" t="inlineStr">
        <is>
          <t>International developed</t>
        </is>
      </c>
      <c r="F1262" t="inlineStr">
        <is>
          <t>Canada</t>
        </is>
      </c>
      <c r="G1262" t="inlineStr">
        <is>
          <t>Comirnaty</t>
        </is>
      </c>
      <c r="H1262" t="inlineStr">
        <is>
          <t>Retail pharmacy</t>
        </is>
      </c>
      <c r="I1262" t="inlineStr">
        <is>
          <t>Public payer</t>
        </is>
      </c>
      <c r="J1262" t="inlineStr">
        <is>
          <t>Noah Smith</t>
        </is>
      </c>
      <c r="K1262" s="70" t="n">
        <v>370</v>
      </c>
      <c r="L1262" s="71" t="n">
        <v>112.91</v>
      </c>
      <c r="M1262" s="71" t="n">
        <v>41776.7</v>
      </c>
      <c r="N1262" s="71" t="n">
        <v>8355.34</v>
      </c>
      <c r="O1262" s="71" t="n">
        <v>33421.36</v>
      </c>
      <c r="P1262" s="71" t="n">
        <v>14775.27</v>
      </c>
      <c r="Q1262" s="71" t="n">
        <v>18646.09</v>
      </c>
      <c r="R1262" t="inlineStr">
        <is>
          <t>Vaccines</t>
        </is>
      </c>
      <c r="S1262" s="70" t="n">
        <v>259</v>
      </c>
      <c r="T1262" s="71" t="n">
        <v>6617.64</v>
      </c>
      <c r="U1262" t="inlineStr">
        <is>
          <t>Low</t>
        </is>
      </c>
      <c r="V1262">
        <f>IF(AND(OR(Dashboard!$C$6="All",E1262=Dashboard!$C$6),OR(Dashboard!$F$6="All",G1262=Dashboard!$F$6),OR(Dashboard!$I$6="All",H1262=Dashboard!$I$6)),1,0)</f>
        <v/>
      </c>
    </row>
    <row r="1263">
      <c r="A1263" t="inlineStr">
        <is>
          <t>PF101254</t>
        </is>
      </c>
      <c r="B1263" s="68" t="n">
        <v>45809</v>
      </c>
      <c r="C1263" s="69" t="n">
        <v>2025</v>
      </c>
      <c r="D1263" t="inlineStr">
        <is>
          <t>Jun</t>
        </is>
      </c>
      <c r="E1263" t="inlineStr">
        <is>
          <t>Europe</t>
        </is>
      </c>
      <c r="F1263" t="inlineStr">
        <is>
          <t>Germany</t>
        </is>
      </c>
      <c r="G1263" t="inlineStr">
        <is>
          <t>Comirnaty</t>
        </is>
      </c>
      <c r="H1263" t="inlineStr">
        <is>
          <t>Retail pharmacy</t>
        </is>
      </c>
      <c r="I1263" t="inlineStr">
        <is>
          <t>Public payer</t>
        </is>
      </c>
      <c r="J1263" t="inlineStr">
        <is>
          <t>Carlos Silva</t>
        </is>
      </c>
      <c r="K1263" s="70" t="n">
        <v>1622</v>
      </c>
      <c r="L1263" s="71" t="n">
        <v>107.35</v>
      </c>
      <c r="M1263" s="71" t="n">
        <v>174121.7</v>
      </c>
      <c r="N1263" s="71" t="n">
        <v>43530.43</v>
      </c>
      <c r="O1263" s="71" t="n">
        <v>130591.27</v>
      </c>
      <c r="P1263" s="71" t="n">
        <v>59986.97</v>
      </c>
      <c r="Q1263" s="71" t="n">
        <v>70604.3</v>
      </c>
      <c r="R1263" t="inlineStr">
        <is>
          <t>Vaccines</t>
        </is>
      </c>
      <c r="S1263" s="70" t="n">
        <v>1129</v>
      </c>
      <c r="T1263" s="71" t="n">
        <v>30000.52</v>
      </c>
      <c r="U1263" t="inlineStr">
        <is>
          <t>Low</t>
        </is>
      </c>
      <c r="V1263">
        <f>IF(AND(OR(Dashboard!$C$6="All",E1263=Dashboard!$C$6),OR(Dashboard!$F$6="All",G1263=Dashboard!$F$6),OR(Dashboard!$I$6="All",H1263=Dashboard!$I$6)),1,0)</f>
        <v/>
      </c>
    </row>
    <row r="1264">
      <c r="A1264" t="inlineStr">
        <is>
          <t>PF101255</t>
        </is>
      </c>
      <c r="B1264" s="68" t="n">
        <v>45809</v>
      </c>
      <c r="C1264" s="69" t="n">
        <v>2025</v>
      </c>
      <c r="D1264" t="inlineStr">
        <is>
          <t>Jun</t>
        </is>
      </c>
      <c r="E1264" t="inlineStr">
        <is>
          <t>International developed</t>
        </is>
      </c>
      <c r="F1264" t="inlineStr">
        <is>
          <t>Japan</t>
        </is>
      </c>
      <c r="G1264" t="inlineStr">
        <is>
          <t>Prevnar 20</t>
        </is>
      </c>
      <c r="H1264" t="inlineStr">
        <is>
          <t>Hospital</t>
        </is>
      </c>
      <c r="I1264" t="inlineStr">
        <is>
          <t>Self-pay</t>
        </is>
      </c>
      <c r="J1264" t="inlineStr">
        <is>
          <t>Arjun Mehta</t>
        </is>
      </c>
      <c r="K1264" s="70" t="n">
        <v>1324</v>
      </c>
      <c r="L1264" s="71" t="n">
        <v>249.88</v>
      </c>
      <c r="M1264" s="71" t="n">
        <v>330841.12</v>
      </c>
      <c r="N1264" s="71" t="n">
        <v>49626.17</v>
      </c>
      <c r="O1264" s="71" t="n">
        <v>281214.95</v>
      </c>
      <c r="P1264" s="71" t="n">
        <v>89532.22</v>
      </c>
      <c r="Q1264" s="71" t="n">
        <v>191682.73</v>
      </c>
      <c r="R1264" t="inlineStr">
        <is>
          <t>Vaccines</t>
        </is>
      </c>
      <c r="S1264" s="70" t="n">
        <v>916</v>
      </c>
      <c r="T1264" s="71" t="n">
        <v>67447.89999999999</v>
      </c>
      <c r="U1264" t="inlineStr">
        <is>
          <t>Low</t>
        </is>
      </c>
      <c r="V1264">
        <f>IF(AND(OR(Dashboard!$C$6="All",E1264=Dashboard!$C$6),OR(Dashboard!$F$6="All",G1264=Dashboard!$F$6),OR(Dashboard!$I$6="All",H1264=Dashboard!$I$6)),1,0)</f>
        <v/>
      </c>
    </row>
    <row r="1265">
      <c r="A1265" t="inlineStr">
        <is>
          <t>PF101256</t>
        </is>
      </c>
      <c r="B1265" s="68" t="n">
        <v>45809</v>
      </c>
      <c r="C1265" s="69" t="n">
        <v>2025</v>
      </c>
      <c r="D1265" t="inlineStr">
        <is>
          <t>Jun</t>
        </is>
      </c>
      <c r="E1265" t="inlineStr">
        <is>
          <t>United States</t>
        </is>
      </c>
      <c r="F1265" t="inlineStr">
        <is>
          <t>USA</t>
        </is>
      </c>
      <c r="G1265" t="inlineStr">
        <is>
          <t>Vyndaqel</t>
        </is>
      </c>
      <c r="H1265" t="inlineStr">
        <is>
          <t>Hospital</t>
        </is>
      </c>
      <c r="I1265" t="inlineStr">
        <is>
          <t>Private insurer</t>
        </is>
      </c>
      <c r="J1265" t="inlineStr">
        <is>
          <t>Shraddha Kulkarni</t>
        </is>
      </c>
      <c r="K1265" s="70" t="n">
        <v>1787</v>
      </c>
      <c r="L1265" s="71" t="n">
        <v>7756.66</v>
      </c>
      <c r="M1265" s="71" t="n">
        <v>13861151.42</v>
      </c>
      <c r="N1265" s="71" t="n">
        <v>2772230.28</v>
      </c>
      <c r="O1265" s="71" t="n">
        <v>11088921.14</v>
      </c>
      <c r="P1265" s="71" t="n">
        <v>1144610.75</v>
      </c>
      <c r="Q1265" s="71" t="n">
        <v>9944310.390000001</v>
      </c>
      <c r="R1265" t="inlineStr">
        <is>
          <t>Rare disease</t>
        </is>
      </c>
      <c r="S1265" s="70" t="n">
        <v>1351</v>
      </c>
      <c r="T1265" s="71" t="n">
        <v>1802514.52</v>
      </c>
      <c r="U1265" t="inlineStr">
        <is>
          <t>Medium</t>
        </is>
      </c>
      <c r="V1265">
        <f>IF(AND(OR(Dashboard!$C$6="All",E1265=Dashboard!$C$6),OR(Dashboard!$F$6="All",G1265=Dashboard!$F$6),OR(Dashboard!$I$6="All",H1265=Dashboard!$I$6)),1,0)</f>
        <v/>
      </c>
    </row>
    <row r="1266">
      <c r="A1266" t="inlineStr">
        <is>
          <t>PF101257</t>
        </is>
      </c>
      <c r="B1266" s="68" t="n">
        <v>45809</v>
      </c>
      <c r="C1266" s="69" t="n">
        <v>2025</v>
      </c>
      <c r="D1266" t="inlineStr">
        <is>
          <t>Jun</t>
        </is>
      </c>
      <c r="E1266" t="inlineStr">
        <is>
          <t>United States</t>
        </is>
      </c>
      <c r="F1266" t="inlineStr">
        <is>
          <t>USA</t>
        </is>
      </c>
      <c r="G1266" t="inlineStr">
        <is>
          <t>Xeljanz</t>
        </is>
      </c>
      <c r="H1266" t="inlineStr">
        <is>
          <t>Retail pharmacy</t>
        </is>
      </c>
      <c r="I1266" t="inlineStr">
        <is>
          <t>Public payer</t>
        </is>
      </c>
      <c r="J1266" t="inlineStr">
        <is>
          <t>Yuki Sato</t>
        </is>
      </c>
      <c r="K1266" s="70" t="n">
        <v>716</v>
      </c>
      <c r="L1266" s="71" t="n">
        <v>2384.34</v>
      </c>
      <c r="M1266" s="71" t="n">
        <v>1707187.44</v>
      </c>
      <c r="N1266" s="71" t="n">
        <v>426796.86</v>
      </c>
      <c r="O1266" s="71" t="n">
        <v>1280390.58</v>
      </c>
      <c r="P1266" s="71" t="n">
        <v>173449.07</v>
      </c>
      <c r="Q1266" s="71" t="n">
        <v>1106941.51</v>
      </c>
      <c r="R1266" t="inlineStr">
        <is>
          <t>Inflammation</t>
        </is>
      </c>
      <c r="S1266" s="70" t="n">
        <v>564</v>
      </c>
      <c r="T1266" s="71" t="n">
        <v>310667.12</v>
      </c>
      <c r="U1266" t="inlineStr">
        <is>
          <t>High</t>
        </is>
      </c>
      <c r="V1266">
        <f>IF(AND(OR(Dashboard!$C$6="All",E1266=Dashboard!$C$6),OR(Dashboard!$F$6="All",G1266=Dashboard!$F$6),OR(Dashboard!$I$6="All",H1266=Dashboard!$I$6)),1,0)</f>
        <v/>
      </c>
    </row>
    <row r="1267">
      <c r="A1267" t="inlineStr">
        <is>
          <t>PF101258</t>
        </is>
      </c>
      <c r="B1267" s="68" t="n">
        <v>45810</v>
      </c>
      <c r="C1267" s="69" t="n">
        <v>2025</v>
      </c>
      <c r="D1267" t="inlineStr">
        <is>
          <t>Jun</t>
        </is>
      </c>
      <c r="E1267" t="inlineStr">
        <is>
          <t>International developed</t>
        </is>
      </c>
      <c r="F1267" t="inlineStr">
        <is>
          <t>Australia</t>
        </is>
      </c>
      <c r="G1267" t="inlineStr">
        <is>
          <t>Paxlovid</t>
        </is>
      </c>
      <c r="H1267" t="inlineStr">
        <is>
          <t>Retail pharmacy</t>
        </is>
      </c>
      <c r="I1267" t="inlineStr">
        <is>
          <t>Private insurer</t>
        </is>
      </c>
      <c r="J1267" t="inlineStr">
        <is>
          <t>Amir Khan</t>
        </is>
      </c>
      <c r="K1267" s="70" t="n">
        <v>1128</v>
      </c>
      <c r="L1267" s="71" t="n">
        <v>1104.3</v>
      </c>
      <c r="M1267" s="71" t="n">
        <v>1245650.4</v>
      </c>
      <c r="N1267" s="71" t="n">
        <v>186847.56</v>
      </c>
      <c r="O1267" s="71" t="n">
        <v>1058802.84</v>
      </c>
      <c r="P1267" s="71" t="n">
        <v>320283.85</v>
      </c>
      <c r="Q1267" s="71" t="n">
        <v>738518.99</v>
      </c>
      <c r="R1267" t="inlineStr">
        <is>
          <t>Antiviral</t>
        </is>
      </c>
      <c r="S1267" s="70" t="n">
        <v>922</v>
      </c>
      <c r="T1267" s="71" t="n">
        <v>228512.15</v>
      </c>
      <c r="U1267" t="inlineStr">
        <is>
          <t>Low</t>
        </is>
      </c>
      <c r="V1267">
        <f>IF(AND(OR(Dashboard!$C$6="All",E1267=Dashboard!$C$6),OR(Dashboard!$F$6="All",G1267=Dashboard!$F$6),OR(Dashboard!$I$6="All",H1267=Dashboard!$I$6)),1,0)</f>
        <v/>
      </c>
    </row>
    <row r="1268">
      <c r="A1268" t="inlineStr">
        <is>
          <t>PF101259</t>
        </is>
      </c>
      <c r="B1268" s="68" t="n">
        <v>45810</v>
      </c>
      <c r="C1268" s="69" t="n">
        <v>2025</v>
      </c>
      <c r="D1268" t="inlineStr">
        <is>
          <t>Jun</t>
        </is>
      </c>
      <c r="E1268" t="inlineStr">
        <is>
          <t>Europe</t>
        </is>
      </c>
      <c r="F1268" t="inlineStr">
        <is>
          <t>UK</t>
        </is>
      </c>
      <c r="G1268" t="inlineStr">
        <is>
          <t>Comirnaty</t>
        </is>
      </c>
      <c r="H1268" t="inlineStr">
        <is>
          <t>Government / tender</t>
        </is>
      </c>
      <c r="I1268" t="inlineStr">
        <is>
          <t>Private insurer</t>
        </is>
      </c>
      <c r="J1268" t="inlineStr">
        <is>
          <t>Olivia Brown</t>
        </is>
      </c>
      <c r="K1268" s="70" t="n">
        <v>1269</v>
      </c>
      <c r="L1268" s="71" t="n">
        <v>110.01</v>
      </c>
      <c r="M1268" s="71" t="n">
        <v>139602.69</v>
      </c>
      <c r="N1268" s="71" t="n">
        <v>34900.67</v>
      </c>
      <c r="O1268" s="71" t="n">
        <v>104702.02</v>
      </c>
      <c r="P1268" s="71" t="n">
        <v>49794.83</v>
      </c>
      <c r="Q1268" s="71" t="n">
        <v>54907.19</v>
      </c>
      <c r="R1268" t="inlineStr">
        <is>
          <t>Vaccines</t>
        </is>
      </c>
      <c r="S1268" s="70" t="n">
        <v>1130</v>
      </c>
      <c r="T1268" s="71" t="n">
        <v>17543.21</v>
      </c>
      <c r="U1268" t="inlineStr">
        <is>
          <t>Low</t>
        </is>
      </c>
      <c r="V1268">
        <f>IF(AND(OR(Dashboard!$C$6="All",E1268=Dashboard!$C$6),OR(Dashboard!$F$6="All",G1268=Dashboard!$F$6),OR(Dashboard!$I$6="All",H1268=Dashboard!$I$6)),1,0)</f>
        <v/>
      </c>
    </row>
    <row r="1269">
      <c r="A1269" t="inlineStr">
        <is>
          <t>PF101260</t>
        </is>
      </c>
      <c r="B1269" s="68" t="n">
        <v>45810</v>
      </c>
      <c r="C1269" s="69" t="n">
        <v>2025</v>
      </c>
      <c r="D1269" t="inlineStr">
        <is>
          <t>Jun</t>
        </is>
      </c>
      <c r="E1269" t="inlineStr">
        <is>
          <t>Europe</t>
        </is>
      </c>
      <c r="F1269" t="inlineStr">
        <is>
          <t>Italy</t>
        </is>
      </c>
      <c r="G1269" t="inlineStr">
        <is>
          <t>Eliquis</t>
        </is>
      </c>
      <c r="H1269" t="inlineStr">
        <is>
          <t>Retail pharmacy</t>
        </is>
      </c>
      <c r="I1269" t="inlineStr">
        <is>
          <t>Self-pay</t>
        </is>
      </c>
      <c r="J1269" t="inlineStr">
        <is>
          <t>Ana Costa</t>
        </is>
      </c>
      <c r="K1269" s="70" t="n">
        <v>1650</v>
      </c>
      <c r="L1269" s="71" t="n">
        <v>396.03</v>
      </c>
      <c r="M1269" s="71" t="n">
        <v>653449.5</v>
      </c>
      <c r="N1269" s="71" t="n">
        <v>98017.42999999999</v>
      </c>
      <c r="O1269" s="71" t="n">
        <v>555432.0699999999</v>
      </c>
      <c r="P1269" s="71" t="n">
        <v>123444.93</v>
      </c>
      <c r="Q1269" s="71" t="n">
        <v>431987.14</v>
      </c>
      <c r="R1269" t="inlineStr">
        <is>
          <t>Cardiology</t>
        </is>
      </c>
      <c r="S1269" s="70" t="n">
        <v>1194</v>
      </c>
      <c r="T1269" s="71" t="n">
        <v>81900.3</v>
      </c>
      <c r="U1269" t="inlineStr">
        <is>
          <t>High</t>
        </is>
      </c>
      <c r="V1269">
        <f>IF(AND(OR(Dashboard!$C$6="All",E1269=Dashboard!$C$6),OR(Dashboard!$F$6="All",G1269=Dashboard!$F$6),OR(Dashboard!$I$6="All",H1269=Dashboard!$I$6)),1,0)</f>
        <v/>
      </c>
    </row>
    <row r="1270">
      <c r="A1270" t="inlineStr">
        <is>
          <t>PF101261</t>
        </is>
      </c>
      <c r="B1270" s="68" t="n">
        <v>45810</v>
      </c>
      <c r="C1270" s="69" t="n">
        <v>2025</v>
      </c>
      <c r="D1270" t="inlineStr">
        <is>
          <t>Jun</t>
        </is>
      </c>
      <c r="E1270" t="inlineStr">
        <is>
          <t>Europe</t>
        </is>
      </c>
      <c r="F1270" t="inlineStr">
        <is>
          <t>France</t>
        </is>
      </c>
      <c r="G1270" t="inlineStr">
        <is>
          <t>Prevnar 20</t>
        </is>
      </c>
      <c r="H1270" t="inlineStr">
        <is>
          <t>Hospital</t>
        </is>
      </c>
      <c r="I1270" t="inlineStr">
        <is>
          <t>Private insurer</t>
        </is>
      </c>
      <c r="J1270" t="inlineStr">
        <is>
          <t>Shraddha Kulkarni</t>
        </is>
      </c>
      <c r="K1270" s="70" t="n">
        <v>2464</v>
      </c>
      <c r="L1270" s="71" t="n">
        <v>225.33</v>
      </c>
      <c r="M1270" s="71" t="n">
        <v>555213.12</v>
      </c>
      <c r="N1270" s="71" t="n">
        <v>111042.62</v>
      </c>
      <c r="O1270" s="71" t="n">
        <v>444170.5</v>
      </c>
      <c r="P1270" s="71" t="n">
        <v>166015.52</v>
      </c>
      <c r="Q1270" s="71" t="n">
        <v>278154.98</v>
      </c>
      <c r="R1270" t="inlineStr">
        <is>
          <t>Vaccines</t>
        </is>
      </c>
      <c r="S1270" s="70" t="n">
        <v>2417</v>
      </c>
      <c r="T1270" s="71" t="n">
        <v>99399.19</v>
      </c>
      <c r="U1270" t="inlineStr">
        <is>
          <t>Low</t>
        </is>
      </c>
      <c r="V1270">
        <f>IF(AND(OR(Dashboard!$C$6="All",E1270=Dashboard!$C$6),OR(Dashboard!$F$6="All",G1270=Dashboard!$F$6),OR(Dashboard!$I$6="All",H1270=Dashboard!$I$6)),1,0)</f>
        <v/>
      </c>
    </row>
    <row r="1271">
      <c r="A1271" t="inlineStr">
        <is>
          <t>PF101262</t>
        </is>
      </c>
      <c r="B1271" s="68" t="n">
        <v>45810</v>
      </c>
      <c r="C1271" s="69" t="n">
        <v>2025</v>
      </c>
      <c r="D1271" t="inlineStr">
        <is>
          <t>Jun</t>
        </is>
      </c>
      <c r="E1271" t="inlineStr">
        <is>
          <t>Europe</t>
        </is>
      </c>
      <c r="F1271" t="inlineStr">
        <is>
          <t>UK</t>
        </is>
      </c>
      <c r="G1271" t="inlineStr">
        <is>
          <t>Paxlovid</t>
        </is>
      </c>
      <c r="H1271" t="inlineStr">
        <is>
          <t>Hospital</t>
        </is>
      </c>
      <c r="I1271" t="inlineStr">
        <is>
          <t>Private insurer</t>
        </is>
      </c>
      <c r="J1271" t="inlineStr">
        <is>
          <t>Ruhi Shaikh</t>
        </is>
      </c>
      <c r="K1271" s="70" t="n">
        <v>1539</v>
      </c>
      <c r="L1271" s="71" t="n">
        <v>1078.28</v>
      </c>
      <c r="M1271" s="71" t="n">
        <v>1659472.92</v>
      </c>
      <c r="N1271" s="71" t="n">
        <v>82973.64999999999</v>
      </c>
      <c r="O1271" s="71" t="n">
        <v>1576499.27</v>
      </c>
      <c r="P1271" s="71" t="n">
        <v>415911.05</v>
      </c>
      <c r="Q1271" s="71" t="n">
        <v>1160588.22</v>
      </c>
      <c r="R1271" t="inlineStr">
        <is>
          <t>Antiviral</t>
        </is>
      </c>
      <c r="S1271" s="70" t="n">
        <v>1058</v>
      </c>
      <c r="T1271" s="71" t="n">
        <v>288778.03</v>
      </c>
      <c r="U1271" t="inlineStr">
        <is>
          <t>Low</t>
        </is>
      </c>
      <c r="V1271">
        <f>IF(AND(OR(Dashboard!$C$6="All",E1271=Dashboard!$C$6),OR(Dashboard!$F$6="All",G1271=Dashboard!$F$6),OR(Dashboard!$I$6="All",H1271=Dashboard!$I$6)),1,0)</f>
        <v/>
      </c>
    </row>
    <row r="1272">
      <c r="A1272" t="inlineStr">
        <is>
          <t>PF101263</t>
        </is>
      </c>
      <c r="B1272" s="68" t="n">
        <v>45810</v>
      </c>
      <c r="C1272" s="69" t="n">
        <v>2025</v>
      </c>
      <c r="D1272" t="inlineStr">
        <is>
          <t>Jun</t>
        </is>
      </c>
      <c r="E1272" t="inlineStr">
        <is>
          <t>United States</t>
        </is>
      </c>
      <c r="F1272" t="inlineStr">
        <is>
          <t>USA</t>
        </is>
      </c>
      <c r="G1272" t="inlineStr">
        <is>
          <t>Paxlovid</t>
        </is>
      </c>
      <c r="H1272" t="inlineStr">
        <is>
          <t>Retail pharmacy</t>
        </is>
      </c>
      <c r="I1272" t="inlineStr">
        <is>
          <t>Public payer</t>
        </is>
      </c>
      <c r="J1272" t="inlineStr">
        <is>
          <t>Priya Nair</t>
        </is>
      </c>
      <c r="K1272" s="70" t="n">
        <v>2392</v>
      </c>
      <c r="L1272" s="71" t="n">
        <v>1697.94</v>
      </c>
      <c r="M1272" s="71" t="n">
        <v>4061472.48</v>
      </c>
      <c r="N1272" s="71" t="n">
        <v>1218441.74</v>
      </c>
      <c r="O1272" s="71" t="n">
        <v>2843030.74</v>
      </c>
      <c r="P1272" s="71" t="n">
        <v>632088.26</v>
      </c>
      <c r="Q1272" s="71" t="n">
        <v>2210942.48</v>
      </c>
      <c r="R1272" t="inlineStr">
        <is>
          <t>Antiviral</t>
        </is>
      </c>
      <c r="S1272" s="70" t="n">
        <v>1643</v>
      </c>
      <c r="T1272" s="71" t="n">
        <v>564238.6</v>
      </c>
      <c r="U1272" t="inlineStr">
        <is>
          <t>Low</t>
        </is>
      </c>
      <c r="V1272">
        <f>IF(AND(OR(Dashboard!$C$6="All",E1272=Dashboard!$C$6),OR(Dashboard!$F$6="All",G1272=Dashboard!$F$6),OR(Dashboard!$I$6="All",H1272=Dashboard!$I$6)),1,0)</f>
        <v/>
      </c>
    </row>
    <row r="1273">
      <c r="A1273" t="inlineStr">
        <is>
          <t>PF101264</t>
        </is>
      </c>
      <c r="B1273" s="68" t="n">
        <v>45810</v>
      </c>
      <c r="C1273" s="69" t="n">
        <v>2025</v>
      </c>
      <c r="D1273" t="inlineStr">
        <is>
          <t>Jun</t>
        </is>
      </c>
      <c r="E1273" t="inlineStr">
        <is>
          <t>United States</t>
        </is>
      </c>
      <c r="F1273" t="inlineStr">
        <is>
          <t>USA</t>
        </is>
      </c>
      <c r="G1273" t="inlineStr">
        <is>
          <t>Comirnaty</t>
        </is>
      </c>
      <c r="H1273" t="inlineStr">
        <is>
          <t>Retail pharmacy</t>
        </is>
      </c>
      <c r="I1273" t="inlineStr">
        <is>
          <t>Public payer</t>
        </is>
      </c>
      <c r="J1273" t="inlineStr">
        <is>
          <t>Aisha Bello</t>
        </is>
      </c>
      <c r="K1273" s="70" t="n">
        <v>2444</v>
      </c>
      <c r="L1273" s="71" t="n">
        <v>186.29</v>
      </c>
      <c r="M1273" s="71" t="n">
        <v>455292.76</v>
      </c>
      <c r="N1273" s="71" t="n">
        <v>91058.55</v>
      </c>
      <c r="O1273" s="71" t="n">
        <v>364234.21</v>
      </c>
      <c r="P1273" s="71" t="n">
        <v>92525.12</v>
      </c>
      <c r="Q1273" s="71" t="n">
        <v>271709.09</v>
      </c>
      <c r="R1273" t="inlineStr">
        <is>
          <t>Vaccines</t>
        </is>
      </c>
      <c r="S1273" s="70" t="n">
        <v>2289</v>
      </c>
      <c r="T1273" s="71" t="n">
        <v>74355.09</v>
      </c>
      <c r="U1273" t="inlineStr">
        <is>
          <t>Low</t>
        </is>
      </c>
      <c r="V1273">
        <f>IF(AND(OR(Dashboard!$C$6="All",E1273=Dashboard!$C$6),OR(Dashboard!$F$6="All",G1273=Dashboard!$F$6),OR(Dashboard!$I$6="All",H1273=Dashboard!$I$6)),1,0)</f>
        <v/>
      </c>
    </row>
    <row r="1274">
      <c r="A1274" t="inlineStr">
        <is>
          <t>PF101265</t>
        </is>
      </c>
      <c r="B1274" s="68" t="n">
        <v>45811</v>
      </c>
      <c r="C1274" s="69" t="n">
        <v>2025</v>
      </c>
      <c r="D1274" t="inlineStr">
        <is>
          <t>Jun</t>
        </is>
      </c>
      <c r="E1274" t="inlineStr">
        <is>
          <t>Emerging markets</t>
        </is>
      </c>
      <c r="F1274" t="inlineStr">
        <is>
          <t>India</t>
        </is>
      </c>
      <c r="G1274" t="inlineStr">
        <is>
          <t>Eliquis</t>
        </is>
      </c>
      <c r="H1274" t="inlineStr">
        <is>
          <t>Government / tender</t>
        </is>
      </c>
      <c r="I1274" t="inlineStr">
        <is>
          <t>Public payer</t>
        </is>
      </c>
      <c r="J1274" t="inlineStr">
        <is>
          <t>Ravindra Patil</t>
        </is>
      </c>
      <c r="K1274" s="70" t="n">
        <v>746</v>
      </c>
      <c r="L1274" s="71" t="n">
        <v>382.15</v>
      </c>
      <c r="M1274" s="71" t="n">
        <v>285083.9</v>
      </c>
      <c r="N1274" s="71" t="n">
        <v>14254.2</v>
      </c>
      <c r="O1274" s="71" t="n">
        <v>270829.7</v>
      </c>
      <c r="P1274" s="71" t="n">
        <v>54475.77</v>
      </c>
      <c r="Q1274" s="71" t="n">
        <v>216353.93</v>
      </c>
      <c r="R1274" t="inlineStr">
        <is>
          <t>Cardiology</t>
        </is>
      </c>
      <c r="S1274" s="70" t="n">
        <v>598</v>
      </c>
      <c r="T1274" s="71" t="n">
        <v>54057.66</v>
      </c>
      <c r="U1274" t="inlineStr">
        <is>
          <t>High</t>
        </is>
      </c>
      <c r="V1274">
        <f>IF(AND(OR(Dashboard!$C$6="All",E1274=Dashboard!$C$6),OR(Dashboard!$F$6="All",G1274=Dashboard!$F$6),OR(Dashboard!$I$6="All",H1274=Dashboard!$I$6)),1,0)</f>
        <v/>
      </c>
    </row>
    <row r="1275">
      <c r="A1275" t="inlineStr">
        <is>
          <t>PF101266</t>
        </is>
      </c>
      <c r="B1275" s="68" t="n">
        <v>45811</v>
      </c>
      <c r="C1275" s="69" t="n">
        <v>2025</v>
      </c>
      <c r="D1275" t="inlineStr">
        <is>
          <t>Jun</t>
        </is>
      </c>
      <c r="E1275" t="inlineStr">
        <is>
          <t>United States</t>
        </is>
      </c>
      <c r="F1275" t="inlineStr">
        <is>
          <t>USA</t>
        </is>
      </c>
      <c r="G1275" t="inlineStr">
        <is>
          <t>Ibrance</t>
        </is>
      </c>
      <c r="H1275" t="inlineStr">
        <is>
          <t>Hospital</t>
        </is>
      </c>
      <c r="I1275" t="inlineStr">
        <is>
          <t>Private insurer</t>
        </is>
      </c>
      <c r="J1275" t="inlineStr">
        <is>
          <t>Yuki Sato</t>
        </is>
      </c>
      <c r="K1275" s="70" t="n">
        <v>376</v>
      </c>
      <c r="L1275" s="71" t="n">
        <v>4753.02</v>
      </c>
      <c r="M1275" s="71" t="n">
        <v>1787135.52</v>
      </c>
      <c r="N1275" s="71" t="n">
        <v>536140.66</v>
      </c>
      <c r="O1275" s="71" t="n">
        <v>1250994.86</v>
      </c>
      <c r="P1275" s="71" t="n">
        <v>162325.74</v>
      </c>
      <c r="Q1275" s="71" t="n">
        <v>1088669.12</v>
      </c>
      <c r="R1275" t="inlineStr">
        <is>
          <t>Oncology</t>
        </is>
      </c>
      <c r="S1275" s="70" t="n">
        <v>282</v>
      </c>
      <c r="T1275" s="71" t="n">
        <v>383962.88</v>
      </c>
      <c r="U1275" t="inlineStr">
        <is>
          <t>High</t>
        </is>
      </c>
      <c r="V1275">
        <f>IF(AND(OR(Dashboard!$C$6="All",E1275=Dashboard!$C$6),OR(Dashboard!$F$6="All",G1275=Dashboard!$F$6),OR(Dashboard!$I$6="All",H1275=Dashboard!$I$6)),1,0)</f>
        <v/>
      </c>
    </row>
    <row r="1276">
      <c r="A1276" t="inlineStr">
        <is>
          <t>PF101267</t>
        </is>
      </c>
      <c r="B1276" s="68" t="n">
        <v>45811</v>
      </c>
      <c r="C1276" s="69" t="n">
        <v>2025</v>
      </c>
      <c r="D1276" t="inlineStr">
        <is>
          <t>Jun</t>
        </is>
      </c>
      <c r="E1276" t="inlineStr">
        <is>
          <t>Emerging markets</t>
        </is>
      </c>
      <c r="F1276" t="inlineStr">
        <is>
          <t>Mexico</t>
        </is>
      </c>
      <c r="G1276" t="inlineStr">
        <is>
          <t>Prevnar 20</t>
        </is>
      </c>
      <c r="H1276" t="inlineStr">
        <is>
          <t>Hospital</t>
        </is>
      </c>
      <c r="I1276" t="inlineStr">
        <is>
          <t>Private insurer</t>
        </is>
      </c>
      <c r="J1276" t="inlineStr">
        <is>
          <t>Emma Clarke</t>
        </is>
      </c>
      <c r="K1276" s="70" t="n">
        <v>1944</v>
      </c>
      <c r="L1276" s="71" t="n">
        <v>214.56</v>
      </c>
      <c r="M1276" s="71" t="n">
        <v>417104.64</v>
      </c>
      <c r="N1276" s="71" t="n">
        <v>20855.23</v>
      </c>
      <c r="O1276" s="71" t="n">
        <v>396249.41</v>
      </c>
      <c r="P1276" s="71" t="n">
        <v>137332.24</v>
      </c>
      <c r="Q1276" s="71" t="n">
        <v>258917.17</v>
      </c>
      <c r="R1276" t="inlineStr">
        <is>
          <t>Vaccines</t>
        </is>
      </c>
      <c r="S1276" s="70" t="n">
        <v>1679</v>
      </c>
      <c r="T1276" s="71" t="n">
        <v>73360.03999999999</v>
      </c>
      <c r="U1276" t="inlineStr">
        <is>
          <t>Low</t>
        </is>
      </c>
      <c r="V1276">
        <f>IF(AND(OR(Dashboard!$C$6="All",E1276=Dashboard!$C$6),OR(Dashboard!$F$6="All",G1276=Dashboard!$F$6),OR(Dashboard!$I$6="All",H1276=Dashboard!$I$6)),1,0)</f>
        <v/>
      </c>
    </row>
    <row r="1277">
      <c r="A1277" t="inlineStr">
        <is>
          <t>PF101268</t>
        </is>
      </c>
      <c r="B1277" s="68" t="n">
        <v>45811</v>
      </c>
      <c r="C1277" s="69" t="n">
        <v>2025</v>
      </c>
      <c r="D1277" t="inlineStr">
        <is>
          <t>Jun</t>
        </is>
      </c>
      <c r="E1277" t="inlineStr">
        <is>
          <t>Europe</t>
        </is>
      </c>
      <c r="F1277" t="inlineStr">
        <is>
          <t>Italy</t>
        </is>
      </c>
      <c r="G1277" t="inlineStr">
        <is>
          <t>Ibrance</t>
        </is>
      </c>
      <c r="H1277" t="inlineStr">
        <is>
          <t>Hospital</t>
        </is>
      </c>
      <c r="I1277" t="inlineStr">
        <is>
          <t>Private insurer</t>
        </is>
      </c>
      <c r="J1277" t="inlineStr">
        <is>
          <t>Lucas Martin</t>
        </is>
      </c>
      <c r="K1277" s="70" t="n">
        <v>279</v>
      </c>
      <c r="L1277" s="71" t="n">
        <v>2678.36</v>
      </c>
      <c r="M1277" s="71" t="n">
        <v>747262.4399999999</v>
      </c>
      <c r="N1277" s="71" t="n">
        <v>112089.37</v>
      </c>
      <c r="O1277" s="71" t="n">
        <v>635173.0699999999</v>
      </c>
      <c r="P1277" s="71" t="n">
        <v>123105.37</v>
      </c>
      <c r="Q1277" s="71" t="n">
        <v>512067.7</v>
      </c>
      <c r="R1277" t="inlineStr">
        <is>
          <t>Oncology</t>
        </is>
      </c>
      <c r="S1277" s="70" t="n">
        <v>192</v>
      </c>
      <c r="T1277" s="71" t="n">
        <v>115062.76</v>
      </c>
      <c r="U1277" t="inlineStr">
        <is>
          <t>High</t>
        </is>
      </c>
      <c r="V1277">
        <f>IF(AND(OR(Dashboard!$C$6="All",E1277=Dashboard!$C$6),OR(Dashboard!$F$6="All",G1277=Dashboard!$F$6),OR(Dashboard!$I$6="All",H1277=Dashboard!$I$6)),1,0)</f>
        <v/>
      </c>
    </row>
    <row r="1278">
      <c r="A1278" t="inlineStr">
        <is>
          <t>PF101269</t>
        </is>
      </c>
      <c r="B1278" s="68" t="n">
        <v>45811</v>
      </c>
      <c r="C1278" s="69" t="n">
        <v>2025</v>
      </c>
      <c r="D1278" t="inlineStr">
        <is>
          <t>Jun</t>
        </is>
      </c>
      <c r="E1278" t="inlineStr">
        <is>
          <t>International developed</t>
        </is>
      </c>
      <c r="F1278" t="inlineStr">
        <is>
          <t>Japan</t>
        </is>
      </c>
      <c r="G1278" t="inlineStr">
        <is>
          <t>Comirnaty</t>
        </is>
      </c>
      <c r="H1278" t="inlineStr">
        <is>
          <t>Retail pharmacy</t>
        </is>
      </c>
      <c r="I1278" t="inlineStr">
        <is>
          <t>Public payer</t>
        </is>
      </c>
      <c r="J1278" t="inlineStr">
        <is>
          <t>Amir Khan</t>
        </is>
      </c>
      <c r="K1278" s="70" t="n">
        <v>1062</v>
      </c>
      <c r="L1278" s="71" t="n">
        <v>102.11</v>
      </c>
      <c r="M1278" s="71" t="n">
        <v>108440.82</v>
      </c>
      <c r="N1278" s="71" t="n">
        <v>21688.16</v>
      </c>
      <c r="O1278" s="71" t="n">
        <v>86752.66</v>
      </c>
      <c r="P1278" s="71" t="n">
        <v>40538.04</v>
      </c>
      <c r="Q1278" s="71" t="n">
        <v>46214.62</v>
      </c>
      <c r="R1278" t="inlineStr">
        <is>
          <t>Vaccines</t>
        </is>
      </c>
      <c r="S1278" s="70" t="n">
        <v>865</v>
      </c>
      <c r="T1278" s="71" t="n">
        <v>19342.43</v>
      </c>
      <c r="U1278" t="inlineStr">
        <is>
          <t>Low</t>
        </is>
      </c>
      <c r="V1278">
        <f>IF(AND(OR(Dashboard!$C$6="All",E1278=Dashboard!$C$6),OR(Dashboard!$F$6="All",G1278=Dashboard!$F$6),OR(Dashboard!$I$6="All",H1278=Dashboard!$I$6)),1,0)</f>
        <v/>
      </c>
    </row>
    <row r="1279">
      <c r="A1279" t="inlineStr">
        <is>
          <t>PF101270</t>
        </is>
      </c>
      <c r="B1279" s="68" t="n">
        <v>45811</v>
      </c>
      <c r="C1279" s="69" t="n">
        <v>2025</v>
      </c>
      <c r="D1279" t="inlineStr">
        <is>
          <t>Jun</t>
        </is>
      </c>
      <c r="E1279" t="inlineStr">
        <is>
          <t>United States</t>
        </is>
      </c>
      <c r="F1279" t="inlineStr">
        <is>
          <t>USA</t>
        </is>
      </c>
      <c r="G1279" t="inlineStr">
        <is>
          <t>Prevnar 20</t>
        </is>
      </c>
      <c r="H1279" t="inlineStr">
        <is>
          <t>Retail pharmacy</t>
        </is>
      </c>
      <c r="I1279" t="inlineStr">
        <is>
          <t>Public payer</t>
        </is>
      </c>
      <c r="J1279" t="inlineStr">
        <is>
          <t>Noah Smith</t>
        </is>
      </c>
      <c r="K1279" s="70" t="n">
        <v>2068</v>
      </c>
      <c r="L1279" s="71" t="n">
        <v>362.77</v>
      </c>
      <c r="M1279" s="71" t="n">
        <v>750208.36</v>
      </c>
      <c r="N1279" s="71" t="n">
        <v>112531.25</v>
      </c>
      <c r="O1279" s="71" t="n">
        <v>637677.11</v>
      </c>
      <c r="P1279" s="71" t="n">
        <v>142900.95</v>
      </c>
      <c r="Q1279" s="71" t="n">
        <v>494776.16</v>
      </c>
      <c r="R1279" t="inlineStr">
        <is>
          <t>Vaccines</t>
        </is>
      </c>
      <c r="S1279" s="70" t="n">
        <v>1386</v>
      </c>
      <c r="T1279" s="71" t="n">
        <v>130912.51</v>
      </c>
      <c r="U1279" t="inlineStr">
        <is>
          <t>Low</t>
        </is>
      </c>
      <c r="V1279">
        <f>IF(AND(OR(Dashboard!$C$6="All",E1279=Dashboard!$C$6),OR(Dashboard!$F$6="All",G1279=Dashboard!$F$6),OR(Dashboard!$I$6="All",H1279=Dashboard!$I$6)),1,0)</f>
        <v/>
      </c>
    </row>
    <row r="1280">
      <c r="A1280" t="inlineStr">
        <is>
          <t>PF101271</t>
        </is>
      </c>
      <c r="B1280" s="68" t="n">
        <v>45811</v>
      </c>
      <c r="C1280" s="69" t="n">
        <v>2025</v>
      </c>
      <c r="D1280" t="inlineStr">
        <is>
          <t>Jun</t>
        </is>
      </c>
      <c r="E1280" t="inlineStr">
        <is>
          <t>Emerging markets</t>
        </is>
      </c>
      <c r="F1280" t="inlineStr">
        <is>
          <t>Mexico</t>
        </is>
      </c>
      <c r="G1280" t="inlineStr">
        <is>
          <t>Abrysvo</t>
        </is>
      </c>
      <c r="H1280" t="inlineStr">
        <is>
          <t>Retail pharmacy</t>
        </is>
      </c>
      <c r="I1280" t="inlineStr">
        <is>
          <t>Private insurer</t>
        </is>
      </c>
      <c r="J1280" t="inlineStr">
        <is>
          <t>Ravindra Patil</t>
        </is>
      </c>
      <c r="K1280" s="70" t="n">
        <v>2045</v>
      </c>
      <c r="L1280" s="71" t="n">
        <v>274</v>
      </c>
      <c r="M1280" s="71" t="n">
        <v>560330</v>
      </c>
      <c r="N1280" s="71" t="n">
        <v>112066</v>
      </c>
      <c r="O1280" s="71" t="n">
        <v>448264</v>
      </c>
      <c r="P1280" s="71" t="n">
        <v>173979.36</v>
      </c>
      <c r="Q1280" s="71" t="n">
        <v>274284.64</v>
      </c>
      <c r="R1280" t="inlineStr">
        <is>
          <t>Vaccines</t>
        </is>
      </c>
      <c r="S1280" s="70" t="n">
        <v>1595</v>
      </c>
      <c r="T1280" s="71" t="n">
        <v>101576.82</v>
      </c>
      <c r="U1280" t="inlineStr">
        <is>
          <t>Low</t>
        </is>
      </c>
      <c r="V1280">
        <f>IF(AND(OR(Dashboard!$C$6="All",E1280=Dashboard!$C$6),OR(Dashboard!$F$6="All",G1280=Dashboard!$F$6),OR(Dashboard!$I$6="All",H1280=Dashboard!$I$6)),1,0)</f>
        <v/>
      </c>
    </row>
    <row r="1281">
      <c r="A1281" t="inlineStr">
        <is>
          <t>PF101272</t>
        </is>
      </c>
      <c r="B1281" s="68" t="n">
        <v>45811</v>
      </c>
      <c r="C1281" s="69" t="n">
        <v>2025</v>
      </c>
      <c r="D1281" t="inlineStr">
        <is>
          <t>Jun</t>
        </is>
      </c>
      <c r="E1281" t="inlineStr">
        <is>
          <t>International developed</t>
        </is>
      </c>
      <c r="F1281" t="inlineStr">
        <is>
          <t>Canada</t>
        </is>
      </c>
      <c r="G1281" t="inlineStr">
        <is>
          <t>Abrysvo</t>
        </is>
      </c>
      <c r="H1281" t="inlineStr">
        <is>
          <t>Hospital</t>
        </is>
      </c>
      <c r="I1281" t="inlineStr">
        <is>
          <t>Public payer</t>
        </is>
      </c>
      <c r="J1281" t="inlineStr">
        <is>
          <t>Sophie Müller</t>
        </is>
      </c>
      <c r="K1281" s="70" t="n">
        <v>1023</v>
      </c>
      <c r="L1281" s="71" t="n">
        <v>256.49</v>
      </c>
      <c r="M1281" s="71" t="n">
        <v>262389.27</v>
      </c>
      <c r="N1281" s="71" t="n">
        <v>65597.32000000001</v>
      </c>
      <c r="O1281" s="71" t="n">
        <v>196791.95</v>
      </c>
      <c r="P1281" s="71" t="n">
        <v>86482.07000000001</v>
      </c>
      <c r="Q1281" s="71" t="n">
        <v>110309.88</v>
      </c>
      <c r="R1281" t="inlineStr">
        <is>
          <t>Vaccines</t>
        </is>
      </c>
      <c r="S1281" s="70" t="n">
        <v>850</v>
      </c>
      <c r="T1281" s="71" t="n">
        <v>48722.45</v>
      </c>
      <c r="U1281" t="inlineStr">
        <is>
          <t>Low</t>
        </is>
      </c>
      <c r="V1281">
        <f>IF(AND(OR(Dashboard!$C$6="All",E1281=Dashboard!$C$6),OR(Dashboard!$F$6="All",G1281=Dashboard!$F$6),OR(Dashboard!$I$6="All",H1281=Dashboard!$I$6)),1,0)</f>
        <v/>
      </c>
    </row>
    <row r="1282">
      <c r="A1282" t="inlineStr">
        <is>
          <t>PF101273</t>
        </is>
      </c>
      <c r="B1282" s="68" t="n">
        <v>45811</v>
      </c>
      <c r="C1282" s="69" t="n">
        <v>2025</v>
      </c>
      <c r="D1282" t="inlineStr">
        <is>
          <t>Jun</t>
        </is>
      </c>
      <c r="E1282" t="inlineStr">
        <is>
          <t>United States</t>
        </is>
      </c>
      <c r="F1282" t="inlineStr">
        <is>
          <t>USA</t>
        </is>
      </c>
      <c r="G1282" t="inlineStr">
        <is>
          <t>Abrysvo</t>
        </is>
      </c>
      <c r="H1282" t="inlineStr">
        <is>
          <t>Retail pharmacy</t>
        </is>
      </c>
      <c r="I1282" t="inlineStr">
        <is>
          <t>Private insurer</t>
        </is>
      </c>
      <c r="J1282" t="inlineStr">
        <is>
          <t>Liam O'Brien</t>
        </is>
      </c>
      <c r="K1282" s="70" t="n">
        <v>2354</v>
      </c>
      <c r="L1282" s="71" t="n">
        <v>483.87</v>
      </c>
      <c r="M1282" s="71" t="n">
        <v>1139029.98</v>
      </c>
      <c r="N1282" s="71" t="n">
        <v>341708.99</v>
      </c>
      <c r="O1282" s="71" t="n">
        <v>797320.99</v>
      </c>
      <c r="P1282" s="71" t="n">
        <v>195325.67</v>
      </c>
      <c r="Q1282" s="71" t="n">
        <v>601995.3199999999</v>
      </c>
      <c r="R1282" t="inlineStr">
        <is>
          <t>Vaccines</t>
        </is>
      </c>
      <c r="S1282" s="70" t="n">
        <v>1905</v>
      </c>
      <c r="T1282" s="71" t="n">
        <v>227498.46</v>
      </c>
      <c r="U1282" t="inlineStr">
        <is>
          <t>Low</t>
        </is>
      </c>
      <c r="V1282">
        <f>IF(AND(OR(Dashboard!$C$6="All",E1282=Dashboard!$C$6),OR(Dashboard!$F$6="All",G1282=Dashboard!$F$6),OR(Dashboard!$I$6="All",H1282=Dashboard!$I$6)),1,0)</f>
        <v/>
      </c>
    </row>
    <row r="1283">
      <c r="A1283" t="inlineStr">
        <is>
          <t>PF101274</t>
        </is>
      </c>
      <c r="B1283" s="68" t="n">
        <v>45811</v>
      </c>
      <c r="C1283" s="69" t="n">
        <v>2025</v>
      </c>
      <c r="D1283" t="inlineStr">
        <is>
          <t>Jun</t>
        </is>
      </c>
      <c r="E1283" t="inlineStr">
        <is>
          <t>United States</t>
        </is>
      </c>
      <c r="F1283" t="inlineStr">
        <is>
          <t>USA</t>
        </is>
      </c>
      <c r="G1283" t="inlineStr">
        <is>
          <t>Eliquis</t>
        </is>
      </c>
      <c r="H1283" t="inlineStr">
        <is>
          <t>Retail pharmacy</t>
        </is>
      </c>
      <c r="I1283" t="inlineStr">
        <is>
          <t>Public payer</t>
        </is>
      </c>
      <c r="J1283" t="inlineStr">
        <is>
          <t>Emma Clarke</t>
        </is>
      </c>
      <c r="K1283" s="70" t="n">
        <v>2607</v>
      </c>
      <c r="L1283" s="71" t="n">
        <v>607.33</v>
      </c>
      <c r="M1283" s="71" t="n">
        <v>1583309.31</v>
      </c>
      <c r="N1283" s="71" t="n">
        <v>316661.86</v>
      </c>
      <c r="O1283" s="71" t="n">
        <v>1266647.45</v>
      </c>
      <c r="P1283" s="71" t="n">
        <v>189440.78</v>
      </c>
      <c r="Q1283" s="71" t="n">
        <v>1077206.67</v>
      </c>
      <c r="R1283" t="inlineStr">
        <is>
          <t>Cardiology</t>
        </is>
      </c>
      <c r="S1283" s="70" t="n">
        <v>2502</v>
      </c>
      <c r="T1283" s="71" t="n">
        <v>240506.29</v>
      </c>
      <c r="U1283" t="inlineStr">
        <is>
          <t>High</t>
        </is>
      </c>
      <c r="V1283">
        <f>IF(AND(OR(Dashboard!$C$6="All",E1283=Dashboard!$C$6),OR(Dashboard!$F$6="All",G1283=Dashboard!$F$6),OR(Dashboard!$I$6="All",H1283=Dashboard!$I$6)),1,0)</f>
        <v/>
      </c>
    </row>
    <row r="1284">
      <c r="A1284" t="inlineStr">
        <is>
          <t>PF101275</t>
        </is>
      </c>
      <c r="B1284" s="68" t="n">
        <v>45812</v>
      </c>
      <c r="C1284" s="69" t="n">
        <v>2025</v>
      </c>
      <c r="D1284" t="inlineStr">
        <is>
          <t>Jun</t>
        </is>
      </c>
      <c r="E1284" t="inlineStr">
        <is>
          <t>Emerging markets</t>
        </is>
      </c>
      <c r="F1284" t="inlineStr">
        <is>
          <t>India</t>
        </is>
      </c>
      <c r="G1284" t="inlineStr">
        <is>
          <t>Paxlovid</t>
        </is>
      </c>
      <c r="H1284" t="inlineStr">
        <is>
          <t>Retail pharmacy</t>
        </is>
      </c>
      <c r="I1284" t="inlineStr">
        <is>
          <t>Public payer</t>
        </is>
      </c>
      <c r="J1284" t="inlineStr">
        <is>
          <t>Arjun Mehta</t>
        </is>
      </c>
      <c r="K1284" s="70" t="n">
        <v>1907</v>
      </c>
      <c r="L1284" s="71" t="n">
        <v>1127.74</v>
      </c>
      <c r="M1284" s="71" t="n">
        <v>2150600.18</v>
      </c>
      <c r="N1284" s="71" t="n">
        <v>215060.02</v>
      </c>
      <c r="O1284" s="71" t="n">
        <v>1935540.16</v>
      </c>
      <c r="P1284" s="71" t="n">
        <v>531750.85</v>
      </c>
      <c r="Q1284" s="71" t="n">
        <v>1403789.31</v>
      </c>
      <c r="R1284" t="inlineStr">
        <is>
          <t>Antiviral</t>
        </is>
      </c>
      <c r="S1284" s="70" t="n">
        <v>1320</v>
      </c>
      <c r="T1284" s="71" t="n">
        <v>267471.82</v>
      </c>
      <c r="U1284" t="inlineStr">
        <is>
          <t>Low</t>
        </is>
      </c>
      <c r="V1284">
        <f>IF(AND(OR(Dashboard!$C$6="All",E1284=Dashboard!$C$6),OR(Dashboard!$F$6="All",G1284=Dashboard!$F$6),OR(Dashboard!$I$6="All",H1284=Dashboard!$I$6)),1,0)</f>
        <v/>
      </c>
    </row>
    <row r="1285">
      <c r="A1285" t="inlineStr">
        <is>
          <t>PF101276</t>
        </is>
      </c>
      <c r="B1285" s="68" t="n">
        <v>45812</v>
      </c>
      <c r="C1285" s="69" t="n">
        <v>2025</v>
      </c>
      <c r="D1285" t="inlineStr">
        <is>
          <t>Jun</t>
        </is>
      </c>
      <c r="E1285" t="inlineStr">
        <is>
          <t>Europe</t>
        </is>
      </c>
      <c r="F1285" t="inlineStr">
        <is>
          <t>Germany</t>
        </is>
      </c>
      <c r="G1285" t="inlineStr">
        <is>
          <t>Prevnar 20</t>
        </is>
      </c>
      <c r="H1285" t="inlineStr">
        <is>
          <t>Hospital</t>
        </is>
      </c>
      <c r="I1285" t="inlineStr">
        <is>
          <t>Public payer</t>
        </is>
      </c>
      <c r="J1285" t="inlineStr">
        <is>
          <t>Yuki Sato</t>
        </is>
      </c>
      <c r="K1285" s="70" t="n">
        <v>867</v>
      </c>
      <c r="L1285" s="71" t="n">
        <v>209.9</v>
      </c>
      <c r="M1285" s="71" t="n">
        <v>181983.3</v>
      </c>
      <c r="N1285" s="71" t="n">
        <v>45495.82</v>
      </c>
      <c r="O1285" s="71" t="n">
        <v>136487.48</v>
      </c>
      <c r="P1285" s="71" t="n">
        <v>60989.17</v>
      </c>
      <c r="Q1285" s="71" t="n">
        <v>75498.31</v>
      </c>
      <c r="R1285" t="inlineStr">
        <is>
          <t>Vaccines</t>
        </is>
      </c>
      <c r="S1285" s="70" t="n">
        <v>577</v>
      </c>
      <c r="T1285" s="71" t="n">
        <v>23301.5</v>
      </c>
      <c r="U1285" t="inlineStr">
        <is>
          <t>Low</t>
        </is>
      </c>
      <c r="V1285">
        <f>IF(AND(OR(Dashboard!$C$6="All",E1285=Dashboard!$C$6),OR(Dashboard!$F$6="All",G1285=Dashboard!$F$6),OR(Dashboard!$I$6="All",H1285=Dashboard!$I$6)),1,0)</f>
        <v/>
      </c>
    </row>
    <row r="1286">
      <c r="A1286" t="inlineStr">
        <is>
          <t>PF101277</t>
        </is>
      </c>
      <c r="B1286" s="68" t="n">
        <v>45812</v>
      </c>
      <c r="C1286" s="69" t="n">
        <v>2025</v>
      </c>
      <c r="D1286" t="inlineStr">
        <is>
          <t>Jun</t>
        </is>
      </c>
      <c r="E1286" t="inlineStr">
        <is>
          <t>Europe</t>
        </is>
      </c>
      <c r="F1286" t="inlineStr">
        <is>
          <t>Spain</t>
        </is>
      </c>
      <c r="G1286" t="inlineStr">
        <is>
          <t>Paxlovid</t>
        </is>
      </c>
      <c r="H1286" t="inlineStr">
        <is>
          <t>Hospital</t>
        </is>
      </c>
      <c r="I1286" t="inlineStr">
        <is>
          <t>Private insurer</t>
        </is>
      </c>
      <c r="J1286" t="inlineStr">
        <is>
          <t>Kofi Mensah</t>
        </is>
      </c>
      <c r="K1286" s="70" t="n">
        <v>2942</v>
      </c>
      <c r="L1286" s="71" t="n">
        <v>1006.58</v>
      </c>
      <c r="M1286" s="71" t="n">
        <v>2961358.36</v>
      </c>
      <c r="N1286" s="71" t="n">
        <v>296135.84</v>
      </c>
      <c r="O1286" s="71" t="n">
        <v>2665222.52</v>
      </c>
      <c r="P1286" s="71" t="n">
        <v>813303.66</v>
      </c>
      <c r="Q1286" s="71" t="n">
        <v>1851918.86</v>
      </c>
      <c r="R1286" t="inlineStr">
        <is>
          <t>Antiviral</t>
        </is>
      </c>
      <c r="S1286" s="70" t="n">
        <v>2510</v>
      </c>
      <c r="T1286" s="71" t="n">
        <v>588881.4399999999</v>
      </c>
      <c r="U1286" t="inlineStr">
        <is>
          <t>Low</t>
        </is>
      </c>
      <c r="V1286">
        <f>IF(AND(OR(Dashboard!$C$6="All",E1286=Dashboard!$C$6),OR(Dashboard!$F$6="All",G1286=Dashboard!$F$6),OR(Dashboard!$I$6="All",H1286=Dashboard!$I$6)),1,0)</f>
        <v/>
      </c>
    </row>
    <row r="1287">
      <c r="A1287" t="inlineStr">
        <is>
          <t>PF101278</t>
        </is>
      </c>
      <c r="B1287" s="68" t="n">
        <v>45812</v>
      </c>
      <c r="C1287" s="69" t="n">
        <v>2025</v>
      </c>
      <c r="D1287" t="inlineStr">
        <is>
          <t>Jun</t>
        </is>
      </c>
      <c r="E1287" t="inlineStr">
        <is>
          <t>Europe</t>
        </is>
      </c>
      <c r="F1287" t="inlineStr">
        <is>
          <t>Italy</t>
        </is>
      </c>
      <c r="G1287" t="inlineStr">
        <is>
          <t>Eliquis</t>
        </is>
      </c>
      <c r="H1287" t="inlineStr">
        <is>
          <t>Retail pharmacy</t>
        </is>
      </c>
      <c r="I1287" t="inlineStr">
        <is>
          <t>Public payer</t>
        </is>
      </c>
      <c r="J1287" t="inlineStr">
        <is>
          <t>Aisha Bello</t>
        </is>
      </c>
      <c r="K1287" s="70" t="n">
        <v>1371</v>
      </c>
      <c r="L1287" s="71" t="n">
        <v>448.66</v>
      </c>
      <c r="M1287" s="71" t="n">
        <v>615112.86</v>
      </c>
      <c r="N1287" s="71" t="n">
        <v>153778.21</v>
      </c>
      <c r="O1287" s="71" t="n">
        <v>461334.65</v>
      </c>
      <c r="P1287" s="71" t="n">
        <v>106149.12</v>
      </c>
      <c r="Q1287" s="71" t="n">
        <v>355185.53</v>
      </c>
      <c r="R1287" t="inlineStr">
        <is>
          <t>Cardiology</t>
        </is>
      </c>
      <c r="S1287" s="70" t="n">
        <v>1075</v>
      </c>
      <c r="T1287" s="71" t="n">
        <v>96156.85000000001</v>
      </c>
      <c r="U1287" t="inlineStr">
        <is>
          <t>High</t>
        </is>
      </c>
      <c r="V1287">
        <f>IF(AND(OR(Dashboard!$C$6="All",E1287=Dashboard!$C$6),OR(Dashboard!$F$6="All",G1287=Dashboard!$F$6),OR(Dashboard!$I$6="All",H1287=Dashboard!$I$6)),1,0)</f>
        <v/>
      </c>
    </row>
    <row r="1288">
      <c r="A1288" t="inlineStr">
        <is>
          <t>PF101279</t>
        </is>
      </c>
      <c r="B1288" s="68" t="n">
        <v>45812</v>
      </c>
      <c r="C1288" s="69" t="n">
        <v>2025</v>
      </c>
      <c r="D1288" t="inlineStr">
        <is>
          <t>Jun</t>
        </is>
      </c>
      <c r="E1288" t="inlineStr">
        <is>
          <t>Emerging markets</t>
        </is>
      </c>
      <c r="F1288" t="inlineStr">
        <is>
          <t>China</t>
        </is>
      </c>
      <c r="G1288" t="inlineStr">
        <is>
          <t>Ibrance</t>
        </is>
      </c>
      <c r="H1288" t="inlineStr">
        <is>
          <t>Retail pharmacy</t>
        </is>
      </c>
      <c r="I1288" t="inlineStr">
        <is>
          <t>Private insurer</t>
        </is>
      </c>
      <c r="J1288" t="inlineStr">
        <is>
          <t>Olivia Brown</t>
        </is>
      </c>
      <c r="K1288" s="70" t="n">
        <v>1921</v>
      </c>
      <c r="L1288" s="71" t="n">
        <v>2804.44</v>
      </c>
      <c r="M1288" s="71" t="n">
        <v>5387329.24</v>
      </c>
      <c r="N1288" s="71" t="n">
        <v>1346832.31</v>
      </c>
      <c r="O1288" s="71" t="n">
        <v>4040496.93</v>
      </c>
      <c r="P1288" s="71" t="n">
        <v>858194.42</v>
      </c>
      <c r="Q1288" s="71" t="n">
        <v>3182302.51</v>
      </c>
      <c r="R1288" t="inlineStr">
        <is>
          <t>Oncology</t>
        </is>
      </c>
      <c r="S1288" s="70" t="n">
        <v>1909</v>
      </c>
      <c r="T1288" s="71" t="n">
        <v>746016.96</v>
      </c>
      <c r="U1288" t="inlineStr">
        <is>
          <t>High</t>
        </is>
      </c>
      <c r="V1288">
        <f>IF(AND(OR(Dashboard!$C$6="All",E1288=Dashboard!$C$6),OR(Dashboard!$F$6="All",G1288=Dashboard!$F$6),OR(Dashboard!$I$6="All",H1288=Dashboard!$I$6)),1,0)</f>
        <v/>
      </c>
    </row>
    <row r="1289">
      <c r="A1289" t="inlineStr">
        <is>
          <t>PF101280</t>
        </is>
      </c>
      <c r="B1289" s="68" t="n">
        <v>45812</v>
      </c>
      <c r="C1289" s="69" t="n">
        <v>2025</v>
      </c>
      <c r="D1289" t="inlineStr">
        <is>
          <t>Jun</t>
        </is>
      </c>
      <c r="E1289" t="inlineStr">
        <is>
          <t>United States</t>
        </is>
      </c>
      <c r="F1289" t="inlineStr">
        <is>
          <t>USA</t>
        </is>
      </c>
      <c r="G1289" t="inlineStr">
        <is>
          <t>Eliquis</t>
        </is>
      </c>
      <c r="H1289" t="inlineStr">
        <is>
          <t>Retail pharmacy</t>
        </is>
      </c>
      <c r="I1289" t="inlineStr">
        <is>
          <t>Private insurer</t>
        </is>
      </c>
      <c r="J1289" t="inlineStr">
        <is>
          <t>Ruhi Shaikh</t>
        </is>
      </c>
      <c r="K1289" s="70" t="n">
        <v>2813</v>
      </c>
      <c r="L1289" s="71" t="n">
        <v>616.51</v>
      </c>
      <c r="M1289" s="71" t="n">
        <v>1734242.63</v>
      </c>
      <c r="N1289" s="71" t="n">
        <v>433560.66</v>
      </c>
      <c r="O1289" s="71" t="n">
        <v>1300681.97</v>
      </c>
      <c r="P1289" s="71" t="n">
        <v>205036.7</v>
      </c>
      <c r="Q1289" s="71" t="n">
        <v>1095645.27</v>
      </c>
      <c r="R1289" t="inlineStr">
        <is>
          <t>Cardiology</t>
        </is>
      </c>
      <c r="S1289" s="70" t="n">
        <v>2239</v>
      </c>
      <c r="T1289" s="71" t="n">
        <v>249224.18</v>
      </c>
      <c r="U1289" t="inlineStr">
        <is>
          <t>High</t>
        </is>
      </c>
      <c r="V1289">
        <f>IF(AND(OR(Dashboard!$C$6="All",E1289=Dashboard!$C$6),OR(Dashboard!$F$6="All",G1289=Dashboard!$F$6),OR(Dashboard!$I$6="All",H1289=Dashboard!$I$6)),1,0)</f>
        <v/>
      </c>
    </row>
    <row r="1290">
      <c r="A1290" t="inlineStr">
        <is>
          <t>PF101281</t>
        </is>
      </c>
      <c r="B1290" s="68" t="n">
        <v>45812</v>
      </c>
      <c r="C1290" s="69" t="n">
        <v>2025</v>
      </c>
      <c r="D1290" t="inlineStr">
        <is>
          <t>Jun</t>
        </is>
      </c>
      <c r="E1290" t="inlineStr">
        <is>
          <t>Europe</t>
        </is>
      </c>
      <c r="F1290" t="inlineStr">
        <is>
          <t>France</t>
        </is>
      </c>
      <c r="G1290" t="inlineStr">
        <is>
          <t>Paxlovid</t>
        </is>
      </c>
      <c r="H1290" t="inlineStr">
        <is>
          <t>Retail pharmacy</t>
        </is>
      </c>
      <c r="I1290" t="inlineStr">
        <is>
          <t>Public payer</t>
        </is>
      </c>
      <c r="J1290" t="inlineStr">
        <is>
          <t>Sara Rossi</t>
        </is>
      </c>
      <c r="K1290" s="70" t="n">
        <v>471</v>
      </c>
      <c r="L1290" s="71" t="n">
        <v>1105.19</v>
      </c>
      <c r="M1290" s="71" t="n">
        <v>520544.49</v>
      </c>
      <c r="N1290" s="71" t="n">
        <v>130136.12</v>
      </c>
      <c r="O1290" s="71" t="n">
        <v>390408.37</v>
      </c>
      <c r="P1290" s="71" t="n">
        <v>132069.1</v>
      </c>
      <c r="Q1290" s="71" t="n">
        <v>258339.27</v>
      </c>
      <c r="R1290" t="inlineStr">
        <is>
          <t>Antiviral</t>
        </is>
      </c>
      <c r="S1290" s="70" t="n">
        <v>454</v>
      </c>
      <c r="T1290" s="71" t="n">
        <v>98171.75999999999</v>
      </c>
      <c r="U1290" t="inlineStr">
        <is>
          <t>Low</t>
        </is>
      </c>
      <c r="V1290">
        <f>IF(AND(OR(Dashboard!$C$6="All",E1290=Dashboard!$C$6),OR(Dashboard!$F$6="All",G1290=Dashboard!$F$6),OR(Dashboard!$I$6="All",H1290=Dashboard!$I$6)),1,0)</f>
        <v/>
      </c>
    </row>
    <row r="1291">
      <c r="A1291" t="inlineStr">
        <is>
          <t>PF101282</t>
        </is>
      </c>
      <c r="B1291" s="68" t="n">
        <v>45812</v>
      </c>
      <c r="C1291" s="69" t="n">
        <v>2025</v>
      </c>
      <c r="D1291" t="inlineStr">
        <is>
          <t>Jun</t>
        </is>
      </c>
      <c r="E1291" t="inlineStr">
        <is>
          <t>United States</t>
        </is>
      </c>
      <c r="F1291" t="inlineStr">
        <is>
          <t>USA</t>
        </is>
      </c>
      <c r="G1291" t="inlineStr">
        <is>
          <t>Ibrance</t>
        </is>
      </c>
      <c r="H1291" t="inlineStr">
        <is>
          <t>Hospital</t>
        </is>
      </c>
      <c r="I1291" t="inlineStr">
        <is>
          <t>Public payer</t>
        </is>
      </c>
      <c r="J1291" t="inlineStr">
        <is>
          <t>Zoya Ahmed</t>
        </is>
      </c>
      <c r="K1291" s="70" t="n">
        <v>2294</v>
      </c>
      <c r="L1291" s="71" t="n">
        <v>4852.9</v>
      </c>
      <c r="M1291" s="71" t="n">
        <v>11132552.6</v>
      </c>
      <c r="N1291" s="71" t="n">
        <v>2226510.52</v>
      </c>
      <c r="O1291" s="71" t="n">
        <v>8906042.08</v>
      </c>
      <c r="P1291" s="71" t="n">
        <v>997830.48</v>
      </c>
      <c r="Q1291" s="71" t="n">
        <v>7908211.6</v>
      </c>
      <c r="R1291" t="inlineStr">
        <is>
          <t>Oncology</t>
        </is>
      </c>
      <c r="S1291" s="70" t="n">
        <v>1519</v>
      </c>
      <c r="T1291" s="71" t="n">
        <v>2312610.13</v>
      </c>
      <c r="U1291" t="inlineStr">
        <is>
          <t>High</t>
        </is>
      </c>
      <c r="V1291">
        <f>IF(AND(OR(Dashboard!$C$6="All",E1291=Dashboard!$C$6),OR(Dashboard!$F$6="All",G1291=Dashboard!$F$6),OR(Dashboard!$I$6="All",H1291=Dashboard!$I$6)),1,0)</f>
        <v/>
      </c>
    </row>
    <row r="1292">
      <c r="A1292" t="inlineStr">
        <is>
          <t>PF101283</t>
        </is>
      </c>
      <c r="B1292" s="68" t="n">
        <v>45812</v>
      </c>
      <c r="C1292" s="69" t="n">
        <v>2025</v>
      </c>
      <c r="D1292" t="inlineStr">
        <is>
          <t>Jun</t>
        </is>
      </c>
      <c r="E1292" t="inlineStr">
        <is>
          <t>United States</t>
        </is>
      </c>
      <c r="F1292" t="inlineStr">
        <is>
          <t>USA</t>
        </is>
      </c>
      <c r="G1292" t="inlineStr">
        <is>
          <t>Paxlovid</t>
        </is>
      </c>
      <c r="H1292" t="inlineStr">
        <is>
          <t>Retail pharmacy</t>
        </is>
      </c>
      <c r="I1292" t="inlineStr">
        <is>
          <t>Private insurer</t>
        </is>
      </c>
      <c r="J1292" t="inlineStr">
        <is>
          <t>Hiroshi Tanaka</t>
        </is>
      </c>
      <c r="K1292" s="70" t="n">
        <v>112</v>
      </c>
      <c r="L1292" s="71" t="n">
        <v>1600.11</v>
      </c>
      <c r="M1292" s="71" t="n">
        <v>179212.32</v>
      </c>
      <c r="N1292" s="71" t="n">
        <v>53763.7</v>
      </c>
      <c r="O1292" s="71" t="n">
        <v>125448.62</v>
      </c>
      <c r="P1292" s="71" t="n">
        <v>29789.16</v>
      </c>
      <c r="Q1292" s="71" t="n">
        <v>95659.46000000001</v>
      </c>
      <c r="R1292" t="inlineStr">
        <is>
          <t>Antiviral</t>
        </is>
      </c>
      <c r="S1292" s="70" t="n">
        <v>74</v>
      </c>
      <c r="T1292" s="71" t="n">
        <v>24238.48</v>
      </c>
      <c r="U1292" t="inlineStr">
        <is>
          <t>Low</t>
        </is>
      </c>
      <c r="V1292">
        <f>IF(AND(OR(Dashboard!$C$6="All",E1292=Dashboard!$C$6),OR(Dashboard!$F$6="All",G1292=Dashboard!$F$6),OR(Dashboard!$I$6="All",H1292=Dashboard!$I$6)),1,0)</f>
        <v/>
      </c>
    </row>
    <row r="1293">
      <c r="A1293" t="inlineStr">
        <is>
          <t>PF101284</t>
        </is>
      </c>
      <c r="B1293" s="68" t="n">
        <v>45812</v>
      </c>
      <c r="C1293" s="69" t="n">
        <v>2025</v>
      </c>
      <c r="D1293" t="inlineStr">
        <is>
          <t>Jun</t>
        </is>
      </c>
      <c r="E1293" t="inlineStr">
        <is>
          <t>United States</t>
        </is>
      </c>
      <c r="F1293" t="inlineStr">
        <is>
          <t>USA</t>
        </is>
      </c>
      <c r="G1293" t="inlineStr">
        <is>
          <t>Ibrance</t>
        </is>
      </c>
      <c r="H1293" t="inlineStr">
        <is>
          <t>Government / tender</t>
        </is>
      </c>
      <c r="I1293" t="inlineStr">
        <is>
          <t>Public payer</t>
        </is>
      </c>
      <c r="J1293" t="inlineStr">
        <is>
          <t>Omar Haddad</t>
        </is>
      </c>
      <c r="K1293" s="70" t="n">
        <v>133</v>
      </c>
      <c r="L1293" s="71" t="n">
        <v>4747.46</v>
      </c>
      <c r="M1293" s="71" t="n">
        <v>631412.1800000001</v>
      </c>
      <c r="N1293" s="71" t="n">
        <v>94711.83</v>
      </c>
      <c r="O1293" s="71" t="n">
        <v>536700.35</v>
      </c>
      <c r="P1293" s="71" t="n">
        <v>56513.77</v>
      </c>
      <c r="Q1293" s="71" t="n">
        <v>480186.58</v>
      </c>
      <c r="R1293" t="inlineStr">
        <is>
          <t>Oncology</t>
        </is>
      </c>
      <c r="S1293" s="70" t="n">
        <v>93</v>
      </c>
      <c r="T1293" s="71" t="n">
        <v>81194.78</v>
      </c>
      <c r="U1293" t="inlineStr">
        <is>
          <t>High</t>
        </is>
      </c>
      <c r="V1293">
        <f>IF(AND(OR(Dashboard!$C$6="All",E1293=Dashboard!$C$6),OR(Dashboard!$F$6="All",G1293=Dashboard!$F$6),OR(Dashboard!$I$6="All",H1293=Dashboard!$I$6)),1,0)</f>
        <v/>
      </c>
    </row>
    <row r="1294">
      <c r="A1294" t="inlineStr">
        <is>
          <t>PF101285</t>
        </is>
      </c>
      <c r="B1294" s="68" t="n">
        <v>45813</v>
      </c>
      <c r="C1294" s="69" t="n">
        <v>2025</v>
      </c>
      <c r="D1294" t="inlineStr">
        <is>
          <t>Jun</t>
        </is>
      </c>
      <c r="E1294" t="inlineStr">
        <is>
          <t>United States</t>
        </is>
      </c>
      <c r="F1294" t="inlineStr">
        <is>
          <t>USA</t>
        </is>
      </c>
      <c r="G1294" t="inlineStr">
        <is>
          <t>Vyndaqel</t>
        </is>
      </c>
      <c r="H1294" t="inlineStr">
        <is>
          <t>Hospital</t>
        </is>
      </c>
      <c r="I1294" t="inlineStr">
        <is>
          <t>Private insurer</t>
        </is>
      </c>
      <c r="J1294" t="inlineStr">
        <is>
          <t>Emma Clarke</t>
        </is>
      </c>
      <c r="K1294" s="70" t="n">
        <v>1218</v>
      </c>
      <c r="L1294" s="71" t="n">
        <v>7768.75</v>
      </c>
      <c r="M1294" s="71" t="n">
        <v>9462337.5</v>
      </c>
      <c r="N1294" s="71" t="n">
        <v>3311818.12</v>
      </c>
      <c r="O1294" s="71" t="n">
        <v>6150519.38</v>
      </c>
      <c r="P1294" s="71" t="n">
        <v>731517.46</v>
      </c>
      <c r="Q1294" s="71" t="n">
        <v>5419001.92</v>
      </c>
      <c r="R1294" t="inlineStr">
        <is>
          <t>Rare disease</t>
        </is>
      </c>
      <c r="S1294" s="70" t="n">
        <v>829</v>
      </c>
      <c r="T1294" s="71" t="n">
        <v>1678386.61</v>
      </c>
      <c r="U1294" t="inlineStr">
        <is>
          <t>Medium</t>
        </is>
      </c>
      <c r="V1294">
        <f>IF(AND(OR(Dashboard!$C$6="All",E1294=Dashboard!$C$6),OR(Dashboard!$F$6="All",G1294=Dashboard!$F$6),OR(Dashboard!$I$6="All",H1294=Dashboard!$I$6)),1,0)</f>
        <v/>
      </c>
    </row>
    <row r="1295">
      <c r="A1295" t="inlineStr">
        <is>
          <t>PF101286</t>
        </is>
      </c>
      <c r="B1295" s="68" t="n">
        <v>45813</v>
      </c>
      <c r="C1295" s="69" t="n">
        <v>2025</v>
      </c>
      <c r="D1295" t="inlineStr">
        <is>
          <t>Jun</t>
        </is>
      </c>
      <c r="E1295" t="inlineStr">
        <is>
          <t>United States</t>
        </is>
      </c>
      <c r="F1295" t="inlineStr">
        <is>
          <t>USA</t>
        </is>
      </c>
      <c r="G1295" t="inlineStr">
        <is>
          <t>Eliquis</t>
        </is>
      </c>
      <c r="H1295" t="inlineStr">
        <is>
          <t>Hospital</t>
        </is>
      </c>
      <c r="I1295" t="inlineStr">
        <is>
          <t>Public payer</t>
        </is>
      </c>
      <c r="J1295" t="inlineStr">
        <is>
          <t>Emma Clarke</t>
        </is>
      </c>
      <c r="K1295" s="70" t="n">
        <v>2689</v>
      </c>
      <c r="L1295" s="71" t="n">
        <v>670.05</v>
      </c>
      <c r="M1295" s="71" t="n">
        <v>1801764.45</v>
      </c>
      <c r="N1295" s="71" t="n">
        <v>360352.89</v>
      </c>
      <c r="O1295" s="71" t="n">
        <v>1441411.56</v>
      </c>
      <c r="P1295" s="71" t="n">
        <v>199315.62</v>
      </c>
      <c r="Q1295" s="71" t="n">
        <v>1242095.94</v>
      </c>
      <c r="R1295" t="inlineStr">
        <is>
          <t>Cardiology</t>
        </is>
      </c>
      <c r="S1295" s="70" t="n">
        <v>2069</v>
      </c>
      <c r="T1295" s="71" t="n">
        <v>286380.34</v>
      </c>
      <c r="U1295" t="inlineStr">
        <is>
          <t>High</t>
        </is>
      </c>
      <c r="V1295">
        <f>IF(AND(OR(Dashboard!$C$6="All",E1295=Dashboard!$C$6),OR(Dashboard!$F$6="All",G1295=Dashboard!$F$6),OR(Dashboard!$I$6="All",H1295=Dashboard!$I$6)),1,0)</f>
        <v/>
      </c>
    </row>
    <row r="1296">
      <c r="A1296" t="inlineStr">
        <is>
          <t>PF101287</t>
        </is>
      </c>
      <c r="B1296" s="68" t="n">
        <v>45813</v>
      </c>
      <c r="C1296" s="69" t="n">
        <v>2025</v>
      </c>
      <c r="D1296" t="inlineStr">
        <is>
          <t>Jun</t>
        </is>
      </c>
      <c r="E1296" t="inlineStr">
        <is>
          <t>United States</t>
        </is>
      </c>
      <c r="F1296" t="inlineStr">
        <is>
          <t>USA</t>
        </is>
      </c>
      <c r="G1296" t="inlineStr">
        <is>
          <t>Abrysvo</t>
        </is>
      </c>
      <c r="H1296" t="inlineStr">
        <is>
          <t>Hospital</t>
        </is>
      </c>
      <c r="I1296" t="inlineStr">
        <is>
          <t>Private insurer</t>
        </is>
      </c>
      <c r="J1296" t="inlineStr">
        <is>
          <t>Aisha Bello</t>
        </is>
      </c>
      <c r="K1296" s="70" t="n">
        <v>91</v>
      </c>
      <c r="L1296" s="71" t="n">
        <v>434.77</v>
      </c>
      <c r="M1296" s="71" t="n">
        <v>39564.07</v>
      </c>
      <c r="N1296" s="71" t="n">
        <v>9891.02</v>
      </c>
      <c r="O1296" s="71" t="n">
        <v>29673.05</v>
      </c>
      <c r="P1296" s="71" t="n">
        <v>7501.48</v>
      </c>
      <c r="Q1296" s="71" t="n">
        <v>22171.57</v>
      </c>
      <c r="R1296" t="inlineStr">
        <is>
          <t>Vaccines</t>
        </is>
      </c>
      <c r="S1296" s="70" t="n">
        <v>81</v>
      </c>
      <c r="T1296" s="71" t="n">
        <v>6492.51</v>
      </c>
      <c r="U1296" t="inlineStr">
        <is>
          <t>Low</t>
        </is>
      </c>
      <c r="V1296">
        <f>IF(AND(OR(Dashboard!$C$6="All",E1296=Dashboard!$C$6),OR(Dashboard!$F$6="All",G1296=Dashboard!$F$6),OR(Dashboard!$I$6="All",H1296=Dashboard!$I$6)),1,0)</f>
        <v/>
      </c>
    </row>
    <row r="1297">
      <c r="A1297" t="inlineStr">
        <is>
          <t>PF101288</t>
        </is>
      </c>
      <c r="B1297" s="68" t="n">
        <v>45813</v>
      </c>
      <c r="C1297" s="69" t="n">
        <v>2025</v>
      </c>
      <c r="D1297" t="inlineStr">
        <is>
          <t>Jun</t>
        </is>
      </c>
      <c r="E1297" t="inlineStr">
        <is>
          <t>International developed</t>
        </is>
      </c>
      <c r="F1297" t="inlineStr">
        <is>
          <t>Australia</t>
        </is>
      </c>
      <c r="G1297" t="inlineStr">
        <is>
          <t>Abrysvo</t>
        </is>
      </c>
      <c r="H1297" t="inlineStr">
        <is>
          <t>Retail pharmacy</t>
        </is>
      </c>
      <c r="I1297" t="inlineStr">
        <is>
          <t>Public payer</t>
        </is>
      </c>
      <c r="J1297" t="inlineStr">
        <is>
          <t>Sara Rossi</t>
        </is>
      </c>
      <c r="K1297" s="70" t="n">
        <v>270</v>
      </c>
      <c r="L1297" s="71" t="n">
        <v>289.66</v>
      </c>
      <c r="M1297" s="71" t="n">
        <v>78208.2</v>
      </c>
      <c r="N1297" s="71" t="n">
        <v>11731.23</v>
      </c>
      <c r="O1297" s="71" t="n">
        <v>66476.97</v>
      </c>
      <c r="P1297" s="71" t="n">
        <v>22768.67</v>
      </c>
      <c r="Q1297" s="71" t="n">
        <v>43708.3</v>
      </c>
      <c r="R1297" t="inlineStr">
        <is>
          <t>Vaccines</t>
        </is>
      </c>
      <c r="S1297" s="70" t="n">
        <v>193</v>
      </c>
      <c r="T1297" s="71" t="n">
        <v>13259.33</v>
      </c>
      <c r="U1297" t="inlineStr">
        <is>
          <t>Low</t>
        </is>
      </c>
      <c r="V1297">
        <f>IF(AND(OR(Dashboard!$C$6="All",E1297=Dashboard!$C$6),OR(Dashboard!$F$6="All",G1297=Dashboard!$F$6),OR(Dashboard!$I$6="All",H1297=Dashboard!$I$6)),1,0)</f>
        <v/>
      </c>
    </row>
    <row r="1298">
      <c r="A1298" t="inlineStr">
        <is>
          <t>PF101289</t>
        </is>
      </c>
      <c r="B1298" s="68" t="n">
        <v>45814</v>
      </c>
      <c r="C1298" s="69" t="n">
        <v>2025</v>
      </c>
      <c r="D1298" t="inlineStr">
        <is>
          <t>Jun</t>
        </is>
      </c>
      <c r="E1298" t="inlineStr">
        <is>
          <t>Emerging markets</t>
        </is>
      </c>
      <c r="F1298" t="inlineStr">
        <is>
          <t>Mexico</t>
        </is>
      </c>
      <c r="G1298" t="inlineStr">
        <is>
          <t>Ibrance</t>
        </is>
      </c>
      <c r="H1298" t="inlineStr">
        <is>
          <t>Hospital</t>
        </is>
      </c>
      <c r="I1298" t="inlineStr">
        <is>
          <t>Public payer</t>
        </is>
      </c>
      <c r="J1298" t="inlineStr">
        <is>
          <t>Omar Haddad</t>
        </is>
      </c>
      <c r="K1298" s="70" t="n">
        <v>1891</v>
      </c>
      <c r="L1298" s="71" t="n">
        <v>2637.9</v>
      </c>
      <c r="M1298" s="71" t="n">
        <v>4988268.9</v>
      </c>
      <c r="N1298" s="71" t="n">
        <v>249413.45</v>
      </c>
      <c r="O1298" s="71" t="n">
        <v>4738855.45</v>
      </c>
      <c r="P1298" s="71" t="n">
        <v>853543.9300000001</v>
      </c>
      <c r="Q1298" s="71" t="n">
        <v>3885311.52</v>
      </c>
      <c r="R1298" t="inlineStr">
        <is>
          <t>Oncology</t>
        </is>
      </c>
      <c r="S1298" s="70" t="n">
        <v>1530</v>
      </c>
      <c r="T1298" s="71" t="n">
        <v>629594.84</v>
      </c>
      <c r="U1298" t="inlineStr">
        <is>
          <t>High</t>
        </is>
      </c>
      <c r="V1298">
        <f>IF(AND(OR(Dashboard!$C$6="All",E1298=Dashboard!$C$6),OR(Dashboard!$F$6="All",G1298=Dashboard!$F$6),OR(Dashboard!$I$6="All",H1298=Dashboard!$I$6)),1,0)</f>
        <v/>
      </c>
    </row>
    <row r="1299">
      <c r="A1299" t="inlineStr">
        <is>
          <t>PF101290</t>
        </is>
      </c>
      <c r="B1299" s="68" t="n">
        <v>45814</v>
      </c>
      <c r="C1299" s="69" t="n">
        <v>2025</v>
      </c>
      <c r="D1299" t="inlineStr">
        <is>
          <t>Jun</t>
        </is>
      </c>
      <c r="E1299" t="inlineStr">
        <is>
          <t>United States</t>
        </is>
      </c>
      <c r="F1299" t="inlineStr">
        <is>
          <t>USA</t>
        </is>
      </c>
      <c r="G1299" t="inlineStr">
        <is>
          <t>Eliquis</t>
        </is>
      </c>
      <c r="H1299" t="inlineStr">
        <is>
          <t>Government / tender</t>
        </is>
      </c>
      <c r="I1299" t="inlineStr">
        <is>
          <t>Self-pay</t>
        </is>
      </c>
      <c r="J1299" t="inlineStr">
        <is>
          <t>Olivia Brown</t>
        </is>
      </c>
      <c r="K1299" s="70" t="n">
        <v>1584</v>
      </c>
      <c r="L1299" s="71" t="n">
        <v>612.24</v>
      </c>
      <c r="M1299" s="71" t="n">
        <v>969788.16</v>
      </c>
      <c r="N1299" s="71" t="n">
        <v>242447.04</v>
      </c>
      <c r="O1299" s="71" t="n">
        <v>727341.12</v>
      </c>
      <c r="P1299" s="71" t="n">
        <v>122796.23</v>
      </c>
      <c r="Q1299" s="71" t="n">
        <v>604544.89</v>
      </c>
      <c r="R1299" t="inlineStr">
        <is>
          <t>Cardiology</t>
        </is>
      </c>
      <c r="S1299" s="70" t="n">
        <v>1275</v>
      </c>
      <c r="T1299" s="71" t="n">
        <v>131460.92</v>
      </c>
      <c r="U1299" t="inlineStr">
        <is>
          <t>High</t>
        </is>
      </c>
      <c r="V1299">
        <f>IF(AND(OR(Dashboard!$C$6="All",E1299=Dashboard!$C$6),OR(Dashboard!$F$6="All",G1299=Dashboard!$F$6),OR(Dashboard!$I$6="All",H1299=Dashboard!$I$6)),1,0)</f>
        <v/>
      </c>
    </row>
    <row r="1300">
      <c r="A1300" t="inlineStr">
        <is>
          <t>PF101291</t>
        </is>
      </c>
      <c r="B1300" s="68" t="n">
        <v>45814</v>
      </c>
      <c r="C1300" s="69" t="n">
        <v>2025</v>
      </c>
      <c r="D1300" t="inlineStr">
        <is>
          <t>Jun</t>
        </is>
      </c>
      <c r="E1300" t="inlineStr">
        <is>
          <t>International developed</t>
        </is>
      </c>
      <c r="F1300" t="inlineStr">
        <is>
          <t>Japan</t>
        </is>
      </c>
      <c r="G1300" t="inlineStr">
        <is>
          <t>Abrysvo</t>
        </is>
      </c>
      <c r="H1300" t="inlineStr">
        <is>
          <t>Retail pharmacy</t>
        </is>
      </c>
      <c r="I1300" t="inlineStr">
        <is>
          <t>Private insurer</t>
        </is>
      </c>
      <c r="J1300" t="inlineStr">
        <is>
          <t>Liam O'Brien</t>
        </is>
      </c>
      <c r="K1300" s="70" t="n">
        <v>2360</v>
      </c>
      <c r="L1300" s="71" t="n">
        <v>258.45</v>
      </c>
      <c r="M1300" s="71" t="n">
        <v>609942</v>
      </c>
      <c r="N1300" s="71" t="n">
        <v>121988.4</v>
      </c>
      <c r="O1300" s="71" t="n">
        <v>487953.6</v>
      </c>
      <c r="P1300" s="71" t="n">
        <v>193099.09</v>
      </c>
      <c r="Q1300" s="71" t="n">
        <v>294854.51</v>
      </c>
      <c r="R1300" t="inlineStr">
        <is>
          <t>Vaccines</t>
        </is>
      </c>
      <c r="S1300" s="70" t="n">
        <v>1788</v>
      </c>
      <c r="T1300" s="71" t="n">
        <v>131683.37</v>
      </c>
      <c r="U1300" t="inlineStr">
        <is>
          <t>Low</t>
        </is>
      </c>
      <c r="V1300">
        <f>IF(AND(OR(Dashboard!$C$6="All",E1300=Dashboard!$C$6),OR(Dashboard!$F$6="All",G1300=Dashboard!$F$6),OR(Dashboard!$I$6="All",H1300=Dashboard!$I$6)),1,0)</f>
        <v/>
      </c>
    </row>
    <row r="1301">
      <c r="A1301" t="inlineStr">
        <is>
          <t>PF101292</t>
        </is>
      </c>
      <c r="B1301" s="68" t="n">
        <v>45814</v>
      </c>
      <c r="C1301" s="69" t="n">
        <v>2025</v>
      </c>
      <c r="D1301" t="inlineStr">
        <is>
          <t>Jun</t>
        </is>
      </c>
      <c r="E1301" t="inlineStr">
        <is>
          <t>Europe</t>
        </is>
      </c>
      <c r="F1301" t="inlineStr">
        <is>
          <t>Italy</t>
        </is>
      </c>
      <c r="G1301" t="inlineStr">
        <is>
          <t>Prevnar 20</t>
        </is>
      </c>
      <c r="H1301" t="inlineStr">
        <is>
          <t>Hospital</t>
        </is>
      </c>
      <c r="I1301" t="inlineStr">
        <is>
          <t>Private insurer</t>
        </is>
      </c>
      <c r="J1301" t="inlineStr">
        <is>
          <t>Kofi Mensah</t>
        </is>
      </c>
      <c r="K1301" s="70" t="n">
        <v>691</v>
      </c>
      <c r="L1301" s="71" t="n">
        <v>213.65</v>
      </c>
      <c r="M1301" s="71" t="n">
        <v>147632.15</v>
      </c>
      <c r="N1301" s="71" t="n">
        <v>7381.61</v>
      </c>
      <c r="O1301" s="71" t="n">
        <v>140250.54</v>
      </c>
      <c r="P1301" s="71" t="n">
        <v>48526.73</v>
      </c>
      <c r="Q1301" s="71" t="n">
        <v>91723.81</v>
      </c>
      <c r="R1301" t="inlineStr">
        <is>
          <t>Vaccines</t>
        </is>
      </c>
      <c r="S1301" s="70" t="n">
        <v>504</v>
      </c>
      <c r="T1301" s="71" t="n">
        <v>23837.05</v>
      </c>
      <c r="U1301" t="inlineStr">
        <is>
          <t>Low</t>
        </is>
      </c>
      <c r="V1301">
        <f>IF(AND(OR(Dashboard!$C$6="All",E1301=Dashboard!$C$6),OR(Dashboard!$F$6="All",G1301=Dashboard!$F$6),OR(Dashboard!$I$6="All",H1301=Dashboard!$I$6)),1,0)</f>
        <v/>
      </c>
    </row>
    <row r="1302">
      <c r="A1302" t="inlineStr">
        <is>
          <t>PF101293</t>
        </is>
      </c>
      <c r="B1302" s="68" t="n">
        <v>45814</v>
      </c>
      <c r="C1302" s="69" t="n">
        <v>2025</v>
      </c>
      <c r="D1302" t="inlineStr">
        <is>
          <t>Jun</t>
        </is>
      </c>
      <c r="E1302" t="inlineStr">
        <is>
          <t>Emerging markets</t>
        </is>
      </c>
      <c r="F1302" t="inlineStr">
        <is>
          <t>India</t>
        </is>
      </c>
      <c r="G1302" t="inlineStr">
        <is>
          <t>Abrysvo</t>
        </is>
      </c>
      <c r="H1302" t="inlineStr">
        <is>
          <t>Government / tender</t>
        </is>
      </c>
      <c r="I1302" t="inlineStr">
        <is>
          <t>Public payer</t>
        </is>
      </c>
      <c r="J1302" t="inlineStr">
        <is>
          <t>Mei Lin</t>
        </is>
      </c>
      <c r="K1302" s="70" t="n">
        <v>2863</v>
      </c>
      <c r="L1302" s="71" t="n">
        <v>275.92</v>
      </c>
      <c r="M1302" s="71" t="n">
        <v>789958.96</v>
      </c>
      <c r="N1302" s="71" t="n">
        <v>197489.74</v>
      </c>
      <c r="O1302" s="71" t="n">
        <v>592469.22</v>
      </c>
      <c r="P1302" s="71" t="n">
        <v>241941.8</v>
      </c>
      <c r="Q1302" s="71" t="n">
        <v>350527.42</v>
      </c>
      <c r="R1302" t="inlineStr">
        <is>
          <t>Vaccines</t>
        </is>
      </c>
      <c r="S1302" s="70" t="n">
        <v>2588</v>
      </c>
      <c r="T1302" s="71" t="n">
        <v>165631.43</v>
      </c>
      <c r="U1302" t="inlineStr">
        <is>
          <t>Low</t>
        </is>
      </c>
      <c r="V1302">
        <f>IF(AND(OR(Dashboard!$C$6="All",E1302=Dashboard!$C$6),OR(Dashboard!$F$6="All",G1302=Dashboard!$F$6),OR(Dashboard!$I$6="All",H1302=Dashboard!$I$6)),1,0)</f>
        <v/>
      </c>
    </row>
    <row r="1303">
      <c r="A1303" t="inlineStr">
        <is>
          <t>PF101294</t>
        </is>
      </c>
      <c r="B1303" s="68" t="n">
        <v>45814</v>
      </c>
      <c r="C1303" s="69" t="n">
        <v>2025</v>
      </c>
      <c r="D1303" t="inlineStr">
        <is>
          <t>Jun</t>
        </is>
      </c>
      <c r="E1303" t="inlineStr">
        <is>
          <t>International developed</t>
        </is>
      </c>
      <c r="F1303" t="inlineStr">
        <is>
          <t>Canada</t>
        </is>
      </c>
      <c r="G1303" t="inlineStr">
        <is>
          <t>Vyndaqel</t>
        </is>
      </c>
      <c r="H1303" t="inlineStr">
        <is>
          <t>Government / tender</t>
        </is>
      </c>
      <c r="I1303" t="inlineStr">
        <is>
          <t>Self-pay</t>
        </is>
      </c>
      <c r="J1303" t="inlineStr">
        <is>
          <t>Zoya Ahmed</t>
        </is>
      </c>
      <c r="K1303" s="70" t="n">
        <v>2903</v>
      </c>
      <c r="L1303" s="71" t="n">
        <v>4814.48</v>
      </c>
      <c r="M1303" s="71" t="n">
        <v>13976435.44</v>
      </c>
      <c r="N1303" s="71" t="n">
        <v>3494108.86</v>
      </c>
      <c r="O1303" s="71" t="n">
        <v>10482326.58</v>
      </c>
      <c r="P1303" s="71" t="n">
        <v>1852762.84</v>
      </c>
      <c r="Q1303" s="71" t="n">
        <v>8629563.74</v>
      </c>
      <c r="R1303" t="inlineStr">
        <is>
          <t>Rare disease</t>
        </is>
      </c>
      <c r="S1303" s="70" t="n">
        <v>2643</v>
      </c>
      <c r="T1303" s="71" t="n">
        <v>2451509.14</v>
      </c>
      <c r="U1303" t="inlineStr">
        <is>
          <t>Medium</t>
        </is>
      </c>
      <c r="V1303">
        <f>IF(AND(OR(Dashboard!$C$6="All",E1303=Dashboard!$C$6),OR(Dashboard!$F$6="All",G1303=Dashboard!$F$6),OR(Dashboard!$I$6="All",H1303=Dashboard!$I$6)),1,0)</f>
        <v/>
      </c>
    </row>
    <row r="1304">
      <c r="A1304" t="inlineStr">
        <is>
          <t>PF101295</t>
        </is>
      </c>
      <c r="B1304" s="68" t="n">
        <v>45814</v>
      </c>
      <c r="C1304" s="69" t="n">
        <v>2025</v>
      </c>
      <c r="D1304" t="inlineStr">
        <is>
          <t>Jun</t>
        </is>
      </c>
      <c r="E1304" t="inlineStr">
        <is>
          <t>Europe</t>
        </is>
      </c>
      <c r="F1304" t="inlineStr">
        <is>
          <t>Spain</t>
        </is>
      </c>
      <c r="G1304" t="inlineStr">
        <is>
          <t>Prevnar 20</t>
        </is>
      </c>
      <c r="H1304" t="inlineStr">
        <is>
          <t>Government / tender</t>
        </is>
      </c>
      <c r="I1304" t="inlineStr">
        <is>
          <t>Private insurer</t>
        </is>
      </c>
      <c r="J1304" t="inlineStr">
        <is>
          <t>Ravindra Patil</t>
        </is>
      </c>
      <c r="K1304" s="70" t="n">
        <v>1172</v>
      </c>
      <c r="L1304" s="71" t="n">
        <v>215.73</v>
      </c>
      <c r="M1304" s="71" t="n">
        <v>252835.56</v>
      </c>
      <c r="N1304" s="71" t="n">
        <v>50567.11</v>
      </c>
      <c r="O1304" s="71" t="n">
        <v>202268.45</v>
      </c>
      <c r="P1304" s="71" t="n">
        <v>80900.52</v>
      </c>
      <c r="Q1304" s="71" t="n">
        <v>121367.93</v>
      </c>
      <c r="R1304" t="inlineStr">
        <is>
          <t>Vaccines</t>
        </is>
      </c>
      <c r="S1304" s="70" t="n">
        <v>1016</v>
      </c>
      <c r="T1304" s="71" t="n">
        <v>31008.86</v>
      </c>
      <c r="U1304" t="inlineStr">
        <is>
          <t>Low</t>
        </is>
      </c>
      <c r="V1304">
        <f>IF(AND(OR(Dashboard!$C$6="All",E1304=Dashboard!$C$6),OR(Dashboard!$F$6="All",G1304=Dashboard!$F$6),OR(Dashboard!$I$6="All",H1304=Dashboard!$I$6)),1,0)</f>
        <v/>
      </c>
    </row>
    <row r="1305">
      <c r="A1305" t="inlineStr">
        <is>
          <t>PF101296</t>
        </is>
      </c>
      <c r="B1305" s="68" t="n">
        <v>45814</v>
      </c>
      <c r="C1305" s="69" t="n">
        <v>2025</v>
      </c>
      <c r="D1305" t="inlineStr">
        <is>
          <t>Jun</t>
        </is>
      </c>
      <c r="E1305" t="inlineStr">
        <is>
          <t>Emerging markets</t>
        </is>
      </c>
      <c r="F1305" t="inlineStr">
        <is>
          <t>China</t>
        </is>
      </c>
      <c r="G1305" t="inlineStr">
        <is>
          <t>Abrysvo</t>
        </is>
      </c>
      <c r="H1305" t="inlineStr">
        <is>
          <t>Hospital</t>
        </is>
      </c>
      <c r="I1305" t="inlineStr">
        <is>
          <t>Self-pay</t>
        </is>
      </c>
      <c r="J1305" t="inlineStr">
        <is>
          <t>Yuki Sato</t>
        </is>
      </c>
      <c r="K1305" s="70" t="n">
        <v>2447</v>
      </c>
      <c r="L1305" s="71" t="n">
        <v>260.39</v>
      </c>
      <c r="M1305" s="71" t="n">
        <v>637174.33</v>
      </c>
      <c r="N1305" s="71" t="n">
        <v>31858.72</v>
      </c>
      <c r="O1305" s="71" t="n">
        <v>605315.61</v>
      </c>
      <c r="P1305" s="71" t="n">
        <v>209359.67</v>
      </c>
      <c r="Q1305" s="71" t="n">
        <v>395955.94</v>
      </c>
      <c r="R1305" t="inlineStr">
        <is>
          <t>Vaccines</t>
        </is>
      </c>
      <c r="S1305" s="70" t="n">
        <v>2055</v>
      </c>
      <c r="T1305" s="71" t="n">
        <v>112752.4</v>
      </c>
      <c r="U1305" t="inlineStr">
        <is>
          <t>Low</t>
        </is>
      </c>
      <c r="V1305">
        <f>IF(AND(OR(Dashboard!$C$6="All",E1305=Dashboard!$C$6),OR(Dashboard!$F$6="All",G1305=Dashboard!$F$6),OR(Dashboard!$I$6="All",H1305=Dashboard!$I$6)),1,0)</f>
        <v/>
      </c>
    </row>
    <row r="1306">
      <c r="A1306" t="inlineStr">
        <is>
          <t>PF101297</t>
        </is>
      </c>
      <c r="B1306" s="68" t="n">
        <v>45815</v>
      </c>
      <c r="C1306" s="69" t="n">
        <v>2025</v>
      </c>
      <c r="D1306" t="inlineStr">
        <is>
          <t>Jun</t>
        </is>
      </c>
      <c r="E1306" t="inlineStr">
        <is>
          <t>Emerging markets</t>
        </is>
      </c>
      <c r="F1306" t="inlineStr">
        <is>
          <t>China</t>
        </is>
      </c>
      <c r="G1306" t="inlineStr">
        <is>
          <t>Paxlovid</t>
        </is>
      </c>
      <c r="H1306" t="inlineStr">
        <is>
          <t>Retail pharmacy</t>
        </is>
      </c>
      <c r="I1306" t="inlineStr">
        <is>
          <t>Self-pay</t>
        </is>
      </c>
      <c r="J1306" t="inlineStr">
        <is>
          <t>Zoya Ahmed</t>
        </is>
      </c>
      <c r="K1306" s="70" t="n">
        <v>647</v>
      </c>
      <c r="L1306" s="71" t="n">
        <v>1102.09</v>
      </c>
      <c r="M1306" s="71" t="n">
        <v>713052.23</v>
      </c>
      <c r="N1306" s="71" t="n">
        <v>71305.22</v>
      </c>
      <c r="O1306" s="71" t="n">
        <v>641747.01</v>
      </c>
      <c r="P1306" s="71" t="n">
        <v>171725.42</v>
      </c>
      <c r="Q1306" s="71" t="n">
        <v>470021.59</v>
      </c>
      <c r="R1306" t="inlineStr">
        <is>
          <t>Antiviral</t>
        </is>
      </c>
      <c r="S1306" s="70" t="n">
        <v>448</v>
      </c>
      <c r="T1306" s="71" t="n">
        <v>135940.08</v>
      </c>
      <c r="U1306" t="inlineStr">
        <is>
          <t>Low</t>
        </is>
      </c>
      <c r="V1306">
        <f>IF(AND(OR(Dashboard!$C$6="All",E1306=Dashboard!$C$6),OR(Dashboard!$F$6="All",G1306=Dashboard!$F$6),OR(Dashboard!$I$6="All",H1306=Dashboard!$I$6)),1,0)</f>
        <v/>
      </c>
    </row>
    <row r="1307">
      <c r="A1307" t="inlineStr">
        <is>
          <t>PF101298</t>
        </is>
      </c>
      <c r="B1307" s="68" t="n">
        <v>45815</v>
      </c>
      <c r="C1307" s="69" t="n">
        <v>2025</v>
      </c>
      <c r="D1307" t="inlineStr">
        <is>
          <t>Jun</t>
        </is>
      </c>
      <c r="E1307" t="inlineStr">
        <is>
          <t>United States</t>
        </is>
      </c>
      <c r="F1307" t="inlineStr">
        <is>
          <t>USA</t>
        </is>
      </c>
      <c r="G1307" t="inlineStr">
        <is>
          <t>Prevnar 20</t>
        </is>
      </c>
      <c r="H1307" t="inlineStr">
        <is>
          <t>Retail pharmacy</t>
        </is>
      </c>
      <c r="I1307" t="inlineStr">
        <is>
          <t>Public payer</t>
        </is>
      </c>
      <c r="J1307" t="inlineStr">
        <is>
          <t>Sara Rossi</t>
        </is>
      </c>
      <c r="K1307" s="70" t="n">
        <v>1601</v>
      </c>
      <c r="L1307" s="71" t="n">
        <v>388.7</v>
      </c>
      <c r="M1307" s="71" t="n">
        <v>622308.7</v>
      </c>
      <c r="N1307" s="71" t="n">
        <v>155577.17</v>
      </c>
      <c r="O1307" s="71" t="n">
        <v>466731.53</v>
      </c>
      <c r="P1307" s="71" t="n">
        <v>106530.47</v>
      </c>
      <c r="Q1307" s="71" t="n">
        <v>360201.06</v>
      </c>
      <c r="R1307" t="inlineStr">
        <is>
          <t>Vaccines</t>
        </is>
      </c>
      <c r="S1307" s="70" t="n">
        <v>1505</v>
      </c>
      <c r="T1307" s="71" t="n">
        <v>85421.28999999999</v>
      </c>
      <c r="U1307" t="inlineStr">
        <is>
          <t>Low</t>
        </is>
      </c>
      <c r="V1307">
        <f>IF(AND(OR(Dashboard!$C$6="All",E1307=Dashboard!$C$6),OR(Dashboard!$F$6="All",G1307=Dashboard!$F$6),OR(Dashboard!$I$6="All",H1307=Dashboard!$I$6)),1,0)</f>
        <v/>
      </c>
    </row>
    <row r="1308">
      <c r="A1308" t="inlineStr">
        <is>
          <t>PF101299</t>
        </is>
      </c>
      <c r="B1308" s="68" t="n">
        <v>45815</v>
      </c>
      <c r="C1308" s="69" t="n">
        <v>2025</v>
      </c>
      <c r="D1308" t="inlineStr">
        <is>
          <t>Jun</t>
        </is>
      </c>
      <c r="E1308" t="inlineStr">
        <is>
          <t>United States</t>
        </is>
      </c>
      <c r="F1308" t="inlineStr">
        <is>
          <t>USA</t>
        </is>
      </c>
      <c r="G1308" t="inlineStr">
        <is>
          <t>Prevnar 20</t>
        </is>
      </c>
      <c r="H1308" t="inlineStr">
        <is>
          <t>Retail pharmacy</t>
        </is>
      </c>
      <c r="I1308" t="inlineStr">
        <is>
          <t>Public payer</t>
        </is>
      </c>
      <c r="J1308" t="inlineStr">
        <is>
          <t>Ana Costa</t>
        </is>
      </c>
      <c r="K1308" s="70" t="n">
        <v>1196</v>
      </c>
      <c r="L1308" s="71" t="n">
        <v>362.96</v>
      </c>
      <c r="M1308" s="71" t="n">
        <v>434100.16</v>
      </c>
      <c r="N1308" s="71" t="n">
        <v>151935.06</v>
      </c>
      <c r="O1308" s="71" t="n">
        <v>282165.1</v>
      </c>
      <c r="P1308" s="71" t="n">
        <v>84261.12</v>
      </c>
      <c r="Q1308" s="71" t="n">
        <v>197903.98</v>
      </c>
      <c r="R1308" t="inlineStr">
        <is>
          <t>Vaccines</t>
        </is>
      </c>
      <c r="S1308" s="70" t="n">
        <v>1026</v>
      </c>
      <c r="T1308" s="71" t="n">
        <v>73722.11</v>
      </c>
      <c r="U1308" t="inlineStr">
        <is>
          <t>Low</t>
        </is>
      </c>
      <c r="V1308">
        <f>IF(AND(OR(Dashboard!$C$6="All",E1308=Dashboard!$C$6),OR(Dashboard!$F$6="All",G1308=Dashboard!$F$6),OR(Dashboard!$I$6="All",H1308=Dashboard!$I$6)),1,0)</f>
        <v/>
      </c>
    </row>
    <row r="1309">
      <c r="A1309" t="inlineStr">
        <is>
          <t>PF101300</t>
        </is>
      </c>
      <c r="B1309" s="68" t="n">
        <v>45815</v>
      </c>
      <c r="C1309" s="69" t="n">
        <v>2025</v>
      </c>
      <c r="D1309" t="inlineStr">
        <is>
          <t>Jun</t>
        </is>
      </c>
      <c r="E1309" t="inlineStr">
        <is>
          <t>United States</t>
        </is>
      </c>
      <c r="F1309" t="inlineStr">
        <is>
          <t>USA</t>
        </is>
      </c>
      <c r="G1309" t="inlineStr">
        <is>
          <t>Eliquis</t>
        </is>
      </c>
      <c r="H1309" t="inlineStr">
        <is>
          <t>Retail pharmacy</t>
        </is>
      </c>
      <c r="I1309" t="inlineStr">
        <is>
          <t>Private insurer</t>
        </is>
      </c>
      <c r="J1309" t="inlineStr">
        <is>
          <t>Sophie Müller</t>
        </is>
      </c>
      <c r="K1309" s="70" t="n">
        <v>2863</v>
      </c>
      <c r="L1309" s="71" t="n">
        <v>681.28</v>
      </c>
      <c r="M1309" s="71" t="n">
        <v>1950504.64</v>
      </c>
      <c r="N1309" s="71" t="n">
        <v>487626.16</v>
      </c>
      <c r="O1309" s="71" t="n">
        <v>1462878.48</v>
      </c>
      <c r="P1309" s="71" t="n">
        <v>218878.82</v>
      </c>
      <c r="Q1309" s="71" t="n">
        <v>1243999.66</v>
      </c>
      <c r="R1309" t="inlineStr">
        <is>
          <t>Cardiology</t>
        </is>
      </c>
      <c r="S1309" s="70" t="n">
        <v>2599</v>
      </c>
      <c r="T1309" s="71" t="n">
        <v>402552.46</v>
      </c>
      <c r="U1309" t="inlineStr">
        <is>
          <t>High</t>
        </is>
      </c>
      <c r="V1309">
        <f>IF(AND(OR(Dashboard!$C$6="All",E1309=Dashboard!$C$6),OR(Dashboard!$F$6="All",G1309=Dashboard!$F$6),OR(Dashboard!$I$6="All",H1309=Dashboard!$I$6)),1,0)</f>
        <v/>
      </c>
    </row>
    <row r="1310">
      <c r="A1310" t="inlineStr">
        <is>
          <t>PF101301</t>
        </is>
      </c>
      <c r="B1310" s="68" t="n">
        <v>45815</v>
      </c>
      <c r="C1310" s="69" t="n">
        <v>2025</v>
      </c>
      <c r="D1310" t="inlineStr">
        <is>
          <t>Jun</t>
        </is>
      </c>
      <c r="E1310" t="inlineStr">
        <is>
          <t>United States</t>
        </is>
      </c>
      <c r="F1310" t="inlineStr">
        <is>
          <t>USA</t>
        </is>
      </c>
      <c r="G1310" t="inlineStr">
        <is>
          <t>Vyndaqel</t>
        </is>
      </c>
      <c r="H1310" t="inlineStr">
        <is>
          <t>Government / tender</t>
        </is>
      </c>
      <c r="I1310" t="inlineStr">
        <is>
          <t>Self-pay</t>
        </is>
      </c>
      <c r="J1310" t="inlineStr">
        <is>
          <t>Arjun Mehta</t>
        </is>
      </c>
      <c r="K1310" s="70" t="n">
        <v>1236</v>
      </c>
      <c r="L1310" s="71" t="n">
        <v>7492.48</v>
      </c>
      <c r="M1310" s="71" t="n">
        <v>9260705.279999999</v>
      </c>
      <c r="N1310" s="71" t="n">
        <v>1389105.79</v>
      </c>
      <c r="O1310" s="71" t="n">
        <v>7871599.49</v>
      </c>
      <c r="P1310" s="71" t="n">
        <v>762432.4300000001</v>
      </c>
      <c r="Q1310" s="71" t="n">
        <v>7109167.06</v>
      </c>
      <c r="R1310" t="inlineStr">
        <is>
          <t>Rare disease</t>
        </is>
      </c>
      <c r="S1310" s="70" t="n">
        <v>953</v>
      </c>
      <c r="T1310" s="71" t="n">
        <v>1286610.16</v>
      </c>
      <c r="U1310" t="inlineStr">
        <is>
          <t>Medium</t>
        </is>
      </c>
      <c r="V1310">
        <f>IF(AND(OR(Dashboard!$C$6="All",E1310=Dashboard!$C$6),OR(Dashboard!$F$6="All",G1310=Dashboard!$F$6),OR(Dashboard!$I$6="All",H1310=Dashboard!$I$6)),1,0)</f>
        <v/>
      </c>
    </row>
    <row r="1311">
      <c r="A1311" t="inlineStr">
        <is>
          <t>PF101302</t>
        </is>
      </c>
      <c r="B1311" s="68" t="n">
        <v>45815</v>
      </c>
      <c r="C1311" s="69" t="n">
        <v>2025</v>
      </c>
      <c r="D1311" t="inlineStr">
        <is>
          <t>Jun</t>
        </is>
      </c>
      <c r="E1311" t="inlineStr">
        <is>
          <t>Emerging markets</t>
        </is>
      </c>
      <c r="F1311" t="inlineStr">
        <is>
          <t>Mexico</t>
        </is>
      </c>
      <c r="G1311" t="inlineStr">
        <is>
          <t>Ibrance</t>
        </is>
      </c>
      <c r="H1311" t="inlineStr">
        <is>
          <t>Hospital</t>
        </is>
      </c>
      <c r="I1311" t="inlineStr">
        <is>
          <t>Private insurer</t>
        </is>
      </c>
      <c r="J1311" t="inlineStr">
        <is>
          <t>Wei Chen</t>
        </is>
      </c>
      <c r="K1311" s="70" t="n">
        <v>2887</v>
      </c>
      <c r="L1311" s="71" t="n">
        <v>2891.28</v>
      </c>
      <c r="M1311" s="71" t="n">
        <v>8347125.36</v>
      </c>
      <c r="N1311" s="71" t="n">
        <v>1252068.8</v>
      </c>
      <c r="O1311" s="71" t="n">
        <v>7095056.56</v>
      </c>
      <c r="P1311" s="71" t="n">
        <v>1293306.35</v>
      </c>
      <c r="Q1311" s="71" t="n">
        <v>5801750.21</v>
      </c>
      <c r="R1311" t="inlineStr">
        <is>
          <t>Oncology</t>
        </is>
      </c>
      <c r="S1311" s="70" t="n">
        <v>1999</v>
      </c>
      <c r="T1311" s="71" t="n">
        <v>1057641.62</v>
      </c>
      <c r="U1311" t="inlineStr">
        <is>
          <t>High</t>
        </is>
      </c>
      <c r="V1311">
        <f>IF(AND(OR(Dashboard!$C$6="All",E1311=Dashboard!$C$6),OR(Dashboard!$F$6="All",G1311=Dashboard!$F$6),OR(Dashboard!$I$6="All",H1311=Dashboard!$I$6)),1,0)</f>
        <v/>
      </c>
    </row>
    <row r="1312">
      <c r="A1312" t="inlineStr">
        <is>
          <t>PF101303</t>
        </is>
      </c>
      <c r="B1312" s="68" t="n">
        <v>45815</v>
      </c>
      <c r="C1312" s="69" t="n">
        <v>2025</v>
      </c>
      <c r="D1312" t="inlineStr">
        <is>
          <t>Jun</t>
        </is>
      </c>
      <c r="E1312" t="inlineStr">
        <is>
          <t>United States</t>
        </is>
      </c>
      <c r="F1312" t="inlineStr">
        <is>
          <t>USA</t>
        </is>
      </c>
      <c r="G1312" t="inlineStr">
        <is>
          <t>Xeljanz</t>
        </is>
      </c>
      <c r="H1312" t="inlineStr">
        <is>
          <t>Retail pharmacy</t>
        </is>
      </c>
      <c r="I1312" t="inlineStr">
        <is>
          <t>Private insurer</t>
        </is>
      </c>
      <c r="J1312" t="inlineStr">
        <is>
          <t>Liam O'Brien</t>
        </is>
      </c>
      <c r="K1312" s="70" t="n">
        <v>2877</v>
      </c>
      <c r="L1312" s="71" t="n">
        <v>2329.52</v>
      </c>
      <c r="M1312" s="71" t="n">
        <v>6702029.04</v>
      </c>
      <c r="N1312" s="71" t="n">
        <v>1340405.81</v>
      </c>
      <c r="O1312" s="71" t="n">
        <v>5361623.23</v>
      </c>
      <c r="P1312" s="71" t="n">
        <v>722534.5699999999</v>
      </c>
      <c r="Q1312" s="71" t="n">
        <v>4639088.66</v>
      </c>
      <c r="R1312" t="inlineStr">
        <is>
          <t>Inflammation</t>
        </is>
      </c>
      <c r="S1312" s="70" t="n">
        <v>2598</v>
      </c>
      <c r="T1312" s="71" t="n">
        <v>972663.97</v>
      </c>
      <c r="U1312" t="inlineStr">
        <is>
          <t>High</t>
        </is>
      </c>
      <c r="V1312">
        <f>IF(AND(OR(Dashboard!$C$6="All",E1312=Dashboard!$C$6),OR(Dashboard!$F$6="All",G1312=Dashboard!$F$6),OR(Dashboard!$I$6="All",H1312=Dashboard!$I$6)),1,0)</f>
        <v/>
      </c>
    </row>
    <row r="1313">
      <c r="A1313" t="inlineStr">
        <is>
          <t>PF101304</t>
        </is>
      </c>
      <c r="B1313" s="68" t="n">
        <v>45815</v>
      </c>
      <c r="C1313" s="69" t="n">
        <v>2025</v>
      </c>
      <c r="D1313" t="inlineStr">
        <is>
          <t>Jun</t>
        </is>
      </c>
      <c r="E1313" t="inlineStr">
        <is>
          <t>International developed</t>
        </is>
      </c>
      <c r="F1313" t="inlineStr">
        <is>
          <t>Japan</t>
        </is>
      </c>
      <c r="G1313" t="inlineStr">
        <is>
          <t>Ibrance</t>
        </is>
      </c>
      <c r="H1313" t="inlineStr">
        <is>
          <t>Government / tender</t>
        </is>
      </c>
      <c r="I1313" t="inlineStr">
        <is>
          <t>Public payer</t>
        </is>
      </c>
      <c r="J1313" t="inlineStr">
        <is>
          <t>Mei Lin</t>
        </is>
      </c>
      <c r="K1313" s="70" t="n">
        <v>840</v>
      </c>
      <c r="L1313" s="71" t="n">
        <v>2691.33</v>
      </c>
      <c r="M1313" s="71" t="n">
        <v>2260717.2</v>
      </c>
      <c r="N1313" s="71" t="n">
        <v>565179.3</v>
      </c>
      <c r="O1313" s="71" t="n">
        <v>1695537.9</v>
      </c>
      <c r="P1313" s="71" t="n">
        <v>354774.57</v>
      </c>
      <c r="Q1313" s="71" t="n">
        <v>1340763.33</v>
      </c>
      <c r="R1313" t="inlineStr">
        <is>
          <t>Oncology</t>
        </is>
      </c>
      <c r="S1313" s="70" t="n">
        <v>563</v>
      </c>
      <c r="T1313" s="71" t="n">
        <v>478072.05</v>
      </c>
      <c r="U1313" t="inlineStr">
        <is>
          <t>High</t>
        </is>
      </c>
      <c r="V1313">
        <f>IF(AND(OR(Dashboard!$C$6="All",E1313=Dashboard!$C$6),OR(Dashboard!$F$6="All",G1313=Dashboard!$F$6),OR(Dashboard!$I$6="All",H1313=Dashboard!$I$6)),1,0)</f>
        <v/>
      </c>
    </row>
    <row r="1314">
      <c r="A1314" t="inlineStr">
        <is>
          <t>PF101305</t>
        </is>
      </c>
      <c r="B1314" s="68" t="n">
        <v>45815</v>
      </c>
      <c r="C1314" s="69" t="n">
        <v>2025</v>
      </c>
      <c r="D1314" t="inlineStr">
        <is>
          <t>Jun</t>
        </is>
      </c>
      <c r="E1314" t="inlineStr">
        <is>
          <t>United States</t>
        </is>
      </c>
      <c r="F1314" t="inlineStr">
        <is>
          <t>USA</t>
        </is>
      </c>
      <c r="G1314" t="inlineStr">
        <is>
          <t>Comirnaty</t>
        </is>
      </c>
      <c r="H1314" t="inlineStr">
        <is>
          <t>Retail pharmacy</t>
        </is>
      </c>
      <c r="I1314" t="inlineStr">
        <is>
          <t>Public payer</t>
        </is>
      </c>
      <c r="J1314" t="inlineStr">
        <is>
          <t>Yuki Sato</t>
        </is>
      </c>
      <c r="K1314" s="70" t="n">
        <v>2212</v>
      </c>
      <c r="L1314" s="71" t="n">
        <v>159.55</v>
      </c>
      <c r="M1314" s="71" t="n">
        <v>352924.6</v>
      </c>
      <c r="N1314" s="71" t="n">
        <v>88231.14999999999</v>
      </c>
      <c r="O1314" s="71" t="n">
        <v>264693.45</v>
      </c>
      <c r="P1314" s="71" t="n">
        <v>85055.99000000001</v>
      </c>
      <c r="Q1314" s="71" t="n">
        <v>179637.46</v>
      </c>
      <c r="R1314" t="inlineStr">
        <is>
          <t>Vaccines</t>
        </is>
      </c>
      <c r="S1314" s="70" t="n">
        <v>1827</v>
      </c>
      <c r="T1314" s="71" t="n">
        <v>52547.32</v>
      </c>
      <c r="U1314" t="inlineStr">
        <is>
          <t>Low</t>
        </is>
      </c>
      <c r="V1314">
        <f>IF(AND(OR(Dashboard!$C$6="All",E1314=Dashboard!$C$6),OR(Dashboard!$F$6="All",G1314=Dashboard!$F$6),OR(Dashboard!$I$6="All",H1314=Dashboard!$I$6)),1,0)</f>
        <v/>
      </c>
    </row>
    <row r="1315">
      <c r="A1315" t="inlineStr">
        <is>
          <t>PF101306</t>
        </is>
      </c>
      <c r="B1315" s="68" t="n">
        <v>45815</v>
      </c>
      <c r="C1315" s="69" t="n">
        <v>2025</v>
      </c>
      <c r="D1315" t="inlineStr">
        <is>
          <t>Jun</t>
        </is>
      </c>
      <c r="E1315" t="inlineStr">
        <is>
          <t>United States</t>
        </is>
      </c>
      <c r="F1315" t="inlineStr">
        <is>
          <t>USA</t>
        </is>
      </c>
      <c r="G1315" t="inlineStr">
        <is>
          <t>Eliquis</t>
        </is>
      </c>
      <c r="H1315" t="inlineStr">
        <is>
          <t>Retail pharmacy</t>
        </is>
      </c>
      <c r="I1315" t="inlineStr">
        <is>
          <t>Public payer</t>
        </is>
      </c>
      <c r="J1315" t="inlineStr">
        <is>
          <t>Sara Rossi</t>
        </is>
      </c>
      <c r="K1315" s="70" t="n">
        <v>1744</v>
      </c>
      <c r="L1315" s="71" t="n">
        <v>640.72</v>
      </c>
      <c r="M1315" s="71" t="n">
        <v>1117415.68</v>
      </c>
      <c r="N1315" s="71" t="n">
        <v>167612.35</v>
      </c>
      <c r="O1315" s="71" t="n">
        <v>949803.33</v>
      </c>
      <c r="P1315" s="71" t="n">
        <v>135126.9</v>
      </c>
      <c r="Q1315" s="71" t="n">
        <v>814676.4300000001</v>
      </c>
      <c r="R1315" t="inlineStr">
        <is>
          <t>Cardiology</t>
        </is>
      </c>
      <c r="S1315" s="70" t="n">
        <v>1734</v>
      </c>
      <c r="T1315" s="71" t="n">
        <v>222037.04</v>
      </c>
      <c r="U1315" t="inlineStr">
        <is>
          <t>High</t>
        </is>
      </c>
      <c r="V1315">
        <f>IF(AND(OR(Dashboard!$C$6="All",E1315=Dashboard!$C$6),OR(Dashboard!$F$6="All",G1315=Dashboard!$F$6),OR(Dashboard!$I$6="All",H1315=Dashboard!$I$6)),1,0)</f>
        <v/>
      </c>
    </row>
    <row r="1316">
      <c r="A1316" t="inlineStr">
        <is>
          <t>PF101307</t>
        </is>
      </c>
      <c r="B1316" s="68" t="n">
        <v>45815</v>
      </c>
      <c r="C1316" s="69" t="n">
        <v>2025</v>
      </c>
      <c r="D1316" t="inlineStr">
        <is>
          <t>Jun</t>
        </is>
      </c>
      <c r="E1316" t="inlineStr">
        <is>
          <t>International developed</t>
        </is>
      </c>
      <c r="F1316" t="inlineStr">
        <is>
          <t>Japan</t>
        </is>
      </c>
      <c r="G1316" t="inlineStr">
        <is>
          <t>Prevnar 20</t>
        </is>
      </c>
      <c r="H1316" t="inlineStr">
        <is>
          <t>Hospital</t>
        </is>
      </c>
      <c r="I1316" t="inlineStr">
        <is>
          <t>Public payer</t>
        </is>
      </c>
      <c r="J1316" t="inlineStr">
        <is>
          <t>Lucas Martin</t>
        </is>
      </c>
      <c r="K1316" s="70" t="n">
        <v>2816</v>
      </c>
      <c r="L1316" s="71" t="n">
        <v>252.04</v>
      </c>
      <c r="M1316" s="71" t="n">
        <v>709744.64</v>
      </c>
      <c r="N1316" s="71" t="n">
        <v>70974.46000000001</v>
      </c>
      <c r="O1316" s="71" t="n">
        <v>638770.1800000001</v>
      </c>
      <c r="P1316" s="71" t="n">
        <v>192107.23</v>
      </c>
      <c r="Q1316" s="71" t="n">
        <v>446662.95</v>
      </c>
      <c r="R1316" t="inlineStr">
        <is>
          <t>Vaccines</t>
        </is>
      </c>
      <c r="S1316" s="70" t="n">
        <v>2534</v>
      </c>
      <c r="T1316" s="71" t="n">
        <v>90080.13</v>
      </c>
      <c r="U1316" t="inlineStr">
        <is>
          <t>Low</t>
        </is>
      </c>
      <c r="V1316">
        <f>IF(AND(OR(Dashboard!$C$6="All",E1316=Dashboard!$C$6),OR(Dashboard!$F$6="All",G1316=Dashboard!$F$6),OR(Dashboard!$I$6="All",H1316=Dashboard!$I$6)),1,0)</f>
        <v/>
      </c>
    </row>
    <row r="1317">
      <c r="A1317" t="inlineStr">
        <is>
          <t>PF101308</t>
        </is>
      </c>
      <c r="B1317" s="68" t="n">
        <v>45815</v>
      </c>
      <c r="C1317" s="69" t="n">
        <v>2025</v>
      </c>
      <c r="D1317" t="inlineStr">
        <is>
          <t>Jun</t>
        </is>
      </c>
      <c r="E1317" t="inlineStr">
        <is>
          <t>Europe</t>
        </is>
      </c>
      <c r="F1317" t="inlineStr">
        <is>
          <t>France</t>
        </is>
      </c>
      <c r="G1317" t="inlineStr">
        <is>
          <t>Comirnaty</t>
        </is>
      </c>
      <c r="H1317" t="inlineStr">
        <is>
          <t>Retail pharmacy</t>
        </is>
      </c>
      <c r="I1317" t="inlineStr">
        <is>
          <t>Private insurer</t>
        </is>
      </c>
      <c r="J1317" t="inlineStr">
        <is>
          <t>Fatima Al-Saud</t>
        </is>
      </c>
      <c r="K1317" s="70" t="n">
        <v>2337</v>
      </c>
      <c r="L1317" s="71" t="n">
        <v>99.73999999999999</v>
      </c>
      <c r="M1317" s="71" t="n">
        <v>233092.38</v>
      </c>
      <c r="N1317" s="71" t="n">
        <v>11654.62</v>
      </c>
      <c r="O1317" s="71" t="n">
        <v>221437.76</v>
      </c>
      <c r="P1317" s="71" t="n">
        <v>89308.53999999999</v>
      </c>
      <c r="Q1317" s="71" t="n">
        <v>132129.22</v>
      </c>
      <c r="R1317" t="inlineStr">
        <is>
          <t>Vaccines</t>
        </is>
      </c>
      <c r="S1317" s="70" t="n">
        <v>1591</v>
      </c>
      <c r="T1317" s="71" t="n">
        <v>45124.33</v>
      </c>
      <c r="U1317" t="inlineStr">
        <is>
          <t>Low</t>
        </is>
      </c>
      <c r="V1317">
        <f>IF(AND(OR(Dashboard!$C$6="All",E1317=Dashboard!$C$6),OR(Dashboard!$F$6="All",G1317=Dashboard!$F$6),OR(Dashboard!$I$6="All",H1317=Dashboard!$I$6)),1,0)</f>
        <v/>
      </c>
    </row>
    <row r="1318">
      <c r="A1318" t="inlineStr">
        <is>
          <t>PF101309</t>
        </is>
      </c>
      <c r="B1318" s="68" t="n">
        <v>45816</v>
      </c>
      <c r="C1318" s="69" t="n">
        <v>2025</v>
      </c>
      <c r="D1318" t="inlineStr">
        <is>
          <t>Jun</t>
        </is>
      </c>
      <c r="E1318" t="inlineStr">
        <is>
          <t>Emerging markets</t>
        </is>
      </c>
      <c r="F1318" t="inlineStr">
        <is>
          <t>Brazil</t>
        </is>
      </c>
      <c r="G1318" t="inlineStr">
        <is>
          <t>Vyndaqel</t>
        </is>
      </c>
      <c r="H1318" t="inlineStr">
        <is>
          <t>Retail pharmacy</t>
        </is>
      </c>
      <c r="I1318" t="inlineStr">
        <is>
          <t>Private insurer</t>
        </is>
      </c>
      <c r="J1318" t="inlineStr">
        <is>
          <t>Carlos Silva</t>
        </is>
      </c>
      <c r="K1318" s="70" t="n">
        <v>461</v>
      </c>
      <c r="L1318" s="71" t="n">
        <v>5258.14</v>
      </c>
      <c r="M1318" s="71" t="n">
        <v>2424002.54</v>
      </c>
      <c r="N1318" s="71" t="n">
        <v>363600.38</v>
      </c>
      <c r="O1318" s="71" t="n">
        <v>2060402.16</v>
      </c>
      <c r="P1318" s="71" t="n">
        <v>288890.83</v>
      </c>
      <c r="Q1318" s="71" t="n">
        <v>1771511.33</v>
      </c>
      <c r="R1318" t="inlineStr">
        <is>
          <t>Rare disease</t>
        </is>
      </c>
      <c r="S1318" s="70" t="n">
        <v>349</v>
      </c>
      <c r="T1318" s="71" t="n">
        <v>399049.86</v>
      </c>
      <c r="U1318" t="inlineStr">
        <is>
          <t>Medium</t>
        </is>
      </c>
      <c r="V1318">
        <f>IF(AND(OR(Dashboard!$C$6="All",E1318=Dashboard!$C$6),OR(Dashboard!$F$6="All",G1318=Dashboard!$F$6),OR(Dashboard!$I$6="All",H1318=Dashboard!$I$6)),1,0)</f>
        <v/>
      </c>
    </row>
    <row r="1319">
      <c r="A1319" t="inlineStr">
        <is>
          <t>PF101310</t>
        </is>
      </c>
      <c r="B1319" s="68" t="n">
        <v>45816</v>
      </c>
      <c r="C1319" s="69" t="n">
        <v>2025</v>
      </c>
      <c r="D1319" t="inlineStr">
        <is>
          <t>Jun</t>
        </is>
      </c>
      <c r="E1319" t="inlineStr">
        <is>
          <t>International developed</t>
        </is>
      </c>
      <c r="F1319" t="inlineStr">
        <is>
          <t>Canada</t>
        </is>
      </c>
      <c r="G1319" t="inlineStr">
        <is>
          <t>Abrysvo</t>
        </is>
      </c>
      <c r="H1319" t="inlineStr">
        <is>
          <t>Hospital</t>
        </is>
      </c>
      <c r="I1319" t="inlineStr">
        <is>
          <t>Self-pay</t>
        </is>
      </c>
      <c r="J1319" t="inlineStr">
        <is>
          <t>Zoya Ahmed</t>
        </is>
      </c>
      <c r="K1319" s="70" t="n">
        <v>2645</v>
      </c>
      <c r="L1319" s="71" t="n">
        <v>304.93</v>
      </c>
      <c r="M1319" s="71" t="n">
        <v>806539.85</v>
      </c>
      <c r="N1319" s="71" t="n">
        <v>80653.99000000001</v>
      </c>
      <c r="O1319" s="71" t="n">
        <v>725885.86</v>
      </c>
      <c r="P1319" s="71" t="n">
        <v>228144.89</v>
      </c>
      <c r="Q1319" s="71" t="n">
        <v>497740.97</v>
      </c>
      <c r="R1319" t="inlineStr">
        <is>
          <t>Vaccines</t>
        </is>
      </c>
      <c r="S1319" s="70" t="n">
        <v>2240</v>
      </c>
      <c r="T1319" s="71" t="n">
        <v>168820.77</v>
      </c>
      <c r="U1319" t="inlineStr">
        <is>
          <t>Low</t>
        </is>
      </c>
      <c r="V1319">
        <f>IF(AND(OR(Dashboard!$C$6="All",E1319=Dashboard!$C$6),OR(Dashboard!$F$6="All",G1319=Dashboard!$F$6),OR(Dashboard!$I$6="All",H1319=Dashboard!$I$6)),1,0)</f>
        <v/>
      </c>
    </row>
    <row r="1320">
      <c r="A1320" t="inlineStr">
        <is>
          <t>PF101311</t>
        </is>
      </c>
      <c r="B1320" s="68" t="n">
        <v>45816</v>
      </c>
      <c r="C1320" s="69" t="n">
        <v>2025</v>
      </c>
      <c r="D1320" t="inlineStr">
        <is>
          <t>Jun</t>
        </is>
      </c>
      <c r="E1320" t="inlineStr">
        <is>
          <t>International developed</t>
        </is>
      </c>
      <c r="F1320" t="inlineStr">
        <is>
          <t>Japan</t>
        </is>
      </c>
      <c r="G1320" t="inlineStr">
        <is>
          <t>Paxlovid</t>
        </is>
      </c>
      <c r="H1320" t="inlineStr">
        <is>
          <t>Retail pharmacy</t>
        </is>
      </c>
      <c r="I1320" t="inlineStr">
        <is>
          <t>Private insurer</t>
        </is>
      </c>
      <c r="J1320" t="inlineStr">
        <is>
          <t>Ruhi Shaikh</t>
        </is>
      </c>
      <c r="K1320" s="70" t="n">
        <v>317</v>
      </c>
      <c r="L1320" s="71" t="n">
        <v>1019.45</v>
      </c>
      <c r="M1320" s="71" t="n">
        <v>323165.65</v>
      </c>
      <c r="N1320" s="71" t="n">
        <v>80791.41</v>
      </c>
      <c r="O1320" s="71" t="n">
        <v>242374.24</v>
      </c>
      <c r="P1320" s="71" t="n">
        <v>89722.89</v>
      </c>
      <c r="Q1320" s="71" t="n">
        <v>152651.35</v>
      </c>
      <c r="R1320" t="inlineStr">
        <is>
          <t>Antiviral</t>
        </is>
      </c>
      <c r="S1320" s="70" t="n">
        <v>241</v>
      </c>
      <c r="T1320" s="71" t="n">
        <v>59826.04</v>
      </c>
      <c r="U1320" t="inlineStr">
        <is>
          <t>Low</t>
        </is>
      </c>
      <c r="V1320">
        <f>IF(AND(OR(Dashboard!$C$6="All",E1320=Dashboard!$C$6),OR(Dashboard!$F$6="All",G1320=Dashboard!$F$6),OR(Dashboard!$I$6="All",H1320=Dashboard!$I$6)),1,0)</f>
        <v/>
      </c>
    </row>
    <row r="1321">
      <c r="A1321" t="inlineStr">
        <is>
          <t>PF101312</t>
        </is>
      </c>
      <c r="B1321" s="68" t="n">
        <v>45816</v>
      </c>
      <c r="C1321" s="69" t="n">
        <v>2025</v>
      </c>
      <c r="D1321" t="inlineStr">
        <is>
          <t>Jun</t>
        </is>
      </c>
      <c r="E1321" t="inlineStr">
        <is>
          <t>Emerging markets</t>
        </is>
      </c>
      <c r="F1321" t="inlineStr">
        <is>
          <t>Mexico</t>
        </is>
      </c>
      <c r="G1321" t="inlineStr">
        <is>
          <t>Prevnar 20</t>
        </is>
      </c>
      <c r="H1321" t="inlineStr">
        <is>
          <t>Government / tender</t>
        </is>
      </c>
      <c r="I1321" t="inlineStr">
        <is>
          <t>Private insurer</t>
        </is>
      </c>
      <c r="J1321" t="inlineStr">
        <is>
          <t>Sophie Müller</t>
        </is>
      </c>
      <c r="K1321" s="70" t="n">
        <v>2034</v>
      </c>
      <c r="L1321" s="71" t="n">
        <v>220.95</v>
      </c>
      <c r="M1321" s="71" t="n">
        <v>449412.3</v>
      </c>
      <c r="N1321" s="71" t="n">
        <v>89882.46000000001</v>
      </c>
      <c r="O1321" s="71" t="n">
        <v>359529.84</v>
      </c>
      <c r="P1321" s="71" t="n">
        <v>140740.45</v>
      </c>
      <c r="Q1321" s="71" t="n">
        <v>218789.39</v>
      </c>
      <c r="R1321" t="inlineStr">
        <is>
          <t>Vaccines</t>
        </is>
      </c>
      <c r="S1321" s="70" t="n">
        <v>1516</v>
      </c>
      <c r="T1321" s="71" t="n">
        <v>61301.08</v>
      </c>
      <c r="U1321" t="inlineStr">
        <is>
          <t>Low</t>
        </is>
      </c>
      <c r="V1321">
        <f>IF(AND(OR(Dashboard!$C$6="All",E1321=Dashboard!$C$6),OR(Dashboard!$F$6="All",G1321=Dashboard!$F$6),OR(Dashboard!$I$6="All",H1321=Dashboard!$I$6)),1,0)</f>
        <v/>
      </c>
    </row>
    <row r="1322">
      <c r="A1322" t="inlineStr">
        <is>
          <t>PF101313</t>
        </is>
      </c>
      <c r="B1322" s="68" t="n">
        <v>45816</v>
      </c>
      <c r="C1322" s="69" t="n">
        <v>2025</v>
      </c>
      <c r="D1322" t="inlineStr">
        <is>
          <t>Jun</t>
        </is>
      </c>
      <c r="E1322" t="inlineStr">
        <is>
          <t>Europe</t>
        </is>
      </c>
      <c r="F1322" t="inlineStr">
        <is>
          <t>UK</t>
        </is>
      </c>
      <c r="G1322" t="inlineStr">
        <is>
          <t>Prevnar 20</t>
        </is>
      </c>
      <c r="H1322" t="inlineStr">
        <is>
          <t>Hospital</t>
        </is>
      </c>
      <c r="I1322" t="inlineStr">
        <is>
          <t>Private insurer</t>
        </is>
      </c>
      <c r="J1322" t="inlineStr">
        <is>
          <t>Lucas Martin</t>
        </is>
      </c>
      <c r="K1322" s="70" t="n">
        <v>878</v>
      </c>
      <c r="L1322" s="71" t="n">
        <v>226.67</v>
      </c>
      <c r="M1322" s="71" t="n">
        <v>199016.26</v>
      </c>
      <c r="N1322" s="71" t="n">
        <v>9950.809999999999</v>
      </c>
      <c r="O1322" s="71" t="n">
        <v>189065.45</v>
      </c>
      <c r="P1322" s="71" t="n">
        <v>59024.36</v>
      </c>
      <c r="Q1322" s="71" t="n">
        <v>130041.09</v>
      </c>
      <c r="R1322" t="inlineStr">
        <is>
          <t>Vaccines</t>
        </is>
      </c>
      <c r="S1322" s="70" t="n">
        <v>785</v>
      </c>
      <c r="T1322" s="71" t="n">
        <v>33148.07</v>
      </c>
      <c r="U1322" t="inlineStr">
        <is>
          <t>Low</t>
        </is>
      </c>
      <c r="V1322">
        <f>IF(AND(OR(Dashboard!$C$6="All",E1322=Dashboard!$C$6),OR(Dashboard!$F$6="All",G1322=Dashboard!$F$6),OR(Dashboard!$I$6="All",H1322=Dashboard!$I$6)),1,0)</f>
        <v/>
      </c>
    </row>
    <row r="1323">
      <c r="A1323" t="inlineStr">
        <is>
          <t>PF101314</t>
        </is>
      </c>
      <c r="B1323" s="68" t="n">
        <v>45816</v>
      </c>
      <c r="C1323" s="69" t="n">
        <v>2025</v>
      </c>
      <c r="D1323" t="inlineStr">
        <is>
          <t>Jun</t>
        </is>
      </c>
      <c r="E1323" t="inlineStr">
        <is>
          <t>Europe</t>
        </is>
      </c>
      <c r="F1323" t="inlineStr">
        <is>
          <t>Spain</t>
        </is>
      </c>
      <c r="G1323" t="inlineStr">
        <is>
          <t>Comirnaty</t>
        </is>
      </c>
      <c r="H1323" t="inlineStr">
        <is>
          <t>Hospital</t>
        </is>
      </c>
      <c r="I1323" t="inlineStr">
        <is>
          <t>Private insurer</t>
        </is>
      </c>
      <c r="J1323" t="inlineStr">
        <is>
          <t>Arjun Mehta</t>
        </is>
      </c>
      <c r="K1323" s="70" t="n">
        <v>432</v>
      </c>
      <c r="L1323" s="71" t="n">
        <v>108.89</v>
      </c>
      <c r="M1323" s="71" t="n">
        <v>47040.48</v>
      </c>
      <c r="N1323" s="71" t="n">
        <v>2352.02</v>
      </c>
      <c r="O1323" s="71" t="n">
        <v>44688.46</v>
      </c>
      <c r="P1323" s="71" t="n">
        <v>16119.57</v>
      </c>
      <c r="Q1323" s="71" t="n">
        <v>28568.89</v>
      </c>
      <c r="R1323" t="inlineStr">
        <is>
          <t>Vaccines</t>
        </is>
      </c>
      <c r="S1323" s="70" t="n">
        <v>298</v>
      </c>
      <c r="T1323" s="71" t="n">
        <v>10054.97</v>
      </c>
      <c r="U1323" t="inlineStr">
        <is>
          <t>Low</t>
        </is>
      </c>
      <c r="V1323">
        <f>IF(AND(OR(Dashboard!$C$6="All",E1323=Dashboard!$C$6),OR(Dashboard!$F$6="All",G1323=Dashboard!$F$6),OR(Dashboard!$I$6="All",H1323=Dashboard!$I$6)),1,0)</f>
        <v/>
      </c>
    </row>
    <row r="1324">
      <c r="A1324" t="inlineStr">
        <is>
          <t>PF101315</t>
        </is>
      </c>
      <c r="B1324" s="68" t="n">
        <v>45816</v>
      </c>
      <c r="C1324" s="69" t="n">
        <v>2025</v>
      </c>
      <c r="D1324" t="inlineStr">
        <is>
          <t>Jun</t>
        </is>
      </c>
      <c r="E1324" t="inlineStr">
        <is>
          <t>United States</t>
        </is>
      </c>
      <c r="F1324" t="inlineStr">
        <is>
          <t>USA</t>
        </is>
      </c>
      <c r="G1324" t="inlineStr">
        <is>
          <t>Eliquis</t>
        </is>
      </c>
      <c r="H1324" t="inlineStr">
        <is>
          <t>Government / tender</t>
        </is>
      </c>
      <c r="I1324" t="inlineStr">
        <is>
          <t>Public payer</t>
        </is>
      </c>
      <c r="J1324" t="inlineStr">
        <is>
          <t>Fatima Al-Saud</t>
        </is>
      </c>
      <c r="K1324" s="70" t="n">
        <v>522</v>
      </c>
      <c r="L1324" s="71" t="n">
        <v>643.1799999999999</v>
      </c>
      <c r="M1324" s="71" t="n">
        <v>335739.96</v>
      </c>
      <c r="N1324" s="71" t="n">
        <v>67147.99000000001</v>
      </c>
      <c r="O1324" s="71" t="n">
        <v>268591.97</v>
      </c>
      <c r="P1324" s="71" t="n">
        <v>40551.99</v>
      </c>
      <c r="Q1324" s="71" t="n">
        <v>228039.98</v>
      </c>
      <c r="R1324" t="inlineStr">
        <is>
          <t>Cardiology</t>
        </is>
      </c>
      <c r="S1324" s="70" t="n">
        <v>371</v>
      </c>
      <c r="T1324" s="71" t="n">
        <v>48325.78</v>
      </c>
      <c r="U1324" t="inlineStr">
        <is>
          <t>High</t>
        </is>
      </c>
      <c r="V1324">
        <f>IF(AND(OR(Dashboard!$C$6="All",E1324=Dashboard!$C$6),OR(Dashboard!$F$6="All",G1324=Dashboard!$F$6),OR(Dashboard!$I$6="All",H1324=Dashboard!$I$6)),1,0)</f>
        <v/>
      </c>
    </row>
    <row r="1325">
      <c r="A1325" t="inlineStr">
        <is>
          <t>PF101316</t>
        </is>
      </c>
      <c r="B1325" s="68" t="n">
        <v>45816</v>
      </c>
      <c r="C1325" s="69" t="n">
        <v>2025</v>
      </c>
      <c r="D1325" t="inlineStr">
        <is>
          <t>Jun</t>
        </is>
      </c>
      <c r="E1325" t="inlineStr">
        <is>
          <t>United States</t>
        </is>
      </c>
      <c r="F1325" t="inlineStr">
        <is>
          <t>USA</t>
        </is>
      </c>
      <c r="G1325" t="inlineStr">
        <is>
          <t>Prevnar 20</t>
        </is>
      </c>
      <c r="H1325" t="inlineStr">
        <is>
          <t>Hospital</t>
        </is>
      </c>
      <c r="I1325" t="inlineStr">
        <is>
          <t>Private insurer</t>
        </is>
      </c>
      <c r="J1325" t="inlineStr">
        <is>
          <t>Priya Nair</t>
        </is>
      </c>
      <c r="K1325" s="70" t="n">
        <v>1564</v>
      </c>
      <c r="L1325" s="71" t="n">
        <v>364.38</v>
      </c>
      <c r="M1325" s="71" t="n">
        <v>569890.3199999999</v>
      </c>
      <c r="N1325" s="71" t="n">
        <v>170967.1</v>
      </c>
      <c r="O1325" s="71" t="n">
        <v>398923.22</v>
      </c>
      <c r="P1325" s="71" t="n">
        <v>104427.11</v>
      </c>
      <c r="Q1325" s="71" t="n">
        <v>294496.11</v>
      </c>
      <c r="R1325" t="inlineStr">
        <is>
          <t>Vaccines</t>
        </is>
      </c>
      <c r="S1325" s="70" t="n">
        <v>1312</v>
      </c>
      <c r="T1325" s="71" t="n">
        <v>77170.28999999999</v>
      </c>
      <c r="U1325" t="inlineStr">
        <is>
          <t>Low</t>
        </is>
      </c>
      <c r="V1325">
        <f>IF(AND(OR(Dashboard!$C$6="All",E1325=Dashboard!$C$6),OR(Dashboard!$F$6="All",G1325=Dashboard!$F$6),OR(Dashboard!$I$6="All",H1325=Dashboard!$I$6)),1,0)</f>
        <v/>
      </c>
    </row>
    <row r="1326">
      <c r="A1326" t="inlineStr">
        <is>
          <t>PF101317</t>
        </is>
      </c>
      <c r="B1326" s="68" t="n">
        <v>45816</v>
      </c>
      <c r="C1326" s="69" t="n">
        <v>2025</v>
      </c>
      <c r="D1326" t="inlineStr">
        <is>
          <t>Jun</t>
        </is>
      </c>
      <c r="E1326" t="inlineStr">
        <is>
          <t>International developed</t>
        </is>
      </c>
      <c r="F1326" t="inlineStr">
        <is>
          <t>Canada</t>
        </is>
      </c>
      <c r="G1326" t="inlineStr">
        <is>
          <t>Vyndaqel</t>
        </is>
      </c>
      <c r="H1326" t="inlineStr">
        <is>
          <t>Retail pharmacy</t>
        </is>
      </c>
      <c r="I1326" t="inlineStr">
        <is>
          <t>Private insurer</t>
        </is>
      </c>
      <c r="J1326" t="inlineStr">
        <is>
          <t>Hiroshi Tanaka</t>
        </is>
      </c>
      <c r="K1326" s="70" t="n">
        <v>487</v>
      </c>
      <c r="L1326" s="71" t="n">
        <v>5081.7</v>
      </c>
      <c r="M1326" s="71" t="n">
        <v>2474787.9</v>
      </c>
      <c r="N1326" s="71" t="n">
        <v>494957.58</v>
      </c>
      <c r="O1326" s="71" t="n">
        <v>1979830.32</v>
      </c>
      <c r="P1326" s="71" t="n">
        <v>306282.62</v>
      </c>
      <c r="Q1326" s="71" t="n">
        <v>1673547.7</v>
      </c>
      <c r="R1326" t="inlineStr">
        <is>
          <t>Rare disease</t>
        </is>
      </c>
      <c r="S1326" s="70" t="n">
        <v>466</v>
      </c>
      <c r="T1326" s="71" t="n">
        <v>409196.14</v>
      </c>
      <c r="U1326" t="inlineStr">
        <is>
          <t>Medium</t>
        </is>
      </c>
      <c r="V1326">
        <f>IF(AND(OR(Dashboard!$C$6="All",E1326=Dashboard!$C$6),OR(Dashboard!$F$6="All",G1326=Dashboard!$F$6),OR(Dashboard!$I$6="All",H1326=Dashboard!$I$6)),1,0)</f>
        <v/>
      </c>
    </row>
    <row r="1327">
      <c r="A1327" t="inlineStr">
        <is>
          <t>PF101318</t>
        </is>
      </c>
      <c r="B1327" s="68" t="n">
        <v>45817</v>
      </c>
      <c r="C1327" s="69" t="n">
        <v>2025</v>
      </c>
      <c r="D1327" t="inlineStr">
        <is>
          <t>Jun</t>
        </is>
      </c>
      <c r="E1327" t="inlineStr">
        <is>
          <t>Europe</t>
        </is>
      </c>
      <c r="F1327" t="inlineStr">
        <is>
          <t>Germany</t>
        </is>
      </c>
      <c r="G1327" t="inlineStr">
        <is>
          <t>Eliquis</t>
        </is>
      </c>
      <c r="H1327" t="inlineStr">
        <is>
          <t>Government / tender</t>
        </is>
      </c>
      <c r="I1327" t="inlineStr">
        <is>
          <t>Private insurer</t>
        </is>
      </c>
      <c r="J1327" t="inlineStr">
        <is>
          <t>Ruhi Shaikh</t>
        </is>
      </c>
      <c r="K1327" s="70" t="n">
        <v>1050</v>
      </c>
      <c r="L1327" s="71" t="n">
        <v>426.93</v>
      </c>
      <c r="M1327" s="71" t="n">
        <v>448276.5</v>
      </c>
      <c r="N1327" s="71" t="n">
        <v>67241.47</v>
      </c>
      <c r="O1327" s="71" t="n">
        <v>381035.03</v>
      </c>
      <c r="P1327" s="71" t="n">
        <v>77506.64999999999</v>
      </c>
      <c r="Q1327" s="71" t="n">
        <v>303528.38</v>
      </c>
      <c r="R1327" t="inlineStr">
        <is>
          <t>Cardiology</t>
        </is>
      </c>
      <c r="S1327" s="70" t="n">
        <v>859</v>
      </c>
      <c r="T1327" s="71" t="n">
        <v>91367.45</v>
      </c>
      <c r="U1327" t="inlineStr">
        <is>
          <t>High</t>
        </is>
      </c>
      <c r="V1327">
        <f>IF(AND(OR(Dashboard!$C$6="All",E1327=Dashboard!$C$6),OR(Dashboard!$F$6="All",G1327=Dashboard!$F$6),OR(Dashboard!$I$6="All",H1327=Dashboard!$I$6)),1,0)</f>
        <v/>
      </c>
    </row>
    <row r="1328">
      <c r="A1328" t="inlineStr">
        <is>
          <t>PF101319</t>
        </is>
      </c>
      <c r="B1328" s="68" t="n">
        <v>45817</v>
      </c>
      <c r="C1328" s="69" t="n">
        <v>2025</v>
      </c>
      <c r="D1328" t="inlineStr">
        <is>
          <t>Jun</t>
        </is>
      </c>
      <c r="E1328" t="inlineStr">
        <is>
          <t>Emerging markets</t>
        </is>
      </c>
      <c r="F1328" t="inlineStr">
        <is>
          <t>Brazil</t>
        </is>
      </c>
      <c r="G1328" t="inlineStr">
        <is>
          <t>Xeljanz</t>
        </is>
      </c>
      <c r="H1328" t="inlineStr">
        <is>
          <t>Hospital</t>
        </is>
      </c>
      <c r="I1328" t="inlineStr">
        <is>
          <t>Public payer</t>
        </is>
      </c>
      <c r="J1328" t="inlineStr">
        <is>
          <t>Emma Clarke</t>
        </is>
      </c>
      <c r="K1328" s="70" t="n">
        <v>373</v>
      </c>
      <c r="L1328" s="71" t="n">
        <v>1311.71</v>
      </c>
      <c r="M1328" s="71" t="n">
        <v>489267.83</v>
      </c>
      <c r="N1328" s="71" t="n">
        <v>48926.78</v>
      </c>
      <c r="O1328" s="71" t="n">
        <v>440341.05</v>
      </c>
      <c r="P1328" s="71" t="n">
        <v>91220.39999999999</v>
      </c>
      <c r="Q1328" s="71" t="n">
        <v>349120.65</v>
      </c>
      <c r="R1328" t="inlineStr">
        <is>
          <t>Inflammation</t>
        </is>
      </c>
      <c r="S1328" s="70" t="n">
        <v>239</v>
      </c>
      <c r="T1328" s="71" t="n">
        <v>107131.56</v>
      </c>
      <c r="U1328" t="inlineStr">
        <is>
          <t>High</t>
        </is>
      </c>
      <c r="V1328">
        <f>IF(AND(OR(Dashboard!$C$6="All",E1328=Dashboard!$C$6),OR(Dashboard!$F$6="All",G1328=Dashboard!$F$6),OR(Dashboard!$I$6="All",H1328=Dashboard!$I$6)),1,0)</f>
        <v/>
      </c>
    </row>
    <row r="1329">
      <c r="A1329" t="inlineStr">
        <is>
          <t>PF101320</t>
        </is>
      </c>
      <c r="B1329" s="68" t="n">
        <v>45817</v>
      </c>
      <c r="C1329" s="69" t="n">
        <v>2025</v>
      </c>
      <c r="D1329" t="inlineStr">
        <is>
          <t>Jun</t>
        </is>
      </c>
      <c r="E1329" t="inlineStr">
        <is>
          <t>United States</t>
        </is>
      </c>
      <c r="F1329" t="inlineStr">
        <is>
          <t>USA</t>
        </is>
      </c>
      <c r="G1329" t="inlineStr">
        <is>
          <t>Comirnaty</t>
        </is>
      </c>
      <c r="H1329" t="inlineStr">
        <is>
          <t>Hospital</t>
        </is>
      </c>
      <c r="I1329" t="inlineStr">
        <is>
          <t>Self-pay</t>
        </is>
      </c>
      <c r="J1329" t="inlineStr">
        <is>
          <t>Ravindra Patil</t>
        </is>
      </c>
      <c r="K1329" s="70" t="n">
        <v>2848</v>
      </c>
      <c r="L1329" s="71" t="n">
        <v>172.56</v>
      </c>
      <c r="M1329" s="71" t="n">
        <v>491450.88</v>
      </c>
      <c r="N1329" s="71" t="n">
        <v>172007.81</v>
      </c>
      <c r="O1329" s="71" t="n">
        <v>319443.07</v>
      </c>
      <c r="P1329" s="71" t="n">
        <v>109393.55</v>
      </c>
      <c r="Q1329" s="71" t="n">
        <v>210049.52</v>
      </c>
      <c r="R1329" t="inlineStr">
        <is>
          <t>Vaccines</t>
        </is>
      </c>
      <c r="S1329" s="70" t="n">
        <v>1843</v>
      </c>
      <c r="T1329" s="71" t="n">
        <v>83009.48</v>
      </c>
      <c r="U1329" t="inlineStr">
        <is>
          <t>Low</t>
        </is>
      </c>
      <c r="V1329">
        <f>IF(AND(OR(Dashboard!$C$6="All",E1329=Dashboard!$C$6),OR(Dashboard!$F$6="All",G1329=Dashboard!$F$6),OR(Dashboard!$I$6="All",H1329=Dashboard!$I$6)),1,0)</f>
        <v/>
      </c>
    </row>
    <row r="1330">
      <c r="A1330" t="inlineStr">
        <is>
          <t>PF101321</t>
        </is>
      </c>
      <c r="B1330" s="68" t="n">
        <v>45817</v>
      </c>
      <c r="C1330" s="69" t="n">
        <v>2025</v>
      </c>
      <c r="D1330" t="inlineStr">
        <is>
          <t>Jun</t>
        </is>
      </c>
      <c r="E1330" t="inlineStr">
        <is>
          <t>United States</t>
        </is>
      </c>
      <c r="F1330" t="inlineStr">
        <is>
          <t>USA</t>
        </is>
      </c>
      <c r="G1330" t="inlineStr">
        <is>
          <t>Abrysvo</t>
        </is>
      </c>
      <c r="H1330" t="inlineStr">
        <is>
          <t>Hospital</t>
        </is>
      </c>
      <c r="I1330" t="inlineStr">
        <is>
          <t>Public payer</t>
        </is>
      </c>
      <c r="J1330" t="inlineStr">
        <is>
          <t>Ana Costa</t>
        </is>
      </c>
      <c r="K1330" s="70" t="n">
        <v>2525</v>
      </c>
      <c r="L1330" s="71" t="n">
        <v>461.65</v>
      </c>
      <c r="M1330" s="71" t="n">
        <v>1165666.25</v>
      </c>
      <c r="N1330" s="71" t="n">
        <v>233133.25</v>
      </c>
      <c r="O1330" s="71" t="n">
        <v>932533</v>
      </c>
      <c r="P1330" s="71" t="n">
        <v>210888.99</v>
      </c>
      <c r="Q1330" s="71" t="n">
        <v>721644.01</v>
      </c>
      <c r="R1330" t="inlineStr">
        <is>
          <t>Vaccines</t>
        </is>
      </c>
      <c r="S1330" s="70" t="n">
        <v>1644</v>
      </c>
      <c r="T1330" s="71" t="n">
        <v>153869.84</v>
      </c>
      <c r="U1330" t="inlineStr">
        <is>
          <t>Low</t>
        </is>
      </c>
      <c r="V1330">
        <f>IF(AND(OR(Dashboard!$C$6="All",E1330=Dashboard!$C$6),OR(Dashboard!$F$6="All",G1330=Dashboard!$F$6),OR(Dashboard!$I$6="All",H1330=Dashboard!$I$6)),1,0)</f>
        <v/>
      </c>
    </row>
    <row r="1331">
      <c r="A1331" t="inlineStr">
        <is>
          <t>PF101322</t>
        </is>
      </c>
      <c r="B1331" s="68" t="n">
        <v>45817</v>
      </c>
      <c r="C1331" s="69" t="n">
        <v>2025</v>
      </c>
      <c r="D1331" t="inlineStr">
        <is>
          <t>Jun</t>
        </is>
      </c>
      <c r="E1331" t="inlineStr">
        <is>
          <t>United States</t>
        </is>
      </c>
      <c r="F1331" t="inlineStr">
        <is>
          <t>USA</t>
        </is>
      </c>
      <c r="G1331" t="inlineStr">
        <is>
          <t>Xeljanz</t>
        </is>
      </c>
      <c r="H1331" t="inlineStr">
        <is>
          <t>Retail pharmacy</t>
        </is>
      </c>
      <c r="I1331" t="inlineStr">
        <is>
          <t>Public payer</t>
        </is>
      </c>
      <c r="J1331" t="inlineStr">
        <is>
          <t>Noah Smith</t>
        </is>
      </c>
      <c r="K1331" s="70" t="n">
        <v>179</v>
      </c>
      <c r="L1331" s="71" t="n">
        <v>2060.54</v>
      </c>
      <c r="M1331" s="71" t="n">
        <v>368836.66</v>
      </c>
      <c r="N1331" s="71" t="n">
        <v>55325.5</v>
      </c>
      <c r="O1331" s="71" t="n">
        <v>313511.16</v>
      </c>
      <c r="P1331" s="71" t="n">
        <v>44577.38</v>
      </c>
      <c r="Q1331" s="71" t="n">
        <v>268933.78</v>
      </c>
      <c r="R1331" t="inlineStr">
        <is>
          <t>Inflammation</t>
        </is>
      </c>
      <c r="S1331" s="70" t="n">
        <v>168</v>
      </c>
      <c r="T1331" s="71" t="n">
        <v>70713.48</v>
      </c>
      <c r="U1331" t="inlineStr">
        <is>
          <t>High</t>
        </is>
      </c>
      <c r="V1331">
        <f>IF(AND(OR(Dashboard!$C$6="All",E1331=Dashboard!$C$6),OR(Dashboard!$F$6="All",G1331=Dashboard!$F$6),OR(Dashboard!$I$6="All",H1331=Dashboard!$I$6)),1,0)</f>
        <v/>
      </c>
    </row>
    <row r="1332">
      <c r="A1332" t="inlineStr">
        <is>
          <t>PF101323</t>
        </is>
      </c>
      <c r="B1332" s="68" t="n">
        <v>45817</v>
      </c>
      <c r="C1332" s="69" t="n">
        <v>2025</v>
      </c>
      <c r="D1332" t="inlineStr">
        <is>
          <t>Jun</t>
        </is>
      </c>
      <c r="E1332" t="inlineStr">
        <is>
          <t>Europe</t>
        </is>
      </c>
      <c r="F1332" t="inlineStr">
        <is>
          <t>UK</t>
        </is>
      </c>
      <c r="G1332" t="inlineStr">
        <is>
          <t>Prevnar 20</t>
        </is>
      </c>
      <c r="H1332" t="inlineStr">
        <is>
          <t>Retail pharmacy</t>
        </is>
      </c>
      <c r="I1332" t="inlineStr">
        <is>
          <t>Private insurer</t>
        </is>
      </c>
      <c r="J1332" t="inlineStr">
        <is>
          <t>Emma Clarke</t>
        </is>
      </c>
      <c r="K1332" s="70" t="n">
        <v>2403</v>
      </c>
      <c r="L1332" s="71" t="n">
        <v>226.29</v>
      </c>
      <c r="M1332" s="71" t="n">
        <v>543774.87</v>
      </c>
      <c r="N1332" s="71" t="n">
        <v>135943.72</v>
      </c>
      <c r="O1332" s="71" t="n">
        <v>407831.15</v>
      </c>
      <c r="P1332" s="71" t="n">
        <v>169176.61</v>
      </c>
      <c r="Q1332" s="71" t="n">
        <v>238654.54</v>
      </c>
      <c r="R1332" t="inlineStr">
        <is>
          <t>Vaccines</t>
        </is>
      </c>
      <c r="S1332" s="70" t="n">
        <v>2371</v>
      </c>
      <c r="T1332" s="71" t="n">
        <v>74169.64999999999</v>
      </c>
      <c r="U1332" t="inlineStr">
        <is>
          <t>Low</t>
        </is>
      </c>
      <c r="V1332">
        <f>IF(AND(OR(Dashboard!$C$6="All",E1332=Dashboard!$C$6),OR(Dashboard!$F$6="All",G1332=Dashboard!$F$6),OR(Dashboard!$I$6="All",H1332=Dashboard!$I$6)),1,0)</f>
        <v/>
      </c>
    </row>
    <row r="1333">
      <c r="A1333" t="inlineStr">
        <is>
          <t>PF101324</t>
        </is>
      </c>
      <c r="B1333" s="68" t="n">
        <v>45817</v>
      </c>
      <c r="C1333" s="69" t="n">
        <v>2025</v>
      </c>
      <c r="D1333" t="inlineStr">
        <is>
          <t>Jun</t>
        </is>
      </c>
      <c r="E1333" t="inlineStr">
        <is>
          <t>Emerging markets</t>
        </is>
      </c>
      <c r="F1333" t="inlineStr">
        <is>
          <t>China</t>
        </is>
      </c>
      <c r="G1333" t="inlineStr">
        <is>
          <t>Comirnaty</t>
        </is>
      </c>
      <c r="H1333" t="inlineStr">
        <is>
          <t>Government / tender</t>
        </is>
      </c>
      <c r="I1333" t="inlineStr">
        <is>
          <t>Public payer</t>
        </is>
      </c>
      <c r="J1333" t="inlineStr">
        <is>
          <t>Priya Nair</t>
        </is>
      </c>
      <c r="K1333" s="70" t="n">
        <v>2336</v>
      </c>
      <c r="L1333" s="71" t="n">
        <v>115.28</v>
      </c>
      <c r="M1333" s="71" t="n">
        <v>269294.08</v>
      </c>
      <c r="N1333" s="71" t="n">
        <v>13464.7</v>
      </c>
      <c r="O1333" s="71" t="n">
        <v>255829.38</v>
      </c>
      <c r="P1333" s="71" t="n">
        <v>93113.98</v>
      </c>
      <c r="Q1333" s="71" t="n">
        <v>162715.4</v>
      </c>
      <c r="R1333" t="inlineStr">
        <is>
          <t>Vaccines</t>
        </is>
      </c>
      <c r="S1333" s="70" t="n">
        <v>1506</v>
      </c>
      <c r="T1333" s="71" t="n">
        <v>40620.55</v>
      </c>
      <c r="U1333" t="inlineStr">
        <is>
          <t>Low</t>
        </is>
      </c>
      <c r="V1333">
        <f>IF(AND(OR(Dashboard!$C$6="All",E1333=Dashboard!$C$6),OR(Dashboard!$F$6="All",G1333=Dashboard!$F$6),OR(Dashboard!$I$6="All",H1333=Dashboard!$I$6)),1,0)</f>
        <v/>
      </c>
    </row>
    <row r="1334">
      <c r="A1334" t="inlineStr">
        <is>
          <t>PF101325</t>
        </is>
      </c>
      <c r="B1334" s="68" t="n">
        <v>45817</v>
      </c>
      <c r="C1334" s="69" t="n">
        <v>2025</v>
      </c>
      <c r="D1334" t="inlineStr">
        <is>
          <t>Jun</t>
        </is>
      </c>
      <c r="E1334" t="inlineStr">
        <is>
          <t>Emerging markets</t>
        </is>
      </c>
      <c r="F1334" t="inlineStr">
        <is>
          <t>India</t>
        </is>
      </c>
      <c r="G1334" t="inlineStr">
        <is>
          <t>Ibrance</t>
        </is>
      </c>
      <c r="H1334" t="inlineStr">
        <is>
          <t>Government / tender</t>
        </is>
      </c>
      <c r="I1334" t="inlineStr">
        <is>
          <t>Self-pay</t>
        </is>
      </c>
      <c r="J1334" t="inlineStr">
        <is>
          <t>Liam O'Brien</t>
        </is>
      </c>
      <c r="K1334" s="70" t="n">
        <v>2905</v>
      </c>
      <c r="L1334" s="71" t="n">
        <v>2968.33</v>
      </c>
      <c r="M1334" s="71" t="n">
        <v>8622998.65</v>
      </c>
      <c r="N1334" s="71" t="n">
        <v>1293449.8</v>
      </c>
      <c r="O1334" s="71" t="n">
        <v>7329548.85</v>
      </c>
      <c r="P1334" s="71" t="n">
        <v>1283190.35</v>
      </c>
      <c r="Q1334" s="71" t="n">
        <v>6046358.5</v>
      </c>
      <c r="R1334" t="inlineStr">
        <is>
          <t>Oncology</t>
        </is>
      </c>
      <c r="S1334" s="70" t="n">
        <v>1875</v>
      </c>
      <c r="T1334" s="71" t="n">
        <v>1286725.9</v>
      </c>
      <c r="U1334" t="inlineStr">
        <is>
          <t>High</t>
        </is>
      </c>
      <c r="V1334">
        <f>IF(AND(OR(Dashboard!$C$6="All",E1334=Dashboard!$C$6),OR(Dashboard!$F$6="All",G1334=Dashboard!$F$6),OR(Dashboard!$I$6="All",H1334=Dashboard!$I$6)),1,0)</f>
        <v/>
      </c>
    </row>
    <row r="1335">
      <c r="A1335" t="inlineStr">
        <is>
          <t>PF101326</t>
        </is>
      </c>
      <c r="B1335" s="68" t="n">
        <v>45817</v>
      </c>
      <c r="C1335" s="69" t="n">
        <v>2025</v>
      </c>
      <c r="D1335" t="inlineStr">
        <is>
          <t>Jun</t>
        </is>
      </c>
      <c r="E1335" t="inlineStr">
        <is>
          <t>United States</t>
        </is>
      </c>
      <c r="F1335" t="inlineStr">
        <is>
          <t>USA</t>
        </is>
      </c>
      <c r="G1335" t="inlineStr">
        <is>
          <t>Ibrance</t>
        </is>
      </c>
      <c r="H1335" t="inlineStr">
        <is>
          <t>Government / tender</t>
        </is>
      </c>
      <c r="I1335" t="inlineStr">
        <is>
          <t>Private insurer</t>
        </is>
      </c>
      <c r="J1335" t="inlineStr">
        <is>
          <t>Lucas Martin</t>
        </is>
      </c>
      <c r="K1335" s="70" t="n">
        <v>675</v>
      </c>
      <c r="L1335" s="71" t="n">
        <v>4414.24</v>
      </c>
      <c r="M1335" s="71" t="n">
        <v>2979612</v>
      </c>
      <c r="N1335" s="71" t="n">
        <v>595922.4</v>
      </c>
      <c r="O1335" s="71" t="n">
        <v>2383689.6</v>
      </c>
      <c r="P1335" s="71" t="n">
        <v>289289.03</v>
      </c>
      <c r="Q1335" s="71" t="n">
        <v>2094400.57</v>
      </c>
      <c r="R1335" t="inlineStr">
        <is>
          <t>Oncology</t>
        </is>
      </c>
      <c r="S1335" s="70" t="n">
        <v>572</v>
      </c>
      <c r="T1335" s="71" t="n">
        <v>392887.22</v>
      </c>
      <c r="U1335" t="inlineStr">
        <is>
          <t>High</t>
        </is>
      </c>
      <c r="V1335">
        <f>IF(AND(OR(Dashboard!$C$6="All",E1335=Dashboard!$C$6),OR(Dashboard!$F$6="All",G1335=Dashboard!$F$6),OR(Dashboard!$I$6="All",H1335=Dashboard!$I$6)),1,0)</f>
        <v/>
      </c>
    </row>
    <row r="1336">
      <c r="A1336" t="inlineStr">
        <is>
          <t>PF101327</t>
        </is>
      </c>
      <c r="B1336" s="68" t="n">
        <v>45817</v>
      </c>
      <c r="C1336" s="69" t="n">
        <v>2025</v>
      </c>
      <c r="D1336" t="inlineStr">
        <is>
          <t>Jun</t>
        </is>
      </c>
      <c r="E1336" t="inlineStr">
        <is>
          <t>International developed</t>
        </is>
      </c>
      <c r="F1336" t="inlineStr">
        <is>
          <t>Australia</t>
        </is>
      </c>
      <c r="G1336" t="inlineStr">
        <is>
          <t>Comirnaty</t>
        </is>
      </c>
      <c r="H1336" t="inlineStr">
        <is>
          <t>Retail pharmacy</t>
        </is>
      </c>
      <c r="I1336" t="inlineStr">
        <is>
          <t>Public payer</t>
        </is>
      </c>
      <c r="J1336" t="inlineStr">
        <is>
          <t>Sara Rossi</t>
        </is>
      </c>
      <c r="K1336" s="70" t="n">
        <v>140</v>
      </c>
      <c r="L1336" s="71" t="n">
        <v>108.82</v>
      </c>
      <c r="M1336" s="71" t="n">
        <v>15234.8</v>
      </c>
      <c r="N1336" s="71" t="n">
        <v>1523.48</v>
      </c>
      <c r="O1336" s="71" t="n">
        <v>13711.32</v>
      </c>
      <c r="P1336" s="71" t="n">
        <v>5567.13</v>
      </c>
      <c r="Q1336" s="71" t="n">
        <v>8144.19</v>
      </c>
      <c r="R1336" t="inlineStr">
        <is>
          <t>Vaccines</t>
        </is>
      </c>
      <c r="S1336" s="70" t="n">
        <v>89</v>
      </c>
      <c r="T1336" s="71" t="n">
        <v>3047.51</v>
      </c>
      <c r="U1336" t="inlineStr">
        <is>
          <t>Low</t>
        </is>
      </c>
      <c r="V1336">
        <f>IF(AND(OR(Dashboard!$C$6="All",E1336=Dashboard!$C$6),OR(Dashboard!$F$6="All",G1336=Dashboard!$F$6),OR(Dashboard!$I$6="All",H1336=Dashboard!$I$6)),1,0)</f>
        <v/>
      </c>
    </row>
    <row r="1337">
      <c r="A1337" t="inlineStr">
        <is>
          <t>PF101328</t>
        </is>
      </c>
      <c r="B1337" s="68" t="n">
        <v>45817</v>
      </c>
      <c r="C1337" s="69" t="n">
        <v>2025</v>
      </c>
      <c r="D1337" t="inlineStr">
        <is>
          <t>Jun</t>
        </is>
      </c>
      <c r="E1337" t="inlineStr">
        <is>
          <t>United States</t>
        </is>
      </c>
      <c r="F1337" t="inlineStr">
        <is>
          <t>USA</t>
        </is>
      </c>
      <c r="G1337" t="inlineStr">
        <is>
          <t>Eliquis</t>
        </is>
      </c>
      <c r="H1337" t="inlineStr">
        <is>
          <t>Retail pharmacy</t>
        </is>
      </c>
      <c r="I1337" t="inlineStr">
        <is>
          <t>Public payer</t>
        </is>
      </c>
      <c r="J1337" t="inlineStr">
        <is>
          <t>Arjun Mehta</t>
        </is>
      </c>
      <c r="K1337" s="70" t="n">
        <v>795</v>
      </c>
      <c r="L1337" s="71" t="n">
        <v>709.76</v>
      </c>
      <c r="M1337" s="71" t="n">
        <v>564259.2</v>
      </c>
      <c r="N1337" s="71" t="n">
        <v>141064.8</v>
      </c>
      <c r="O1337" s="71" t="n">
        <v>423194.4</v>
      </c>
      <c r="P1337" s="71" t="n">
        <v>59184.2</v>
      </c>
      <c r="Q1337" s="71" t="n">
        <v>364010.2</v>
      </c>
      <c r="R1337" t="inlineStr">
        <is>
          <t>Cardiology</t>
        </is>
      </c>
      <c r="S1337" s="70" t="n">
        <v>676</v>
      </c>
      <c r="T1337" s="71" t="n">
        <v>76067.92</v>
      </c>
      <c r="U1337" t="inlineStr">
        <is>
          <t>High</t>
        </is>
      </c>
      <c r="V1337">
        <f>IF(AND(OR(Dashboard!$C$6="All",E1337=Dashboard!$C$6),OR(Dashboard!$F$6="All",G1337=Dashboard!$F$6),OR(Dashboard!$I$6="All",H1337=Dashboard!$I$6)),1,0)</f>
        <v/>
      </c>
    </row>
    <row r="1338">
      <c r="A1338" t="inlineStr">
        <is>
          <t>PF101329</t>
        </is>
      </c>
      <c r="B1338" s="68" t="n">
        <v>45817</v>
      </c>
      <c r="C1338" s="69" t="n">
        <v>2025</v>
      </c>
      <c r="D1338" t="inlineStr">
        <is>
          <t>Jun</t>
        </is>
      </c>
      <c r="E1338" t="inlineStr">
        <is>
          <t>United States</t>
        </is>
      </c>
      <c r="F1338" t="inlineStr">
        <is>
          <t>USA</t>
        </is>
      </c>
      <c r="G1338" t="inlineStr">
        <is>
          <t>Prevnar 20</t>
        </is>
      </c>
      <c r="H1338" t="inlineStr">
        <is>
          <t>Hospital</t>
        </is>
      </c>
      <c r="I1338" t="inlineStr">
        <is>
          <t>Self-pay</t>
        </is>
      </c>
      <c r="J1338" t="inlineStr">
        <is>
          <t>Mei Lin</t>
        </is>
      </c>
      <c r="K1338" s="70" t="n">
        <v>2910</v>
      </c>
      <c r="L1338" s="71" t="n">
        <v>362.94</v>
      </c>
      <c r="M1338" s="71" t="n">
        <v>1056155.4</v>
      </c>
      <c r="N1338" s="71" t="n">
        <v>264038.85</v>
      </c>
      <c r="O1338" s="71" t="n">
        <v>792116.55</v>
      </c>
      <c r="P1338" s="71" t="n">
        <v>197221.7</v>
      </c>
      <c r="Q1338" s="71" t="n">
        <v>594894.85</v>
      </c>
      <c r="R1338" t="inlineStr">
        <is>
          <t>Vaccines</t>
        </is>
      </c>
      <c r="S1338" s="70" t="n">
        <v>2845</v>
      </c>
      <c r="T1338" s="71" t="n">
        <v>155099.39</v>
      </c>
      <c r="U1338" t="inlineStr">
        <is>
          <t>Low</t>
        </is>
      </c>
      <c r="V1338">
        <f>IF(AND(OR(Dashboard!$C$6="All",E1338=Dashboard!$C$6),OR(Dashboard!$F$6="All",G1338=Dashboard!$F$6),OR(Dashboard!$I$6="All",H1338=Dashboard!$I$6)),1,0)</f>
        <v/>
      </c>
    </row>
    <row r="1339">
      <c r="A1339" t="inlineStr">
        <is>
          <t>PF101330</t>
        </is>
      </c>
      <c r="B1339" s="68" t="n">
        <v>45818</v>
      </c>
      <c r="C1339" s="69" t="n">
        <v>2025</v>
      </c>
      <c r="D1339" t="inlineStr">
        <is>
          <t>Jun</t>
        </is>
      </c>
      <c r="E1339" t="inlineStr">
        <is>
          <t>Europe</t>
        </is>
      </c>
      <c r="F1339" t="inlineStr">
        <is>
          <t>France</t>
        </is>
      </c>
      <c r="G1339" t="inlineStr">
        <is>
          <t>Comirnaty</t>
        </is>
      </c>
      <c r="H1339" t="inlineStr">
        <is>
          <t>Retail pharmacy</t>
        </is>
      </c>
      <c r="I1339" t="inlineStr">
        <is>
          <t>Private insurer</t>
        </is>
      </c>
      <c r="J1339" t="inlineStr">
        <is>
          <t>Shraddha Kulkarni</t>
        </is>
      </c>
      <c r="K1339" s="70" t="n">
        <v>705</v>
      </c>
      <c r="L1339" s="71" t="n">
        <v>117.02</v>
      </c>
      <c r="M1339" s="71" t="n">
        <v>82499.10000000001</v>
      </c>
      <c r="N1339" s="71" t="n">
        <v>4124.96</v>
      </c>
      <c r="O1339" s="71" t="n">
        <v>78374.14</v>
      </c>
      <c r="P1339" s="71" t="n">
        <v>28196.06</v>
      </c>
      <c r="Q1339" s="71" t="n">
        <v>50178.08</v>
      </c>
      <c r="R1339" t="inlineStr">
        <is>
          <t>Vaccines</t>
        </is>
      </c>
      <c r="S1339" s="70" t="n">
        <v>502</v>
      </c>
      <c r="T1339" s="71" t="n">
        <v>14610.62</v>
      </c>
      <c r="U1339" t="inlineStr">
        <is>
          <t>Low</t>
        </is>
      </c>
      <c r="V1339">
        <f>IF(AND(OR(Dashboard!$C$6="All",E1339=Dashboard!$C$6),OR(Dashboard!$F$6="All",G1339=Dashboard!$F$6),OR(Dashboard!$I$6="All",H1339=Dashboard!$I$6)),1,0)</f>
        <v/>
      </c>
    </row>
    <row r="1340">
      <c r="A1340" t="inlineStr">
        <is>
          <t>PF101331</t>
        </is>
      </c>
      <c r="B1340" s="68" t="n">
        <v>45818</v>
      </c>
      <c r="C1340" s="69" t="n">
        <v>2025</v>
      </c>
      <c r="D1340" t="inlineStr">
        <is>
          <t>Jun</t>
        </is>
      </c>
      <c r="E1340" t="inlineStr">
        <is>
          <t>United States</t>
        </is>
      </c>
      <c r="F1340" t="inlineStr">
        <is>
          <t>USA</t>
        </is>
      </c>
      <c r="G1340" t="inlineStr">
        <is>
          <t>Ibrance</t>
        </is>
      </c>
      <c r="H1340" t="inlineStr">
        <is>
          <t>Retail pharmacy</t>
        </is>
      </c>
      <c r="I1340" t="inlineStr">
        <is>
          <t>Private insurer</t>
        </is>
      </c>
      <c r="J1340" t="inlineStr">
        <is>
          <t>Ravindra Patil</t>
        </is>
      </c>
      <c r="K1340" s="70" t="n">
        <v>1258</v>
      </c>
      <c r="L1340" s="71" t="n">
        <v>4412.61</v>
      </c>
      <c r="M1340" s="71" t="n">
        <v>5551063.38</v>
      </c>
      <c r="N1340" s="71" t="n">
        <v>1387765.84</v>
      </c>
      <c r="O1340" s="71" t="n">
        <v>4163297.54</v>
      </c>
      <c r="P1340" s="71" t="n">
        <v>542410.27</v>
      </c>
      <c r="Q1340" s="71" t="n">
        <v>3620887.27</v>
      </c>
      <c r="R1340" t="inlineStr">
        <is>
          <t>Oncology</t>
        </is>
      </c>
      <c r="S1340" s="70" t="n">
        <v>1040</v>
      </c>
      <c r="T1340" s="71" t="n">
        <v>1183452.79</v>
      </c>
      <c r="U1340" t="inlineStr">
        <is>
          <t>High</t>
        </is>
      </c>
      <c r="V1340">
        <f>IF(AND(OR(Dashboard!$C$6="All",E1340=Dashboard!$C$6),OR(Dashboard!$F$6="All",G1340=Dashboard!$F$6),OR(Dashboard!$I$6="All",H1340=Dashboard!$I$6)),1,0)</f>
        <v/>
      </c>
    </row>
    <row r="1341">
      <c r="A1341" t="inlineStr">
        <is>
          <t>PF101332</t>
        </is>
      </c>
      <c r="B1341" s="68" t="n">
        <v>45818</v>
      </c>
      <c r="C1341" s="69" t="n">
        <v>2025</v>
      </c>
      <c r="D1341" t="inlineStr">
        <is>
          <t>Jun</t>
        </is>
      </c>
      <c r="E1341" t="inlineStr">
        <is>
          <t>United States</t>
        </is>
      </c>
      <c r="F1341" t="inlineStr">
        <is>
          <t>USA</t>
        </is>
      </c>
      <c r="G1341" t="inlineStr">
        <is>
          <t>Vyndaqel</t>
        </is>
      </c>
      <c r="H1341" t="inlineStr">
        <is>
          <t>Retail pharmacy</t>
        </is>
      </c>
      <c r="I1341" t="inlineStr">
        <is>
          <t>Private insurer</t>
        </is>
      </c>
      <c r="J1341" t="inlineStr">
        <is>
          <t>Liam O'Brien</t>
        </is>
      </c>
      <c r="K1341" s="70" t="n">
        <v>1650</v>
      </c>
      <c r="L1341" s="71" t="n">
        <v>8712.4</v>
      </c>
      <c r="M1341" s="71" t="n">
        <v>14375460</v>
      </c>
      <c r="N1341" s="71" t="n">
        <v>5031411</v>
      </c>
      <c r="O1341" s="71" t="n">
        <v>9344049</v>
      </c>
      <c r="P1341" s="71" t="n">
        <v>1040287.31</v>
      </c>
      <c r="Q1341" s="71" t="n">
        <v>8303761.69</v>
      </c>
      <c r="R1341" t="inlineStr">
        <is>
          <t>Rare disease</t>
        </is>
      </c>
      <c r="S1341" s="70" t="n">
        <v>1593</v>
      </c>
      <c r="T1341" s="71" t="n">
        <v>2066555.55</v>
      </c>
      <c r="U1341" t="inlineStr">
        <is>
          <t>Medium</t>
        </is>
      </c>
      <c r="V1341">
        <f>IF(AND(OR(Dashboard!$C$6="All",E1341=Dashboard!$C$6),OR(Dashboard!$F$6="All",G1341=Dashboard!$F$6),OR(Dashboard!$I$6="All",H1341=Dashboard!$I$6)),1,0)</f>
        <v/>
      </c>
    </row>
    <row r="1342">
      <c r="A1342" t="inlineStr">
        <is>
          <t>PF101333</t>
        </is>
      </c>
      <c r="B1342" s="68" t="n">
        <v>45818</v>
      </c>
      <c r="C1342" s="69" t="n">
        <v>2025</v>
      </c>
      <c r="D1342" t="inlineStr">
        <is>
          <t>Jun</t>
        </is>
      </c>
      <c r="E1342" t="inlineStr">
        <is>
          <t>International developed</t>
        </is>
      </c>
      <c r="F1342" t="inlineStr">
        <is>
          <t>Canada</t>
        </is>
      </c>
      <c r="G1342" t="inlineStr">
        <is>
          <t>Abrysvo</t>
        </is>
      </c>
      <c r="H1342" t="inlineStr">
        <is>
          <t>Government / tender</t>
        </is>
      </c>
      <c r="I1342" t="inlineStr">
        <is>
          <t>Private insurer</t>
        </is>
      </c>
      <c r="J1342" t="inlineStr">
        <is>
          <t>Lucas Martin</t>
        </is>
      </c>
      <c r="K1342" s="70" t="n">
        <v>2544</v>
      </c>
      <c r="L1342" s="71" t="n">
        <v>295.45</v>
      </c>
      <c r="M1342" s="71" t="n">
        <v>751624.8</v>
      </c>
      <c r="N1342" s="71" t="n">
        <v>75162.48</v>
      </c>
      <c r="O1342" s="71" t="n">
        <v>676462.3199999999</v>
      </c>
      <c r="P1342" s="71" t="n">
        <v>217477.11</v>
      </c>
      <c r="Q1342" s="71" t="n">
        <v>458985.21</v>
      </c>
      <c r="R1342" t="inlineStr">
        <is>
          <t>Vaccines</t>
        </is>
      </c>
      <c r="S1342" s="70" t="n">
        <v>2491</v>
      </c>
      <c r="T1342" s="71" t="n">
        <v>163178.84</v>
      </c>
      <c r="U1342" t="inlineStr">
        <is>
          <t>Low</t>
        </is>
      </c>
      <c r="V1342">
        <f>IF(AND(OR(Dashboard!$C$6="All",E1342=Dashboard!$C$6),OR(Dashboard!$F$6="All",G1342=Dashboard!$F$6),OR(Dashboard!$I$6="All",H1342=Dashboard!$I$6)),1,0)</f>
        <v/>
      </c>
    </row>
    <row r="1343">
      <c r="A1343" t="inlineStr">
        <is>
          <t>PF101334</t>
        </is>
      </c>
      <c r="B1343" s="68" t="n">
        <v>45818</v>
      </c>
      <c r="C1343" s="69" t="n">
        <v>2025</v>
      </c>
      <c r="D1343" t="inlineStr">
        <is>
          <t>Jun</t>
        </is>
      </c>
      <c r="E1343" t="inlineStr">
        <is>
          <t>United States</t>
        </is>
      </c>
      <c r="F1343" t="inlineStr">
        <is>
          <t>USA</t>
        </is>
      </c>
      <c r="G1343" t="inlineStr">
        <is>
          <t>Ibrance</t>
        </is>
      </c>
      <c r="H1343" t="inlineStr">
        <is>
          <t>Retail pharmacy</t>
        </is>
      </c>
      <c r="I1343" t="inlineStr">
        <is>
          <t>Self-pay</t>
        </is>
      </c>
      <c r="J1343" t="inlineStr">
        <is>
          <t>Fatima Al-Saud</t>
        </is>
      </c>
      <c r="K1343" s="70" t="n">
        <v>1576</v>
      </c>
      <c r="L1343" s="71" t="n">
        <v>4632.32</v>
      </c>
      <c r="M1343" s="71" t="n">
        <v>7300536.32</v>
      </c>
      <c r="N1343" s="71" t="n">
        <v>2555187.71</v>
      </c>
      <c r="O1343" s="71" t="n">
        <v>4745348.61</v>
      </c>
      <c r="P1343" s="71" t="n">
        <v>700499.09</v>
      </c>
      <c r="Q1343" s="71" t="n">
        <v>4044849.52</v>
      </c>
      <c r="R1343" t="inlineStr">
        <is>
          <t>Oncology</t>
        </is>
      </c>
      <c r="S1343" s="70" t="n">
        <v>1058</v>
      </c>
      <c r="T1343" s="71" t="n">
        <v>888439.6800000001</v>
      </c>
      <c r="U1343" t="inlineStr">
        <is>
          <t>High</t>
        </is>
      </c>
      <c r="V1343">
        <f>IF(AND(OR(Dashboard!$C$6="All",E1343=Dashboard!$C$6),OR(Dashboard!$F$6="All",G1343=Dashboard!$F$6),OR(Dashboard!$I$6="All",H1343=Dashboard!$I$6)),1,0)</f>
        <v/>
      </c>
    </row>
    <row r="1344">
      <c r="A1344" t="inlineStr">
        <is>
          <t>PF101335</t>
        </is>
      </c>
      <c r="B1344" s="68" t="n">
        <v>45818</v>
      </c>
      <c r="C1344" s="69" t="n">
        <v>2025</v>
      </c>
      <c r="D1344" t="inlineStr">
        <is>
          <t>Jun</t>
        </is>
      </c>
      <c r="E1344" t="inlineStr">
        <is>
          <t>Europe</t>
        </is>
      </c>
      <c r="F1344" t="inlineStr">
        <is>
          <t>France</t>
        </is>
      </c>
      <c r="G1344" t="inlineStr">
        <is>
          <t>Comirnaty</t>
        </is>
      </c>
      <c r="H1344" t="inlineStr">
        <is>
          <t>Hospital</t>
        </is>
      </c>
      <c r="I1344" t="inlineStr">
        <is>
          <t>Private insurer</t>
        </is>
      </c>
      <c r="J1344" t="inlineStr">
        <is>
          <t>Shraddha Kulkarni</t>
        </is>
      </c>
      <c r="K1344" s="70" t="n">
        <v>1811</v>
      </c>
      <c r="L1344" s="71" t="n">
        <v>113.44</v>
      </c>
      <c r="M1344" s="71" t="n">
        <v>205439.84</v>
      </c>
      <c r="N1344" s="71" t="n">
        <v>51359.96</v>
      </c>
      <c r="O1344" s="71" t="n">
        <v>154079.88</v>
      </c>
      <c r="P1344" s="71" t="n">
        <v>69721.92</v>
      </c>
      <c r="Q1344" s="71" t="n">
        <v>84357.96000000001</v>
      </c>
      <c r="R1344" t="inlineStr">
        <is>
          <t>Vaccines</t>
        </is>
      </c>
      <c r="S1344" s="70" t="n">
        <v>1319</v>
      </c>
      <c r="T1344" s="71" t="n">
        <v>34111.87</v>
      </c>
      <c r="U1344" t="inlineStr">
        <is>
          <t>Low</t>
        </is>
      </c>
      <c r="V1344">
        <f>IF(AND(OR(Dashboard!$C$6="All",E1344=Dashboard!$C$6),OR(Dashboard!$F$6="All",G1344=Dashboard!$F$6),OR(Dashboard!$I$6="All",H1344=Dashboard!$I$6)),1,0)</f>
        <v/>
      </c>
    </row>
    <row r="1345">
      <c r="A1345" t="inlineStr">
        <is>
          <t>PF101336</t>
        </is>
      </c>
      <c r="B1345" s="68" t="n">
        <v>45818</v>
      </c>
      <c r="C1345" s="69" t="n">
        <v>2025</v>
      </c>
      <c r="D1345" t="inlineStr">
        <is>
          <t>Jun</t>
        </is>
      </c>
      <c r="E1345" t="inlineStr">
        <is>
          <t>United States</t>
        </is>
      </c>
      <c r="F1345" t="inlineStr">
        <is>
          <t>USA</t>
        </is>
      </c>
      <c r="G1345" t="inlineStr">
        <is>
          <t>Vyndaqel</t>
        </is>
      </c>
      <c r="H1345" t="inlineStr">
        <is>
          <t>Hospital</t>
        </is>
      </c>
      <c r="I1345" t="inlineStr">
        <is>
          <t>Public payer</t>
        </is>
      </c>
      <c r="J1345" t="inlineStr">
        <is>
          <t>Wei Chen</t>
        </is>
      </c>
      <c r="K1345" s="70" t="n">
        <v>2908</v>
      </c>
      <c r="L1345" s="71" t="n">
        <v>8872.219999999999</v>
      </c>
      <c r="M1345" s="71" t="n">
        <v>25800415.76</v>
      </c>
      <c r="N1345" s="71" t="n">
        <v>5160083.15</v>
      </c>
      <c r="O1345" s="71" t="n">
        <v>20640332.61</v>
      </c>
      <c r="P1345" s="71" t="n">
        <v>1820027.21</v>
      </c>
      <c r="Q1345" s="71" t="n">
        <v>18820305.4</v>
      </c>
      <c r="R1345" t="inlineStr">
        <is>
          <t>Rare disease</t>
        </is>
      </c>
      <c r="S1345" s="70" t="n">
        <v>1978</v>
      </c>
      <c r="T1345" s="71" t="n">
        <v>5614725.87</v>
      </c>
      <c r="U1345" t="inlineStr">
        <is>
          <t>Medium</t>
        </is>
      </c>
      <c r="V1345">
        <f>IF(AND(OR(Dashboard!$C$6="All",E1345=Dashboard!$C$6),OR(Dashboard!$F$6="All",G1345=Dashboard!$F$6),OR(Dashboard!$I$6="All",H1345=Dashboard!$I$6)),1,0)</f>
        <v/>
      </c>
    </row>
    <row r="1346">
      <c r="A1346" t="inlineStr">
        <is>
          <t>PF101337</t>
        </is>
      </c>
      <c r="B1346" s="68" t="n">
        <v>45819</v>
      </c>
      <c r="C1346" s="69" t="n">
        <v>2025</v>
      </c>
      <c r="D1346" t="inlineStr">
        <is>
          <t>Jun</t>
        </is>
      </c>
      <c r="E1346" t="inlineStr">
        <is>
          <t>United States</t>
        </is>
      </c>
      <c r="F1346" t="inlineStr">
        <is>
          <t>USA</t>
        </is>
      </c>
      <c r="G1346" t="inlineStr">
        <is>
          <t>Xeljanz</t>
        </is>
      </c>
      <c r="H1346" t="inlineStr">
        <is>
          <t>Government / tender</t>
        </is>
      </c>
      <c r="I1346" t="inlineStr">
        <is>
          <t>Self-pay</t>
        </is>
      </c>
      <c r="J1346" t="inlineStr">
        <is>
          <t>Zoya Ahmed</t>
        </is>
      </c>
      <c r="K1346" s="70" t="n">
        <v>2116</v>
      </c>
      <c r="L1346" s="71" t="n">
        <v>2137.95</v>
      </c>
      <c r="M1346" s="71" t="n">
        <v>4523902.2</v>
      </c>
      <c r="N1346" s="71" t="n">
        <v>904780.4399999999</v>
      </c>
      <c r="O1346" s="71" t="n">
        <v>3619121.76</v>
      </c>
      <c r="P1346" s="71" t="n">
        <v>519049.93</v>
      </c>
      <c r="Q1346" s="71" t="n">
        <v>3100071.83</v>
      </c>
      <c r="R1346" t="inlineStr">
        <is>
          <t>Inflammation</t>
        </is>
      </c>
      <c r="S1346" s="70" t="n">
        <v>1635</v>
      </c>
      <c r="T1346" s="71" t="n">
        <v>972579.55</v>
      </c>
      <c r="U1346" t="inlineStr">
        <is>
          <t>High</t>
        </is>
      </c>
      <c r="V1346">
        <f>IF(AND(OR(Dashboard!$C$6="All",E1346=Dashboard!$C$6),OR(Dashboard!$F$6="All",G1346=Dashboard!$F$6),OR(Dashboard!$I$6="All",H1346=Dashboard!$I$6)),1,0)</f>
        <v/>
      </c>
    </row>
    <row r="1347">
      <c r="A1347" t="inlineStr">
        <is>
          <t>PF101338</t>
        </is>
      </c>
      <c r="B1347" s="68" t="n">
        <v>45819</v>
      </c>
      <c r="C1347" s="69" t="n">
        <v>2025</v>
      </c>
      <c r="D1347" t="inlineStr">
        <is>
          <t>Jun</t>
        </is>
      </c>
      <c r="E1347" t="inlineStr">
        <is>
          <t>Europe</t>
        </is>
      </c>
      <c r="F1347" t="inlineStr">
        <is>
          <t>UK</t>
        </is>
      </c>
      <c r="G1347" t="inlineStr">
        <is>
          <t>Eliquis</t>
        </is>
      </c>
      <c r="H1347" t="inlineStr">
        <is>
          <t>Hospital</t>
        </is>
      </c>
      <c r="I1347" t="inlineStr">
        <is>
          <t>Private insurer</t>
        </is>
      </c>
      <c r="J1347" t="inlineStr">
        <is>
          <t>Ana Costa</t>
        </is>
      </c>
      <c r="K1347" s="70" t="n">
        <v>468</v>
      </c>
      <c r="L1347" s="71" t="n">
        <v>460.43</v>
      </c>
      <c r="M1347" s="71" t="n">
        <v>215481.24</v>
      </c>
      <c r="N1347" s="71" t="n">
        <v>21548.12</v>
      </c>
      <c r="O1347" s="71" t="n">
        <v>193933.12</v>
      </c>
      <c r="P1347" s="71" t="n">
        <v>36623.49</v>
      </c>
      <c r="Q1347" s="71" t="n">
        <v>157309.63</v>
      </c>
      <c r="R1347" t="inlineStr">
        <is>
          <t>Cardiology</t>
        </is>
      </c>
      <c r="S1347" s="70" t="n">
        <v>436</v>
      </c>
      <c r="T1347" s="71" t="n">
        <v>44429.49</v>
      </c>
      <c r="U1347" t="inlineStr">
        <is>
          <t>High</t>
        </is>
      </c>
      <c r="V1347">
        <f>IF(AND(OR(Dashboard!$C$6="All",E1347=Dashboard!$C$6),OR(Dashboard!$F$6="All",G1347=Dashboard!$F$6),OR(Dashboard!$I$6="All",H1347=Dashboard!$I$6)),1,0)</f>
        <v/>
      </c>
    </row>
    <row r="1348">
      <c r="A1348" t="inlineStr">
        <is>
          <t>PF101339</t>
        </is>
      </c>
      <c r="B1348" s="68" t="n">
        <v>45819</v>
      </c>
      <c r="C1348" s="69" t="n">
        <v>2025</v>
      </c>
      <c r="D1348" t="inlineStr">
        <is>
          <t>Jun</t>
        </is>
      </c>
      <c r="E1348" t="inlineStr">
        <is>
          <t>Emerging markets</t>
        </is>
      </c>
      <c r="F1348" t="inlineStr">
        <is>
          <t>India</t>
        </is>
      </c>
      <c r="G1348" t="inlineStr">
        <is>
          <t>Ibrance</t>
        </is>
      </c>
      <c r="H1348" t="inlineStr">
        <is>
          <t>Retail pharmacy</t>
        </is>
      </c>
      <c r="I1348" t="inlineStr">
        <is>
          <t>Private insurer</t>
        </is>
      </c>
      <c r="J1348" t="inlineStr">
        <is>
          <t>Lucas Martin</t>
        </is>
      </c>
      <c r="K1348" s="70" t="n">
        <v>787</v>
      </c>
      <c r="L1348" s="71" t="n">
        <v>2706.43</v>
      </c>
      <c r="M1348" s="71" t="n">
        <v>2129960.41</v>
      </c>
      <c r="N1348" s="71" t="n">
        <v>532490.1</v>
      </c>
      <c r="O1348" s="71" t="n">
        <v>1597470.31</v>
      </c>
      <c r="P1348" s="71" t="n">
        <v>338624.86</v>
      </c>
      <c r="Q1348" s="71" t="n">
        <v>1258845.45</v>
      </c>
      <c r="R1348" t="inlineStr">
        <is>
          <t>Oncology</t>
        </is>
      </c>
      <c r="S1348" s="70" t="n">
        <v>590</v>
      </c>
      <c r="T1348" s="71" t="n">
        <v>341866.19</v>
      </c>
      <c r="U1348" t="inlineStr">
        <is>
          <t>High</t>
        </is>
      </c>
      <c r="V1348">
        <f>IF(AND(OR(Dashboard!$C$6="All",E1348=Dashboard!$C$6),OR(Dashboard!$F$6="All",G1348=Dashboard!$F$6),OR(Dashboard!$I$6="All",H1348=Dashboard!$I$6)),1,0)</f>
        <v/>
      </c>
    </row>
    <row r="1349">
      <c r="A1349" t="inlineStr">
        <is>
          <t>PF101340</t>
        </is>
      </c>
      <c r="B1349" s="68" t="n">
        <v>45819</v>
      </c>
      <c r="C1349" s="69" t="n">
        <v>2025</v>
      </c>
      <c r="D1349" t="inlineStr">
        <is>
          <t>Jun</t>
        </is>
      </c>
      <c r="E1349" t="inlineStr">
        <is>
          <t>Europe</t>
        </is>
      </c>
      <c r="F1349" t="inlineStr">
        <is>
          <t>France</t>
        </is>
      </c>
      <c r="G1349" t="inlineStr">
        <is>
          <t>Prevnar 20</t>
        </is>
      </c>
      <c r="H1349" t="inlineStr">
        <is>
          <t>Retail pharmacy</t>
        </is>
      </c>
      <c r="I1349" t="inlineStr">
        <is>
          <t>Self-pay</t>
        </is>
      </c>
      <c r="J1349" t="inlineStr">
        <is>
          <t>Amir Khan</t>
        </is>
      </c>
      <c r="K1349" s="70" t="n">
        <v>2183</v>
      </c>
      <c r="L1349" s="71" t="n">
        <v>219.93</v>
      </c>
      <c r="M1349" s="71" t="n">
        <v>480107.19</v>
      </c>
      <c r="N1349" s="71" t="n">
        <v>96021.44</v>
      </c>
      <c r="O1349" s="71" t="n">
        <v>384085.75</v>
      </c>
      <c r="P1349" s="71" t="n">
        <v>148211.1</v>
      </c>
      <c r="Q1349" s="71" t="n">
        <v>235874.65</v>
      </c>
      <c r="R1349" t="inlineStr">
        <is>
          <t>Vaccines</t>
        </is>
      </c>
      <c r="S1349" s="70" t="n">
        <v>1563</v>
      </c>
      <c r="T1349" s="71" t="n">
        <v>58233.83</v>
      </c>
      <c r="U1349" t="inlineStr">
        <is>
          <t>Low</t>
        </is>
      </c>
      <c r="V1349">
        <f>IF(AND(OR(Dashboard!$C$6="All",E1349=Dashboard!$C$6),OR(Dashboard!$F$6="All",G1349=Dashboard!$F$6),OR(Dashboard!$I$6="All",H1349=Dashboard!$I$6)),1,0)</f>
        <v/>
      </c>
    </row>
    <row r="1350">
      <c r="A1350" t="inlineStr">
        <is>
          <t>PF101341</t>
        </is>
      </c>
      <c r="B1350" s="68" t="n">
        <v>45819</v>
      </c>
      <c r="C1350" s="69" t="n">
        <v>2025</v>
      </c>
      <c r="D1350" t="inlineStr">
        <is>
          <t>Jun</t>
        </is>
      </c>
      <c r="E1350" t="inlineStr">
        <is>
          <t>United States</t>
        </is>
      </c>
      <c r="F1350" t="inlineStr">
        <is>
          <t>USA</t>
        </is>
      </c>
      <c r="G1350" t="inlineStr">
        <is>
          <t>Xeljanz</t>
        </is>
      </c>
      <c r="H1350" t="inlineStr">
        <is>
          <t>Retail pharmacy</t>
        </is>
      </c>
      <c r="I1350" t="inlineStr">
        <is>
          <t>Private insurer</t>
        </is>
      </c>
      <c r="J1350" t="inlineStr">
        <is>
          <t>Arjun Mehta</t>
        </is>
      </c>
      <c r="K1350" s="70" t="n">
        <v>646</v>
      </c>
      <c r="L1350" s="71" t="n">
        <v>2326.1</v>
      </c>
      <c r="M1350" s="71" t="n">
        <v>1502660.6</v>
      </c>
      <c r="N1350" s="71" t="n">
        <v>525931.21</v>
      </c>
      <c r="O1350" s="71" t="n">
        <v>976729.39</v>
      </c>
      <c r="P1350" s="71" t="n">
        <v>156978.51</v>
      </c>
      <c r="Q1350" s="71" t="n">
        <v>819750.88</v>
      </c>
      <c r="R1350" t="inlineStr">
        <is>
          <t>Inflammation</t>
        </is>
      </c>
      <c r="S1350" s="70" t="n">
        <v>446</v>
      </c>
      <c r="T1350" s="71" t="n">
        <v>275028.77</v>
      </c>
      <c r="U1350" t="inlineStr">
        <is>
          <t>High</t>
        </is>
      </c>
      <c r="V1350">
        <f>IF(AND(OR(Dashboard!$C$6="All",E1350=Dashboard!$C$6),OR(Dashboard!$F$6="All",G1350=Dashboard!$F$6),OR(Dashboard!$I$6="All",H1350=Dashboard!$I$6)),1,0)</f>
        <v/>
      </c>
    </row>
    <row r="1351">
      <c r="A1351" t="inlineStr">
        <is>
          <t>PF101342</t>
        </is>
      </c>
      <c r="B1351" s="68" t="n">
        <v>45819</v>
      </c>
      <c r="C1351" s="69" t="n">
        <v>2025</v>
      </c>
      <c r="D1351" t="inlineStr">
        <is>
          <t>Jun</t>
        </is>
      </c>
      <c r="E1351" t="inlineStr">
        <is>
          <t>International developed</t>
        </is>
      </c>
      <c r="F1351" t="inlineStr">
        <is>
          <t>Australia</t>
        </is>
      </c>
      <c r="G1351" t="inlineStr">
        <is>
          <t>Comirnaty</t>
        </is>
      </c>
      <c r="H1351" t="inlineStr">
        <is>
          <t>Retail pharmacy</t>
        </is>
      </c>
      <c r="I1351" t="inlineStr">
        <is>
          <t>Private insurer</t>
        </is>
      </c>
      <c r="J1351" t="inlineStr">
        <is>
          <t>Shraddha Kulkarni</t>
        </is>
      </c>
      <c r="K1351" s="70" t="n">
        <v>2125</v>
      </c>
      <c r="L1351" s="71" t="n">
        <v>115.52</v>
      </c>
      <c r="M1351" s="71" t="n">
        <v>245480</v>
      </c>
      <c r="N1351" s="71" t="n">
        <v>61370</v>
      </c>
      <c r="O1351" s="71" t="n">
        <v>184110</v>
      </c>
      <c r="P1351" s="71" t="n">
        <v>83301.50999999999</v>
      </c>
      <c r="Q1351" s="71" t="n">
        <v>100808.49</v>
      </c>
      <c r="R1351" t="inlineStr">
        <is>
          <t>Vaccines</t>
        </is>
      </c>
      <c r="S1351" s="70" t="n">
        <v>1395</v>
      </c>
      <c r="T1351" s="71" t="n">
        <v>39440.17</v>
      </c>
      <c r="U1351" t="inlineStr">
        <is>
          <t>Low</t>
        </is>
      </c>
      <c r="V1351">
        <f>IF(AND(OR(Dashboard!$C$6="All",E1351=Dashboard!$C$6),OR(Dashboard!$F$6="All",G1351=Dashboard!$F$6),OR(Dashboard!$I$6="All",H1351=Dashboard!$I$6)),1,0)</f>
        <v/>
      </c>
    </row>
    <row r="1352">
      <c r="A1352" t="inlineStr">
        <is>
          <t>PF101343</t>
        </is>
      </c>
      <c r="B1352" s="68" t="n">
        <v>45819</v>
      </c>
      <c r="C1352" s="69" t="n">
        <v>2025</v>
      </c>
      <c r="D1352" t="inlineStr">
        <is>
          <t>Jun</t>
        </is>
      </c>
      <c r="E1352" t="inlineStr">
        <is>
          <t>Emerging markets</t>
        </is>
      </c>
      <c r="F1352" t="inlineStr">
        <is>
          <t>Brazil</t>
        </is>
      </c>
      <c r="G1352" t="inlineStr">
        <is>
          <t>Prevnar 20</t>
        </is>
      </c>
      <c r="H1352" t="inlineStr">
        <is>
          <t>Retail pharmacy</t>
        </is>
      </c>
      <c r="I1352" t="inlineStr">
        <is>
          <t>Public payer</t>
        </is>
      </c>
      <c r="J1352" t="inlineStr">
        <is>
          <t>Aisha Bello</t>
        </is>
      </c>
      <c r="K1352" s="70" t="n">
        <v>1501</v>
      </c>
      <c r="L1352" s="71" t="n">
        <v>210.09</v>
      </c>
      <c r="M1352" s="71" t="n">
        <v>315345.09</v>
      </c>
      <c r="N1352" s="71" t="n">
        <v>63069.02</v>
      </c>
      <c r="O1352" s="71" t="n">
        <v>252276.07</v>
      </c>
      <c r="P1352" s="71" t="n">
        <v>101370.7</v>
      </c>
      <c r="Q1352" s="71" t="n">
        <v>150905.37</v>
      </c>
      <c r="R1352" t="inlineStr">
        <is>
          <t>Vaccines</t>
        </is>
      </c>
      <c r="S1352" s="70" t="n">
        <v>1039</v>
      </c>
      <c r="T1352" s="71" t="n">
        <v>46488.64</v>
      </c>
      <c r="U1352" t="inlineStr">
        <is>
          <t>Low</t>
        </is>
      </c>
      <c r="V1352">
        <f>IF(AND(OR(Dashboard!$C$6="All",E1352=Dashboard!$C$6),OR(Dashboard!$F$6="All",G1352=Dashboard!$F$6),OR(Dashboard!$I$6="All",H1352=Dashboard!$I$6)),1,0)</f>
        <v/>
      </c>
    </row>
    <row r="1353">
      <c r="A1353" t="inlineStr">
        <is>
          <t>PF101344</t>
        </is>
      </c>
      <c r="B1353" s="68" t="n">
        <v>45819</v>
      </c>
      <c r="C1353" s="69" t="n">
        <v>2025</v>
      </c>
      <c r="D1353" t="inlineStr">
        <is>
          <t>Jun</t>
        </is>
      </c>
      <c r="E1353" t="inlineStr">
        <is>
          <t>Emerging markets</t>
        </is>
      </c>
      <c r="F1353" t="inlineStr">
        <is>
          <t>Brazil</t>
        </is>
      </c>
      <c r="G1353" t="inlineStr">
        <is>
          <t>Prevnar 20</t>
        </is>
      </c>
      <c r="H1353" t="inlineStr">
        <is>
          <t>Government / tender</t>
        </is>
      </c>
      <c r="I1353" t="inlineStr">
        <is>
          <t>Self-pay</t>
        </is>
      </c>
      <c r="J1353" t="inlineStr">
        <is>
          <t>Zoya Ahmed</t>
        </is>
      </c>
      <c r="K1353" s="70" t="n">
        <v>953</v>
      </c>
      <c r="L1353" s="71" t="n">
        <v>226.02</v>
      </c>
      <c r="M1353" s="71" t="n">
        <v>215397.06</v>
      </c>
      <c r="N1353" s="71" t="n">
        <v>43079.41</v>
      </c>
      <c r="O1353" s="71" t="n">
        <v>172317.65</v>
      </c>
      <c r="P1353" s="71" t="n">
        <v>67261.98</v>
      </c>
      <c r="Q1353" s="71" t="n">
        <v>105055.67</v>
      </c>
      <c r="R1353" t="inlineStr">
        <is>
          <t>Vaccines</t>
        </is>
      </c>
      <c r="S1353" s="70" t="n">
        <v>731</v>
      </c>
      <c r="T1353" s="71" t="n">
        <v>29071.46</v>
      </c>
      <c r="U1353" t="inlineStr">
        <is>
          <t>Low</t>
        </is>
      </c>
      <c r="V1353">
        <f>IF(AND(OR(Dashboard!$C$6="All",E1353=Dashboard!$C$6),OR(Dashboard!$F$6="All",G1353=Dashboard!$F$6),OR(Dashboard!$I$6="All",H1353=Dashboard!$I$6)),1,0)</f>
        <v/>
      </c>
    </row>
    <row r="1354">
      <c r="A1354" t="inlineStr">
        <is>
          <t>PF101345</t>
        </is>
      </c>
      <c r="B1354" s="68" t="n">
        <v>45819</v>
      </c>
      <c r="C1354" s="69" t="n">
        <v>2025</v>
      </c>
      <c r="D1354" t="inlineStr">
        <is>
          <t>Jun</t>
        </is>
      </c>
      <c r="E1354" t="inlineStr">
        <is>
          <t>Europe</t>
        </is>
      </c>
      <c r="F1354" t="inlineStr">
        <is>
          <t>Spain</t>
        </is>
      </c>
      <c r="G1354" t="inlineStr">
        <is>
          <t>Ibrance</t>
        </is>
      </c>
      <c r="H1354" t="inlineStr">
        <is>
          <t>Hospital</t>
        </is>
      </c>
      <c r="I1354" t="inlineStr">
        <is>
          <t>Private insurer</t>
        </is>
      </c>
      <c r="J1354" t="inlineStr">
        <is>
          <t>Aisha Bello</t>
        </is>
      </c>
      <c r="K1354" s="70" t="n">
        <v>753</v>
      </c>
      <c r="L1354" s="71" t="n">
        <v>2633.73</v>
      </c>
      <c r="M1354" s="71" t="n">
        <v>1983198.69</v>
      </c>
      <c r="N1354" s="71" t="n">
        <v>495799.67</v>
      </c>
      <c r="O1354" s="71" t="n">
        <v>1487399.02</v>
      </c>
      <c r="P1354" s="71" t="n">
        <v>328260.2</v>
      </c>
      <c r="Q1354" s="71" t="n">
        <v>1159138.82</v>
      </c>
      <c r="R1354" t="inlineStr">
        <is>
          <t>Oncology</t>
        </is>
      </c>
      <c r="S1354" s="70" t="n">
        <v>502</v>
      </c>
      <c r="T1354" s="71" t="n">
        <v>425553.2</v>
      </c>
      <c r="U1354" t="inlineStr">
        <is>
          <t>High</t>
        </is>
      </c>
      <c r="V1354">
        <f>IF(AND(OR(Dashboard!$C$6="All",E1354=Dashboard!$C$6),OR(Dashboard!$F$6="All",G1354=Dashboard!$F$6),OR(Dashboard!$I$6="All",H1354=Dashboard!$I$6)),1,0)</f>
        <v/>
      </c>
    </row>
    <row r="1355">
      <c r="A1355" t="inlineStr">
        <is>
          <t>PF101346</t>
        </is>
      </c>
      <c r="B1355" s="68" t="n">
        <v>45819</v>
      </c>
      <c r="C1355" s="69" t="n">
        <v>2025</v>
      </c>
      <c r="D1355" t="inlineStr">
        <is>
          <t>Jun</t>
        </is>
      </c>
      <c r="E1355" t="inlineStr">
        <is>
          <t>Europe</t>
        </is>
      </c>
      <c r="F1355" t="inlineStr">
        <is>
          <t>UK</t>
        </is>
      </c>
      <c r="G1355" t="inlineStr">
        <is>
          <t>Comirnaty</t>
        </is>
      </c>
      <c r="H1355" t="inlineStr">
        <is>
          <t>Government / tender</t>
        </is>
      </c>
      <c r="I1355" t="inlineStr">
        <is>
          <t>Private insurer</t>
        </is>
      </c>
      <c r="J1355" t="inlineStr">
        <is>
          <t>Liam O'Brien</t>
        </is>
      </c>
      <c r="K1355" s="70" t="n">
        <v>2308</v>
      </c>
      <c r="L1355" s="71" t="n">
        <v>107.59</v>
      </c>
      <c r="M1355" s="71" t="n">
        <v>248317.72</v>
      </c>
      <c r="N1355" s="71" t="n">
        <v>24831.77</v>
      </c>
      <c r="O1355" s="71" t="n">
        <v>223485.95</v>
      </c>
      <c r="P1355" s="71" t="n">
        <v>89040.11</v>
      </c>
      <c r="Q1355" s="71" t="n">
        <v>134445.84</v>
      </c>
      <c r="R1355" t="inlineStr">
        <is>
          <t>Vaccines</t>
        </is>
      </c>
      <c r="S1355" s="70" t="n">
        <v>2055</v>
      </c>
      <c r="T1355" s="71" t="n">
        <v>51003.94</v>
      </c>
      <c r="U1355" t="inlineStr">
        <is>
          <t>Low</t>
        </is>
      </c>
      <c r="V1355">
        <f>IF(AND(OR(Dashboard!$C$6="All",E1355=Dashboard!$C$6),OR(Dashboard!$F$6="All",G1355=Dashboard!$F$6),OR(Dashboard!$I$6="All",H1355=Dashboard!$I$6)),1,0)</f>
        <v/>
      </c>
    </row>
    <row r="1356">
      <c r="A1356" t="inlineStr">
        <is>
          <t>PF101347</t>
        </is>
      </c>
      <c r="B1356" s="68" t="n">
        <v>45820</v>
      </c>
      <c r="C1356" s="69" t="n">
        <v>2025</v>
      </c>
      <c r="D1356" t="inlineStr">
        <is>
          <t>Jun</t>
        </is>
      </c>
      <c r="E1356" t="inlineStr">
        <is>
          <t>United States</t>
        </is>
      </c>
      <c r="F1356" t="inlineStr">
        <is>
          <t>USA</t>
        </is>
      </c>
      <c r="G1356" t="inlineStr">
        <is>
          <t>Comirnaty</t>
        </is>
      </c>
      <c r="H1356" t="inlineStr">
        <is>
          <t>Retail pharmacy</t>
        </is>
      </c>
      <c r="I1356" t="inlineStr">
        <is>
          <t>Private insurer</t>
        </is>
      </c>
      <c r="J1356" t="inlineStr">
        <is>
          <t>Arjun Mehta</t>
        </is>
      </c>
      <c r="K1356" s="70" t="n">
        <v>2127</v>
      </c>
      <c r="L1356" s="71" t="n">
        <v>162.4</v>
      </c>
      <c r="M1356" s="71" t="n">
        <v>345424.8</v>
      </c>
      <c r="N1356" s="71" t="n">
        <v>69084.96000000001</v>
      </c>
      <c r="O1356" s="71" t="n">
        <v>276339.84</v>
      </c>
      <c r="P1356" s="71" t="n">
        <v>82694.09</v>
      </c>
      <c r="Q1356" s="71" t="n">
        <v>193645.75</v>
      </c>
      <c r="R1356" t="inlineStr">
        <is>
          <t>Vaccines</t>
        </is>
      </c>
      <c r="S1356" s="70" t="n">
        <v>1913</v>
      </c>
      <c r="T1356" s="71" t="n">
        <v>65184.24</v>
      </c>
      <c r="U1356" t="inlineStr">
        <is>
          <t>Low</t>
        </is>
      </c>
      <c r="V1356">
        <f>IF(AND(OR(Dashboard!$C$6="All",E1356=Dashboard!$C$6),OR(Dashboard!$F$6="All",G1356=Dashboard!$F$6),OR(Dashboard!$I$6="All",H1356=Dashboard!$I$6)),1,0)</f>
        <v/>
      </c>
    </row>
    <row r="1357">
      <c r="A1357" t="inlineStr">
        <is>
          <t>PF101348</t>
        </is>
      </c>
      <c r="B1357" s="68" t="n">
        <v>45820</v>
      </c>
      <c r="C1357" s="69" t="n">
        <v>2025</v>
      </c>
      <c r="D1357" t="inlineStr">
        <is>
          <t>Jun</t>
        </is>
      </c>
      <c r="E1357" t="inlineStr">
        <is>
          <t>Europe</t>
        </is>
      </c>
      <c r="F1357" t="inlineStr">
        <is>
          <t>Spain</t>
        </is>
      </c>
      <c r="G1357" t="inlineStr">
        <is>
          <t>Abrysvo</t>
        </is>
      </c>
      <c r="H1357" t="inlineStr">
        <is>
          <t>Government / tender</t>
        </is>
      </c>
      <c r="I1357" t="inlineStr">
        <is>
          <t>Private insurer</t>
        </is>
      </c>
      <c r="J1357" t="inlineStr">
        <is>
          <t>Shraddha Kulkarni</t>
        </is>
      </c>
      <c r="K1357" s="70" t="n">
        <v>944</v>
      </c>
      <c r="L1357" s="71" t="n">
        <v>266.11</v>
      </c>
      <c r="M1357" s="71" t="n">
        <v>251207.84</v>
      </c>
      <c r="N1357" s="71" t="n">
        <v>37681.18</v>
      </c>
      <c r="O1357" s="71" t="n">
        <v>213526.66</v>
      </c>
      <c r="P1357" s="71" t="n">
        <v>76865.24000000001</v>
      </c>
      <c r="Q1357" s="71" t="n">
        <v>136661.42</v>
      </c>
      <c r="R1357" t="inlineStr">
        <is>
          <t>Vaccines</t>
        </is>
      </c>
      <c r="S1357" s="70" t="n">
        <v>861</v>
      </c>
      <c r="T1357" s="71" t="n">
        <v>39226.5</v>
      </c>
      <c r="U1357" t="inlineStr">
        <is>
          <t>Low</t>
        </is>
      </c>
      <c r="V1357">
        <f>IF(AND(OR(Dashboard!$C$6="All",E1357=Dashboard!$C$6),OR(Dashboard!$F$6="All",G1357=Dashboard!$F$6),OR(Dashboard!$I$6="All",H1357=Dashboard!$I$6)),1,0)</f>
        <v/>
      </c>
    </row>
    <row r="1358">
      <c r="A1358" t="inlineStr">
        <is>
          <t>PF101349</t>
        </is>
      </c>
      <c r="B1358" s="68" t="n">
        <v>45821</v>
      </c>
      <c r="C1358" s="69" t="n">
        <v>2025</v>
      </c>
      <c r="D1358" t="inlineStr">
        <is>
          <t>Jun</t>
        </is>
      </c>
      <c r="E1358" t="inlineStr">
        <is>
          <t>Emerging markets</t>
        </is>
      </c>
      <c r="F1358" t="inlineStr">
        <is>
          <t>China</t>
        </is>
      </c>
      <c r="G1358" t="inlineStr">
        <is>
          <t>Prevnar 20</t>
        </is>
      </c>
      <c r="H1358" t="inlineStr">
        <is>
          <t>Hospital</t>
        </is>
      </c>
      <c r="I1358" t="inlineStr">
        <is>
          <t>Public payer</t>
        </is>
      </c>
      <c r="J1358" t="inlineStr">
        <is>
          <t>Liam O'Brien</t>
        </is>
      </c>
      <c r="K1358" s="70" t="n">
        <v>2741</v>
      </c>
      <c r="L1358" s="71" t="n">
        <v>227.09</v>
      </c>
      <c r="M1358" s="71" t="n">
        <v>622453.6899999999</v>
      </c>
      <c r="N1358" s="71" t="n">
        <v>31122.68</v>
      </c>
      <c r="O1358" s="71" t="n">
        <v>591331.01</v>
      </c>
      <c r="P1358" s="71" t="n">
        <v>184354.98</v>
      </c>
      <c r="Q1358" s="71" t="n">
        <v>406976.03</v>
      </c>
      <c r="R1358" t="inlineStr">
        <is>
          <t>Vaccines</t>
        </is>
      </c>
      <c r="S1358" s="70" t="n">
        <v>2531</v>
      </c>
      <c r="T1358" s="71" t="n">
        <v>118768.26</v>
      </c>
      <c r="U1358" t="inlineStr">
        <is>
          <t>Low</t>
        </is>
      </c>
      <c r="V1358">
        <f>IF(AND(OR(Dashboard!$C$6="All",E1358=Dashboard!$C$6),OR(Dashboard!$F$6="All",G1358=Dashboard!$F$6),OR(Dashboard!$I$6="All",H1358=Dashboard!$I$6)),1,0)</f>
        <v/>
      </c>
    </row>
    <row r="1359">
      <c r="A1359" t="inlineStr">
        <is>
          <t>PF101350</t>
        </is>
      </c>
      <c r="B1359" s="68" t="n">
        <v>45821</v>
      </c>
      <c r="C1359" s="69" t="n">
        <v>2025</v>
      </c>
      <c r="D1359" t="inlineStr">
        <is>
          <t>Jun</t>
        </is>
      </c>
      <c r="E1359" t="inlineStr">
        <is>
          <t>United States</t>
        </is>
      </c>
      <c r="F1359" t="inlineStr">
        <is>
          <t>USA</t>
        </is>
      </c>
      <c r="G1359" t="inlineStr">
        <is>
          <t>Abrysvo</t>
        </is>
      </c>
      <c r="H1359" t="inlineStr">
        <is>
          <t>Hospital</t>
        </is>
      </c>
      <c r="I1359" t="inlineStr">
        <is>
          <t>Private insurer</t>
        </is>
      </c>
      <c r="J1359" t="inlineStr">
        <is>
          <t>Zoya Ahmed</t>
        </is>
      </c>
      <c r="K1359" s="70" t="n">
        <v>2172</v>
      </c>
      <c r="L1359" s="71" t="n">
        <v>461.57</v>
      </c>
      <c r="M1359" s="71" t="n">
        <v>1002530.04</v>
      </c>
      <c r="N1359" s="71" t="n">
        <v>300759.01</v>
      </c>
      <c r="O1359" s="71" t="n">
        <v>701771.03</v>
      </c>
      <c r="P1359" s="71" t="n">
        <v>186443.58</v>
      </c>
      <c r="Q1359" s="71" t="n">
        <v>515327.45</v>
      </c>
      <c r="R1359" t="inlineStr">
        <is>
          <t>Vaccines</t>
        </is>
      </c>
      <c r="S1359" s="70" t="n">
        <v>2116</v>
      </c>
      <c r="T1359" s="71" t="n">
        <v>160619.42</v>
      </c>
      <c r="U1359" t="inlineStr">
        <is>
          <t>Low</t>
        </is>
      </c>
      <c r="V1359">
        <f>IF(AND(OR(Dashboard!$C$6="All",E1359=Dashboard!$C$6),OR(Dashboard!$F$6="All",G1359=Dashboard!$F$6),OR(Dashboard!$I$6="All",H1359=Dashboard!$I$6)),1,0)</f>
        <v/>
      </c>
    </row>
    <row r="1360">
      <c r="A1360" t="inlineStr">
        <is>
          <t>PF101351</t>
        </is>
      </c>
      <c r="B1360" s="68" t="n">
        <v>45821</v>
      </c>
      <c r="C1360" s="69" t="n">
        <v>2025</v>
      </c>
      <c r="D1360" t="inlineStr">
        <is>
          <t>Jun</t>
        </is>
      </c>
      <c r="E1360" t="inlineStr">
        <is>
          <t>Europe</t>
        </is>
      </c>
      <c r="F1360" t="inlineStr">
        <is>
          <t>Italy</t>
        </is>
      </c>
      <c r="G1360" t="inlineStr">
        <is>
          <t>Xeljanz</t>
        </is>
      </c>
      <c r="H1360" t="inlineStr">
        <is>
          <t>Hospital</t>
        </is>
      </c>
      <c r="I1360" t="inlineStr">
        <is>
          <t>Private insurer</t>
        </is>
      </c>
      <c r="J1360" t="inlineStr">
        <is>
          <t>Wei Chen</t>
        </is>
      </c>
      <c r="K1360" s="70" t="n">
        <v>1322</v>
      </c>
      <c r="L1360" s="71" t="n">
        <v>1301.22</v>
      </c>
      <c r="M1360" s="71" t="n">
        <v>1720212.84</v>
      </c>
      <c r="N1360" s="71" t="n">
        <v>86010.64</v>
      </c>
      <c r="O1360" s="71" t="n">
        <v>1634202.2</v>
      </c>
      <c r="P1360" s="71" t="n">
        <v>329591.19</v>
      </c>
      <c r="Q1360" s="71" t="n">
        <v>1304611.01</v>
      </c>
      <c r="R1360" t="inlineStr">
        <is>
          <t>Inflammation</t>
        </is>
      </c>
      <c r="S1360" s="70" t="n">
        <v>868</v>
      </c>
      <c r="T1360" s="71" t="n">
        <v>311063.31</v>
      </c>
      <c r="U1360" t="inlineStr">
        <is>
          <t>High</t>
        </is>
      </c>
      <c r="V1360">
        <f>IF(AND(OR(Dashboard!$C$6="All",E1360=Dashboard!$C$6),OR(Dashboard!$F$6="All",G1360=Dashboard!$F$6),OR(Dashboard!$I$6="All",H1360=Dashboard!$I$6)),1,0)</f>
        <v/>
      </c>
    </row>
    <row r="1361">
      <c r="A1361" t="inlineStr">
        <is>
          <t>PF101352</t>
        </is>
      </c>
      <c r="B1361" s="68" t="n">
        <v>45821</v>
      </c>
      <c r="C1361" s="69" t="n">
        <v>2025</v>
      </c>
      <c r="D1361" t="inlineStr">
        <is>
          <t>Jun</t>
        </is>
      </c>
      <c r="E1361" t="inlineStr">
        <is>
          <t>Emerging markets</t>
        </is>
      </c>
      <c r="F1361" t="inlineStr">
        <is>
          <t>India</t>
        </is>
      </c>
      <c r="G1361" t="inlineStr">
        <is>
          <t>Eliquis</t>
        </is>
      </c>
      <c r="H1361" t="inlineStr">
        <is>
          <t>Government / tender</t>
        </is>
      </c>
      <c r="I1361" t="inlineStr">
        <is>
          <t>Private insurer</t>
        </is>
      </c>
      <c r="J1361" t="inlineStr">
        <is>
          <t>Amir Khan</t>
        </is>
      </c>
      <c r="K1361" s="70" t="n">
        <v>2977</v>
      </c>
      <c r="L1361" s="71" t="n">
        <v>455.73</v>
      </c>
      <c r="M1361" s="71" t="n">
        <v>1356708.21</v>
      </c>
      <c r="N1361" s="71" t="n">
        <v>135670.82</v>
      </c>
      <c r="O1361" s="71" t="n">
        <v>1221037.39</v>
      </c>
      <c r="P1361" s="71" t="n">
        <v>232246.27</v>
      </c>
      <c r="Q1361" s="71" t="n">
        <v>988791.12</v>
      </c>
      <c r="R1361" t="inlineStr">
        <is>
          <t>Cardiology</t>
        </is>
      </c>
      <c r="S1361" s="70" t="n">
        <v>2052</v>
      </c>
      <c r="T1361" s="71" t="n">
        <v>215389.6</v>
      </c>
      <c r="U1361" t="inlineStr">
        <is>
          <t>High</t>
        </is>
      </c>
      <c r="V1361">
        <f>IF(AND(OR(Dashboard!$C$6="All",E1361=Dashboard!$C$6),OR(Dashboard!$F$6="All",G1361=Dashboard!$F$6),OR(Dashboard!$I$6="All",H1361=Dashboard!$I$6)),1,0)</f>
        <v/>
      </c>
    </row>
    <row r="1362">
      <c r="A1362" t="inlineStr">
        <is>
          <t>PF101353</t>
        </is>
      </c>
      <c r="B1362" s="68" t="n">
        <v>45821</v>
      </c>
      <c r="C1362" s="69" t="n">
        <v>2025</v>
      </c>
      <c r="D1362" t="inlineStr">
        <is>
          <t>Jun</t>
        </is>
      </c>
      <c r="E1362" t="inlineStr">
        <is>
          <t>United States</t>
        </is>
      </c>
      <c r="F1362" t="inlineStr">
        <is>
          <t>USA</t>
        </is>
      </c>
      <c r="G1362" t="inlineStr">
        <is>
          <t>Xeljanz</t>
        </is>
      </c>
      <c r="H1362" t="inlineStr">
        <is>
          <t>Government / tender</t>
        </is>
      </c>
      <c r="I1362" t="inlineStr">
        <is>
          <t>Private insurer</t>
        </is>
      </c>
      <c r="J1362" t="inlineStr">
        <is>
          <t>Noah Smith</t>
        </is>
      </c>
      <c r="K1362" s="70" t="n">
        <v>1871</v>
      </c>
      <c r="L1362" s="71" t="n">
        <v>2068.21</v>
      </c>
      <c r="M1362" s="71" t="n">
        <v>3869620.91</v>
      </c>
      <c r="N1362" s="71" t="n">
        <v>773924.1800000001</v>
      </c>
      <c r="O1362" s="71" t="n">
        <v>3095696.73</v>
      </c>
      <c r="P1362" s="71" t="n">
        <v>458949.44</v>
      </c>
      <c r="Q1362" s="71" t="n">
        <v>2636747.29</v>
      </c>
      <c r="R1362" t="inlineStr">
        <is>
          <t>Inflammation</t>
        </is>
      </c>
      <c r="S1362" s="70" t="n">
        <v>1429</v>
      </c>
      <c r="T1362" s="71" t="n">
        <v>588067.83</v>
      </c>
      <c r="U1362" t="inlineStr">
        <is>
          <t>High</t>
        </is>
      </c>
      <c r="V1362">
        <f>IF(AND(OR(Dashboard!$C$6="All",E1362=Dashboard!$C$6),OR(Dashboard!$F$6="All",G1362=Dashboard!$F$6),OR(Dashboard!$I$6="All",H1362=Dashboard!$I$6)),1,0)</f>
        <v/>
      </c>
    </row>
    <row r="1363">
      <c r="A1363" t="inlineStr">
        <is>
          <t>PF101354</t>
        </is>
      </c>
      <c r="B1363" s="68" t="n">
        <v>45821</v>
      </c>
      <c r="C1363" s="69" t="n">
        <v>2025</v>
      </c>
      <c r="D1363" t="inlineStr">
        <is>
          <t>Jun</t>
        </is>
      </c>
      <c r="E1363" t="inlineStr">
        <is>
          <t>United States</t>
        </is>
      </c>
      <c r="F1363" t="inlineStr">
        <is>
          <t>USA</t>
        </is>
      </c>
      <c r="G1363" t="inlineStr">
        <is>
          <t>Ibrance</t>
        </is>
      </c>
      <c r="H1363" t="inlineStr">
        <is>
          <t>Government / tender</t>
        </is>
      </c>
      <c r="I1363" t="inlineStr">
        <is>
          <t>Public payer</t>
        </is>
      </c>
      <c r="J1363" t="inlineStr">
        <is>
          <t>Sara Rossi</t>
        </is>
      </c>
      <c r="K1363" s="70" t="n">
        <v>2092</v>
      </c>
      <c r="L1363" s="71" t="n">
        <v>4333.18</v>
      </c>
      <c r="M1363" s="71" t="n">
        <v>9065012.560000001</v>
      </c>
      <c r="N1363" s="71" t="n">
        <v>1813002.51</v>
      </c>
      <c r="O1363" s="71" t="n">
        <v>7252010.05</v>
      </c>
      <c r="P1363" s="71" t="n">
        <v>899557</v>
      </c>
      <c r="Q1363" s="71" t="n">
        <v>6352453.05</v>
      </c>
      <c r="R1363" t="inlineStr">
        <is>
          <t>Oncology</t>
        </is>
      </c>
      <c r="S1363" s="70" t="n">
        <v>1526</v>
      </c>
      <c r="T1363" s="71" t="n">
        <v>1198858.57</v>
      </c>
      <c r="U1363" t="inlineStr">
        <is>
          <t>High</t>
        </is>
      </c>
      <c r="V1363">
        <f>IF(AND(OR(Dashboard!$C$6="All",E1363=Dashboard!$C$6),OR(Dashboard!$F$6="All",G1363=Dashboard!$F$6),OR(Dashboard!$I$6="All",H1363=Dashboard!$I$6)),1,0)</f>
        <v/>
      </c>
    </row>
    <row r="1364">
      <c r="A1364" t="inlineStr">
        <is>
          <t>PF101355</t>
        </is>
      </c>
      <c r="B1364" s="68" t="n">
        <v>45821</v>
      </c>
      <c r="C1364" s="69" t="n">
        <v>2025</v>
      </c>
      <c r="D1364" t="inlineStr">
        <is>
          <t>Jun</t>
        </is>
      </c>
      <c r="E1364" t="inlineStr">
        <is>
          <t>United States</t>
        </is>
      </c>
      <c r="F1364" t="inlineStr">
        <is>
          <t>USA</t>
        </is>
      </c>
      <c r="G1364" t="inlineStr">
        <is>
          <t>Prevnar 20</t>
        </is>
      </c>
      <c r="H1364" t="inlineStr">
        <is>
          <t>Government / tender</t>
        </is>
      </c>
      <c r="I1364" t="inlineStr">
        <is>
          <t>Public payer</t>
        </is>
      </c>
      <c r="J1364" t="inlineStr">
        <is>
          <t>Yuki Sato</t>
        </is>
      </c>
      <c r="K1364" s="70" t="n">
        <v>1216</v>
      </c>
      <c r="L1364" s="71" t="n">
        <v>351.81</v>
      </c>
      <c r="M1364" s="71" t="n">
        <v>427800.96</v>
      </c>
      <c r="N1364" s="71" t="n">
        <v>85560.19</v>
      </c>
      <c r="O1364" s="71" t="n">
        <v>342240.77</v>
      </c>
      <c r="P1364" s="71" t="n">
        <v>83173.34</v>
      </c>
      <c r="Q1364" s="71" t="n">
        <v>259067.43</v>
      </c>
      <c r="R1364" t="inlineStr">
        <is>
          <t>Vaccines</t>
        </is>
      </c>
      <c r="S1364" s="70" t="n">
        <v>1063</v>
      </c>
      <c r="T1364" s="71" t="n">
        <v>59163.35</v>
      </c>
      <c r="U1364" t="inlineStr">
        <is>
          <t>Low</t>
        </is>
      </c>
      <c r="V1364">
        <f>IF(AND(OR(Dashboard!$C$6="All",E1364=Dashboard!$C$6),OR(Dashboard!$F$6="All",G1364=Dashboard!$F$6),OR(Dashboard!$I$6="All",H1364=Dashboard!$I$6)),1,0)</f>
        <v/>
      </c>
    </row>
    <row r="1365">
      <c r="A1365" t="inlineStr">
        <is>
          <t>PF101356</t>
        </is>
      </c>
      <c r="B1365" s="68" t="n">
        <v>45821</v>
      </c>
      <c r="C1365" s="69" t="n">
        <v>2025</v>
      </c>
      <c r="D1365" t="inlineStr">
        <is>
          <t>Jun</t>
        </is>
      </c>
      <c r="E1365" t="inlineStr">
        <is>
          <t>International developed</t>
        </is>
      </c>
      <c r="F1365" t="inlineStr">
        <is>
          <t>Canada</t>
        </is>
      </c>
      <c r="G1365" t="inlineStr">
        <is>
          <t>Vyndaqel</t>
        </is>
      </c>
      <c r="H1365" t="inlineStr">
        <is>
          <t>Government / tender</t>
        </is>
      </c>
      <c r="I1365" t="inlineStr">
        <is>
          <t>Private insurer</t>
        </is>
      </c>
      <c r="J1365" t="inlineStr">
        <is>
          <t>Aisha Bello</t>
        </is>
      </c>
      <c r="K1365" s="70" t="n">
        <v>354</v>
      </c>
      <c r="L1365" s="71" t="n">
        <v>5134.8</v>
      </c>
      <c r="M1365" s="71" t="n">
        <v>1817719.2</v>
      </c>
      <c r="N1365" s="71" t="n">
        <v>181771.92</v>
      </c>
      <c r="O1365" s="71" t="n">
        <v>1635947.28</v>
      </c>
      <c r="P1365" s="71" t="n">
        <v>217667.64</v>
      </c>
      <c r="Q1365" s="71" t="n">
        <v>1418279.64</v>
      </c>
      <c r="R1365" t="inlineStr">
        <is>
          <t>Rare disease</t>
        </is>
      </c>
      <c r="S1365" s="70" t="n">
        <v>335</v>
      </c>
      <c r="T1365" s="71" t="n">
        <v>346412.05</v>
      </c>
      <c r="U1365" t="inlineStr">
        <is>
          <t>Medium</t>
        </is>
      </c>
      <c r="V1365">
        <f>IF(AND(OR(Dashboard!$C$6="All",E1365=Dashboard!$C$6),OR(Dashboard!$F$6="All",G1365=Dashboard!$F$6),OR(Dashboard!$I$6="All",H1365=Dashboard!$I$6)),1,0)</f>
        <v/>
      </c>
    </row>
    <row r="1366">
      <c r="A1366" t="inlineStr">
        <is>
          <t>PF101357</t>
        </is>
      </c>
      <c r="B1366" s="68" t="n">
        <v>45821</v>
      </c>
      <c r="C1366" s="69" t="n">
        <v>2025</v>
      </c>
      <c r="D1366" t="inlineStr">
        <is>
          <t>Jun</t>
        </is>
      </c>
      <c r="E1366" t="inlineStr">
        <is>
          <t>Europe</t>
        </is>
      </c>
      <c r="F1366" t="inlineStr">
        <is>
          <t>Italy</t>
        </is>
      </c>
      <c r="G1366" t="inlineStr">
        <is>
          <t>Prevnar 20</t>
        </is>
      </c>
      <c r="H1366" t="inlineStr">
        <is>
          <t>Hospital</t>
        </is>
      </c>
      <c r="I1366" t="inlineStr">
        <is>
          <t>Public payer</t>
        </is>
      </c>
      <c r="J1366" t="inlineStr">
        <is>
          <t>Noah Smith</t>
        </is>
      </c>
      <c r="K1366" s="70" t="n">
        <v>1753</v>
      </c>
      <c r="L1366" s="71" t="n">
        <v>208.84</v>
      </c>
      <c r="M1366" s="71" t="n">
        <v>366096.52</v>
      </c>
      <c r="N1366" s="71" t="n">
        <v>73219.3</v>
      </c>
      <c r="O1366" s="71" t="n">
        <v>292877.22</v>
      </c>
      <c r="P1366" s="71" t="n">
        <v>118919.16</v>
      </c>
      <c r="Q1366" s="71" t="n">
        <v>173958.06</v>
      </c>
      <c r="R1366" t="inlineStr">
        <is>
          <t>Vaccines</t>
        </is>
      </c>
      <c r="S1366" s="70" t="n">
        <v>1699</v>
      </c>
      <c r="T1366" s="71" t="n">
        <v>74383.42</v>
      </c>
      <c r="U1366" t="inlineStr">
        <is>
          <t>Low</t>
        </is>
      </c>
      <c r="V1366">
        <f>IF(AND(OR(Dashboard!$C$6="All",E1366=Dashboard!$C$6),OR(Dashboard!$F$6="All",G1366=Dashboard!$F$6),OR(Dashboard!$I$6="All",H1366=Dashboard!$I$6)),1,0)</f>
        <v/>
      </c>
    </row>
    <row r="1367">
      <c r="A1367" t="inlineStr">
        <is>
          <t>PF101358</t>
        </is>
      </c>
      <c r="B1367" s="68" t="n">
        <v>45821</v>
      </c>
      <c r="C1367" s="69" t="n">
        <v>2025</v>
      </c>
      <c r="D1367" t="inlineStr">
        <is>
          <t>Jun</t>
        </is>
      </c>
      <c r="E1367" t="inlineStr">
        <is>
          <t>Europe</t>
        </is>
      </c>
      <c r="F1367" t="inlineStr">
        <is>
          <t>UK</t>
        </is>
      </c>
      <c r="G1367" t="inlineStr">
        <is>
          <t>Eliquis</t>
        </is>
      </c>
      <c r="H1367" t="inlineStr">
        <is>
          <t>Hospital</t>
        </is>
      </c>
      <c r="I1367" t="inlineStr">
        <is>
          <t>Self-pay</t>
        </is>
      </c>
      <c r="J1367" t="inlineStr">
        <is>
          <t>Liam O'Brien</t>
        </is>
      </c>
      <c r="K1367" s="70" t="n">
        <v>347</v>
      </c>
      <c r="L1367" s="71" t="n">
        <v>447.87</v>
      </c>
      <c r="M1367" s="71" t="n">
        <v>155410.89</v>
      </c>
      <c r="N1367" s="71" t="n">
        <v>38852.72</v>
      </c>
      <c r="O1367" s="71" t="n">
        <v>116558.17</v>
      </c>
      <c r="P1367" s="71" t="n">
        <v>26911.42</v>
      </c>
      <c r="Q1367" s="71" t="n">
        <v>89646.75</v>
      </c>
      <c r="R1367" t="inlineStr">
        <is>
          <t>Cardiology</t>
        </is>
      </c>
      <c r="S1367" s="70" t="n">
        <v>227</v>
      </c>
      <c r="T1367" s="71" t="n">
        <v>20252.66</v>
      </c>
      <c r="U1367" t="inlineStr">
        <is>
          <t>High</t>
        </is>
      </c>
      <c r="V1367">
        <f>IF(AND(OR(Dashboard!$C$6="All",E1367=Dashboard!$C$6),OR(Dashboard!$F$6="All",G1367=Dashboard!$F$6),OR(Dashboard!$I$6="All",H1367=Dashboard!$I$6)),1,0)</f>
        <v/>
      </c>
    </row>
    <row r="1368">
      <c r="A1368" t="inlineStr">
        <is>
          <t>PF101359</t>
        </is>
      </c>
      <c r="B1368" s="68" t="n">
        <v>45821</v>
      </c>
      <c r="C1368" s="69" t="n">
        <v>2025</v>
      </c>
      <c r="D1368" t="inlineStr">
        <is>
          <t>Jun</t>
        </is>
      </c>
      <c r="E1368" t="inlineStr">
        <is>
          <t>International developed</t>
        </is>
      </c>
      <c r="F1368" t="inlineStr">
        <is>
          <t>Australia</t>
        </is>
      </c>
      <c r="G1368" t="inlineStr">
        <is>
          <t>Ibrance</t>
        </is>
      </c>
      <c r="H1368" t="inlineStr">
        <is>
          <t>Hospital</t>
        </is>
      </c>
      <c r="I1368" t="inlineStr">
        <is>
          <t>Public payer</t>
        </is>
      </c>
      <c r="J1368" t="inlineStr">
        <is>
          <t>Shraddha Kulkarni</t>
        </is>
      </c>
      <c r="K1368" s="70" t="n">
        <v>2023</v>
      </c>
      <c r="L1368" s="71" t="n">
        <v>3099.95</v>
      </c>
      <c r="M1368" s="71" t="n">
        <v>6271198.85</v>
      </c>
      <c r="N1368" s="71" t="n">
        <v>1567799.71</v>
      </c>
      <c r="O1368" s="71" t="n">
        <v>4703399.14</v>
      </c>
      <c r="P1368" s="71" t="n">
        <v>846750.65</v>
      </c>
      <c r="Q1368" s="71" t="n">
        <v>3856648.49</v>
      </c>
      <c r="R1368" t="inlineStr">
        <is>
          <t>Oncology</t>
        </is>
      </c>
      <c r="S1368" s="70" t="n">
        <v>1948</v>
      </c>
      <c r="T1368" s="71" t="n">
        <v>1372947.19</v>
      </c>
      <c r="U1368" t="inlineStr">
        <is>
          <t>High</t>
        </is>
      </c>
      <c r="V1368">
        <f>IF(AND(OR(Dashboard!$C$6="All",E1368=Dashboard!$C$6),OR(Dashboard!$F$6="All",G1368=Dashboard!$F$6),OR(Dashboard!$I$6="All",H1368=Dashboard!$I$6)),1,0)</f>
        <v/>
      </c>
    </row>
    <row r="1369">
      <c r="A1369" t="inlineStr">
        <is>
          <t>PF101360</t>
        </is>
      </c>
      <c r="B1369" s="68" t="n">
        <v>45822</v>
      </c>
      <c r="C1369" s="69" t="n">
        <v>2025</v>
      </c>
      <c r="D1369" t="inlineStr">
        <is>
          <t>Jun</t>
        </is>
      </c>
      <c r="E1369" t="inlineStr">
        <is>
          <t>Emerging markets</t>
        </is>
      </c>
      <c r="F1369" t="inlineStr">
        <is>
          <t>Mexico</t>
        </is>
      </c>
      <c r="G1369" t="inlineStr">
        <is>
          <t>Prevnar 20</t>
        </is>
      </c>
      <c r="H1369" t="inlineStr">
        <is>
          <t>Retail pharmacy</t>
        </is>
      </c>
      <c r="I1369" t="inlineStr">
        <is>
          <t>Public payer</t>
        </is>
      </c>
      <c r="J1369" t="inlineStr">
        <is>
          <t>Carlos Silva</t>
        </is>
      </c>
      <c r="K1369" s="70" t="n">
        <v>2136</v>
      </c>
      <c r="L1369" s="71" t="n">
        <v>247.12</v>
      </c>
      <c r="M1369" s="71" t="n">
        <v>527848.3199999999</v>
      </c>
      <c r="N1369" s="71" t="n">
        <v>52784.83</v>
      </c>
      <c r="O1369" s="71" t="n">
        <v>475063.49</v>
      </c>
      <c r="P1369" s="71" t="n">
        <v>144405.28</v>
      </c>
      <c r="Q1369" s="71" t="n">
        <v>330658.21</v>
      </c>
      <c r="R1369" t="inlineStr">
        <is>
          <t>Vaccines</t>
        </is>
      </c>
      <c r="S1369" s="70" t="n">
        <v>1356</v>
      </c>
      <c r="T1369" s="71" t="n">
        <v>79511.06</v>
      </c>
      <c r="U1369" t="inlineStr">
        <is>
          <t>Low</t>
        </is>
      </c>
      <c r="V1369">
        <f>IF(AND(OR(Dashboard!$C$6="All",E1369=Dashboard!$C$6),OR(Dashboard!$F$6="All",G1369=Dashboard!$F$6),OR(Dashboard!$I$6="All",H1369=Dashboard!$I$6)),1,0)</f>
        <v/>
      </c>
    </row>
    <row r="1370">
      <c r="A1370" t="inlineStr">
        <is>
          <t>PF101361</t>
        </is>
      </c>
      <c r="B1370" s="68" t="n">
        <v>45822</v>
      </c>
      <c r="C1370" s="69" t="n">
        <v>2025</v>
      </c>
      <c r="D1370" t="inlineStr">
        <is>
          <t>Jun</t>
        </is>
      </c>
      <c r="E1370" t="inlineStr">
        <is>
          <t>United States</t>
        </is>
      </c>
      <c r="F1370" t="inlineStr">
        <is>
          <t>USA</t>
        </is>
      </c>
      <c r="G1370" t="inlineStr">
        <is>
          <t>Abrysvo</t>
        </is>
      </c>
      <c r="H1370" t="inlineStr">
        <is>
          <t>Hospital</t>
        </is>
      </c>
      <c r="I1370" t="inlineStr">
        <is>
          <t>Public payer</t>
        </is>
      </c>
      <c r="J1370" t="inlineStr">
        <is>
          <t>Yuki Sato</t>
        </is>
      </c>
      <c r="K1370" s="70" t="n">
        <v>2657</v>
      </c>
      <c r="L1370" s="71" t="n">
        <v>432.83</v>
      </c>
      <c r="M1370" s="71" t="n">
        <v>1150029.31</v>
      </c>
      <c r="N1370" s="71" t="n">
        <v>172504.4</v>
      </c>
      <c r="O1370" s="71" t="n">
        <v>977524.91</v>
      </c>
      <c r="P1370" s="71" t="n">
        <v>218197.75</v>
      </c>
      <c r="Q1370" s="71" t="n">
        <v>759327.16</v>
      </c>
      <c r="R1370" t="inlineStr">
        <is>
          <t>Vaccines</t>
        </is>
      </c>
      <c r="S1370" s="70" t="n">
        <v>1991</v>
      </c>
      <c r="T1370" s="71" t="n">
        <v>184258.92</v>
      </c>
      <c r="U1370" t="inlineStr">
        <is>
          <t>Low</t>
        </is>
      </c>
      <c r="V1370">
        <f>IF(AND(OR(Dashboard!$C$6="All",E1370=Dashboard!$C$6),OR(Dashboard!$F$6="All",G1370=Dashboard!$F$6),OR(Dashboard!$I$6="All",H1370=Dashboard!$I$6)),1,0)</f>
        <v/>
      </c>
    </row>
    <row r="1371">
      <c r="A1371" t="inlineStr">
        <is>
          <t>PF101362</t>
        </is>
      </c>
      <c r="B1371" s="68" t="n">
        <v>45822</v>
      </c>
      <c r="C1371" s="69" t="n">
        <v>2025</v>
      </c>
      <c r="D1371" t="inlineStr">
        <is>
          <t>Jun</t>
        </is>
      </c>
      <c r="E1371" t="inlineStr">
        <is>
          <t>United States</t>
        </is>
      </c>
      <c r="F1371" t="inlineStr">
        <is>
          <t>USA</t>
        </is>
      </c>
      <c r="G1371" t="inlineStr">
        <is>
          <t>Prevnar 20</t>
        </is>
      </c>
      <c r="H1371" t="inlineStr">
        <is>
          <t>Retail pharmacy</t>
        </is>
      </c>
      <c r="I1371" t="inlineStr">
        <is>
          <t>Private insurer</t>
        </is>
      </c>
      <c r="J1371" t="inlineStr">
        <is>
          <t>Sara Rossi</t>
        </is>
      </c>
      <c r="K1371" s="70" t="n">
        <v>2160</v>
      </c>
      <c r="L1371" s="71" t="n">
        <v>343.55</v>
      </c>
      <c r="M1371" s="71" t="n">
        <v>742068</v>
      </c>
      <c r="N1371" s="71" t="n">
        <v>222620.4</v>
      </c>
      <c r="O1371" s="71" t="n">
        <v>519447.6</v>
      </c>
      <c r="P1371" s="71" t="n">
        <v>151829.54</v>
      </c>
      <c r="Q1371" s="71" t="n">
        <v>367618.06</v>
      </c>
      <c r="R1371" t="inlineStr">
        <is>
          <t>Vaccines</t>
        </is>
      </c>
      <c r="S1371" s="70" t="n">
        <v>1378</v>
      </c>
      <c r="T1371" s="71" t="n">
        <v>126968.25</v>
      </c>
      <c r="U1371" t="inlineStr">
        <is>
          <t>Low</t>
        </is>
      </c>
      <c r="V1371">
        <f>IF(AND(OR(Dashboard!$C$6="All",E1371=Dashboard!$C$6),OR(Dashboard!$F$6="All",G1371=Dashboard!$F$6),OR(Dashboard!$I$6="All",H1371=Dashboard!$I$6)),1,0)</f>
        <v/>
      </c>
    </row>
    <row r="1372">
      <c r="A1372" t="inlineStr">
        <is>
          <t>PF101363</t>
        </is>
      </c>
      <c r="B1372" s="68" t="n">
        <v>45822</v>
      </c>
      <c r="C1372" s="69" t="n">
        <v>2025</v>
      </c>
      <c r="D1372" t="inlineStr">
        <is>
          <t>Jun</t>
        </is>
      </c>
      <c r="E1372" t="inlineStr">
        <is>
          <t>Emerging markets</t>
        </is>
      </c>
      <c r="F1372" t="inlineStr">
        <is>
          <t>India</t>
        </is>
      </c>
      <c r="G1372" t="inlineStr">
        <is>
          <t>Paxlovid</t>
        </is>
      </c>
      <c r="H1372" t="inlineStr">
        <is>
          <t>Retail pharmacy</t>
        </is>
      </c>
      <c r="I1372" t="inlineStr">
        <is>
          <t>Private insurer</t>
        </is>
      </c>
      <c r="J1372" t="inlineStr">
        <is>
          <t>Noah Smith</t>
        </is>
      </c>
      <c r="K1372" s="70" t="n">
        <v>2643</v>
      </c>
      <c r="L1372" s="71" t="n">
        <v>1162.8</v>
      </c>
      <c r="M1372" s="71" t="n">
        <v>3073280.4</v>
      </c>
      <c r="N1372" s="71" t="n">
        <v>153664.02</v>
      </c>
      <c r="O1372" s="71" t="n">
        <v>2919616.38</v>
      </c>
      <c r="P1372" s="71" t="n">
        <v>743308.2</v>
      </c>
      <c r="Q1372" s="71" t="n">
        <v>2176308.18</v>
      </c>
      <c r="R1372" t="inlineStr">
        <is>
          <t>Antiviral</t>
        </is>
      </c>
      <c r="S1372" s="70" t="n">
        <v>2104</v>
      </c>
      <c r="T1372" s="71" t="n">
        <v>429320.9</v>
      </c>
      <c r="U1372" t="inlineStr">
        <is>
          <t>Low</t>
        </is>
      </c>
      <c r="V1372">
        <f>IF(AND(OR(Dashboard!$C$6="All",E1372=Dashboard!$C$6),OR(Dashboard!$F$6="All",G1372=Dashboard!$F$6),OR(Dashboard!$I$6="All",H1372=Dashboard!$I$6)),1,0)</f>
        <v/>
      </c>
    </row>
    <row r="1373">
      <c r="A1373" t="inlineStr">
        <is>
          <t>PF101364</t>
        </is>
      </c>
      <c r="B1373" s="68" t="n">
        <v>45822</v>
      </c>
      <c r="C1373" s="69" t="n">
        <v>2025</v>
      </c>
      <c r="D1373" t="inlineStr">
        <is>
          <t>Jun</t>
        </is>
      </c>
      <c r="E1373" t="inlineStr">
        <is>
          <t>Europe</t>
        </is>
      </c>
      <c r="F1373" t="inlineStr">
        <is>
          <t>UK</t>
        </is>
      </c>
      <c r="G1373" t="inlineStr">
        <is>
          <t>Xeljanz</t>
        </is>
      </c>
      <c r="H1373" t="inlineStr">
        <is>
          <t>Government / tender</t>
        </is>
      </c>
      <c r="I1373" t="inlineStr">
        <is>
          <t>Public payer</t>
        </is>
      </c>
      <c r="J1373" t="inlineStr">
        <is>
          <t>Lucas Martin</t>
        </is>
      </c>
      <c r="K1373" s="70" t="n">
        <v>1251</v>
      </c>
      <c r="L1373" s="71" t="n">
        <v>1493.62</v>
      </c>
      <c r="M1373" s="71" t="n">
        <v>1868518.62</v>
      </c>
      <c r="N1373" s="71" t="n">
        <v>93425.92999999999</v>
      </c>
      <c r="O1373" s="71" t="n">
        <v>1775092.69</v>
      </c>
      <c r="P1373" s="71" t="n">
        <v>323655</v>
      </c>
      <c r="Q1373" s="71" t="n">
        <v>1451437.69</v>
      </c>
      <c r="R1373" t="inlineStr">
        <is>
          <t>Inflammation</t>
        </is>
      </c>
      <c r="S1373" s="70" t="n">
        <v>1154</v>
      </c>
      <c r="T1373" s="71" t="n">
        <v>265357.51</v>
      </c>
      <c r="U1373" t="inlineStr">
        <is>
          <t>High</t>
        </is>
      </c>
      <c r="V1373">
        <f>IF(AND(OR(Dashboard!$C$6="All",E1373=Dashboard!$C$6),OR(Dashboard!$F$6="All",G1373=Dashboard!$F$6),OR(Dashboard!$I$6="All",H1373=Dashboard!$I$6)),1,0)</f>
        <v/>
      </c>
    </row>
    <row r="1374">
      <c r="A1374" t="inlineStr">
        <is>
          <t>PF101365</t>
        </is>
      </c>
      <c r="B1374" s="68" t="n">
        <v>45822</v>
      </c>
      <c r="C1374" s="69" t="n">
        <v>2025</v>
      </c>
      <c r="D1374" t="inlineStr">
        <is>
          <t>Jun</t>
        </is>
      </c>
      <c r="E1374" t="inlineStr">
        <is>
          <t>Emerging markets</t>
        </is>
      </c>
      <c r="F1374" t="inlineStr">
        <is>
          <t>Brazil</t>
        </is>
      </c>
      <c r="G1374" t="inlineStr">
        <is>
          <t>Prevnar 20</t>
        </is>
      </c>
      <c r="H1374" t="inlineStr">
        <is>
          <t>Government / tender</t>
        </is>
      </c>
      <c r="I1374" t="inlineStr">
        <is>
          <t>Private insurer</t>
        </is>
      </c>
      <c r="J1374" t="inlineStr">
        <is>
          <t>Arjun Mehta</t>
        </is>
      </c>
      <c r="K1374" s="70" t="n">
        <v>2088</v>
      </c>
      <c r="L1374" s="71" t="n">
        <v>240.56</v>
      </c>
      <c r="M1374" s="71" t="n">
        <v>502289.28</v>
      </c>
      <c r="N1374" s="71" t="n">
        <v>50228.93</v>
      </c>
      <c r="O1374" s="71" t="n">
        <v>452060.35</v>
      </c>
      <c r="P1374" s="71" t="n">
        <v>141432.51</v>
      </c>
      <c r="Q1374" s="71" t="n">
        <v>310627.84</v>
      </c>
      <c r="R1374" t="inlineStr">
        <is>
          <t>Vaccines</t>
        </is>
      </c>
      <c r="S1374" s="70" t="n">
        <v>1779</v>
      </c>
      <c r="T1374" s="71" t="n">
        <v>63750.38</v>
      </c>
      <c r="U1374" t="inlineStr">
        <is>
          <t>Low</t>
        </is>
      </c>
      <c r="V1374">
        <f>IF(AND(OR(Dashboard!$C$6="All",E1374=Dashboard!$C$6),OR(Dashboard!$F$6="All",G1374=Dashboard!$F$6),OR(Dashboard!$I$6="All",H1374=Dashboard!$I$6)),1,0)</f>
        <v/>
      </c>
    </row>
    <row r="1375">
      <c r="A1375" t="inlineStr">
        <is>
          <t>PF101366</t>
        </is>
      </c>
      <c r="B1375" s="68" t="n">
        <v>45823</v>
      </c>
      <c r="C1375" s="69" t="n">
        <v>2025</v>
      </c>
      <c r="D1375" t="inlineStr">
        <is>
          <t>Jun</t>
        </is>
      </c>
      <c r="E1375" t="inlineStr">
        <is>
          <t>Europe</t>
        </is>
      </c>
      <c r="F1375" t="inlineStr">
        <is>
          <t>Italy</t>
        </is>
      </c>
      <c r="G1375" t="inlineStr">
        <is>
          <t>Eliquis</t>
        </is>
      </c>
      <c r="H1375" t="inlineStr">
        <is>
          <t>Retail pharmacy</t>
        </is>
      </c>
      <c r="I1375" t="inlineStr">
        <is>
          <t>Private insurer</t>
        </is>
      </c>
      <c r="J1375" t="inlineStr">
        <is>
          <t>Kofi Mensah</t>
        </is>
      </c>
      <c r="K1375" s="70" t="n">
        <v>767</v>
      </c>
      <c r="L1375" s="71" t="n">
        <v>429.49</v>
      </c>
      <c r="M1375" s="71" t="n">
        <v>329418.83</v>
      </c>
      <c r="N1375" s="71" t="n">
        <v>65883.77</v>
      </c>
      <c r="O1375" s="71" t="n">
        <v>263535.06</v>
      </c>
      <c r="P1375" s="71" t="n">
        <v>57116.47</v>
      </c>
      <c r="Q1375" s="71" t="n">
        <v>206418.59</v>
      </c>
      <c r="R1375" t="inlineStr">
        <is>
          <t>Cardiology</t>
        </is>
      </c>
      <c r="S1375" s="70" t="n">
        <v>533</v>
      </c>
      <c r="T1375" s="71" t="n">
        <v>44092.45</v>
      </c>
      <c r="U1375" t="inlineStr">
        <is>
          <t>High</t>
        </is>
      </c>
      <c r="V1375">
        <f>IF(AND(OR(Dashboard!$C$6="All",E1375=Dashboard!$C$6),OR(Dashboard!$F$6="All",G1375=Dashboard!$F$6),OR(Dashboard!$I$6="All",H1375=Dashboard!$I$6)),1,0)</f>
        <v/>
      </c>
    </row>
    <row r="1376">
      <c r="A1376" t="inlineStr">
        <is>
          <t>PF101367</t>
        </is>
      </c>
      <c r="B1376" s="68" t="n">
        <v>45823</v>
      </c>
      <c r="C1376" s="69" t="n">
        <v>2025</v>
      </c>
      <c r="D1376" t="inlineStr">
        <is>
          <t>Jun</t>
        </is>
      </c>
      <c r="E1376" t="inlineStr">
        <is>
          <t>United States</t>
        </is>
      </c>
      <c r="F1376" t="inlineStr">
        <is>
          <t>USA</t>
        </is>
      </c>
      <c r="G1376" t="inlineStr">
        <is>
          <t>Paxlovid</t>
        </is>
      </c>
      <c r="H1376" t="inlineStr">
        <is>
          <t>Retail pharmacy</t>
        </is>
      </c>
      <c r="I1376" t="inlineStr">
        <is>
          <t>Public payer</t>
        </is>
      </c>
      <c r="J1376" t="inlineStr">
        <is>
          <t>Zoya Ahmed</t>
        </is>
      </c>
      <c r="K1376" s="70" t="n">
        <v>2652</v>
      </c>
      <c r="L1376" s="71" t="n">
        <v>1800.77</v>
      </c>
      <c r="M1376" s="71" t="n">
        <v>4775642.04</v>
      </c>
      <c r="N1376" s="71" t="n">
        <v>716346.3100000001</v>
      </c>
      <c r="O1376" s="71" t="n">
        <v>4059295.73</v>
      </c>
      <c r="P1376" s="71" t="n">
        <v>739148.52</v>
      </c>
      <c r="Q1376" s="71" t="n">
        <v>3320147.21</v>
      </c>
      <c r="R1376" t="inlineStr">
        <is>
          <t>Antiviral</t>
        </is>
      </c>
      <c r="S1376" s="70" t="n">
        <v>1735</v>
      </c>
      <c r="T1376" s="71" t="n">
        <v>895460.9300000001</v>
      </c>
      <c r="U1376" t="inlineStr">
        <is>
          <t>Low</t>
        </is>
      </c>
      <c r="V1376">
        <f>IF(AND(OR(Dashboard!$C$6="All",E1376=Dashboard!$C$6),OR(Dashboard!$F$6="All",G1376=Dashboard!$F$6),OR(Dashboard!$I$6="All",H1376=Dashboard!$I$6)),1,0)</f>
        <v/>
      </c>
    </row>
    <row r="1377">
      <c r="A1377" t="inlineStr">
        <is>
          <t>PF101368</t>
        </is>
      </c>
      <c r="B1377" s="68" t="n">
        <v>45823</v>
      </c>
      <c r="C1377" s="69" t="n">
        <v>2025</v>
      </c>
      <c r="D1377" t="inlineStr">
        <is>
          <t>Jun</t>
        </is>
      </c>
      <c r="E1377" t="inlineStr">
        <is>
          <t>Europe</t>
        </is>
      </c>
      <c r="F1377" t="inlineStr">
        <is>
          <t>UK</t>
        </is>
      </c>
      <c r="G1377" t="inlineStr">
        <is>
          <t>Abrysvo</t>
        </is>
      </c>
      <c r="H1377" t="inlineStr">
        <is>
          <t>Retail pharmacy</t>
        </is>
      </c>
      <c r="I1377" t="inlineStr">
        <is>
          <t>Private insurer</t>
        </is>
      </c>
      <c r="J1377" t="inlineStr">
        <is>
          <t>Ruhi Shaikh</t>
        </is>
      </c>
      <c r="K1377" s="70" t="n">
        <v>1348</v>
      </c>
      <c r="L1377" s="71" t="n">
        <v>285.01</v>
      </c>
      <c r="M1377" s="71" t="n">
        <v>384193.48</v>
      </c>
      <c r="N1377" s="71" t="n">
        <v>38419.35</v>
      </c>
      <c r="O1377" s="71" t="n">
        <v>345774.13</v>
      </c>
      <c r="P1377" s="71" t="n">
        <v>112948.28</v>
      </c>
      <c r="Q1377" s="71" t="n">
        <v>232825.85</v>
      </c>
      <c r="R1377" t="inlineStr">
        <is>
          <t>Vaccines</t>
        </is>
      </c>
      <c r="S1377" s="70" t="n">
        <v>1207</v>
      </c>
      <c r="T1377" s="71" t="n">
        <v>55608.23</v>
      </c>
      <c r="U1377" t="inlineStr">
        <is>
          <t>Low</t>
        </is>
      </c>
      <c r="V1377">
        <f>IF(AND(OR(Dashboard!$C$6="All",E1377=Dashboard!$C$6),OR(Dashboard!$F$6="All",G1377=Dashboard!$F$6),OR(Dashboard!$I$6="All",H1377=Dashboard!$I$6)),1,0)</f>
        <v/>
      </c>
    </row>
    <row r="1378">
      <c r="A1378" t="inlineStr">
        <is>
          <t>PF101369</t>
        </is>
      </c>
      <c r="B1378" s="68" t="n">
        <v>45823</v>
      </c>
      <c r="C1378" s="69" t="n">
        <v>2025</v>
      </c>
      <c r="D1378" t="inlineStr">
        <is>
          <t>Jun</t>
        </is>
      </c>
      <c r="E1378" t="inlineStr">
        <is>
          <t>United States</t>
        </is>
      </c>
      <c r="F1378" t="inlineStr">
        <is>
          <t>USA</t>
        </is>
      </c>
      <c r="G1378" t="inlineStr">
        <is>
          <t>Paxlovid</t>
        </is>
      </c>
      <c r="H1378" t="inlineStr">
        <is>
          <t>Retail pharmacy</t>
        </is>
      </c>
      <c r="I1378" t="inlineStr">
        <is>
          <t>Self-pay</t>
        </is>
      </c>
      <c r="J1378" t="inlineStr">
        <is>
          <t>Noah Smith</t>
        </is>
      </c>
      <c r="K1378" s="70" t="n">
        <v>1549</v>
      </c>
      <c r="L1378" s="71" t="n">
        <v>1860.18</v>
      </c>
      <c r="M1378" s="71" t="n">
        <v>2881418.82</v>
      </c>
      <c r="N1378" s="71" t="n">
        <v>720354.7</v>
      </c>
      <c r="O1378" s="71" t="n">
        <v>2161064.12</v>
      </c>
      <c r="P1378" s="71" t="n">
        <v>419093.9</v>
      </c>
      <c r="Q1378" s="71" t="n">
        <v>1741970.22</v>
      </c>
      <c r="R1378" t="inlineStr">
        <is>
          <t>Antiviral</t>
        </is>
      </c>
      <c r="S1378" s="70" t="n">
        <v>1127</v>
      </c>
      <c r="T1378" s="71" t="n">
        <v>381654.36</v>
      </c>
      <c r="U1378" t="inlineStr">
        <is>
          <t>Low</t>
        </is>
      </c>
      <c r="V1378">
        <f>IF(AND(OR(Dashboard!$C$6="All",E1378=Dashboard!$C$6),OR(Dashboard!$F$6="All",G1378=Dashboard!$F$6),OR(Dashboard!$I$6="All",H1378=Dashboard!$I$6)),1,0)</f>
        <v/>
      </c>
    </row>
    <row r="1379">
      <c r="A1379" t="inlineStr">
        <is>
          <t>PF101370</t>
        </is>
      </c>
      <c r="B1379" s="68" t="n">
        <v>45823</v>
      </c>
      <c r="C1379" s="69" t="n">
        <v>2025</v>
      </c>
      <c r="D1379" t="inlineStr">
        <is>
          <t>Jun</t>
        </is>
      </c>
      <c r="E1379" t="inlineStr">
        <is>
          <t>United States</t>
        </is>
      </c>
      <c r="F1379" t="inlineStr">
        <is>
          <t>USA</t>
        </is>
      </c>
      <c r="G1379" t="inlineStr">
        <is>
          <t>Eliquis</t>
        </is>
      </c>
      <c r="H1379" t="inlineStr">
        <is>
          <t>Hospital</t>
        </is>
      </c>
      <c r="I1379" t="inlineStr">
        <is>
          <t>Public payer</t>
        </is>
      </c>
      <c r="J1379" t="inlineStr">
        <is>
          <t>Carlos Silva</t>
        </is>
      </c>
      <c r="K1379" s="70" t="n">
        <v>1644</v>
      </c>
      <c r="L1379" s="71" t="n">
        <v>714.3200000000001</v>
      </c>
      <c r="M1379" s="71" t="n">
        <v>1174342.08</v>
      </c>
      <c r="N1379" s="71" t="n">
        <v>234868.42</v>
      </c>
      <c r="O1379" s="71" t="n">
        <v>939473.66</v>
      </c>
      <c r="P1379" s="71" t="n">
        <v>124415.56</v>
      </c>
      <c r="Q1379" s="71" t="n">
        <v>815058.1</v>
      </c>
      <c r="R1379" t="inlineStr">
        <is>
          <t>Cardiology</t>
        </is>
      </c>
      <c r="S1379" s="70" t="n">
        <v>1283</v>
      </c>
      <c r="T1379" s="71" t="n">
        <v>184312.26</v>
      </c>
      <c r="U1379" t="inlineStr">
        <is>
          <t>High</t>
        </is>
      </c>
      <c r="V1379">
        <f>IF(AND(OR(Dashboard!$C$6="All",E1379=Dashboard!$C$6),OR(Dashboard!$F$6="All",G1379=Dashboard!$F$6),OR(Dashboard!$I$6="All",H1379=Dashboard!$I$6)),1,0)</f>
        <v/>
      </c>
    </row>
    <row r="1380">
      <c r="A1380" t="inlineStr">
        <is>
          <t>PF101371</t>
        </is>
      </c>
      <c r="B1380" s="68" t="n">
        <v>45824</v>
      </c>
      <c r="C1380" s="69" t="n">
        <v>2025</v>
      </c>
      <c r="D1380" t="inlineStr">
        <is>
          <t>Jun</t>
        </is>
      </c>
      <c r="E1380" t="inlineStr">
        <is>
          <t>United States</t>
        </is>
      </c>
      <c r="F1380" t="inlineStr">
        <is>
          <t>USA</t>
        </is>
      </c>
      <c r="G1380" t="inlineStr">
        <is>
          <t>Eliquis</t>
        </is>
      </c>
      <c r="H1380" t="inlineStr">
        <is>
          <t>Retail pharmacy</t>
        </is>
      </c>
      <c r="I1380" t="inlineStr">
        <is>
          <t>Private insurer</t>
        </is>
      </c>
      <c r="J1380" t="inlineStr">
        <is>
          <t>Priya Nair</t>
        </is>
      </c>
      <c r="K1380" s="70" t="n">
        <v>1731</v>
      </c>
      <c r="L1380" s="71" t="n">
        <v>712.4</v>
      </c>
      <c r="M1380" s="71" t="n">
        <v>1233164.4</v>
      </c>
      <c r="N1380" s="71" t="n">
        <v>184974.66</v>
      </c>
      <c r="O1380" s="71" t="n">
        <v>1048189.74</v>
      </c>
      <c r="P1380" s="71" t="n">
        <v>126393.57</v>
      </c>
      <c r="Q1380" s="71" t="n">
        <v>921796.17</v>
      </c>
      <c r="R1380" t="inlineStr">
        <is>
          <t>Cardiology</t>
        </is>
      </c>
      <c r="S1380" s="70" t="n">
        <v>1367</v>
      </c>
      <c r="T1380" s="71" t="n">
        <v>168833.05</v>
      </c>
      <c r="U1380" t="inlineStr">
        <is>
          <t>High</t>
        </is>
      </c>
      <c r="V1380">
        <f>IF(AND(OR(Dashboard!$C$6="All",E1380=Dashboard!$C$6),OR(Dashboard!$F$6="All",G1380=Dashboard!$F$6),OR(Dashboard!$I$6="All",H1380=Dashboard!$I$6)),1,0)</f>
        <v/>
      </c>
    </row>
    <row r="1381">
      <c r="A1381" t="inlineStr">
        <is>
          <t>PF101372</t>
        </is>
      </c>
      <c r="B1381" s="68" t="n">
        <v>45824</v>
      </c>
      <c r="C1381" s="69" t="n">
        <v>2025</v>
      </c>
      <c r="D1381" t="inlineStr">
        <is>
          <t>Jun</t>
        </is>
      </c>
      <c r="E1381" t="inlineStr">
        <is>
          <t>Emerging markets</t>
        </is>
      </c>
      <c r="F1381" t="inlineStr">
        <is>
          <t>India</t>
        </is>
      </c>
      <c r="G1381" t="inlineStr">
        <is>
          <t>Comirnaty</t>
        </is>
      </c>
      <c r="H1381" t="inlineStr">
        <is>
          <t>Hospital</t>
        </is>
      </c>
      <c r="I1381" t="inlineStr">
        <is>
          <t>Public payer</t>
        </is>
      </c>
      <c r="J1381" t="inlineStr">
        <is>
          <t>Amir Khan</t>
        </is>
      </c>
      <c r="K1381" s="70" t="n">
        <v>2900</v>
      </c>
      <c r="L1381" s="71" t="n">
        <v>108.34</v>
      </c>
      <c r="M1381" s="71" t="n">
        <v>314186</v>
      </c>
      <c r="N1381" s="71" t="n">
        <v>47127.9</v>
      </c>
      <c r="O1381" s="71" t="n">
        <v>267058.1</v>
      </c>
      <c r="P1381" s="71" t="n">
        <v>113673.35</v>
      </c>
      <c r="Q1381" s="71" t="n">
        <v>153384.75</v>
      </c>
      <c r="R1381" t="inlineStr">
        <is>
          <t>Vaccines</t>
        </is>
      </c>
      <c r="S1381" s="70" t="n">
        <v>2166</v>
      </c>
      <c r="T1381" s="71" t="n">
        <v>60595.34</v>
      </c>
      <c r="U1381" t="inlineStr">
        <is>
          <t>Low</t>
        </is>
      </c>
      <c r="V1381">
        <f>IF(AND(OR(Dashboard!$C$6="All",E1381=Dashboard!$C$6),OR(Dashboard!$F$6="All",G1381=Dashboard!$F$6),OR(Dashboard!$I$6="All",H1381=Dashboard!$I$6)),1,0)</f>
        <v/>
      </c>
    </row>
    <row r="1382">
      <c r="A1382" t="inlineStr">
        <is>
          <t>PF101373</t>
        </is>
      </c>
      <c r="B1382" s="68" t="n">
        <v>45824</v>
      </c>
      <c r="C1382" s="69" t="n">
        <v>2025</v>
      </c>
      <c r="D1382" t="inlineStr">
        <is>
          <t>Jun</t>
        </is>
      </c>
      <c r="E1382" t="inlineStr">
        <is>
          <t>United States</t>
        </is>
      </c>
      <c r="F1382" t="inlineStr">
        <is>
          <t>USA</t>
        </is>
      </c>
      <c r="G1382" t="inlineStr">
        <is>
          <t>Paxlovid</t>
        </is>
      </c>
      <c r="H1382" t="inlineStr">
        <is>
          <t>Government / tender</t>
        </is>
      </c>
      <c r="I1382" t="inlineStr">
        <is>
          <t>Public payer</t>
        </is>
      </c>
      <c r="J1382" t="inlineStr">
        <is>
          <t>Aisha Bello</t>
        </is>
      </c>
      <c r="K1382" s="70" t="n">
        <v>2125</v>
      </c>
      <c r="L1382" s="71" t="n">
        <v>1913.44</v>
      </c>
      <c r="M1382" s="71" t="n">
        <v>4066060</v>
      </c>
      <c r="N1382" s="71" t="n">
        <v>1016515</v>
      </c>
      <c r="O1382" s="71" t="n">
        <v>3049545</v>
      </c>
      <c r="P1382" s="71" t="n">
        <v>601973.01</v>
      </c>
      <c r="Q1382" s="71" t="n">
        <v>2447571.99</v>
      </c>
      <c r="R1382" t="inlineStr">
        <is>
          <t>Antiviral</t>
        </is>
      </c>
      <c r="S1382" s="70" t="n">
        <v>1539</v>
      </c>
      <c r="T1382" s="71" t="n">
        <v>704593.66</v>
      </c>
      <c r="U1382" t="inlineStr">
        <is>
          <t>Low</t>
        </is>
      </c>
      <c r="V1382">
        <f>IF(AND(OR(Dashboard!$C$6="All",E1382=Dashboard!$C$6),OR(Dashboard!$F$6="All",G1382=Dashboard!$F$6),OR(Dashboard!$I$6="All",H1382=Dashboard!$I$6)),1,0)</f>
        <v/>
      </c>
    </row>
    <row r="1383">
      <c r="A1383" t="inlineStr">
        <is>
          <t>PF101374</t>
        </is>
      </c>
      <c r="B1383" s="68" t="n">
        <v>45824</v>
      </c>
      <c r="C1383" s="69" t="n">
        <v>2025</v>
      </c>
      <c r="D1383" t="inlineStr">
        <is>
          <t>Jun</t>
        </is>
      </c>
      <c r="E1383" t="inlineStr">
        <is>
          <t>United States</t>
        </is>
      </c>
      <c r="F1383" t="inlineStr">
        <is>
          <t>USA</t>
        </is>
      </c>
      <c r="G1383" t="inlineStr">
        <is>
          <t>Eliquis</t>
        </is>
      </c>
      <c r="H1383" t="inlineStr">
        <is>
          <t>Retail pharmacy</t>
        </is>
      </c>
      <c r="I1383" t="inlineStr">
        <is>
          <t>Private insurer</t>
        </is>
      </c>
      <c r="J1383" t="inlineStr">
        <is>
          <t>Ravindra Patil</t>
        </is>
      </c>
      <c r="K1383" s="70" t="n">
        <v>1906</v>
      </c>
      <c r="L1383" s="71" t="n">
        <v>611.78</v>
      </c>
      <c r="M1383" s="71" t="n">
        <v>1166052.68</v>
      </c>
      <c r="N1383" s="71" t="n">
        <v>291513.17</v>
      </c>
      <c r="O1383" s="71" t="n">
        <v>874539.51</v>
      </c>
      <c r="P1383" s="71" t="n">
        <v>143825</v>
      </c>
      <c r="Q1383" s="71" t="n">
        <v>730714.51</v>
      </c>
      <c r="R1383" t="inlineStr">
        <is>
          <t>Cardiology</t>
        </is>
      </c>
      <c r="S1383" s="70" t="n">
        <v>1356</v>
      </c>
      <c r="T1383" s="71" t="n">
        <v>199006.29</v>
      </c>
      <c r="U1383" t="inlineStr">
        <is>
          <t>High</t>
        </is>
      </c>
      <c r="V1383">
        <f>IF(AND(OR(Dashboard!$C$6="All",E1383=Dashboard!$C$6),OR(Dashboard!$F$6="All",G1383=Dashboard!$F$6),OR(Dashboard!$I$6="All",H1383=Dashboard!$I$6)),1,0)</f>
        <v/>
      </c>
    </row>
    <row r="1384">
      <c r="A1384" t="inlineStr">
        <is>
          <t>PF101375</t>
        </is>
      </c>
      <c r="B1384" s="68" t="n">
        <v>45824</v>
      </c>
      <c r="C1384" s="69" t="n">
        <v>2025</v>
      </c>
      <c r="D1384" t="inlineStr">
        <is>
          <t>Jun</t>
        </is>
      </c>
      <c r="E1384" t="inlineStr">
        <is>
          <t>Europe</t>
        </is>
      </c>
      <c r="F1384" t="inlineStr">
        <is>
          <t>Italy</t>
        </is>
      </c>
      <c r="G1384" t="inlineStr">
        <is>
          <t>Abrysvo</t>
        </is>
      </c>
      <c r="H1384" t="inlineStr">
        <is>
          <t>Government / tender</t>
        </is>
      </c>
      <c r="I1384" t="inlineStr">
        <is>
          <t>Public payer</t>
        </is>
      </c>
      <c r="J1384" t="inlineStr">
        <is>
          <t>Ravindra Patil</t>
        </is>
      </c>
      <c r="K1384" s="70" t="n">
        <v>715</v>
      </c>
      <c r="L1384" s="71" t="n">
        <v>285.73</v>
      </c>
      <c r="M1384" s="71" t="n">
        <v>204296.95</v>
      </c>
      <c r="N1384" s="71" t="n">
        <v>30644.54</v>
      </c>
      <c r="O1384" s="71" t="n">
        <v>173652.41</v>
      </c>
      <c r="P1384" s="71" t="n">
        <v>62351.84</v>
      </c>
      <c r="Q1384" s="71" t="n">
        <v>111300.57</v>
      </c>
      <c r="R1384" t="inlineStr">
        <is>
          <t>Vaccines</t>
        </is>
      </c>
      <c r="S1384" s="70" t="n">
        <v>564</v>
      </c>
      <c r="T1384" s="71" t="n">
        <v>38281.47</v>
      </c>
      <c r="U1384" t="inlineStr">
        <is>
          <t>Low</t>
        </is>
      </c>
      <c r="V1384">
        <f>IF(AND(OR(Dashboard!$C$6="All",E1384=Dashboard!$C$6),OR(Dashboard!$F$6="All",G1384=Dashboard!$F$6),OR(Dashboard!$I$6="All",H1384=Dashboard!$I$6)),1,0)</f>
        <v/>
      </c>
    </row>
    <row r="1385">
      <c r="A1385" t="inlineStr">
        <is>
          <t>PF101376</t>
        </is>
      </c>
      <c r="B1385" s="68" t="n">
        <v>45824</v>
      </c>
      <c r="C1385" s="69" t="n">
        <v>2025</v>
      </c>
      <c r="D1385" t="inlineStr">
        <is>
          <t>Jun</t>
        </is>
      </c>
      <c r="E1385" t="inlineStr">
        <is>
          <t>United States</t>
        </is>
      </c>
      <c r="F1385" t="inlineStr">
        <is>
          <t>USA</t>
        </is>
      </c>
      <c r="G1385" t="inlineStr">
        <is>
          <t>Eliquis</t>
        </is>
      </c>
      <c r="H1385" t="inlineStr">
        <is>
          <t>Hospital</t>
        </is>
      </c>
      <c r="I1385" t="inlineStr">
        <is>
          <t>Private insurer</t>
        </is>
      </c>
      <c r="J1385" t="inlineStr">
        <is>
          <t>Yuki Sato</t>
        </is>
      </c>
      <c r="K1385" s="70" t="n">
        <v>1980</v>
      </c>
      <c r="L1385" s="71" t="n">
        <v>708.11</v>
      </c>
      <c r="M1385" s="71" t="n">
        <v>1402057.8</v>
      </c>
      <c r="N1385" s="71" t="n">
        <v>210308.67</v>
      </c>
      <c r="O1385" s="71" t="n">
        <v>1191749.13</v>
      </c>
      <c r="P1385" s="71" t="n">
        <v>154742.47</v>
      </c>
      <c r="Q1385" s="71" t="n">
        <v>1037006.66</v>
      </c>
      <c r="R1385" t="inlineStr">
        <is>
          <t>Cardiology</t>
        </is>
      </c>
      <c r="S1385" s="70" t="n">
        <v>1238</v>
      </c>
      <c r="T1385" s="71" t="n">
        <v>260780.67</v>
      </c>
      <c r="U1385" t="inlineStr">
        <is>
          <t>High</t>
        </is>
      </c>
      <c r="V1385">
        <f>IF(AND(OR(Dashboard!$C$6="All",E1385=Dashboard!$C$6),OR(Dashboard!$F$6="All",G1385=Dashboard!$F$6),OR(Dashboard!$I$6="All",H1385=Dashboard!$I$6)),1,0)</f>
        <v/>
      </c>
    </row>
    <row r="1386">
      <c r="A1386" t="inlineStr">
        <is>
          <t>PF101377</t>
        </is>
      </c>
      <c r="B1386" s="68" t="n">
        <v>45824</v>
      </c>
      <c r="C1386" s="69" t="n">
        <v>2025</v>
      </c>
      <c r="D1386" t="inlineStr">
        <is>
          <t>Jun</t>
        </is>
      </c>
      <c r="E1386" t="inlineStr">
        <is>
          <t>Emerging markets</t>
        </is>
      </c>
      <c r="F1386" t="inlineStr">
        <is>
          <t>China</t>
        </is>
      </c>
      <c r="G1386" t="inlineStr">
        <is>
          <t>Xeljanz</t>
        </is>
      </c>
      <c r="H1386" t="inlineStr">
        <is>
          <t>Hospital</t>
        </is>
      </c>
      <c r="I1386" t="inlineStr">
        <is>
          <t>Public payer</t>
        </is>
      </c>
      <c r="J1386" t="inlineStr">
        <is>
          <t>Wei Chen</t>
        </is>
      </c>
      <c r="K1386" s="70" t="n">
        <v>2597</v>
      </c>
      <c r="L1386" s="71" t="n">
        <v>1479.2</v>
      </c>
      <c r="M1386" s="71" t="n">
        <v>3841482.4</v>
      </c>
      <c r="N1386" s="71" t="n">
        <v>192074.12</v>
      </c>
      <c r="O1386" s="71" t="n">
        <v>3649408.28</v>
      </c>
      <c r="P1386" s="71" t="n">
        <v>671336.4300000001</v>
      </c>
      <c r="Q1386" s="71" t="n">
        <v>2978071.85</v>
      </c>
      <c r="R1386" t="inlineStr">
        <is>
          <t>Inflammation</t>
        </is>
      </c>
      <c r="S1386" s="70" t="n">
        <v>1727</v>
      </c>
      <c r="T1386" s="71" t="n">
        <v>808990.42</v>
      </c>
      <c r="U1386" t="inlineStr">
        <is>
          <t>High</t>
        </is>
      </c>
      <c r="V1386">
        <f>IF(AND(OR(Dashboard!$C$6="All",E1386=Dashboard!$C$6),OR(Dashboard!$F$6="All",G1386=Dashboard!$F$6),OR(Dashboard!$I$6="All",H1386=Dashboard!$I$6)),1,0)</f>
        <v/>
      </c>
    </row>
    <row r="1387">
      <c r="A1387" t="inlineStr">
        <is>
          <t>PF101378</t>
        </is>
      </c>
      <c r="B1387" s="68" t="n">
        <v>45824</v>
      </c>
      <c r="C1387" s="69" t="n">
        <v>2025</v>
      </c>
      <c r="D1387" t="inlineStr">
        <is>
          <t>Jun</t>
        </is>
      </c>
      <c r="E1387" t="inlineStr">
        <is>
          <t>United States</t>
        </is>
      </c>
      <c r="F1387" t="inlineStr">
        <is>
          <t>USA</t>
        </is>
      </c>
      <c r="G1387" t="inlineStr">
        <is>
          <t>Abrysvo</t>
        </is>
      </c>
      <c r="H1387" t="inlineStr">
        <is>
          <t>Retail pharmacy</t>
        </is>
      </c>
      <c r="I1387" t="inlineStr">
        <is>
          <t>Private insurer</t>
        </is>
      </c>
      <c r="J1387" t="inlineStr">
        <is>
          <t>Arjun Mehta</t>
        </is>
      </c>
      <c r="K1387" s="70" t="n">
        <v>1223</v>
      </c>
      <c r="L1387" s="71" t="n">
        <v>445.46</v>
      </c>
      <c r="M1387" s="71" t="n">
        <v>544797.58</v>
      </c>
      <c r="N1387" s="71" t="n">
        <v>136199.39</v>
      </c>
      <c r="O1387" s="71" t="n">
        <v>408598.19</v>
      </c>
      <c r="P1387" s="71" t="n">
        <v>105352.6</v>
      </c>
      <c r="Q1387" s="71" t="n">
        <v>303245.59</v>
      </c>
      <c r="R1387" t="inlineStr">
        <is>
          <t>Vaccines</t>
        </is>
      </c>
      <c r="S1387" s="70" t="n">
        <v>781</v>
      </c>
      <c r="T1387" s="71" t="n">
        <v>74302.07000000001</v>
      </c>
      <c r="U1387" t="inlineStr">
        <is>
          <t>Low</t>
        </is>
      </c>
      <c r="V1387">
        <f>IF(AND(OR(Dashboard!$C$6="All",E1387=Dashboard!$C$6),OR(Dashboard!$F$6="All",G1387=Dashboard!$F$6),OR(Dashboard!$I$6="All",H1387=Dashboard!$I$6)),1,0)</f>
        <v/>
      </c>
    </row>
    <row r="1388">
      <c r="A1388" t="inlineStr">
        <is>
          <t>PF101379</t>
        </is>
      </c>
      <c r="B1388" s="68" t="n">
        <v>45824</v>
      </c>
      <c r="C1388" s="69" t="n">
        <v>2025</v>
      </c>
      <c r="D1388" t="inlineStr">
        <is>
          <t>Jun</t>
        </is>
      </c>
      <c r="E1388" t="inlineStr">
        <is>
          <t>United States</t>
        </is>
      </c>
      <c r="F1388" t="inlineStr">
        <is>
          <t>USA</t>
        </is>
      </c>
      <c r="G1388" t="inlineStr">
        <is>
          <t>Xeljanz</t>
        </is>
      </c>
      <c r="H1388" t="inlineStr">
        <is>
          <t>Government / tender</t>
        </is>
      </c>
      <c r="I1388" t="inlineStr">
        <is>
          <t>Self-pay</t>
        </is>
      </c>
      <c r="J1388" t="inlineStr">
        <is>
          <t>Sophie Müller</t>
        </is>
      </c>
      <c r="K1388" s="70" t="n">
        <v>2578</v>
      </c>
      <c r="L1388" s="71" t="n">
        <v>2099.7</v>
      </c>
      <c r="M1388" s="71" t="n">
        <v>5413026.6</v>
      </c>
      <c r="N1388" s="71" t="n">
        <v>1082605.32</v>
      </c>
      <c r="O1388" s="71" t="n">
        <v>4330421.28</v>
      </c>
      <c r="P1388" s="71" t="n">
        <v>631952.85</v>
      </c>
      <c r="Q1388" s="71" t="n">
        <v>3698468.43</v>
      </c>
      <c r="R1388" t="inlineStr">
        <is>
          <t>Inflammation</t>
        </is>
      </c>
      <c r="S1388" s="70" t="n">
        <v>1847</v>
      </c>
      <c r="T1388" s="71" t="n">
        <v>673874.64</v>
      </c>
      <c r="U1388" t="inlineStr">
        <is>
          <t>High</t>
        </is>
      </c>
      <c r="V1388">
        <f>IF(AND(OR(Dashboard!$C$6="All",E1388=Dashboard!$C$6),OR(Dashboard!$F$6="All",G1388=Dashboard!$F$6),OR(Dashboard!$I$6="All",H1388=Dashboard!$I$6)),1,0)</f>
        <v/>
      </c>
    </row>
    <row r="1389">
      <c r="A1389" t="inlineStr">
        <is>
          <t>PF101380</t>
        </is>
      </c>
      <c r="B1389" s="68" t="n">
        <v>45824</v>
      </c>
      <c r="C1389" s="69" t="n">
        <v>2025</v>
      </c>
      <c r="D1389" t="inlineStr">
        <is>
          <t>Jun</t>
        </is>
      </c>
      <c r="E1389" t="inlineStr">
        <is>
          <t>United States</t>
        </is>
      </c>
      <c r="F1389" t="inlineStr">
        <is>
          <t>USA</t>
        </is>
      </c>
      <c r="G1389" t="inlineStr">
        <is>
          <t>Prevnar 20</t>
        </is>
      </c>
      <c r="H1389" t="inlineStr">
        <is>
          <t>Retail pharmacy</t>
        </is>
      </c>
      <c r="I1389" t="inlineStr">
        <is>
          <t>Public payer</t>
        </is>
      </c>
      <c r="J1389" t="inlineStr">
        <is>
          <t>Sara Rossi</t>
        </is>
      </c>
      <c r="K1389" s="70" t="n">
        <v>1505</v>
      </c>
      <c r="L1389" s="71" t="n">
        <v>398.38</v>
      </c>
      <c r="M1389" s="71" t="n">
        <v>599561.9</v>
      </c>
      <c r="N1389" s="71" t="n">
        <v>119912.38</v>
      </c>
      <c r="O1389" s="71" t="n">
        <v>479649.52</v>
      </c>
      <c r="P1389" s="71" t="n">
        <v>107387.24</v>
      </c>
      <c r="Q1389" s="71" t="n">
        <v>372262.28</v>
      </c>
      <c r="R1389" t="inlineStr">
        <is>
          <t>Vaccines</t>
        </is>
      </c>
      <c r="S1389" s="70" t="n">
        <v>978</v>
      </c>
      <c r="T1389" s="71" t="n">
        <v>72305.72</v>
      </c>
      <c r="U1389" t="inlineStr">
        <is>
          <t>Low</t>
        </is>
      </c>
      <c r="V1389">
        <f>IF(AND(OR(Dashboard!$C$6="All",E1389=Dashboard!$C$6),OR(Dashboard!$F$6="All",G1389=Dashboard!$F$6),OR(Dashboard!$I$6="All",H1389=Dashboard!$I$6)),1,0)</f>
        <v/>
      </c>
    </row>
    <row r="1390">
      <c r="A1390" t="inlineStr">
        <is>
          <t>PF101381</t>
        </is>
      </c>
      <c r="B1390" s="68" t="n">
        <v>45825</v>
      </c>
      <c r="C1390" s="69" t="n">
        <v>2025</v>
      </c>
      <c r="D1390" t="inlineStr">
        <is>
          <t>Jun</t>
        </is>
      </c>
      <c r="E1390" t="inlineStr">
        <is>
          <t>Europe</t>
        </is>
      </c>
      <c r="F1390" t="inlineStr">
        <is>
          <t>France</t>
        </is>
      </c>
      <c r="G1390" t="inlineStr">
        <is>
          <t>Prevnar 20</t>
        </is>
      </c>
      <c r="H1390" t="inlineStr">
        <is>
          <t>Retail pharmacy</t>
        </is>
      </c>
      <c r="I1390" t="inlineStr">
        <is>
          <t>Public payer</t>
        </is>
      </c>
      <c r="J1390" t="inlineStr">
        <is>
          <t>Priya Nair</t>
        </is>
      </c>
      <c r="K1390" s="70" t="n">
        <v>185</v>
      </c>
      <c r="L1390" s="71" t="n">
        <v>235.48</v>
      </c>
      <c r="M1390" s="71" t="n">
        <v>43563.8</v>
      </c>
      <c r="N1390" s="71" t="n">
        <v>8712.76</v>
      </c>
      <c r="O1390" s="71" t="n">
        <v>34851.04</v>
      </c>
      <c r="P1390" s="71" t="n">
        <v>12401.48</v>
      </c>
      <c r="Q1390" s="71" t="n">
        <v>22449.56</v>
      </c>
      <c r="R1390" t="inlineStr">
        <is>
          <t>Vaccines</t>
        </is>
      </c>
      <c r="S1390" s="70" t="n">
        <v>180</v>
      </c>
      <c r="T1390" s="71" t="n">
        <v>8600.040000000001</v>
      </c>
      <c r="U1390" t="inlineStr">
        <is>
          <t>Low</t>
        </is>
      </c>
      <c r="V1390">
        <f>IF(AND(OR(Dashboard!$C$6="All",E1390=Dashboard!$C$6),OR(Dashboard!$F$6="All",G1390=Dashboard!$F$6),OR(Dashboard!$I$6="All",H1390=Dashboard!$I$6)),1,0)</f>
        <v/>
      </c>
    </row>
    <row r="1391">
      <c r="A1391" t="inlineStr">
        <is>
          <t>PF101382</t>
        </is>
      </c>
      <c r="B1391" s="68" t="n">
        <v>45825</v>
      </c>
      <c r="C1391" s="69" t="n">
        <v>2025</v>
      </c>
      <c r="D1391" t="inlineStr">
        <is>
          <t>Jun</t>
        </is>
      </c>
      <c r="E1391" t="inlineStr">
        <is>
          <t>Europe</t>
        </is>
      </c>
      <c r="F1391" t="inlineStr">
        <is>
          <t>France</t>
        </is>
      </c>
      <c r="G1391" t="inlineStr">
        <is>
          <t>Prevnar 20</t>
        </is>
      </c>
      <c r="H1391" t="inlineStr">
        <is>
          <t>Retail pharmacy</t>
        </is>
      </c>
      <c r="I1391" t="inlineStr">
        <is>
          <t>Public payer</t>
        </is>
      </c>
      <c r="J1391" t="inlineStr">
        <is>
          <t>Shraddha Kulkarni</t>
        </is>
      </c>
      <c r="K1391" s="70" t="n">
        <v>2661</v>
      </c>
      <c r="L1391" s="71" t="n">
        <v>211.97</v>
      </c>
      <c r="M1391" s="71" t="n">
        <v>564052.17</v>
      </c>
      <c r="N1391" s="71" t="n">
        <v>141013.04</v>
      </c>
      <c r="O1391" s="71" t="n">
        <v>423039.13</v>
      </c>
      <c r="P1391" s="71" t="n">
        <v>188823.3</v>
      </c>
      <c r="Q1391" s="71" t="n">
        <v>234215.83</v>
      </c>
      <c r="R1391" t="inlineStr">
        <is>
          <t>Vaccines</t>
        </is>
      </c>
      <c r="S1391" s="70" t="n">
        <v>2169</v>
      </c>
      <c r="T1391" s="71" t="n">
        <v>80081.92</v>
      </c>
      <c r="U1391" t="inlineStr">
        <is>
          <t>Low</t>
        </is>
      </c>
      <c r="V1391">
        <f>IF(AND(OR(Dashboard!$C$6="All",E1391=Dashboard!$C$6),OR(Dashboard!$F$6="All",G1391=Dashboard!$F$6),OR(Dashboard!$I$6="All",H1391=Dashboard!$I$6)),1,0)</f>
        <v/>
      </c>
    </row>
    <row r="1392">
      <c r="A1392" t="inlineStr">
        <is>
          <t>PF101383</t>
        </is>
      </c>
      <c r="B1392" s="68" t="n">
        <v>45825</v>
      </c>
      <c r="C1392" s="69" t="n">
        <v>2025</v>
      </c>
      <c r="D1392" t="inlineStr">
        <is>
          <t>Jun</t>
        </is>
      </c>
      <c r="E1392" t="inlineStr">
        <is>
          <t>International developed</t>
        </is>
      </c>
      <c r="F1392" t="inlineStr">
        <is>
          <t>Japan</t>
        </is>
      </c>
      <c r="G1392" t="inlineStr">
        <is>
          <t>Ibrance</t>
        </is>
      </c>
      <c r="H1392" t="inlineStr">
        <is>
          <t>Hospital</t>
        </is>
      </c>
      <c r="I1392" t="inlineStr">
        <is>
          <t>Private insurer</t>
        </is>
      </c>
      <c r="J1392" t="inlineStr">
        <is>
          <t>Sophie Müller</t>
        </is>
      </c>
      <c r="K1392" s="70" t="n">
        <v>323</v>
      </c>
      <c r="L1392" s="71" t="n">
        <v>3002.5</v>
      </c>
      <c r="M1392" s="71" t="n">
        <v>969807.5</v>
      </c>
      <c r="N1392" s="71" t="n">
        <v>242451.88</v>
      </c>
      <c r="O1392" s="71" t="n">
        <v>727355.62</v>
      </c>
      <c r="P1392" s="71" t="n">
        <v>143100.4</v>
      </c>
      <c r="Q1392" s="71" t="n">
        <v>584255.22</v>
      </c>
      <c r="R1392" t="inlineStr">
        <is>
          <t>Oncology</t>
        </is>
      </c>
      <c r="S1392" s="70" t="n">
        <v>253</v>
      </c>
      <c r="T1392" s="71" t="n">
        <v>137484.21</v>
      </c>
      <c r="U1392" t="inlineStr">
        <is>
          <t>High</t>
        </is>
      </c>
      <c r="V1392">
        <f>IF(AND(OR(Dashboard!$C$6="All",E1392=Dashboard!$C$6),OR(Dashboard!$F$6="All",G1392=Dashboard!$F$6),OR(Dashboard!$I$6="All",H1392=Dashboard!$I$6)),1,0)</f>
        <v/>
      </c>
    </row>
    <row r="1393">
      <c r="A1393" t="inlineStr">
        <is>
          <t>PF101384</t>
        </is>
      </c>
      <c r="B1393" s="68" t="n">
        <v>45825</v>
      </c>
      <c r="C1393" s="69" t="n">
        <v>2025</v>
      </c>
      <c r="D1393" t="inlineStr">
        <is>
          <t>Jun</t>
        </is>
      </c>
      <c r="E1393" t="inlineStr">
        <is>
          <t>Europe</t>
        </is>
      </c>
      <c r="F1393" t="inlineStr">
        <is>
          <t>Spain</t>
        </is>
      </c>
      <c r="G1393" t="inlineStr">
        <is>
          <t>Paxlovid</t>
        </is>
      </c>
      <c r="H1393" t="inlineStr">
        <is>
          <t>Retail pharmacy</t>
        </is>
      </c>
      <c r="I1393" t="inlineStr">
        <is>
          <t>Public payer</t>
        </is>
      </c>
      <c r="J1393" t="inlineStr">
        <is>
          <t>Sophie Müller</t>
        </is>
      </c>
      <c r="K1393" s="70" t="n">
        <v>2617</v>
      </c>
      <c r="L1393" s="71" t="n">
        <v>1179.99</v>
      </c>
      <c r="M1393" s="71" t="n">
        <v>3088033.83</v>
      </c>
      <c r="N1393" s="71" t="n">
        <v>617606.77</v>
      </c>
      <c r="O1393" s="71" t="n">
        <v>2470427.06</v>
      </c>
      <c r="P1393" s="71" t="n">
        <v>739106.73</v>
      </c>
      <c r="Q1393" s="71" t="n">
        <v>1731320.33</v>
      </c>
      <c r="R1393" t="inlineStr">
        <is>
          <t>Antiviral</t>
        </is>
      </c>
      <c r="S1393" s="70" t="n">
        <v>1839</v>
      </c>
      <c r="T1393" s="71" t="n">
        <v>388705.27</v>
      </c>
      <c r="U1393" t="inlineStr">
        <is>
          <t>Low</t>
        </is>
      </c>
      <c r="V1393">
        <f>IF(AND(OR(Dashboard!$C$6="All",E1393=Dashboard!$C$6),OR(Dashboard!$F$6="All",G1393=Dashboard!$F$6),OR(Dashboard!$I$6="All",H1393=Dashboard!$I$6)),1,0)</f>
        <v/>
      </c>
    </row>
    <row r="1394">
      <c r="A1394" t="inlineStr">
        <is>
          <t>PF101385</t>
        </is>
      </c>
      <c r="B1394" s="68" t="n">
        <v>45826</v>
      </c>
      <c r="C1394" s="69" t="n">
        <v>2025</v>
      </c>
      <c r="D1394" t="inlineStr">
        <is>
          <t>Jun</t>
        </is>
      </c>
      <c r="E1394" t="inlineStr">
        <is>
          <t>Emerging markets</t>
        </is>
      </c>
      <c r="F1394" t="inlineStr">
        <is>
          <t>China</t>
        </is>
      </c>
      <c r="G1394" t="inlineStr">
        <is>
          <t>Eliquis</t>
        </is>
      </c>
      <c r="H1394" t="inlineStr">
        <is>
          <t>Government / tender</t>
        </is>
      </c>
      <c r="I1394" t="inlineStr">
        <is>
          <t>Public payer</t>
        </is>
      </c>
      <c r="J1394" t="inlineStr">
        <is>
          <t>Yuki Sato</t>
        </is>
      </c>
      <c r="K1394" s="70" t="n">
        <v>1348</v>
      </c>
      <c r="L1394" s="71" t="n">
        <v>402.95</v>
      </c>
      <c r="M1394" s="71" t="n">
        <v>543176.6</v>
      </c>
      <c r="N1394" s="71" t="n">
        <v>27158.83</v>
      </c>
      <c r="O1394" s="71" t="n">
        <v>516017.77</v>
      </c>
      <c r="P1394" s="71" t="n">
        <v>98758.67</v>
      </c>
      <c r="Q1394" s="71" t="n">
        <v>417259.1</v>
      </c>
      <c r="R1394" t="inlineStr">
        <is>
          <t>Cardiology</t>
        </is>
      </c>
      <c r="S1394" s="70" t="n">
        <v>1096</v>
      </c>
      <c r="T1394" s="71" t="n">
        <v>90524.98</v>
      </c>
      <c r="U1394" t="inlineStr">
        <is>
          <t>High</t>
        </is>
      </c>
      <c r="V1394">
        <f>IF(AND(OR(Dashboard!$C$6="All",E1394=Dashboard!$C$6),OR(Dashboard!$F$6="All",G1394=Dashboard!$F$6),OR(Dashboard!$I$6="All",H1394=Dashboard!$I$6)),1,0)</f>
        <v/>
      </c>
    </row>
    <row r="1395">
      <c r="A1395" t="inlineStr">
        <is>
          <t>PF101386</t>
        </is>
      </c>
      <c r="B1395" s="68" t="n">
        <v>45826</v>
      </c>
      <c r="C1395" s="69" t="n">
        <v>2025</v>
      </c>
      <c r="D1395" t="inlineStr">
        <is>
          <t>Jun</t>
        </is>
      </c>
      <c r="E1395" t="inlineStr">
        <is>
          <t>United States</t>
        </is>
      </c>
      <c r="F1395" t="inlineStr">
        <is>
          <t>USA</t>
        </is>
      </c>
      <c r="G1395" t="inlineStr">
        <is>
          <t>Vyndaqel</t>
        </is>
      </c>
      <c r="H1395" t="inlineStr">
        <is>
          <t>Hospital</t>
        </is>
      </c>
      <c r="I1395" t="inlineStr">
        <is>
          <t>Private insurer</t>
        </is>
      </c>
      <c r="J1395" t="inlineStr">
        <is>
          <t>Shraddha Kulkarni</t>
        </is>
      </c>
      <c r="K1395" s="70" t="n">
        <v>134</v>
      </c>
      <c r="L1395" s="71" t="n">
        <v>7521.33</v>
      </c>
      <c r="M1395" s="71" t="n">
        <v>1007858.22</v>
      </c>
      <c r="N1395" s="71" t="n">
        <v>201571.64</v>
      </c>
      <c r="O1395" s="71" t="n">
        <v>806286.58</v>
      </c>
      <c r="P1395" s="71" t="n">
        <v>85221.64</v>
      </c>
      <c r="Q1395" s="71" t="n">
        <v>721064.9399999999</v>
      </c>
      <c r="R1395" t="inlineStr">
        <is>
          <t>Rare disease</t>
        </is>
      </c>
      <c r="S1395" s="70" t="n">
        <v>92</v>
      </c>
      <c r="T1395" s="71" t="n">
        <v>176792.68</v>
      </c>
      <c r="U1395" t="inlineStr">
        <is>
          <t>Medium</t>
        </is>
      </c>
      <c r="V1395">
        <f>IF(AND(OR(Dashboard!$C$6="All",E1395=Dashboard!$C$6),OR(Dashboard!$F$6="All",G1395=Dashboard!$F$6),OR(Dashboard!$I$6="All",H1395=Dashboard!$I$6)),1,0)</f>
        <v/>
      </c>
    </row>
    <row r="1396">
      <c r="A1396" t="inlineStr">
        <is>
          <t>PF101387</t>
        </is>
      </c>
      <c r="B1396" s="68" t="n">
        <v>45826</v>
      </c>
      <c r="C1396" s="69" t="n">
        <v>2025</v>
      </c>
      <c r="D1396" t="inlineStr">
        <is>
          <t>Jun</t>
        </is>
      </c>
      <c r="E1396" t="inlineStr">
        <is>
          <t>Europe</t>
        </is>
      </c>
      <c r="F1396" t="inlineStr">
        <is>
          <t>UK</t>
        </is>
      </c>
      <c r="G1396" t="inlineStr">
        <is>
          <t>Abrysvo</t>
        </is>
      </c>
      <c r="H1396" t="inlineStr">
        <is>
          <t>Retail pharmacy</t>
        </is>
      </c>
      <c r="I1396" t="inlineStr">
        <is>
          <t>Public payer</t>
        </is>
      </c>
      <c r="J1396" t="inlineStr">
        <is>
          <t>Ruhi Shaikh</t>
        </is>
      </c>
      <c r="K1396" s="70" t="n">
        <v>1122</v>
      </c>
      <c r="L1396" s="71" t="n">
        <v>259.79</v>
      </c>
      <c r="M1396" s="71" t="n">
        <v>291484.38</v>
      </c>
      <c r="N1396" s="71" t="n">
        <v>14574.22</v>
      </c>
      <c r="O1396" s="71" t="n">
        <v>276910.16</v>
      </c>
      <c r="P1396" s="71" t="n">
        <v>93686.34</v>
      </c>
      <c r="Q1396" s="71" t="n">
        <v>183223.82</v>
      </c>
      <c r="R1396" t="inlineStr">
        <is>
          <t>Vaccines</t>
        </is>
      </c>
      <c r="S1396" s="70" t="n">
        <v>1045</v>
      </c>
      <c r="T1396" s="71" t="n">
        <v>45023.52</v>
      </c>
      <c r="U1396" t="inlineStr">
        <is>
          <t>Low</t>
        </is>
      </c>
      <c r="V1396">
        <f>IF(AND(OR(Dashboard!$C$6="All",E1396=Dashboard!$C$6),OR(Dashboard!$F$6="All",G1396=Dashboard!$F$6),OR(Dashboard!$I$6="All",H1396=Dashboard!$I$6)),1,0)</f>
        <v/>
      </c>
    </row>
    <row r="1397">
      <c r="A1397" t="inlineStr">
        <is>
          <t>PF101388</t>
        </is>
      </c>
      <c r="B1397" s="68" t="n">
        <v>45826</v>
      </c>
      <c r="C1397" s="69" t="n">
        <v>2025</v>
      </c>
      <c r="D1397" t="inlineStr">
        <is>
          <t>Jun</t>
        </is>
      </c>
      <c r="E1397" t="inlineStr">
        <is>
          <t>Emerging markets</t>
        </is>
      </c>
      <c r="F1397" t="inlineStr">
        <is>
          <t>Mexico</t>
        </is>
      </c>
      <c r="G1397" t="inlineStr">
        <is>
          <t>Prevnar 20</t>
        </is>
      </c>
      <c r="H1397" t="inlineStr">
        <is>
          <t>Retail pharmacy</t>
        </is>
      </c>
      <c r="I1397" t="inlineStr">
        <is>
          <t>Private insurer</t>
        </is>
      </c>
      <c r="J1397" t="inlineStr">
        <is>
          <t>Emma Clarke</t>
        </is>
      </c>
      <c r="K1397" s="70" t="n">
        <v>2965</v>
      </c>
      <c r="L1397" s="71" t="n">
        <v>223.77</v>
      </c>
      <c r="M1397" s="71" t="n">
        <v>663478.05</v>
      </c>
      <c r="N1397" s="71" t="n">
        <v>33173.9</v>
      </c>
      <c r="O1397" s="71" t="n">
        <v>630304.15</v>
      </c>
      <c r="P1397" s="71" t="n">
        <v>207068.52</v>
      </c>
      <c r="Q1397" s="71" t="n">
        <v>423235.63</v>
      </c>
      <c r="R1397" t="inlineStr">
        <is>
          <t>Vaccines</t>
        </is>
      </c>
      <c r="S1397" s="70" t="n">
        <v>2094</v>
      </c>
      <c r="T1397" s="71" t="n">
        <v>103420.38</v>
      </c>
      <c r="U1397" t="inlineStr">
        <is>
          <t>Low</t>
        </is>
      </c>
      <c r="V1397">
        <f>IF(AND(OR(Dashboard!$C$6="All",E1397=Dashboard!$C$6),OR(Dashboard!$F$6="All",G1397=Dashboard!$F$6),OR(Dashboard!$I$6="All",H1397=Dashboard!$I$6)),1,0)</f>
        <v/>
      </c>
    </row>
    <row r="1398">
      <c r="A1398" t="inlineStr">
        <is>
          <t>PF101389</t>
        </is>
      </c>
      <c r="B1398" s="68" t="n">
        <v>45826</v>
      </c>
      <c r="C1398" s="69" t="n">
        <v>2025</v>
      </c>
      <c r="D1398" t="inlineStr">
        <is>
          <t>Jun</t>
        </is>
      </c>
      <c r="E1398" t="inlineStr">
        <is>
          <t>United States</t>
        </is>
      </c>
      <c r="F1398" t="inlineStr">
        <is>
          <t>USA</t>
        </is>
      </c>
      <c r="G1398" t="inlineStr">
        <is>
          <t>Ibrance</t>
        </is>
      </c>
      <c r="H1398" t="inlineStr">
        <is>
          <t>Hospital</t>
        </is>
      </c>
      <c r="I1398" t="inlineStr">
        <is>
          <t>Public payer</t>
        </is>
      </c>
      <c r="J1398" t="inlineStr">
        <is>
          <t>Olivia Brown</t>
        </is>
      </c>
      <c r="K1398" s="70" t="n">
        <v>1726</v>
      </c>
      <c r="L1398" s="71" t="n">
        <v>4976.5</v>
      </c>
      <c r="M1398" s="71" t="n">
        <v>8589439</v>
      </c>
      <c r="N1398" s="71" t="n">
        <v>1288415.85</v>
      </c>
      <c r="O1398" s="71" t="n">
        <v>7301023.15</v>
      </c>
      <c r="P1398" s="71" t="n">
        <v>746553.78</v>
      </c>
      <c r="Q1398" s="71" t="n">
        <v>6554469.37</v>
      </c>
      <c r="R1398" t="inlineStr">
        <is>
          <t>Oncology</t>
        </is>
      </c>
      <c r="S1398" s="70" t="n">
        <v>1200</v>
      </c>
      <c r="T1398" s="71" t="n">
        <v>1056643.36</v>
      </c>
      <c r="U1398" t="inlineStr">
        <is>
          <t>High</t>
        </is>
      </c>
      <c r="V1398">
        <f>IF(AND(OR(Dashboard!$C$6="All",E1398=Dashboard!$C$6),OR(Dashboard!$F$6="All",G1398=Dashboard!$F$6),OR(Dashboard!$I$6="All",H1398=Dashboard!$I$6)),1,0)</f>
        <v/>
      </c>
    </row>
    <row r="1399">
      <c r="A1399" t="inlineStr">
        <is>
          <t>PF101390</t>
        </is>
      </c>
      <c r="B1399" s="68" t="n">
        <v>45826</v>
      </c>
      <c r="C1399" s="69" t="n">
        <v>2025</v>
      </c>
      <c r="D1399" t="inlineStr">
        <is>
          <t>Jun</t>
        </is>
      </c>
      <c r="E1399" t="inlineStr">
        <is>
          <t>International developed</t>
        </is>
      </c>
      <c r="F1399" t="inlineStr">
        <is>
          <t>Japan</t>
        </is>
      </c>
      <c r="G1399" t="inlineStr">
        <is>
          <t>Abrysvo</t>
        </is>
      </c>
      <c r="H1399" t="inlineStr">
        <is>
          <t>Government / tender</t>
        </is>
      </c>
      <c r="I1399" t="inlineStr">
        <is>
          <t>Public payer</t>
        </is>
      </c>
      <c r="J1399" t="inlineStr">
        <is>
          <t>Kofi Mensah</t>
        </is>
      </c>
      <c r="K1399" s="70" t="n">
        <v>1163</v>
      </c>
      <c r="L1399" s="71" t="n">
        <v>290.02</v>
      </c>
      <c r="M1399" s="71" t="n">
        <v>337293.26</v>
      </c>
      <c r="N1399" s="71" t="n">
        <v>33729.33</v>
      </c>
      <c r="O1399" s="71" t="n">
        <v>303563.93</v>
      </c>
      <c r="P1399" s="71" t="n">
        <v>94475.38</v>
      </c>
      <c r="Q1399" s="71" t="n">
        <v>209088.55</v>
      </c>
      <c r="R1399" t="inlineStr">
        <is>
          <t>Vaccines</t>
        </is>
      </c>
      <c r="S1399" s="70" t="n">
        <v>829</v>
      </c>
      <c r="T1399" s="71" t="n">
        <v>73879.88</v>
      </c>
      <c r="U1399" t="inlineStr">
        <is>
          <t>Low</t>
        </is>
      </c>
      <c r="V1399">
        <f>IF(AND(OR(Dashboard!$C$6="All",E1399=Dashboard!$C$6),OR(Dashboard!$F$6="All",G1399=Dashboard!$F$6),OR(Dashboard!$I$6="All",H1399=Dashboard!$I$6)),1,0)</f>
        <v/>
      </c>
    </row>
    <row r="1400">
      <c r="A1400" t="inlineStr">
        <is>
          <t>PF101391</t>
        </is>
      </c>
      <c r="B1400" s="68" t="n">
        <v>45826</v>
      </c>
      <c r="C1400" s="69" t="n">
        <v>2025</v>
      </c>
      <c r="D1400" t="inlineStr">
        <is>
          <t>Jun</t>
        </is>
      </c>
      <c r="E1400" t="inlineStr">
        <is>
          <t>United States</t>
        </is>
      </c>
      <c r="F1400" t="inlineStr">
        <is>
          <t>USA</t>
        </is>
      </c>
      <c r="G1400" t="inlineStr">
        <is>
          <t>Vyndaqel</t>
        </is>
      </c>
      <c r="H1400" t="inlineStr">
        <is>
          <t>Hospital</t>
        </is>
      </c>
      <c r="I1400" t="inlineStr">
        <is>
          <t>Public payer</t>
        </is>
      </c>
      <c r="J1400" t="inlineStr">
        <is>
          <t>Zoya Ahmed</t>
        </is>
      </c>
      <c r="K1400" s="70" t="n">
        <v>2015</v>
      </c>
      <c r="L1400" s="71" t="n">
        <v>8613.780000000001</v>
      </c>
      <c r="M1400" s="71" t="n">
        <v>17356766.7</v>
      </c>
      <c r="N1400" s="71" t="n">
        <v>6074868.34</v>
      </c>
      <c r="O1400" s="71" t="n">
        <v>11281898.36</v>
      </c>
      <c r="P1400" s="71" t="n">
        <v>1277163.01</v>
      </c>
      <c r="Q1400" s="71" t="n">
        <v>10004735.35</v>
      </c>
      <c r="R1400" t="inlineStr">
        <is>
          <t>Rare disease</t>
        </is>
      </c>
      <c r="S1400" s="70" t="n">
        <v>1617</v>
      </c>
      <c r="T1400" s="71" t="n">
        <v>2571969.16</v>
      </c>
      <c r="U1400" t="inlineStr">
        <is>
          <t>Medium</t>
        </is>
      </c>
      <c r="V1400">
        <f>IF(AND(OR(Dashboard!$C$6="All",E1400=Dashboard!$C$6),OR(Dashboard!$F$6="All",G1400=Dashboard!$F$6),OR(Dashboard!$I$6="All",H1400=Dashboard!$I$6)),1,0)</f>
        <v/>
      </c>
    </row>
    <row r="1401">
      <c r="A1401" t="inlineStr">
        <is>
          <t>PF101392</t>
        </is>
      </c>
      <c r="B1401" s="68" t="n">
        <v>45826</v>
      </c>
      <c r="C1401" s="69" t="n">
        <v>2025</v>
      </c>
      <c r="D1401" t="inlineStr">
        <is>
          <t>Jun</t>
        </is>
      </c>
      <c r="E1401" t="inlineStr">
        <is>
          <t>Europe</t>
        </is>
      </c>
      <c r="F1401" t="inlineStr">
        <is>
          <t>Germany</t>
        </is>
      </c>
      <c r="G1401" t="inlineStr">
        <is>
          <t>Ibrance</t>
        </is>
      </c>
      <c r="H1401" t="inlineStr">
        <is>
          <t>Hospital</t>
        </is>
      </c>
      <c r="I1401" t="inlineStr">
        <is>
          <t>Self-pay</t>
        </is>
      </c>
      <c r="J1401" t="inlineStr">
        <is>
          <t>Priya Nair</t>
        </is>
      </c>
      <c r="K1401" s="70" t="n">
        <v>881</v>
      </c>
      <c r="L1401" s="71" t="n">
        <v>2707.17</v>
      </c>
      <c r="M1401" s="71" t="n">
        <v>2385016.77</v>
      </c>
      <c r="N1401" s="71" t="n">
        <v>238501.68</v>
      </c>
      <c r="O1401" s="71" t="n">
        <v>2146515.09</v>
      </c>
      <c r="P1401" s="71" t="n">
        <v>388234.69</v>
      </c>
      <c r="Q1401" s="71" t="n">
        <v>1758280.4</v>
      </c>
      <c r="R1401" t="inlineStr">
        <is>
          <t>Oncology</t>
        </is>
      </c>
      <c r="S1401" s="70" t="n">
        <v>604</v>
      </c>
      <c r="T1401" s="71" t="n">
        <v>370717.24</v>
      </c>
      <c r="U1401" t="inlineStr">
        <is>
          <t>High</t>
        </is>
      </c>
      <c r="V1401">
        <f>IF(AND(OR(Dashboard!$C$6="All",E1401=Dashboard!$C$6),OR(Dashboard!$F$6="All",G1401=Dashboard!$F$6),OR(Dashboard!$I$6="All",H1401=Dashboard!$I$6)),1,0)</f>
        <v/>
      </c>
    </row>
    <row r="1402">
      <c r="A1402" t="inlineStr">
        <is>
          <t>PF101393</t>
        </is>
      </c>
      <c r="B1402" s="68" t="n">
        <v>45826</v>
      </c>
      <c r="C1402" s="69" t="n">
        <v>2025</v>
      </c>
      <c r="D1402" t="inlineStr">
        <is>
          <t>Jun</t>
        </is>
      </c>
      <c r="E1402" t="inlineStr">
        <is>
          <t>United States</t>
        </is>
      </c>
      <c r="F1402" t="inlineStr">
        <is>
          <t>USA</t>
        </is>
      </c>
      <c r="G1402" t="inlineStr">
        <is>
          <t>Eliquis</t>
        </is>
      </c>
      <c r="H1402" t="inlineStr">
        <is>
          <t>Hospital</t>
        </is>
      </c>
      <c r="I1402" t="inlineStr">
        <is>
          <t>Private insurer</t>
        </is>
      </c>
      <c r="J1402" t="inlineStr">
        <is>
          <t>Aisha Bello</t>
        </is>
      </c>
      <c r="K1402" s="70" t="n">
        <v>2147</v>
      </c>
      <c r="L1402" s="71" t="n">
        <v>706.26</v>
      </c>
      <c r="M1402" s="71" t="n">
        <v>1516340.22</v>
      </c>
      <c r="N1402" s="71" t="n">
        <v>530719.08</v>
      </c>
      <c r="O1402" s="71" t="n">
        <v>985621.14</v>
      </c>
      <c r="P1402" s="71" t="n">
        <v>162391.66</v>
      </c>
      <c r="Q1402" s="71" t="n">
        <v>823229.48</v>
      </c>
      <c r="R1402" t="inlineStr">
        <is>
          <t>Cardiology</t>
        </is>
      </c>
      <c r="S1402" s="70" t="n">
        <v>1449</v>
      </c>
      <c r="T1402" s="71" t="n">
        <v>231254.62</v>
      </c>
      <c r="U1402" t="inlineStr">
        <is>
          <t>High</t>
        </is>
      </c>
      <c r="V1402">
        <f>IF(AND(OR(Dashboard!$C$6="All",E1402=Dashboard!$C$6),OR(Dashboard!$F$6="All",G1402=Dashboard!$F$6),OR(Dashboard!$I$6="All",H1402=Dashboard!$I$6)),1,0)</f>
        <v/>
      </c>
    </row>
    <row r="1403">
      <c r="A1403" t="inlineStr">
        <is>
          <t>PF101394</t>
        </is>
      </c>
      <c r="B1403" s="68" t="n">
        <v>45826</v>
      </c>
      <c r="C1403" s="69" t="n">
        <v>2025</v>
      </c>
      <c r="D1403" t="inlineStr">
        <is>
          <t>Jun</t>
        </is>
      </c>
      <c r="E1403" t="inlineStr">
        <is>
          <t>United States</t>
        </is>
      </c>
      <c r="F1403" t="inlineStr">
        <is>
          <t>USA</t>
        </is>
      </c>
      <c r="G1403" t="inlineStr">
        <is>
          <t>Paxlovid</t>
        </is>
      </c>
      <c r="H1403" t="inlineStr">
        <is>
          <t>Retail pharmacy</t>
        </is>
      </c>
      <c r="I1403" t="inlineStr">
        <is>
          <t>Public payer</t>
        </is>
      </c>
      <c r="J1403" t="inlineStr">
        <is>
          <t>Zoya Ahmed</t>
        </is>
      </c>
      <c r="K1403" s="70" t="n">
        <v>754</v>
      </c>
      <c r="L1403" s="71" t="n">
        <v>1651.97</v>
      </c>
      <c r="M1403" s="71" t="n">
        <v>1245585.38</v>
      </c>
      <c r="N1403" s="71" t="n">
        <v>373675.61</v>
      </c>
      <c r="O1403" s="71" t="n">
        <v>871909.77</v>
      </c>
      <c r="P1403" s="71" t="n">
        <v>202807.45</v>
      </c>
      <c r="Q1403" s="71" t="n">
        <v>669102.3199999999</v>
      </c>
      <c r="R1403" t="inlineStr">
        <is>
          <t>Antiviral</t>
        </is>
      </c>
      <c r="S1403" s="70" t="n">
        <v>754</v>
      </c>
      <c r="T1403" s="71" t="n">
        <v>196134.91</v>
      </c>
      <c r="U1403" t="inlineStr">
        <is>
          <t>Low</t>
        </is>
      </c>
      <c r="V1403">
        <f>IF(AND(OR(Dashboard!$C$6="All",E1403=Dashboard!$C$6),OR(Dashboard!$F$6="All",G1403=Dashboard!$F$6),OR(Dashboard!$I$6="All",H1403=Dashboard!$I$6)),1,0)</f>
        <v/>
      </c>
    </row>
    <row r="1404">
      <c r="A1404" t="inlineStr">
        <is>
          <t>PF101395</t>
        </is>
      </c>
      <c r="B1404" s="68" t="n">
        <v>45826</v>
      </c>
      <c r="C1404" s="69" t="n">
        <v>2025</v>
      </c>
      <c r="D1404" t="inlineStr">
        <is>
          <t>Jun</t>
        </is>
      </c>
      <c r="E1404" t="inlineStr">
        <is>
          <t>United States</t>
        </is>
      </c>
      <c r="F1404" t="inlineStr">
        <is>
          <t>USA</t>
        </is>
      </c>
      <c r="G1404" t="inlineStr">
        <is>
          <t>Eliquis</t>
        </is>
      </c>
      <c r="H1404" t="inlineStr">
        <is>
          <t>Hospital</t>
        </is>
      </c>
      <c r="I1404" t="inlineStr">
        <is>
          <t>Public payer</t>
        </is>
      </c>
      <c r="J1404" t="inlineStr">
        <is>
          <t>Amir Khan</t>
        </is>
      </c>
      <c r="K1404" s="70" t="n">
        <v>1478</v>
      </c>
      <c r="L1404" s="71" t="n">
        <v>717.52</v>
      </c>
      <c r="M1404" s="71" t="n">
        <v>1060494.56</v>
      </c>
      <c r="N1404" s="71" t="n">
        <v>159074.18</v>
      </c>
      <c r="O1404" s="71" t="n">
        <v>901420.38</v>
      </c>
      <c r="P1404" s="71" t="n">
        <v>113503.94</v>
      </c>
      <c r="Q1404" s="71" t="n">
        <v>787916.4399999999</v>
      </c>
      <c r="R1404" t="inlineStr">
        <is>
          <t>Cardiology</t>
        </is>
      </c>
      <c r="S1404" s="70" t="n">
        <v>1068</v>
      </c>
      <c r="T1404" s="71" t="n">
        <v>192079.79</v>
      </c>
      <c r="U1404" t="inlineStr">
        <is>
          <t>High</t>
        </is>
      </c>
      <c r="V1404">
        <f>IF(AND(OR(Dashboard!$C$6="All",E1404=Dashboard!$C$6),OR(Dashboard!$F$6="All",G1404=Dashboard!$F$6),OR(Dashboard!$I$6="All",H1404=Dashboard!$I$6)),1,0)</f>
        <v/>
      </c>
    </row>
    <row r="1405">
      <c r="A1405" t="inlineStr">
        <is>
          <t>PF101396</t>
        </is>
      </c>
      <c r="B1405" s="68" t="n">
        <v>45826</v>
      </c>
      <c r="C1405" s="69" t="n">
        <v>2025</v>
      </c>
      <c r="D1405" t="inlineStr">
        <is>
          <t>Jun</t>
        </is>
      </c>
      <c r="E1405" t="inlineStr">
        <is>
          <t>United States</t>
        </is>
      </c>
      <c r="F1405" t="inlineStr">
        <is>
          <t>USA</t>
        </is>
      </c>
      <c r="G1405" t="inlineStr">
        <is>
          <t>Prevnar 20</t>
        </is>
      </c>
      <c r="H1405" t="inlineStr">
        <is>
          <t>Hospital</t>
        </is>
      </c>
      <c r="I1405" t="inlineStr">
        <is>
          <t>Public payer</t>
        </is>
      </c>
      <c r="J1405" t="inlineStr">
        <is>
          <t>Amir Khan</t>
        </is>
      </c>
      <c r="K1405" s="70" t="n">
        <v>2300</v>
      </c>
      <c r="L1405" s="71" t="n">
        <v>387.25</v>
      </c>
      <c r="M1405" s="71" t="n">
        <v>890675</v>
      </c>
      <c r="N1405" s="71" t="n">
        <v>133601.25</v>
      </c>
      <c r="O1405" s="71" t="n">
        <v>757073.75</v>
      </c>
      <c r="P1405" s="71" t="n">
        <v>160134.25</v>
      </c>
      <c r="Q1405" s="71" t="n">
        <v>596939.5</v>
      </c>
      <c r="R1405" t="inlineStr">
        <is>
          <t>Vaccines</t>
        </is>
      </c>
      <c r="S1405" s="70" t="n">
        <v>1811</v>
      </c>
      <c r="T1405" s="71" t="n">
        <v>135131.43</v>
      </c>
      <c r="U1405" t="inlineStr">
        <is>
          <t>Low</t>
        </is>
      </c>
      <c r="V1405">
        <f>IF(AND(OR(Dashboard!$C$6="All",E1405=Dashboard!$C$6),OR(Dashboard!$F$6="All",G1405=Dashboard!$F$6),OR(Dashboard!$I$6="All",H1405=Dashboard!$I$6)),1,0)</f>
        <v/>
      </c>
    </row>
    <row r="1406">
      <c r="A1406" t="inlineStr">
        <is>
          <t>PF101397</t>
        </is>
      </c>
      <c r="B1406" s="68" t="n">
        <v>45826</v>
      </c>
      <c r="C1406" s="69" t="n">
        <v>2025</v>
      </c>
      <c r="D1406" t="inlineStr">
        <is>
          <t>Jun</t>
        </is>
      </c>
      <c r="E1406" t="inlineStr">
        <is>
          <t>United States</t>
        </is>
      </c>
      <c r="F1406" t="inlineStr">
        <is>
          <t>USA</t>
        </is>
      </c>
      <c r="G1406" t="inlineStr">
        <is>
          <t>Abrysvo</t>
        </is>
      </c>
      <c r="H1406" t="inlineStr">
        <is>
          <t>Hospital</t>
        </is>
      </c>
      <c r="I1406" t="inlineStr">
        <is>
          <t>Private insurer</t>
        </is>
      </c>
      <c r="J1406" t="inlineStr">
        <is>
          <t>Sara Rossi</t>
        </is>
      </c>
      <c r="K1406" s="70" t="n">
        <v>1334</v>
      </c>
      <c r="L1406" s="71" t="n">
        <v>411.17</v>
      </c>
      <c r="M1406" s="71" t="n">
        <v>548500.78</v>
      </c>
      <c r="N1406" s="71" t="n">
        <v>164550.23</v>
      </c>
      <c r="O1406" s="71" t="n">
        <v>383950.55</v>
      </c>
      <c r="P1406" s="71" t="n">
        <v>108593.28</v>
      </c>
      <c r="Q1406" s="71" t="n">
        <v>275357.27</v>
      </c>
      <c r="R1406" t="inlineStr">
        <is>
          <t>Vaccines</t>
        </is>
      </c>
      <c r="S1406" s="70" t="n">
        <v>836</v>
      </c>
      <c r="T1406" s="71" t="n">
        <v>93162.78</v>
      </c>
      <c r="U1406" t="inlineStr">
        <is>
          <t>Low</t>
        </is>
      </c>
      <c r="V1406">
        <f>IF(AND(OR(Dashboard!$C$6="All",E1406=Dashboard!$C$6),OR(Dashboard!$F$6="All",G1406=Dashboard!$F$6),OR(Dashboard!$I$6="All",H1406=Dashboard!$I$6)),1,0)</f>
        <v/>
      </c>
    </row>
    <row r="1407">
      <c r="A1407" t="inlineStr">
        <is>
          <t>PF101398</t>
        </is>
      </c>
      <c r="B1407" s="68" t="n">
        <v>45827</v>
      </c>
      <c r="C1407" s="69" t="n">
        <v>2025</v>
      </c>
      <c r="D1407" t="inlineStr">
        <is>
          <t>Jun</t>
        </is>
      </c>
      <c r="E1407" t="inlineStr">
        <is>
          <t>International developed</t>
        </is>
      </c>
      <c r="F1407" t="inlineStr">
        <is>
          <t>Japan</t>
        </is>
      </c>
      <c r="G1407" t="inlineStr">
        <is>
          <t>Vyndaqel</t>
        </is>
      </c>
      <c r="H1407" t="inlineStr">
        <is>
          <t>Hospital</t>
        </is>
      </c>
      <c r="I1407" t="inlineStr">
        <is>
          <t>Self-pay</t>
        </is>
      </c>
      <c r="J1407" t="inlineStr">
        <is>
          <t>Hiroshi Tanaka</t>
        </is>
      </c>
      <c r="K1407" s="70" t="n">
        <v>400</v>
      </c>
      <c r="L1407" s="71" t="n">
        <v>5572.64</v>
      </c>
      <c r="M1407" s="71" t="n">
        <v>2229056</v>
      </c>
      <c r="N1407" s="71" t="n">
        <v>445811.2</v>
      </c>
      <c r="O1407" s="71" t="n">
        <v>1783244.8</v>
      </c>
      <c r="P1407" s="71" t="n">
        <v>255630.87</v>
      </c>
      <c r="Q1407" s="71" t="n">
        <v>1527613.93</v>
      </c>
      <c r="R1407" t="inlineStr">
        <is>
          <t>Rare disease</t>
        </is>
      </c>
      <c r="S1407" s="70" t="n">
        <v>266</v>
      </c>
      <c r="T1407" s="71" t="n">
        <v>459828.59</v>
      </c>
      <c r="U1407" t="inlineStr">
        <is>
          <t>Medium</t>
        </is>
      </c>
      <c r="V1407">
        <f>IF(AND(OR(Dashboard!$C$6="All",E1407=Dashboard!$C$6),OR(Dashboard!$F$6="All",G1407=Dashboard!$F$6),OR(Dashboard!$I$6="All",H1407=Dashboard!$I$6)),1,0)</f>
        <v/>
      </c>
    </row>
    <row r="1408">
      <c r="A1408" t="inlineStr">
        <is>
          <t>PF101399</t>
        </is>
      </c>
      <c r="B1408" s="68" t="n">
        <v>45827</v>
      </c>
      <c r="C1408" s="69" t="n">
        <v>2025</v>
      </c>
      <c r="D1408" t="inlineStr">
        <is>
          <t>Jun</t>
        </is>
      </c>
      <c r="E1408" t="inlineStr">
        <is>
          <t>Europe</t>
        </is>
      </c>
      <c r="F1408" t="inlineStr">
        <is>
          <t>Spain</t>
        </is>
      </c>
      <c r="G1408" t="inlineStr">
        <is>
          <t>Abrysvo</t>
        </is>
      </c>
      <c r="H1408" t="inlineStr">
        <is>
          <t>Retail pharmacy</t>
        </is>
      </c>
      <c r="I1408" t="inlineStr">
        <is>
          <t>Private insurer</t>
        </is>
      </c>
      <c r="J1408" t="inlineStr">
        <is>
          <t>Sara Rossi</t>
        </is>
      </c>
      <c r="K1408" s="70" t="n">
        <v>2407</v>
      </c>
      <c r="L1408" s="71" t="n">
        <v>252.37</v>
      </c>
      <c r="M1408" s="71" t="n">
        <v>607454.59</v>
      </c>
      <c r="N1408" s="71" t="n">
        <v>30372.73</v>
      </c>
      <c r="O1408" s="71" t="n">
        <v>577081.86</v>
      </c>
      <c r="P1408" s="71" t="n">
        <v>198467.97</v>
      </c>
      <c r="Q1408" s="71" t="n">
        <v>378613.89</v>
      </c>
      <c r="R1408" t="inlineStr">
        <is>
          <t>Vaccines</t>
        </is>
      </c>
      <c r="S1408" s="70" t="n">
        <v>2118</v>
      </c>
      <c r="T1408" s="71" t="n">
        <v>103650.53</v>
      </c>
      <c r="U1408" t="inlineStr">
        <is>
          <t>Low</t>
        </is>
      </c>
      <c r="V1408">
        <f>IF(AND(OR(Dashboard!$C$6="All",E1408=Dashboard!$C$6),OR(Dashboard!$F$6="All",G1408=Dashboard!$F$6),OR(Dashboard!$I$6="All",H1408=Dashboard!$I$6)),1,0)</f>
        <v/>
      </c>
    </row>
    <row r="1409">
      <c r="A1409" t="inlineStr">
        <is>
          <t>PF101400</t>
        </is>
      </c>
      <c r="B1409" s="68" t="n">
        <v>45827</v>
      </c>
      <c r="C1409" s="69" t="n">
        <v>2025</v>
      </c>
      <c r="D1409" t="inlineStr">
        <is>
          <t>Jun</t>
        </is>
      </c>
      <c r="E1409" t="inlineStr">
        <is>
          <t>United States</t>
        </is>
      </c>
      <c r="F1409" t="inlineStr">
        <is>
          <t>USA</t>
        </is>
      </c>
      <c r="G1409" t="inlineStr">
        <is>
          <t>Vyndaqel</t>
        </is>
      </c>
      <c r="H1409" t="inlineStr">
        <is>
          <t>Retail pharmacy</t>
        </is>
      </c>
      <c r="I1409" t="inlineStr">
        <is>
          <t>Public payer</t>
        </is>
      </c>
      <c r="J1409" t="inlineStr">
        <is>
          <t>Arjun Mehta</t>
        </is>
      </c>
      <c r="K1409" s="70" t="n">
        <v>355</v>
      </c>
      <c r="L1409" s="71" t="n">
        <v>8914.48</v>
      </c>
      <c r="M1409" s="71" t="n">
        <v>3164640.4</v>
      </c>
      <c r="N1409" s="71" t="n">
        <v>474696.06</v>
      </c>
      <c r="O1409" s="71" t="n">
        <v>2689944.34</v>
      </c>
      <c r="P1409" s="71" t="n">
        <v>224557.99</v>
      </c>
      <c r="Q1409" s="71" t="n">
        <v>2465386.35</v>
      </c>
      <c r="R1409" t="inlineStr">
        <is>
          <t>Rare disease</t>
        </is>
      </c>
      <c r="S1409" s="70" t="n">
        <v>265</v>
      </c>
      <c r="T1409" s="71" t="n">
        <v>692071.96</v>
      </c>
      <c r="U1409" t="inlineStr">
        <is>
          <t>Medium</t>
        </is>
      </c>
      <c r="V1409">
        <f>IF(AND(OR(Dashboard!$C$6="All",E1409=Dashboard!$C$6),OR(Dashboard!$F$6="All",G1409=Dashboard!$F$6),OR(Dashboard!$I$6="All",H1409=Dashboard!$I$6)),1,0)</f>
        <v/>
      </c>
    </row>
    <row r="1410">
      <c r="A1410" t="inlineStr">
        <is>
          <t>PF101401</t>
        </is>
      </c>
      <c r="B1410" s="68" t="n">
        <v>45827</v>
      </c>
      <c r="C1410" s="69" t="n">
        <v>2025</v>
      </c>
      <c r="D1410" t="inlineStr">
        <is>
          <t>Jun</t>
        </is>
      </c>
      <c r="E1410" t="inlineStr">
        <is>
          <t>Emerging markets</t>
        </is>
      </c>
      <c r="F1410" t="inlineStr">
        <is>
          <t>China</t>
        </is>
      </c>
      <c r="G1410" t="inlineStr">
        <is>
          <t>Comirnaty</t>
        </is>
      </c>
      <c r="H1410" t="inlineStr">
        <is>
          <t>Hospital</t>
        </is>
      </c>
      <c r="I1410" t="inlineStr">
        <is>
          <t>Private insurer</t>
        </is>
      </c>
      <c r="J1410" t="inlineStr">
        <is>
          <t>Ravindra Patil</t>
        </is>
      </c>
      <c r="K1410" s="70" t="n">
        <v>168</v>
      </c>
      <c r="L1410" s="71" t="n">
        <v>111.53</v>
      </c>
      <c r="M1410" s="71" t="n">
        <v>18737.04</v>
      </c>
      <c r="N1410" s="71" t="n">
        <v>936.85</v>
      </c>
      <c r="O1410" s="71" t="n">
        <v>17800.19</v>
      </c>
      <c r="P1410" s="71" t="n">
        <v>6215.22</v>
      </c>
      <c r="Q1410" s="71" t="n">
        <v>11584.97</v>
      </c>
      <c r="R1410" t="inlineStr">
        <is>
          <t>Vaccines</t>
        </is>
      </c>
      <c r="S1410" s="70" t="n">
        <v>144</v>
      </c>
      <c r="T1410" s="71" t="n">
        <v>2414.79</v>
      </c>
      <c r="U1410" t="inlineStr">
        <is>
          <t>Low</t>
        </is>
      </c>
      <c r="V1410">
        <f>IF(AND(OR(Dashboard!$C$6="All",E1410=Dashboard!$C$6),OR(Dashboard!$F$6="All",G1410=Dashboard!$F$6),OR(Dashboard!$I$6="All",H1410=Dashboard!$I$6)),1,0)</f>
        <v/>
      </c>
    </row>
    <row r="1411">
      <c r="A1411" t="inlineStr">
        <is>
          <t>PF101402</t>
        </is>
      </c>
      <c r="B1411" s="68" t="n">
        <v>45827</v>
      </c>
      <c r="C1411" s="69" t="n">
        <v>2025</v>
      </c>
      <c r="D1411" t="inlineStr">
        <is>
          <t>Jun</t>
        </is>
      </c>
      <c r="E1411" t="inlineStr">
        <is>
          <t>United States</t>
        </is>
      </c>
      <c r="F1411" t="inlineStr">
        <is>
          <t>USA</t>
        </is>
      </c>
      <c r="G1411" t="inlineStr">
        <is>
          <t>Eliquis</t>
        </is>
      </c>
      <c r="H1411" t="inlineStr">
        <is>
          <t>Retail pharmacy</t>
        </is>
      </c>
      <c r="I1411" t="inlineStr">
        <is>
          <t>Public payer</t>
        </is>
      </c>
      <c r="J1411" t="inlineStr">
        <is>
          <t>Aisha Bello</t>
        </is>
      </c>
      <c r="K1411" s="70" t="n">
        <v>1753</v>
      </c>
      <c r="L1411" s="71" t="n">
        <v>691.1</v>
      </c>
      <c r="M1411" s="71" t="n">
        <v>1211498.3</v>
      </c>
      <c r="N1411" s="71" t="n">
        <v>424024.4</v>
      </c>
      <c r="O1411" s="71" t="n">
        <v>787473.9</v>
      </c>
      <c r="P1411" s="71" t="n">
        <v>133158.17</v>
      </c>
      <c r="Q1411" s="71" t="n">
        <v>654315.73</v>
      </c>
      <c r="R1411" t="inlineStr">
        <is>
          <t>Cardiology</t>
        </is>
      </c>
      <c r="S1411" s="70" t="n">
        <v>1592</v>
      </c>
      <c r="T1411" s="71" t="n">
        <v>228448.18</v>
      </c>
      <c r="U1411" t="inlineStr">
        <is>
          <t>High</t>
        </is>
      </c>
      <c r="V1411">
        <f>IF(AND(OR(Dashboard!$C$6="All",E1411=Dashboard!$C$6),OR(Dashboard!$F$6="All",G1411=Dashboard!$F$6),OR(Dashboard!$I$6="All",H1411=Dashboard!$I$6)),1,0)</f>
        <v/>
      </c>
    </row>
    <row r="1412">
      <c r="A1412" t="inlineStr">
        <is>
          <t>PF101403</t>
        </is>
      </c>
      <c r="B1412" s="68" t="n">
        <v>45828</v>
      </c>
      <c r="C1412" s="69" t="n">
        <v>2025</v>
      </c>
      <c r="D1412" t="inlineStr">
        <is>
          <t>Jun</t>
        </is>
      </c>
      <c r="E1412" t="inlineStr">
        <is>
          <t>Europe</t>
        </is>
      </c>
      <c r="F1412" t="inlineStr">
        <is>
          <t>France</t>
        </is>
      </c>
      <c r="G1412" t="inlineStr">
        <is>
          <t>Prevnar 20</t>
        </is>
      </c>
      <c r="H1412" t="inlineStr">
        <is>
          <t>Hospital</t>
        </is>
      </c>
      <c r="I1412" t="inlineStr">
        <is>
          <t>Self-pay</t>
        </is>
      </c>
      <c r="J1412" t="inlineStr">
        <is>
          <t>Ana Costa</t>
        </is>
      </c>
      <c r="K1412" s="70" t="n">
        <v>2756</v>
      </c>
      <c r="L1412" s="71" t="n">
        <v>208.39</v>
      </c>
      <c r="M1412" s="71" t="n">
        <v>574322.84</v>
      </c>
      <c r="N1412" s="71" t="n">
        <v>143580.71</v>
      </c>
      <c r="O1412" s="71" t="n">
        <v>430742.13</v>
      </c>
      <c r="P1412" s="71" t="n">
        <v>197272.46</v>
      </c>
      <c r="Q1412" s="71" t="n">
        <v>233469.67</v>
      </c>
      <c r="R1412" t="inlineStr">
        <is>
          <t>Vaccines</t>
        </is>
      </c>
      <c r="S1412" s="70" t="n">
        <v>1858</v>
      </c>
      <c r="T1412" s="71" t="n">
        <v>77896.03</v>
      </c>
      <c r="U1412" t="inlineStr">
        <is>
          <t>Low</t>
        </is>
      </c>
      <c r="V1412">
        <f>IF(AND(OR(Dashboard!$C$6="All",E1412=Dashboard!$C$6),OR(Dashboard!$F$6="All",G1412=Dashboard!$F$6),OR(Dashboard!$I$6="All",H1412=Dashboard!$I$6)),1,0)</f>
        <v/>
      </c>
    </row>
    <row r="1413">
      <c r="A1413" t="inlineStr">
        <is>
          <t>PF101404</t>
        </is>
      </c>
      <c r="B1413" s="68" t="n">
        <v>45828</v>
      </c>
      <c r="C1413" s="69" t="n">
        <v>2025</v>
      </c>
      <c r="D1413" t="inlineStr">
        <is>
          <t>Jun</t>
        </is>
      </c>
      <c r="E1413" t="inlineStr">
        <is>
          <t>Europe</t>
        </is>
      </c>
      <c r="F1413" t="inlineStr">
        <is>
          <t>France</t>
        </is>
      </c>
      <c r="G1413" t="inlineStr">
        <is>
          <t>Prevnar 20</t>
        </is>
      </c>
      <c r="H1413" t="inlineStr">
        <is>
          <t>Retail pharmacy</t>
        </is>
      </c>
      <c r="I1413" t="inlineStr">
        <is>
          <t>Self-pay</t>
        </is>
      </c>
      <c r="J1413" t="inlineStr">
        <is>
          <t>Ana Costa</t>
        </is>
      </c>
      <c r="K1413" s="70" t="n">
        <v>1622</v>
      </c>
      <c r="L1413" s="71" t="n">
        <v>226.44</v>
      </c>
      <c r="M1413" s="71" t="n">
        <v>367285.68</v>
      </c>
      <c r="N1413" s="71" t="n">
        <v>55092.85</v>
      </c>
      <c r="O1413" s="71" t="n">
        <v>312192.83</v>
      </c>
      <c r="P1413" s="71" t="n">
        <v>110262.26</v>
      </c>
      <c r="Q1413" s="71" t="n">
        <v>201930.57</v>
      </c>
      <c r="R1413" t="inlineStr">
        <is>
          <t>Vaccines</t>
        </is>
      </c>
      <c r="S1413" s="70" t="n">
        <v>1062</v>
      </c>
      <c r="T1413" s="71" t="n">
        <v>60115.82</v>
      </c>
      <c r="U1413" t="inlineStr">
        <is>
          <t>Low</t>
        </is>
      </c>
      <c r="V1413">
        <f>IF(AND(OR(Dashboard!$C$6="All",E1413=Dashboard!$C$6),OR(Dashboard!$F$6="All",G1413=Dashboard!$F$6),OR(Dashboard!$I$6="All",H1413=Dashboard!$I$6)),1,0)</f>
        <v/>
      </c>
    </row>
    <row r="1414">
      <c r="A1414" t="inlineStr">
        <is>
          <t>PF101405</t>
        </is>
      </c>
      <c r="B1414" s="68" t="n">
        <v>45828</v>
      </c>
      <c r="C1414" s="69" t="n">
        <v>2025</v>
      </c>
      <c r="D1414" t="inlineStr">
        <is>
          <t>Jun</t>
        </is>
      </c>
      <c r="E1414" t="inlineStr">
        <is>
          <t>Emerging markets</t>
        </is>
      </c>
      <c r="F1414" t="inlineStr">
        <is>
          <t>India</t>
        </is>
      </c>
      <c r="G1414" t="inlineStr">
        <is>
          <t>Eliquis</t>
        </is>
      </c>
      <c r="H1414" t="inlineStr">
        <is>
          <t>Retail pharmacy</t>
        </is>
      </c>
      <c r="I1414" t="inlineStr">
        <is>
          <t>Public payer</t>
        </is>
      </c>
      <c r="J1414" t="inlineStr">
        <is>
          <t>Arjun Mehta</t>
        </is>
      </c>
      <c r="K1414" s="70" t="n">
        <v>1456</v>
      </c>
      <c r="L1414" s="71" t="n">
        <v>384.39</v>
      </c>
      <c r="M1414" s="71" t="n">
        <v>559671.84</v>
      </c>
      <c r="N1414" s="71" t="n">
        <v>111934.37</v>
      </c>
      <c r="O1414" s="71" t="n">
        <v>447737.47</v>
      </c>
      <c r="P1414" s="71" t="n">
        <v>107782.32</v>
      </c>
      <c r="Q1414" s="71" t="n">
        <v>339955.15</v>
      </c>
      <c r="R1414" t="inlineStr">
        <is>
          <t>Cardiology</t>
        </is>
      </c>
      <c r="S1414" s="70" t="n">
        <v>1384</v>
      </c>
      <c r="T1414" s="71" t="n">
        <v>120262.97</v>
      </c>
      <c r="U1414" t="inlineStr">
        <is>
          <t>High</t>
        </is>
      </c>
      <c r="V1414">
        <f>IF(AND(OR(Dashboard!$C$6="All",E1414=Dashboard!$C$6),OR(Dashboard!$F$6="All",G1414=Dashboard!$F$6),OR(Dashboard!$I$6="All",H1414=Dashboard!$I$6)),1,0)</f>
        <v/>
      </c>
    </row>
    <row r="1415">
      <c r="A1415" t="inlineStr">
        <is>
          <t>PF101406</t>
        </is>
      </c>
      <c r="B1415" s="68" t="n">
        <v>45828</v>
      </c>
      <c r="C1415" s="69" t="n">
        <v>2025</v>
      </c>
      <c r="D1415" t="inlineStr">
        <is>
          <t>Jun</t>
        </is>
      </c>
      <c r="E1415" t="inlineStr">
        <is>
          <t>International developed</t>
        </is>
      </c>
      <c r="F1415" t="inlineStr">
        <is>
          <t>Australia</t>
        </is>
      </c>
      <c r="G1415" t="inlineStr">
        <is>
          <t>Prevnar 20</t>
        </is>
      </c>
      <c r="H1415" t="inlineStr">
        <is>
          <t>Retail pharmacy</t>
        </is>
      </c>
      <c r="I1415" t="inlineStr">
        <is>
          <t>Private insurer</t>
        </is>
      </c>
      <c r="J1415" t="inlineStr">
        <is>
          <t>Omar Haddad</t>
        </is>
      </c>
      <c r="K1415" s="70" t="n">
        <v>1410</v>
      </c>
      <c r="L1415" s="71" t="n">
        <v>212.02</v>
      </c>
      <c r="M1415" s="71" t="n">
        <v>298948.2</v>
      </c>
      <c r="N1415" s="71" t="n">
        <v>29894.82</v>
      </c>
      <c r="O1415" s="71" t="n">
        <v>269053.38</v>
      </c>
      <c r="P1415" s="71" t="n">
        <v>95088.39</v>
      </c>
      <c r="Q1415" s="71" t="n">
        <v>173964.99</v>
      </c>
      <c r="R1415" t="inlineStr">
        <is>
          <t>Vaccines</t>
        </is>
      </c>
      <c r="S1415" s="70" t="n">
        <v>1241</v>
      </c>
      <c r="T1415" s="71" t="n">
        <v>43064.16</v>
      </c>
      <c r="U1415" t="inlineStr">
        <is>
          <t>Low</t>
        </is>
      </c>
      <c r="V1415">
        <f>IF(AND(OR(Dashboard!$C$6="All",E1415=Dashboard!$C$6),OR(Dashboard!$F$6="All",G1415=Dashboard!$F$6),OR(Dashboard!$I$6="All",H1415=Dashboard!$I$6)),1,0)</f>
        <v/>
      </c>
    </row>
    <row r="1416">
      <c r="A1416" t="inlineStr">
        <is>
          <t>PF101407</t>
        </is>
      </c>
      <c r="B1416" s="68" t="n">
        <v>45828</v>
      </c>
      <c r="C1416" s="69" t="n">
        <v>2025</v>
      </c>
      <c r="D1416" t="inlineStr">
        <is>
          <t>Jun</t>
        </is>
      </c>
      <c r="E1416" t="inlineStr">
        <is>
          <t>Europe</t>
        </is>
      </c>
      <c r="F1416" t="inlineStr">
        <is>
          <t>France</t>
        </is>
      </c>
      <c r="G1416" t="inlineStr">
        <is>
          <t>Prevnar 20</t>
        </is>
      </c>
      <c r="H1416" t="inlineStr">
        <is>
          <t>Retail pharmacy</t>
        </is>
      </c>
      <c r="I1416" t="inlineStr">
        <is>
          <t>Public payer</t>
        </is>
      </c>
      <c r="J1416" t="inlineStr">
        <is>
          <t>Arjun Mehta</t>
        </is>
      </c>
      <c r="K1416" s="70" t="n">
        <v>1963</v>
      </c>
      <c r="L1416" s="71" t="n">
        <v>239.47</v>
      </c>
      <c r="M1416" s="71" t="n">
        <v>470079.61</v>
      </c>
      <c r="N1416" s="71" t="n">
        <v>23503.98</v>
      </c>
      <c r="O1416" s="71" t="n">
        <v>446575.63</v>
      </c>
      <c r="P1416" s="71" t="n">
        <v>139489.53</v>
      </c>
      <c r="Q1416" s="71" t="n">
        <v>307086.1</v>
      </c>
      <c r="R1416" t="inlineStr">
        <is>
          <t>Vaccines</t>
        </is>
      </c>
      <c r="S1416" s="70" t="n">
        <v>1500</v>
      </c>
      <c r="T1416" s="71" t="n">
        <v>77159.36</v>
      </c>
      <c r="U1416" t="inlineStr">
        <is>
          <t>Low</t>
        </is>
      </c>
      <c r="V1416">
        <f>IF(AND(OR(Dashboard!$C$6="All",E1416=Dashboard!$C$6),OR(Dashboard!$F$6="All",G1416=Dashboard!$F$6),OR(Dashboard!$I$6="All",H1416=Dashboard!$I$6)),1,0)</f>
        <v/>
      </c>
    </row>
    <row r="1417">
      <c r="A1417" t="inlineStr">
        <is>
          <t>PF101408</t>
        </is>
      </c>
      <c r="B1417" s="68" t="n">
        <v>45828</v>
      </c>
      <c r="C1417" s="69" t="n">
        <v>2025</v>
      </c>
      <c r="D1417" t="inlineStr">
        <is>
          <t>Jun</t>
        </is>
      </c>
      <c r="E1417" t="inlineStr">
        <is>
          <t>United States</t>
        </is>
      </c>
      <c r="F1417" t="inlineStr">
        <is>
          <t>USA</t>
        </is>
      </c>
      <c r="G1417" t="inlineStr">
        <is>
          <t>Vyndaqel</t>
        </is>
      </c>
      <c r="H1417" t="inlineStr">
        <is>
          <t>Hospital</t>
        </is>
      </c>
      <c r="I1417" t="inlineStr">
        <is>
          <t>Private insurer</t>
        </is>
      </c>
      <c r="J1417" t="inlineStr">
        <is>
          <t>Zoya Ahmed</t>
        </is>
      </c>
      <c r="K1417" s="70" t="n">
        <v>251</v>
      </c>
      <c r="L1417" s="71" t="n">
        <v>8046.54</v>
      </c>
      <c r="M1417" s="71" t="n">
        <v>2019681.54</v>
      </c>
      <c r="N1417" s="71" t="n">
        <v>605904.46</v>
      </c>
      <c r="O1417" s="71" t="n">
        <v>1413777.08</v>
      </c>
      <c r="P1417" s="71" t="n">
        <v>159524.34</v>
      </c>
      <c r="Q1417" s="71" t="n">
        <v>1254252.74</v>
      </c>
      <c r="R1417" t="inlineStr">
        <is>
          <t>Rare disease</t>
        </is>
      </c>
      <c r="S1417" s="70" t="n">
        <v>194</v>
      </c>
      <c r="T1417" s="71" t="n">
        <v>357961.98</v>
      </c>
      <c r="U1417" t="inlineStr">
        <is>
          <t>Medium</t>
        </is>
      </c>
      <c r="V1417">
        <f>IF(AND(OR(Dashboard!$C$6="All",E1417=Dashboard!$C$6),OR(Dashboard!$F$6="All",G1417=Dashboard!$F$6),OR(Dashboard!$I$6="All",H1417=Dashboard!$I$6)),1,0)</f>
        <v/>
      </c>
    </row>
    <row r="1418">
      <c r="A1418" t="inlineStr">
        <is>
          <t>PF101409</t>
        </is>
      </c>
      <c r="B1418" s="68" t="n">
        <v>45828</v>
      </c>
      <c r="C1418" s="69" t="n">
        <v>2025</v>
      </c>
      <c r="D1418" t="inlineStr">
        <is>
          <t>Jun</t>
        </is>
      </c>
      <c r="E1418" t="inlineStr">
        <is>
          <t>Europe</t>
        </is>
      </c>
      <c r="F1418" t="inlineStr">
        <is>
          <t>UK</t>
        </is>
      </c>
      <c r="G1418" t="inlineStr">
        <is>
          <t>Prevnar 20</t>
        </is>
      </c>
      <c r="H1418" t="inlineStr">
        <is>
          <t>Retail pharmacy</t>
        </is>
      </c>
      <c r="I1418" t="inlineStr">
        <is>
          <t>Private insurer</t>
        </is>
      </c>
      <c r="J1418" t="inlineStr">
        <is>
          <t>Hiroshi Tanaka</t>
        </is>
      </c>
      <c r="K1418" s="70" t="n">
        <v>1943</v>
      </c>
      <c r="L1418" s="71" t="n">
        <v>240.6</v>
      </c>
      <c r="M1418" s="71" t="n">
        <v>467485.8</v>
      </c>
      <c r="N1418" s="71" t="n">
        <v>46748.58</v>
      </c>
      <c r="O1418" s="71" t="n">
        <v>420737.22</v>
      </c>
      <c r="P1418" s="71" t="n">
        <v>135274</v>
      </c>
      <c r="Q1418" s="71" t="n">
        <v>285463.22</v>
      </c>
      <c r="R1418" t="inlineStr">
        <is>
          <t>Vaccines</t>
        </is>
      </c>
      <c r="S1418" s="70" t="n">
        <v>1244</v>
      </c>
      <c r="T1418" s="71" t="n">
        <v>85565.60000000001</v>
      </c>
      <c r="U1418" t="inlineStr">
        <is>
          <t>Low</t>
        </is>
      </c>
      <c r="V1418">
        <f>IF(AND(OR(Dashboard!$C$6="All",E1418=Dashboard!$C$6),OR(Dashboard!$F$6="All",G1418=Dashboard!$F$6),OR(Dashboard!$I$6="All",H1418=Dashboard!$I$6)),1,0)</f>
        <v/>
      </c>
    </row>
    <row r="1419">
      <c r="A1419" t="inlineStr">
        <is>
          <t>PF101410</t>
        </is>
      </c>
      <c r="B1419" s="68" t="n">
        <v>45828</v>
      </c>
      <c r="C1419" s="69" t="n">
        <v>2025</v>
      </c>
      <c r="D1419" t="inlineStr">
        <is>
          <t>Jun</t>
        </is>
      </c>
      <c r="E1419" t="inlineStr">
        <is>
          <t>United States</t>
        </is>
      </c>
      <c r="F1419" t="inlineStr">
        <is>
          <t>USA</t>
        </is>
      </c>
      <c r="G1419" t="inlineStr">
        <is>
          <t>Eliquis</t>
        </is>
      </c>
      <c r="H1419" t="inlineStr">
        <is>
          <t>Hospital</t>
        </is>
      </c>
      <c r="I1419" t="inlineStr">
        <is>
          <t>Public payer</t>
        </is>
      </c>
      <c r="J1419" t="inlineStr">
        <is>
          <t>Ruhi Shaikh</t>
        </is>
      </c>
      <c r="K1419" s="70" t="n">
        <v>2820</v>
      </c>
      <c r="L1419" s="71" t="n">
        <v>683.46</v>
      </c>
      <c r="M1419" s="71" t="n">
        <v>1927357.2</v>
      </c>
      <c r="N1419" s="71" t="n">
        <v>289103.58</v>
      </c>
      <c r="O1419" s="71" t="n">
        <v>1638253.62</v>
      </c>
      <c r="P1419" s="71" t="n">
        <v>207498.58</v>
      </c>
      <c r="Q1419" s="71" t="n">
        <v>1430755.04</v>
      </c>
      <c r="R1419" t="inlineStr">
        <is>
          <t>Cardiology</t>
        </is>
      </c>
      <c r="S1419" s="70" t="n">
        <v>2046</v>
      </c>
      <c r="T1419" s="71" t="n">
        <v>336390.68</v>
      </c>
      <c r="U1419" t="inlineStr">
        <is>
          <t>High</t>
        </is>
      </c>
      <c r="V1419">
        <f>IF(AND(OR(Dashboard!$C$6="All",E1419=Dashboard!$C$6),OR(Dashboard!$F$6="All",G1419=Dashboard!$F$6),OR(Dashboard!$I$6="All",H1419=Dashboard!$I$6)),1,0)</f>
        <v/>
      </c>
    </row>
    <row r="1420">
      <c r="A1420" t="inlineStr">
        <is>
          <t>PF101411</t>
        </is>
      </c>
      <c r="B1420" s="68" t="n">
        <v>45828</v>
      </c>
      <c r="C1420" s="69" t="n">
        <v>2025</v>
      </c>
      <c r="D1420" t="inlineStr">
        <is>
          <t>Jun</t>
        </is>
      </c>
      <c r="E1420" t="inlineStr">
        <is>
          <t>Europe</t>
        </is>
      </c>
      <c r="F1420" t="inlineStr">
        <is>
          <t>UK</t>
        </is>
      </c>
      <c r="G1420" t="inlineStr">
        <is>
          <t>Xeljanz</t>
        </is>
      </c>
      <c r="H1420" t="inlineStr">
        <is>
          <t>Government / tender</t>
        </is>
      </c>
      <c r="I1420" t="inlineStr">
        <is>
          <t>Public payer</t>
        </is>
      </c>
      <c r="J1420" t="inlineStr">
        <is>
          <t>Amir Khan</t>
        </is>
      </c>
      <c r="K1420" s="70" t="n">
        <v>1123</v>
      </c>
      <c r="L1420" s="71" t="n">
        <v>1333.66</v>
      </c>
      <c r="M1420" s="71" t="n">
        <v>1497700.18</v>
      </c>
      <c r="N1420" s="71" t="n">
        <v>299540.04</v>
      </c>
      <c r="O1420" s="71" t="n">
        <v>1198160.14</v>
      </c>
      <c r="P1420" s="71" t="n">
        <v>288860.69</v>
      </c>
      <c r="Q1420" s="71" t="n">
        <v>909299.45</v>
      </c>
      <c r="R1420" t="inlineStr">
        <is>
          <t>Inflammation</t>
        </is>
      </c>
      <c r="S1420" s="70" t="n">
        <v>1010</v>
      </c>
      <c r="T1420" s="71" t="n">
        <v>186281.54</v>
      </c>
      <c r="U1420" t="inlineStr">
        <is>
          <t>High</t>
        </is>
      </c>
      <c r="V1420">
        <f>IF(AND(OR(Dashboard!$C$6="All",E1420=Dashboard!$C$6),OR(Dashboard!$F$6="All",G1420=Dashboard!$F$6),OR(Dashboard!$I$6="All",H1420=Dashboard!$I$6)),1,0)</f>
        <v/>
      </c>
    </row>
    <row r="1421">
      <c r="A1421" t="inlineStr">
        <is>
          <t>PF101412</t>
        </is>
      </c>
      <c r="B1421" s="68" t="n">
        <v>45828</v>
      </c>
      <c r="C1421" s="69" t="n">
        <v>2025</v>
      </c>
      <c r="D1421" t="inlineStr">
        <is>
          <t>Jun</t>
        </is>
      </c>
      <c r="E1421" t="inlineStr">
        <is>
          <t>United States</t>
        </is>
      </c>
      <c r="F1421" t="inlineStr">
        <is>
          <t>USA</t>
        </is>
      </c>
      <c r="G1421" t="inlineStr">
        <is>
          <t>Eliquis</t>
        </is>
      </c>
      <c r="H1421" t="inlineStr">
        <is>
          <t>Government / tender</t>
        </is>
      </c>
      <c r="I1421" t="inlineStr">
        <is>
          <t>Private insurer</t>
        </is>
      </c>
      <c r="J1421" t="inlineStr">
        <is>
          <t>Liam O'Brien</t>
        </is>
      </c>
      <c r="K1421" s="70" t="n">
        <v>2850</v>
      </c>
      <c r="L1421" s="71" t="n">
        <v>641.7</v>
      </c>
      <c r="M1421" s="71" t="n">
        <v>1828845</v>
      </c>
      <c r="N1421" s="71" t="n">
        <v>548653.5</v>
      </c>
      <c r="O1421" s="71" t="n">
        <v>1280191.5</v>
      </c>
      <c r="P1421" s="71" t="n">
        <v>222989.8</v>
      </c>
      <c r="Q1421" s="71" t="n">
        <v>1057201.7</v>
      </c>
      <c r="R1421" t="inlineStr">
        <is>
          <t>Cardiology</t>
        </is>
      </c>
      <c r="S1421" s="70" t="n">
        <v>1906</v>
      </c>
      <c r="T1421" s="71" t="n">
        <v>246318.72</v>
      </c>
      <c r="U1421" t="inlineStr">
        <is>
          <t>High</t>
        </is>
      </c>
      <c r="V1421">
        <f>IF(AND(OR(Dashboard!$C$6="All",E1421=Dashboard!$C$6),OR(Dashboard!$F$6="All",G1421=Dashboard!$F$6),OR(Dashboard!$I$6="All",H1421=Dashboard!$I$6)),1,0)</f>
        <v/>
      </c>
    </row>
    <row r="1422">
      <c r="A1422" t="inlineStr">
        <is>
          <t>PF101413</t>
        </is>
      </c>
      <c r="B1422" s="68" t="n">
        <v>45829</v>
      </c>
      <c r="C1422" s="69" t="n">
        <v>2025</v>
      </c>
      <c r="D1422" t="inlineStr">
        <is>
          <t>Jun</t>
        </is>
      </c>
      <c r="E1422" t="inlineStr">
        <is>
          <t>International developed</t>
        </is>
      </c>
      <c r="F1422" t="inlineStr">
        <is>
          <t>Canada</t>
        </is>
      </c>
      <c r="G1422" t="inlineStr">
        <is>
          <t>Eliquis</t>
        </is>
      </c>
      <c r="H1422" t="inlineStr">
        <is>
          <t>Hospital</t>
        </is>
      </c>
      <c r="I1422" t="inlineStr">
        <is>
          <t>Private insurer</t>
        </is>
      </c>
      <c r="J1422" t="inlineStr">
        <is>
          <t>Aisha Bello</t>
        </is>
      </c>
      <c r="K1422" s="70" t="n">
        <v>1752</v>
      </c>
      <c r="L1422" s="71" t="n">
        <v>387.65</v>
      </c>
      <c r="M1422" s="71" t="n">
        <v>679162.8</v>
      </c>
      <c r="N1422" s="71" t="n">
        <v>101874.42</v>
      </c>
      <c r="O1422" s="71" t="n">
        <v>577288.38</v>
      </c>
      <c r="P1422" s="71" t="n">
        <v>131783.96</v>
      </c>
      <c r="Q1422" s="71" t="n">
        <v>445504.42</v>
      </c>
      <c r="R1422" t="inlineStr">
        <is>
          <t>Cardiology</t>
        </is>
      </c>
      <c r="S1422" s="70" t="n">
        <v>1263</v>
      </c>
      <c r="T1422" s="71" t="n">
        <v>101614.14</v>
      </c>
      <c r="U1422" t="inlineStr">
        <is>
          <t>High</t>
        </is>
      </c>
      <c r="V1422">
        <f>IF(AND(OR(Dashboard!$C$6="All",E1422=Dashboard!$C$6),OR(Dashboard!$F$6="All",G1422=Dashboard!$F$6),OR(Dashboard!$I$6="All",H1422=Dashboard!$I$6)),1,0)</f>
        <v/>
      </c>
    </row>
    <row r="1423">
      <c r="A1423" t="inlineStr">
        <is>
          <t>PF101414</t>
        </is>
      </c>
      <c r="B1423" s="68" t="n">
        <v>45829</v>
      </c>
      <c r="C1423" s="69" t="n">
        <v>2025</v>
      </c>
      <c r="D1423" t="inlineStr">
        <is>
          <t>Jun</t>
        </is>
      </c>
      <c r="E1423" t="inlineStr">
        <is>
          <t>Emerging markets</t>
        </is>
      </c>
      <c r="F1423" t="inlineStr">
        <is>
          <t>China</t>
        </is>
      </c>
      <c r="G1423" t="inlineStr">
        <is>
          <t>Eliquis</t>
        </is>
      </c>
      <c r="H1423" t="inlineStr">
        <is>
          <t>Retail pharmacy</t>
        </is>
      </c>
      <c r="I1423" t="inlineStr">
        <is>
          <t>Self-pay</t>
        </is>
      </c>
      <c r="J1423" t="inlineStr">
        <is>
          <t>Aisha Bello</t>
        </is>
      </c>
      <c r="K1423" s="70" t="n">
        <v>455</v>
      </c>
      <c r="L1423" s="71" t="n">
        <v>382.06</v>
      </c>
      <c r="M1423" s="71" t="n">
        <v>173837.3</v>
      </c>
      <c r="N1423" s="71" t="n">
        <v>26075.59</v>
      </c>
      <c r="O1423" s="71" t="n">
        <v>147761.71</v>
      </c>
      <c r="P1423" s="71" t="n">
        <v>33715.82</v>
      </c>
      <c r="Q1423" s="71" t="n">
        <v>114045.89</v>
      </c>
      <c r="R1423" t="inlineStr">
        <is>
          <t>Cardiology</t>
        </is>
      </c>
      <c r="S1423" s="70" t="n">
        <v>359</v>
      </c>
      <c r="T1423" s="71" t="n">
        <v>30448.9</v>
      </c>
      <c r="U1423" t="inlineStr">
        <is>
          <t>High</t>
        </is>
      </c>
      <c r="V1423">
        <f>IF(AND(OR(Dashboard!$C$6="All",E1423=Dashboard!$C$6),OR(Dashboard!$F$6="All",G1423=Dashboard!$F$6),OR(Dashboard!$I$6="All",H1423=Dashboard!$I$6)),1,0)</f>
        <v/>
      </c>
    </row>
    <row r="1424">
      <c r="A1424" t="inlineStr">
        <is>
          <t>PF101415</t>
        </is>
      </c>
      <c r="B1424" s="68" t="n">
        <v>45829</v>
      </c>
      <c r="C1424" s="69" t="n">
        <v>2025</v>
      </c>
      <c r="D1424" t="inlineStr">
        <is>
          <t>Jun</t>
        </is>
      </c>
      <c r="E1424" t="inlineStr">
        <is>
          <t>United States</t>
        </is>
      </c>
      <c r="F1424" t="inlineStr">
        <is>
          <t>USA</t>
        </is>
      </c>
      <c r="G1424" t="inlineStr">
        <is>
          <t>Eliquis</t>
        </is>
      </c>
      <c r="H1424" t="inlineStr">
        <is>
          <t>Government / tender</t>
        </is>
      </c>
      <c r="I1424" t="inlineStr">
        <is>
          <t>Private insurer</t>
        </is>
      </c>
      <c r="J1424" t="inlineStr">
        <is>
          <t>Sophie Müller</t>
        </is>
      </c>
      <c r="K1424" s="70" t="n">
        <v>1291</v>
      </c>
      <c r="L1424" s="71" t="n">
        <v>623.84</v>
      </c>
      <c r="M1424" s="71" t="n">
        <v>805377.4399999999</v>
      </c>
      <c r="N1424" s="71" t="n">
        <v>161075.49</v>
      </c>
      <c r="O1424" s="71" t="n">
        <v>644301.95</v>
      </c>
      <c r="P1424" s="71" t="n">
        <v>96988.45</v>
      </c>
      <c r="Q1424" s="71" t="n">
        <v>547313.5</v>
      </c>
      <c r="R1424" t="inlineStr">
        <is>
          <t>Cardiology</t>
        </is>
      </c>
      <c r="S1424" s="70" t="n">
        <v>964</v>
      </c>
      <c r="T1424" s="71" t="n">
        <v>107671.14</v>
      </c>
      <c r="U1424" t="inlineStr">
        <is>
          <t>High</t>
        </is>
      </c>
      <c r="V1424">
        <f>IF(AND(OR(Dashboard!$C$6="All",E1424=Dashboard!$C$6),OR(Dashboard!$F$6="All",G1424=Dashboard!$F$6),OR(Dashboard!$I$6="All",H1424=Dashboard!$I$6)),1,0)</f>
        <v/>
      </c>
    </row>
    <row r="1425">
      <c r="A1425" t="inlineStr">
        <is>
          <t>PF101416</t>
        </is>
      </c>
      <c r="B1425" s="68" t="n">
        <v>45829</v>
      </c>
      <c r="C1425" s="69" t="n">
        <v>2025</v>
      </c>
      <c r="D1425" t="inlineStr">
        <is>
          <t>Jun</t>
        </is>
      </c>
      <c r="E1425" t="inlineStr">
        <is>
          <t>International developed</t>
        </is>
      </c>
      <c r="F1425" t="inlineStr">
        <is>
          <t>Australia</t>
        </is>
      </c>
      <c r="G1425" t="inlineStr">
        <is>
          <t>Comirnaty</t>
        </is>
      </c>
      <c r="H1425" t="inlineStr">
        <is>
          <t>Retail pharmacy</t>
        </is>
      </c>
      <c r="I1425" t="inlineStr">
        <is>
          <t>Private insurer</t>
        </is>
      </c>
      <c r="J1425" t="inlineStr">
        <is>
          <t>Ravindra Patil</t>
        </is>
      </c>
      <c r="K1425" s="70" t="n">
        <v>558</v>
      </c>
      <c r="L1425" s="71" t="n">
        <v>100.99</v>
      </c>
      <c r="M1425" s="71" t="n">
        <v>56352.42</v>
      </c>
      <c r="N1425" s="71" t="n">
        <v>8452.860000000001</v>
      </c>
      <c r="O1425" s="71" t="n">
        <v>47899.56</v>
      </c>
      <c r="P1425" s="71" t="n">
        <v>20775.58</v>
      </c>
      <c r="Q1425" s="71" t="n">
        <v>27123.98</v>
      </c>
      <c r="R1425" t="inlineStr">
        <is>
          <t>Vaccines</t>
        </is>
      </c>
      <c r="S1425" s="70" t="n">
        <v>379</v>
      </c>
      <c r="T1425" s="71" t="n">
        <v>9014.110000000001</v>
      </c>
      <c r="U1425" t="inlineStr">
        <is>
          <t>Low</t>
        </is>
      </c>
      <c r="V1425">
        <f>IF(AND(OR(Dashboard!$C$6="All",E1425=Dashboard!$C$6),OR(Dashboard!$F$6="All",G1425=Dashboard!$F$6),OR(Dashboard!$I$6="All",H1425=Dashboard!$I$6)),1,0)</f>
        <v/>
      </c>
    </row>
    <row r="1426">
      <c r="A1426" t="inlineStr">
        <is>
          <t>PF101417</t>
        </is>
      </c>
      <c r="B1426" s="68" t="n">
        <v>45829</v>
      </c>
      <c r="C1426" s="69" t="n">
        <v>2025</v>
      </c>
      <c r="D1426" t="inlineStr">
        <is>
          <t>Jun</t>
        </is>
      </c>
      <c r="E1426" t="inlineStr">
        <is>
          <t>International developed</t>
        </is>
      </c>
      <c r="F1426" t="inlineStr">
        <is>
          <t>Australia</t>
        </is>
      </c>
      <c r="G1426" t="inlineStr">
        <is>
          <t>Eliquis</t>
        </is>
      </c>
      <c r="H1426" t="inlineStr">
        <is>
          <t>Hospital</t>
        </is>
      </c>
      <c r="I1426" t="inlineStr">
        <is>
          <t>Public payer</t>
        </is>
      </c>
      <c r="J1426" t="inlineStr">
        <is>
          <t>Fatima Al-Saud</t>
        </is>
      </c>
      <c r="K1426" s="70" t="n">
        <v>232</v>
      </c>
      <c r="L1426" s="71" t="n">
        <v>395.51</v>
      </c>
      <c r="M1426" s="71" t="n">
        <v>91758.32000000001</v>
      </c>
      <c r="N1426" s="71" t="n">
        <v>22939.58</v>
      </c>
      <c r="O1426" s="71" t="n">
        <v>68818.74000000001</v>
      </c>
      <c r="P1426" s="71" t="n">
        <v>17443.26</v>
      </c>
      <c r="Q1426" s="71" t="n">
        <v>51375.48</v>
      </c>
      <c r="R1426" t="inlineStr">
        <is>
          <t>Cardiology</t>
        </is>
      </c>
      <c r="S1426" s="70" t="n">
        <v>155</v>
      </c>
      <c r="T1426" s="71" t="n">
        <v>17150.52</v>
      </c>
      <c r="U1426" t="inlineStr">
        <is>
          <t>High</t>
        </is>
      </c>
      <c r="V1426">
        <f>IF(AND(OR(Dashboard!$C$6="All",E1426=Dashboard!$C$6),OR(Dashboard!$F$6="All",G1426=Dashboard!$F$6),OR(Dashboard!$I$6="All",H1426=Dashboard!$I$6)),1,0)</f>
        <v/>
      </c>
    </row>
    <row r="1427">
      <c r="A1427" t="inlineStr">
        <is>
          <t>PF101418</t>
        </is>
      </c>
      <c r="B1427" s="68" t="n">
        <v>45829</v>
      </c>
      <c r="C1427" s="69" t="n">
        <v>2025</v>
      </c>
      <c r="D1427" t="inlineStr">
        <is>
          <t>Jun</t>
        </is>
      </c>
      <c r="E1427" t="inlineStr">
        <is>
          <t>Europe</t>
        </is>
      </c>
      <c r="F1427" t="inlineStr">
        <is>
          <t>Italy</t>
        </is>
      </c>
      <c r="G1427" t="inlineStr">
        <is>
          <t>Xeljanz</t>
        </is>
      </c>
      <c r="H1427" t="inlineStr">
        <is>
          <t>Retail pharmacy</t>
        </is>
      </c>
      <c r="I1427" t="inlineStr">
        <is>
          <t>Self-pay</t>
        </is>
      </c>
      <c r="J1427" t="inlineStr">
        <is>
          <t>Arjun Mehta</t>
        </is>
      </c>
      <c r="K1427" s="70" t="n">
        <v>2337</v>
      </c>
      <c r="L1427" s="71" t="n">
        <v>1295.53</v>
      </c>
      <c r="M1427" s="71" t="n">
        <v>3027653.61</v>
      </c>
      <c r="N1427" s="71" t="n">
        <v>756913.4</v>
      </c>
      <c r="O1427" s="71" t="n">
        <v>2270740.21</v>
      </c>
      <c r="P1427" s="71" t="n">
        <v>579844.0600000001</v>
      </c>
      <c r="Q1427" s="71" t="n">
        <v>1690896.15</v>
      </c>
      <c r="R1427" t="inlineStr">
        <is>
          <t>Inflammation</t>
        </is>
      </c>
      <c r="S1427" s="70" t="n">
        <v>1594</v>
      </c>
      <c r="T1427" s="71" t="n">
        <v>451518.4</v>
      </c>
      <c r="U1427" t="inlineStr">
        <is>
          <t>High</t>
        </is>
      </c>
      <c r="V1427">
        <f>IF(AND(OR(Dashboard!$C$6="All",E1427=Dashboard!$C$6),OR(Dashboard!$F$6="All",G1427=Dashboard!$F$6),OR(Dashboard!$I$6="All",H1427=Dashboard!$I$6)),1,0)</f>
        <v/>
      </c>
    </row>
    <row r="1428">
      <c r="A1428" t="inlineStr">
        <is>
          <t>PF101419</t>
        </is>
      </c>
      <c r="B1428" s="68" t="n">
        <v>45830</v>
      </c>
      <c r="C1428" s="69" t="n">
        <v>2025</v>
      </c>
      <c r="D1428" t="inlineStr">
        <is>
          <t>Jun</t>
        </is>
      </c>
      <c r="E1428" t="inlineStr">
        <is>
          <t>United States</t>
        </is>
      </c>
      <c r="F1428" t="inlineStr">
        <is>
          <t>USA</t>
        </is>
      </c>
      <c r="G1428" t="inlineStr">
        <is>
          <t>Eliquis</t>
        </is>
      </c>
      <c r="H1428" t="inlineStr">
        <is>
          <t>Retail pharmacy</t>
        </is>
      </c>
      <c r="I1428" t="inlineStr">
        <is>
          <t>Public payer</t>
        </is>
      </c>
      <c r="J1428" t="inlineStr">
        <is>
          <t>Ravindra Patil</t>
        </is>
      </c>
      <c r="K1428" s="70" t="n">
        <v>2185</v>
      </c>
      <c r="L1428" s="71" t="n">
        <v>722.3</v>
      </c>
      <c r="M1428" s="71" t="n">
        <v>1578225.5</v>
      </c>
      <c r="N1428" s="71" t="n">
        <v>552378.92</v>
      </c>
      <c r="O1428" s="71" t="n">
        <v>1025846.58</v>
      </c>
      <c r="P1428" s="71" t="n">
        <v>169318.81</v>
      </c>
      <c r="Q1428" s="71" t="n">
        <v>856527.77</v>
      </c>
      <c r="R1428" t="inlineStr">
        <is>
          <t>Cardiology</t>
        </is>
      </c>
      <c r="S1428" s="70" t="n">
        <v>1555</v>
      </c>
      <c r="T1428" s="71" t="n">
        <v>223051</v>
      </c>
      <c r="U1428" t="inlineStr">
        <is>
          <t>High</t>
        </is>
      </c>
      <c r="V1428">
        <f>IF(AND(OR(Dashboard!$C$6="All",E1428=Dashboard!$C$6),OR(Dashboard!$F$6="All",G1428=Dashboard!$F$6),OR(Dashboard!$I$6="All",H1428=Dashboard!$I$6)),1,0)</f>
        <v/>
      </c>
    </row>
    <row r="1429">
      <c r="A1429" t="inlineStr">
        <is>
          <t>PF101420</t>
        </is>
      </c>
      <c r="B1429" s="68" t="n">
        <v>45830</v>
      </c>
      <c r="C1429" s="69" t="n">
        <v>2025</v>
      </c>
      <c r="D1429" t="inlineStr">
        <is>
          <t>Jun</t>
        </is>
      </c>
      <c r="E1429" t="inlineStr">
        <is>
          <t>International developed</t>
        </is>
      </c>
      <c r="F1429" t="inlineStr">
        <is>
          <t>Canada</t>
        </is>
      </c>
      <c r="G1429" t="inlineStr">
        <is>
          <t>Eliquis</t>
        </is>
      </c>
      <c r="H1429" t="inlineStr">
        <is>
          <t>Retail pharmacy</t>
        </is>
      </c>
      <c r="I1429" t="inlineStr">
        <is>
          <t>Private insurer</t>
        </is>
      </c>
      <c r="J1429" t="inlineStr">
        <is>
          <t>Ana Costa</t>
        </is>
      </c>
      <c r="K1429" s="70" t="n">
        <v>2323</v>
      </c>
      <c r="L1429" s="71" t="n">
        <v>458.78</v>
      </c>
      <c r="M1429" s="71" t="n">
        <v>1065745.94</v>
      </c>
      <c r="N1429" s="71" t="n">
        <v>266436.48</v>
      </c>
      <c r="O1429" s="71" t="n">
        <v>799309.46</v>
      </c>
      <c r="P1429" s="71" t="n">
        <v>179450.79</v>
      </c>
      <c r="Q1429" s="71" t="n">
        <v>619858.67</v>
      </c>
      <c r="R1429" t="inlineStr">
        <is>
          <t>Cardiology</t>
        </is>
      </c>
      <c r="S1429" s="70" t="n">
        <v>1998</v>
      </c>
      <c r="T1429" s="71" t="n">
        <v>137720.98</v>
      </c>
      <c r="U1429" t="inlineStr">
        <is>
          <t>High</t>
        </is>
      </c>
      <c r="V1429">
        <f>IF(AND(OR(Dashboard!$C$6="All",E1429=Dashboard!$C$6),OR(Dashboard!$F$6="All",G1429=Dashboard!$F$6),OR(Dashboard!$I$6="All",H1429=Dashboard!$I$6)),1,0)</f>
        <v/>
      </c>
    </row>
    <row r="1430">
      <c r="A1430" t="inlineStr">
        <is>
          <t>PF101421</t>
        </is>
      </c>
      <c r="B1430" s="68" t="n">
        <v>45830</v>
      </c>
      <c r="C1430" s="69" t="n">
        <v>2025</v>
      </c>
      <c r="D1430" t="inlineStr">
        <is>
          <t>Jun</t>
        </is>
      </c>
      <c r="E1430" t="inlineStr">
        <is>
          <t>United States</t>
        </is>
      </c>
      <c r="F1430" t="inlineStr">
        <is>
          <t>USA</t>
        </is>
      </c>
      <c r="G1430" t="inlineStr">
        <is>
          <t>Prevnar 20</t>
        </is>
      </c>
      <c r="H1430" t="inlineStr">
        <is>
          <t>Retail pharmacy</t>
        </is>
      </c>
      <c r="I1430" t="inlineStr">
        <is>
          <t>Public payer</t>
        </is>
      </c>
      <c r="J1430" t="inlineStr">
        <is>
          <t>Ravindra Patil</t>
        </is>
      </c>
      <c r="K1430" s="70" t="n">
        <v>867</v>
      </c>
      <c r="L1430" s="71" t="n">
        <v>379.3</v>
      </c>
      <c r="M1430" s="71" t="n">
        <v>328853.1</v>
      </c>
      <c r="N1430" s="71" t="n">
        <v>115098.58</v>
      </c>
      <c r="O1430" s="71" t="n">
        <v>213754.52</v>
      </c>
      <c r="P1430" s="71" t="n">
        <v>59675.23</v>
      </c>
      <c r="Q1430" s="71" t="n">
        <v>154079.29</v>
      </c>
      <c r="R1430" t="inlineStr">
        <is>
          <t>Vaccines</t>
        </is>
      </c>
      <c r="S1430" s="70" t="n">
        <v>754</v>
      </c>
      <c r="T1430" s="71" t="n">
        <v>46174.86</v>
      </c>
      <c r="U1430" t="inlineStr">
        <is>
          <t>Low</t>
        </is>
      </c>
      <c r="V1430">
        <f>IF(AND(OR(Dashboard!$C$6="All",E1430=Dashboard!$C$6),OR(Dashboard!$F$6="All",G1430=Dashboard!$F$6),OR(Dashboard!$I$6="All",H1430=Dashboard!$I$6)),1,0)</f>
        <v/>
      </c>
    </row>
    <row r="1431">
      <c r="A1431" t="inlineStr">
        <is>
          <t>PF101422</t>
        </is>
      </c>
      <c r="B1431" s="68" t="n">
        <v>45830</v>
      </c>
      <c r="C1431" s="69" t="n">
        <v>2025</v>
      </c>
      <c r="D1431" t="inlineStr">
        <is>
          <t>Jun</t>
        </is>
      </c>
      <c r="E1431" t="inlineStr">
        <is>
          <t>Europe</t>
        </is>
      </c>
      <c r="F1431" t="inlineStr">
        <is>
          <t>France</t>
        </is>
      </c>
      <c r="G1431" t="inlineStr">
        <is>
          <t>Abrysvo</t>
        </is>
      </c>
      <c r="H1431" t="inlineStr">
        <is>
          <t>Retail pharmacy</t>
        </is>
      </c>
      <c r="I1431" t="inlineStr">
        <is>
          <t>Private insurer</t>
        </is>
      </c>
      <c r="J1431" t="inlineStr">
        <is>
          <t>Ravindra Patil</t>
        </is>
      </c>
      <c r="K1431" s="70" t="n">
        <v>396</v>
      </c>
      <c r="L1431" s="71" t="n">
        <v>256.19</v>
      </c>
      <c r="M1431" s="71" t="n">
        <v>101451.24</v>
      </c>
      <c r="N1431" s="71" t="n">
        <v>10145.12</v>
      </c>
      <c r="O1431" s="71" t="n">
        <v>91306.12</v>
      </c>
      <c r="P1431" s="71" t="n">
        <v>32728.24</v>
      </c>
      <c r="Q1431" s="71" t="n">
        <v>58577.88</v>
      </c>
      <c r="R1431" t="inlineStr">
        <is>
          <t>Vaccines</t>
        </is>
      </c>
      <c r="S1431" s="70" t="n">
        <v>357</v>
      </c>
      <c r="T1431" s="71" t="n">
        <v>18525.58</v>
      </c>
      <c r="U1431" t="inlineStr">
        <is>
          <t>Low</t>
        </is>
      </c>
      <c r="V1431">
        <f>IF(AND(OR(Dashboard!$C$6="All",E1431=Dashboard!$C$6),OR(Dashboard!$F$6="All",G1431=Dashboard!$F$6),OR(Dashboard!$I$6="All",H1431=Dashboard!$I$6)),1,0)</f>
        <v/>
      </c>
    </row>
    <row r="1432">
      <c r="A1432" t="inlineStr">
        <is>
          <t>PF101423</t>
        </is>
      </c>
      <c r="B1432" s="68" t="n">
        <v>45830</v>
      </c>
      <c r="C1432" s="69" t="n">
        <v>2025</v>
      </c>
      <c r="D1432" t="inlineStr">
        <is>
          <t>Jun</t>
        </is>
      </c>
      <c r="E1432" t="inlineStr">
        <is>
          <t>Emerging markets</t>
        </is>
      </c>
      <c r="F1432" t="inlineStr">
        <is>
          <t>India</t>
        </is>
      </c>
      <c r="G1432" t="inlineStr">
        <is>
          <t>Eliquis</t>
        </is>
      </c>
      <c r="H1432" t="inlineStr">
        <is>
          <t>Retail pharmacy</t>
        </is>
      </c>
      <c r="I1432" t="inlineStr">
        <is>
          <t>Private insurer</t>
        </is>
      </c>
      <c r="J1432" t="inlineStr">
        <is>
          <t>Yuki Sato</t>
        </is>
      </c>
      <c r="K1432" s="70" t="n">
        <v>1243</v>
      </c>
      <c r="L1432" s="71" t="n">
        <v>384.79</v>
      </c>
      <c r="M1432" s="71" t="n">
        <v>478293.97</v>
      </c>
      <c r="N1432" s="71" t="n">
        <v>71744.10000000001</v>
      </c>
      <c r="O1432" s="71" t="n">
        <v>406549.87</v>
      </c>
      <c r="P1432" s="71" t="n">
        <v>97065.53999999999</v>
      </c>
      <c r="Q1432" s="71" t="n">
        <v>309484.33</v>
      </c>
      <c r="R1432" t="inlineStr">
        <is>
          <t>Cardiology</t>
        </is>
      </c>
      <c r="S1432" s="70" t="n">
        <v>915</v>
      </c>
      <c r="T1432" s="71" t="n">
        <v>74719.7</v>
      </c>
      <c r="U1432" t="inlineStr">
        <is>
          <t>High</t>
        </is>
      </c>
      <c r="V1432">
        <f>IF(AND(OR(Dashboard!$C$6="All",E1432=Dashboard!$C$6),OR(Dashboard!$F$6="All",G1432=Dashboard!$F$6),OR(Dashboard!$I$6="All",H1432=Dashboard!$I$6)),1,0)</f>
        <v/>
      </c>
    </row>
    <row r="1433">
      <c r="A1433" t="inlineStr">
        <is>
          <t>PF101424</t>
        </is>
      </c>
      <c r="B1433" s="68" t="n">
        <v>45830</v>
      </c>
      <c r="C1433" s="69" t="n">
        <v>2025</v>
      </c>
      <c r="D1433" t="inlineStr">
        <is>
          <t>Jun</t>
        </is>
      </c>
      <c r="E1433" t="inlineStr">
        <is>
          <t>Europe</t>
        </is>
      </c>
      <c r="F1433" t="inlineStr">
        <is>
          <t>Germany</t>
        </is>
      </c>
      <c r="G1433" t="inlineStr">
        <is>
          <t>Paxlovid</t>
        </is>
      </c>
      <c r="H1433" t="inlineStr">
        <is>
          <t>Hospital</t>
        </is>
      </c>
      <c r="I1433" t="inlineStr">
        <is>
          <t>Private insurer</t>
        </is>
      </c>
      <c r="J1433" t="inlineStr">
        <is>
          <t>Zoya Ahmed</t>
        </is>
      </c>
      <c r="K1433" s="70" t="n">
        <v>1245</v>
      </c>
      <c r="L1433" s="71" t="n">
        <v>1091.78</v>
      </c>
      <c r="M1433" s="71" t="n">
        <v>1359266.1</v>
      </c>
      <c r="N1433" s="71" t="n">
        <v>203889.92</v>
      </c>
      <c r="O1433" s="71" t="n">
        <v>1155376.18</v>
      </c>
      <c r="P1433" s="71" t="n">
        <v>350261.26</v>
      </c>
      <c r="Q1433" s="71" t="n">
        <v>805114.92</v>
      </c>
      <c r="R1433" t="inlineStr">
        <is>
          <t>Antiviral</t>
        </is>
      </c>
      <c r="S1433" s="70" t="n">
        <v>1029</v>
      </c>
      <c r="T1433" s="71" t="n">
        <v>271177.5</v>
      </c>
      <c r="U1433" t="inlineStr">
        <is>
          <t>Low</t>
        </is>
      </c>
      <c r="V1433">
        <f>IF(AND(OR(Dashboard!$C$6="All",E1433=Dashboard!$C$6),OR(Dashboard!$F$6="All",G1433=Dashboard!$F$6),OR(Dashboard!$I$6="All",H1433=Dashboard!$I$6)),1,0)</f>
        <v/>
      </c>
    </row>
    <row r="1434">
      <c r="A1434" t="inlineStr">
        <is>
          <t>PF101425</t>
        </is>
      </c>
      <c r="B1434" s="68" t="n">
        <v>45830</v>
      </c>
      <c r="C1434" s="69" t="n">
        <v>2025</v>
      </c>
      <c r="D1434" t="inlineStr">
        <is>
          <t>Jun</t>
        </is>
      </c>
      <c r="E1434" t="inlineStr">
        <is>
          <t>United States</t>
        </is>
      </c>
      <c r="F1434" t="inlineStr">
        <is>
          <t>USA</t>
        </is>
      </c>
      <c r="G1434" t="inlineStr">
        <is>
          <t>Xeljanz</t>
        </is>
      </c>
      <c r="H1434" t="inlineStr">
        <is>
          <t>Government / tender</t>
        </is>
      </c>
      <c r="I1434" t="inlineStr">
        <is>
          <t>Public payer</t>
        </is>
      </c>
      <c r="J1434" t="inlineStr">
        <is>
          <t>Priya Nair</t>
        </is>
      </c>
      <c r="K1434" s="70" t="n">
        <v>1246</v>
      </c>
      <c r="L1434" s="71" t="n">
        <v>2453.1</v>
      </c>
      <c r="M1434" s="71" t="n">
        <v>3056562.6</v>
      </c>
      <c r="N1434" s="71" t="n">
        <v>611312.52</v>
      </c>
      <c r="O1434" s="71" t="n">
        <v>2445250.08</v>
      </c>
      <c r="P1434" s="71" t="n">
        <v>324227.12</v>
      </c>
      <c r="Q1434" s="71" t="n">
        <v>2121022.96</v>
      </c>
      <c r="R1434" t="inlineStr">
        <is>
          <t>Inflammation</t>
        </is>
      </c>
      <c r="S1434" s="70" t="n">
        <v>1162</v>
      </c>
      <c r="T1434" s="71" t="n">
        <v>620477.0600000001</v>
      </c>
      <c r="U1434" t="inlineStr">
        <is>
          <t>High</t>
        </is>
      </c>
      <c r="V1434">
        <f>IF(AND(OR(Dashboard!$C$6="All",E1434=Dashboard!$C$6),OR(Dashboard!$F$6="All",G1434=Dashboard!$F$6),OR(Dashboard!$I$6="All",H1434=Dashboard!$I$6)),1,0)</f>
        <v/>
      </c>
    </row>
    <row r="1435">
      <c r="A1435" t="inlineStr">
        <is>
          <t>PF101426</t>
        </is>
      </c>
      <c r="B1435" s="68" t="n">
        <v>45830</v>
      </c>
      <c r="C1435" s="69" t="n">
        <v>2025</v>
      </c>
      <c r="D1435" t="inlineStr">
        <is>
          <t>Jun</t>
        </is>
      </c>
      <c r="E1435" t="inlineStr">
        <is>
          <t>Europe</t>
        </is>
      </c>
      <c r="F1435" t="inlineStr">
        <is>
          <t>UK</t>
        </is>
      </c>
      <c r="G1435" t="inlineStr">
        <is>
          <t>Abrysvo</t>
        </is>
      </c>
      <c r="H1435" t="inlineStr">
        <is>
          <t>Retail pharmacy</t>
        </is>
      </c>
      <c r="I1435" t="inlineStr">
        <is>
          <t>Private insurer</t>
        </is>
      </c>
      <c r="J1435" t="inlineStr">
        <is>
          <t>Omar Haddad</t>
        </is>
      </c>
      <c r="K1435" s="70" t="n">
        <v>349</v>
      </c>
      <c r="L1435" s="71" t="n">
        <v>270.77</v>
      </c>
      <c r="M1435" s="71" t="n">
        <v>94498.73</v>
      </c>
      <c r="N1435" s="71" t="n">
        <v>23624.68</v>
      </c>
      <c r="O1435" s="71" t="n">
        <v>70874.05</v>
      </c>
      <c r="P1435" s="71" t="n">
        <v>29246.5</v>
      </c>
      <c r="Q1435" s="71" t="n">
        <v>41627.55</v>
      </c>
      <c r="R1435" t="inlineStr">
        <is>
          <t>Vaccines</t>
        </is>
      </c>
      <c r="S1435" s="70" t="n">
        <v>257</v>
      </c>
      <c r="T1435" s="71" t="n">
        <v>19499.46</v>
      </c>
      <c r="U1435" t="inlineStr">
        <is>
          <t>Low</t>
        </is>
      </c>
      <c r="V1435">
        <f>IF(AND(OR(Dashboard!$C$6="All",E1435=Dashboard!$C$6),OR(Dashboard!$F$6="All",G1435=Dashboard!$F$6),OR(Dashboard!$I$6="All",H1435=Dashboard!$I$6)),1,0)</f>
        <v/>
      </c>
    </row>
    <row r="1436">
      <c r="A1436" t="inlineStr">
        <is>
          <t>PF101427</t>
        </is>
      </c>
      <c r="B1436" s="68" t="n">
        <v>45830</v>
      </c>
      <c r="C1436" s="69" t="n">
        <v>2025</v>
      </c>
      <c r="D1436" t="inlineStr">
        <is>
          <t>Jun</t>
        </is>
      </c>
      <c r="E1436" t="inlineStr">
        <is>
          <t>United States</t>
        </is>
      </c>
      <c r="F1436" t="inlineStr">
        <is>
          <t>USA</t>
        </is>
      </c>
      <c r="G1436" t="inlineStr">
        <is>
          <t>Abrysvo</t>
        </is>
      </c>
      <c r="H1436" t="inlineStr">
        <is>
          <t>Retail pharmacy</t>
        </is>
      </c>
      <c r="I1436" t="inlineStr">
        <is>
          <t>Private insurer</t>
        </is>
      </c>
      <c r="J1436" t="inlineStr">
        <is>
          <t>Sophie Müller</t>
        </is>
      </c>
      <c r="K1436" s="70" t="n">
        <v>2478</v>
      </c>
      <c r="L1436" s="71" t="n">
        <v>442.86</v>
      </c>
      <c r="M1436" s="71" t="n">
        <v>1097407.08</v>
      </c>
      <c r="N1436" s="71" t="n">
        <v>384092.48</v>
      </c>
      <c r="O1436" s="71" t="n">
        <v>713314.6</v>
      </c>
      <c r="P1436" s="71" t="n">
        <v>205221.5</v>
      </c>
      <c r="Q1436" s="71" t="n">
        <v>508093.1</v>
      </c>
      <c r="R1436" t="inlineStr">
        <is>
          <t>Vaccines</t>
        </is>
      </c>
      <c r="S1436" s="70" t="n">
        <v>2071</v>
      </c>
      <c r="T1436" s="71" t="n">
        <v>203513.44</v>
      </c>
      <c r="U1436" t="inlineStr">
        <is>
          <t>Low</t>
        </is>
      </c>
      <c r="V1436">
        <f>IF(AND(OR(Dashboard!$C$6="All",E1436=Dashboard!$C$6),OR(Dashboard!$F$6="All",G1436=Dashboard!$F$6),OR(Dashboard!$I$6="All",H1436=Dashboard!$I$6)),1,0)</f>
        <v/>
      </c>
    </row>
    <row r="1437">
      <c r="A1437" t="inlineStr">
        <is>
          <t>PF101428</t>
        </is>
      </c>
      <c r="B1437" s="68" t="n">
        <v>45830</v>
      </c>
      <c r="C1437" s="69" t="n">
        <v>2025</v>
      </c>
      <c r="D1437" t="inlineStr">
        <is>
          <t>Jun</t>
        </is>
      </c>
      <c r="E1437" t="inlineStr">
        <is>
          <t>United States</t>
        </is>
      </c>
      <c r="F1437" t="inlineStr">
        <is>
          <t>USA</t>
        </is>
      </c>
      <c r="G1437" t="inlineStr">
        <is>
          <t>Eliquis</t>
        </is>
      </c>
      <c r="H1437" t="inlineStr">
        <is>
          <t>Hospital</t>
        </is>
      </c>
      <c r="I1437" t="inlineStr">
        <is>
          <t>Public payer</t>
        </is>
      </c>
      <c r="J1437" t="inlineStr">
        <is>
          <t>Shraddha Kulkarni</t>
        </is>
      </c>
      <c r="K1437" s="70" t="n">
        <v>607</v>
      </c>
      <c r="L1437" s="71" t="n">
        <v>716.26</v>
      </c>
      <c r="M1437" s="71" t="n">
        <v>434769.82</v>
      </c>
      <c r="N1437" s="71" t="n">
        <v>65215.47</v>
      </c>
      <c r="O1437" s="71" t="n">
        <v>369554.35</v>
      </c>
      <c r="P1437" s="71" t="n">
        <v>47384.88</v>
      </c>
      <c r="Q1437" s="71" t="n">
        <v>322169.47</v>
      </c>
      <c r="R1437" t="inlineStr">
        <is>
          <t>Cardiology</t>
        </is>
      </c>
      <c r="S1437" s="70" t="n">
        <v>421</v>
      </c>
      <c r="T1437" s="71" t="n">
        <v>94843.63</v>
      </c>
      <c r="U1437" t="inlineStr">
        <is>
          <t>High</t>
        </is>
      </c>
      <c r="V1437">
        <f>IF(AND(OR(Dashboard!$C$6="All",E1437=Dashboard!$C$6),OR(Dashboard!$F$6="All",G1437=Dashboard!$F$6),OR(Dashboard!$I$6="All",H1437=Dashboard!$I$6)),1,0)</f>
        <v/>
      </c>
    </row>
    <row r="1438">
      <c r="A1438" t="inlineStr">
        <is>
          <t>PF101429</t>
        </is>
      </c>
      <c r="B1438" s="68" t="n">
        <v>45830</v>
      </c>
      <c r="C1438" s="69" t="n">
        <v>2025</v>
      </c>
      <c r="D1438" t="inlineStr">
        <is>
          <t>Jun</t>
        </is>
      </c>
      <c r="E1438" t="inlineStr">
        <is>
          <t>Emerging markets</t>
        </is>
      </c>
      <c r="F1438" t="inlineStr">
        <is>
          <t>India</t>
        </is>
      </c>
      <c r="G1438" t="inlineStr">
        <is>
          <t>Eliquis</t>
        </is>
      </c>
      <c r="H1438" t="inlineStr">
        <is>
          <t>Government / tender</t>
        </is>
      </c>
      <c r="I1438" t="inlineStr">
        <is>
          <t>Public payer</t>
        </is>
      </c>
      <c r="J1438" t="inlineStr">
        <is>
          <t>Mei Lin</t>
        </is>
      </c>
      <c r="K1438" s="70" t="n">
        <v>2611</v>
      </c>
      <c r="L1438" s="71" t="n">
        <v>399.75</v>
      </c>
      <c r="M1438" s="71" t="n">
        <v>1043747.25</v>
      </c>
      <c r="N1438" s="71" t="n">
        <v>52187.36</v>
      </c>
      <c r="O1438" s="71" t="n">
        <v>991559.89</v>
      </c>
      <c r="P1438" s="71" t="n">
        <v>194818.52</v>
      </c>
      <c r="Q1438" s="71" t="n">
        <v>796741.37</v>
      </c>
      <c r="R1438" t="inlineStr">
        <is>
          <t>Cardiology</t>
        </is>
      </c>
      <c r="S1438" s="70" t="n">
        <v>2536</v>
      </c>
      <c r="T1438" s="71" t="n">
        <v>186328.25</v>
      </c>
      <c r="U1438" t="inlineStr">
        <is>
          <t>High</t>
        </is>
      </c>
      <c r="V1438">
        <f>IF(AND(OR(Dashboard!$C$6="All",E1438=Dashboard!$C$6),OR(Dashboard!$F$6="All",G1438=Dashboard!$F$6),OR(Dashboard!$I$6="All",H1438=Dashboard!$I$6)),1,0)</f>
        <v/>
      </c>
    </row>
    <row r="1439">
      <c r="A1439" t="inlineStr">
        <is>
          <t>PF101430</t>
        </is>
      </c>
      <c r="B1439" s="68" t="n">
        <v>45830</v>
      </c>
      <c r="C1439" s="69" t="n">
        <v>2025</v>
      </c>
      <c r="D1439" t="inlineStr">
        <is>
          <t>Jun</t>
        </is>
      </c>
      <c r="E1439" t="inlineStr">
        <is>
          <t>International developed</t>
        </is>
      </c>
      <c r="F1439" t="inlineStr">
        <is>
          <t>Japan</t>
        </is>
      </c>
      <c r="G1439" t="inlineStr">
        <is>
          <t>Prevnar 20</t>
        </is>
      </c>
      <c r="H1439" t="inlineStr">
        <is>
          <t>Government / tender</t>
        </is>
      </c>
      <c r="I1439" t="inlineStr">
        <is>
          <t>Public payer</t>
        </is>
      </c>
      <c r="J1439" t="inlineStr">
        <is>
          <t>Aisha Bello</t>
        </is>
      </c>
      <c r="K1439" s="70" t="n">
        <v>1126</v>
      </c>
      <c r="L1439" s="71" t="n">
        <v>223.31</v>
      </c>
      <c r="M1439" s="71" t="n">
        <v>251447.06</v>
      </c>
      <c r="N1439" s="71" t="n">
        <v>50289.41</v>
      </c>
      <c r="O1439" s="71" t="n">
        <v>201157.65</v>
      </c>
      <c r="P1439" s="71" t="n">
        <v>80719.35000000001</v>
      </c>
      <c r="Q1439" s="71" t="n">
        <v>120438.3</v>
      </c>
      <c r="R1439" t="inlineStr">
        <is>
          <t>Vaccines</t>
        </is>
      </c>
      <c r="S1439" s="70" t="n">
        <v>920</v>
      </c>
      <c r="T1439" s="71" t="n">
        <v>31244.78</v>
      </c>
      <c r="U1439" t="inlineStr">
        <is>
          <t>Low</t>
        </is>
      </c>
      <c r="V1439">
        <f>IF(AND(OR(Dashboard!$C$6="All",E1439=Dashboard!$C$6),OR(Dashboard!$F$6="All",G1439=Dashboard!$F$6),OR(Dashboard!$I$6="All",H1439=Dashboard!$I$6)),1,0)</f>
        <v/>
      </c>
    </row>
    <row r="1440">
      <c r="A1440" t="inlineStr">
        <is>
          <t>PF101431</t>
        </is>
      </c>
      <c r="B1440" s="68" t="n">
        <v>45830</v>
      </c>
      <c r="C1440" s="69" t="n">
        <v>2025</v>
      </c>
      <c r="D1440" t="inlineStr">
        <is>
          <t>Jun</t>
        </is>
      </c>
      <c r="E1440" t="inlineStr">
        <is>
          <t>Europe</t>
        </is>
      </c>
      <c r="F1440" t="inlineStr">
        <is>
          <t>France</t>
        </is>
      </c>
      <c r="G1440" t="inlineStr">
        <is>
          <t>Ibrance</t>
        </is>
      </c>
      <c r="H1440" t="inlineStr">
        <is>
          <t>Retail pharmacy</t>
        </is>
      </c>
      <c r="I1440" t="inlineStr">
        <is>
          <t>Private insurer</t>
        </is>
      </c>
      <c r="J1440" t="inlineStr">
        <is>
          <t>Ruhi Shaikh</t>
        </is>
      </c>
      <c r="K1440" s="70" t="n">
        <v>892</v>
      </c>
      <c r="L1440" s="71" t="n">
        <v>3175.44</v>
      </c>
      <c r="M1440" s="71" t="n">
        <v>2832492.48</v>
      </c>
      <c r="N1440" s="71" t="n">
        <v>424873.87</v>
      </c>
      <c r="O1440" s="71" t="n">
        <v>2407618.61</v>
      </c>
      <c r="P1440" s="71" t="n">
        <v>388856.94</v>
      </c>
      <c r="Q1440" s="71" t="n">
        <v>2018761.67</v>
      </c>
      <c r="R1440" t="inlineStr">
        <is>
          <t>Oncology</t>
        </is>
      </c>
      <c r="S1440" s="70" t="n">
        <v>834</v>
      </c>
      <c r="T1440" s="71" t="n">
        <v>546738.27</v>
      </c>
      <c r="U1440" t="inlineStr">
        <is>
          <t>High</t>
        </is>
      </c>
      <c r="V1440">
        <f>IF(AND(OR(Dashboard!$C$6="All",E1440=Dashboard!$C$6),OR(Dashboard!$F$6="All",G1440=Dashboard!$F$6),OR(Dashboard!$I$6="All",H1440=Dashboard!$I$6)),1,0)</f>
        <v/>
      </c>
    </row>
    <row r="1441">
      <c r="A1441" t="inlineStr">
        <is>
          <t>PF101432</t>
        </is>
      </c>
      <c r="B1441" s="68" t="n">
        <v>45831</v>
      </c>
      <c r="C1441" s="69" t="n">
        <v>2025</v>
      </c>
      <c r="D1441" t="inlineStr">
        <is>
          <t>Jun</t>
        </is>
      </c>
      <c r="E1441" t="inlineStr">
        <is>
          <t>United States</t>
        </is>
      </c>
      <c r="F1441" t="inlineStr">
        <is>
          <t>USA</t>
        </is>
      </c>
      <c r="G1441" t="inlineStr">
        <is>
          <t>Paxlovid</t>
        </is>
      </c>
      <c r="H1441" t="inlineStr">
        <is>
          <t>Retail pharmacy</t>
        </is>
      </c>
      <c r="I1441" t="inlineStr">
        <is>
          <t>Private insurer</t>
        </is>
      </c>
      <c r="J1441" t="inlineStr">
        <is>
          <t>Shraddha Kulkarni</t>
        </is>
      </c>
      <c r="K1441" s="70" t="n">
        <v>335</v>
      </c>
      <c r="L1441" s="71" t="n">
        <v>1664.21</v>
      </c>
      <c r="M1441" s="71" t="n">
        <v>557510.35</v>
      </c>
      <c r="N1441" s="71" t="n">
        <v>167253.11</v>
      </c>
      <c r="O1441" s="71" t="n">
        <v>390257.24</v>
      </c>
      <c r="P1441" s="71" t="n">
        <v>88720.69</v>
      </c>
      <c r="Q1441" s="71" t="n">
        <v>301536.55</v>
      </c>
      <c r="R1441" t="inlineStr">
        <is>
          <t>Antiviral</t>
        </is>
      </c>
      <c r="S1441" s="70" t="n">
        <v>322</v>
      </c>
      <c r="T1441" s="71" t="n">
        <v>85795.61</v>
      </c>
      <c r="U1441" t="inlineStr">
        <is>
          <t>Low</t>
        </is>
      </c>
      <c r="V1441">
        <f>IF(AND(OR(Dashboard!$C$6="All",E1441=Dashboard!$C$6),OR(Dashboard!$F$6="All",G1441=Dashboard!$F$6),OR(Dashboard!$I$6="All",H1441=Dashboard!$I$6)),1,0)</f>
        <v/>
      </c>
    </row>
    <row r="1442">
      <c r="A1442" t="inlineStr">
        <is>
          <t>PF101433</t>
        </is>
      </c>
      <c r="B1442" s="68" t="n">
        <v>45831</v>
      </c>
      <c r="C1442" s="69" t="n">
        <v>2025</v>
      </c>
      <c r="D1442" t="inlineStr">
        <is>
          <t>Jun</t>
        </is>
      </c>
      <c r="E1442" t="inlineStr">
        <is>
          <t>International developed</t>
        </is>
      </c>
      <c r="F1442" t="inlineStr">
        <is>
          <t>Japan</t>
        </is>
      </c>
      <c r="G1442" t="inlineStr">
        <is>
          <t>Comirnaty</t>
        </is>
      </c>
      <c r="H1442" t="inlineStr">
        <is>
          <t>Retail pharmacy</t>
        </is>
      </c>
      <c r="I1442" t="inlineStr">
        <is>
          <t>Public payer</t>
        </is>
      </c>
      <c r="J1442" t="inlineStr">
        <is>
          <t>Fatima Al-Saud</t>
        </is>
      </c>
      <c r="K1442" s="70" t="n">
        <v>2760</v>
      </c>
      <c r="L1442" s="71" t="n">
        <v>120.85</v>
      </c>
      <c r="M1442" s="71" t="n">
        <v>333546</v>
      </c>
      <c r="N1442" s="71" t="n">
        <v>66709.2</v>
      </c>
      <c r="O1442" s="71" t="n">
        <v>266836.8</v>
      </c>
      <c r="P1442" s="71" t="n">
        <v>108347.52</v>
      </c>
      <c r="Q1442" s="71" t="n">
        <v>158489.28</v>
      </c>
      <c r="R1442" t="inlineStr">
        <is>
          <t>Vaccines</t>
        </is>
      </c>
      <c r="S1442" s="70" t="n">
        <v>2388</v>
      </c>
      <c r="T1442" s="71" t="n">
        <v>70470.44</v>
      </c>
      <c r="U1442" t="inlineStr">
        <is>
          <t>Low</t>
        </is>
      </c>
      <c r="V1442">
        <f>IF(AND(OR(Dashboard!$C$6="All",E1442=Dashboard!$C$6),OR(Dashboard!$F$6="All",G1442=Dashboard!$F$6),OR(Dashboard!$I$6="All",H1442=Dashboard!$I$6)),1,0)</f>
        <v/>
      </c>
    </row>
    <row r="1443">
      <c r="A1443" t="inlineStr">
        <is>
          <t>PF101434</t>
        </is>
      </c>
      <c r="B1443" s="68" t="n">
        <v>45831</v>
      </c>
      <c r="C1443" s="69" t="n">
        <v>2025</v>
      </c>
      <c r="D1443" t="inlineStr">
        <is>
          <t>Jun</t>
        </is>
      </c>
      <c r="E1443" t="inlineStr">
        <is>
          <t>United States</t>
        </is>
      </c>
      <c r="F1443" t="inlineStr">
        <is>
          <t>USA</t>
        </is>
      </c>
      <c r="G1443" t="inlineStr">
        <is>
          <t>Comirnaty</t>
        </is>
      </c>
      <c r="H1443" t="inlineStr">
        <is>
          <t>Hospital</t>
        </is>
      </c>
      <c r="I1443" t="inlineStr">
        <is>
          <t>Private insurer</t>
        </is>
      </c>
      <c r="J1443" t="inlineStr">
        <is>
          <t>Omar Haddad</t>
        </is>
      </c>
      <c r="K1443" s="70" t="n">
        <v>2156</v>
      </c>
      <c r="L1443" s="71" t="n">
        <v>160.3</v>
      </c>
      <c r="M1443" s="71" t="n">
        <v>345606.8</v>
      </c>
      <c r="N1443" s="71" t="n">
        <v>86401.7</v>
      </c>
      <c r="O1443" s="71" t="n">
        <v>259205.1</v>
      </c>
      <c r="P1443" s="71" t="n">
        <v>81492.48</v>
      </c>
      <c r="Q1443" s="71" t="n">
        <v>177712.62</v>
      </c>
      <c r="R1443" t="inlineStr">
        <is>
          <t>Vaccines</t>
        </is>
      </c>
      <c r="S1443" s="70" t="n">
        <v>1479</v>
      </c>
      <c r="T1443" s="71" t="n">
        <v>55958.3</v>
      </c>
      <c r="U1443" t="inlineStr">
        <is>
          <t>Low</t>
        </is>
      </c>
      <c r="V1443">
        <f>IF(AND(OR(Dashboard!$C$6="All",E1443=Dashboard!$C$6),OR(Dashboard!$F$6="All",G1443=Dashboard!$F$6),OR(Dashboard!$I$6="All",H1443=Dashboard!$I$6)),1,0)</f>
        <v/>
      </c>
    </row>
    <row r="1444">
      <c r="A1444" t="inlineStr">
        <is>
          <t>PF101435</t>
        </is>
      </c>
      <c r="B1444" s="68" t="n">
        <v>45831</v>
      </c>
      <c r="C1444" s="69" t="n">
        <v>2025</v>
      </c>
      <c r="D1444" t="inlineStr">
        <is>
          <t>Jun</t>
        </is>
      </c>
      <c r="E1444" t="inlineStr">
        <is>
          <t>United States</t>
        </is>
      </c>
      <c r="F1444" t="inlineStr">
        <is>
          <t>USA</t>
        </is>
      </c>
      <c r="G1444" t="inlineStr">
        <is>
          <t>Abrysvo</t>
        </is>
      </c>
      <c r="H1444" t="inlineStr">
        <is>
          <t>Retail pharmacy</t>
        </is>
      </c>
      <c r="I1444" t="inlineStr">
        <is>
          <t>Self-pay</t>
        </is>
      </c>
      <c r="J1444" t="inlineStr">
        <is>
          <t>Arjun Mehta</t>
        </is>
      </c>
      <c r="K1444" s="70" t="n">
        <v>2001</v>
      </c>
      <c r="L1444" s="71" t="n">
        <v>455.7</v>
      </c>
      <c r="M1444" s="71" t="n">
        <v>911855.7</v>
      </c>
      <c r="N1444" s="71" t="n">
        <v>273556.71</v>
      </c>
      <c r="O1444" s="71" t="n">
        <v>638298.99</v>
      </c>
      <c r="P1444" s="71" t="n">
        <v>166996.73</v>
      </c>
      <c r="Q1444" s="71" t="n">
        <v>471302.26</v>
      </c>
      <c r="R1444" t="inlineStr">
        <is>
          <t>Vaccines</t>
        </is>
      </c>
      <c r="S1444" s="70" t="n">
        <v>1970</v>
      </c>
      <c r="T1444" s="71" t="n">
        <v>160215</v>
      </c>
      <c r="U1444" t="inlineStr">
        <is>
          <t>Low</t>
        </is>
      </c>
      <c r="V1444">
        <f>IF(AND(OR(Dashboard!$C$6="All",E1444=Dashboard!$C$6),OR(Dashboard!$F$6="All",G1444=Dashboard!$F$6),OR(Dashboard!$I$6="All",H1444=Dashboard!$I$6)),1,0)</f>
        <v/>
      </c>
    </row>
    <row r="1445">
      <c r="A1445" t="inlineStr">
        <is>
          <t>PF101436</t>
        </is>
      </c>
      <c r="B1445" s="68" t="n">
        <v>45831</v>
      </c>
      <c r="C1445" s="69" t="n">
        <v>2025</v>
      </c>
      <c r="D1445" t="inlineStr">
        <is>
          <t>Jun</t>
        </is>
      </c>
      <c r="E1445" t="inlineStr">
        <is>
          <t>Emerging markets</t>
        </is>
      </c>
      <c r="F1445" t="inlineStr">
        <is>
          <t>India</t>
        </is>
      </c>
      <c r="G1445" t="inlineStr">
        <is>
          <t>Vyndaqel</t>
        </is>
      </c>
      <c r="H1445" t="inlineStr">
        <is>
          <t>Hospital</t>
        </is>
      </c>
      <c r="I1445" t="inlineStr">
        <is>
          <t>Self-pay</t>
        </is>
      </c>
      <c r="J1445" t="inlineStr">
        <is>
          <t>Liam O'Brien</t>
        </is>
      </c>
      <c r="K1445" s="70" t="n">
        <v>1210</v>
      </c>
      <c r="L1445" s="71" t="n">
        <v>5569.27</v>
      </c>
      <c r="M1445" s="71" t="n">
        <v>6738816.7</v>
      </c>
      <c r="N1445" s="71" t="n">
        <v>673881.67</v>
      </c>
      <c r="O1445" s="71" t="n">
        <v>6064935.03</v>
      </c>
      <c r="P1445" s="71" t="n">
        <v>755198.87</v>
      </c>
      <c r="Q1445" s="71" t="n">
        <v>5309736.16</v>
      </c>
      <c r="R1445" t="inlineStr">
        <is>
          <t>Rare disease</t>
        </is>
      </c>
      <c r="S1445" s="70" t="n">
        <v>794</v>
      </c>
      <c r="T1445" s="71" t="n">
        <v>1402149.69</v>
      </c>
      <c r="U1445" t="inlineStr">
        <is>
          <t>Medium</t>
        </is>
      </c>
      <c r="V1445">
        <f>IF(AND(OR(Dashboard!$C$6="All",E1445=Dashboard!$C$6),OR(Dashboard!$F$6="All",G1445=Dashboard!$F$6),OR(Dashboard!$I$6="All",H1445=Dashboard!$I$6)),1,0)</f>
        <v/>
      </c>
    </row>
    <row r="1446">
      <c r="A1446" t="inlineStr">
        <is>
          <t>PF101437</t>
        </is>
      </c>
      <c r="B1446" s="68" t="n">
        <v>45831</v>
      </c>
      <c r="C1446" s="69" t="n">
        <v>2025</v>
      </c>
      <c r="D1446" t="inlineStr">
        <is>
          <t>Jun</t>
        </is>
      </c>
      <c r="E1446" t="inlineStr">
        <is>
          <t>United States</t>
        </is>
      </c>
      <c r="F1446" t="inlineStr">
        <is>
          <t>USA</t>
        </is>
      </c>
      <c r="G1446" t="inlineStr">
        <is>
          <t>Xeljanz</t>
        </is>
      </c>
      <c r="H1446" t="inlineStr">
        <is>
          <t>Retail pharmacy</t>
        </is>
      </c>
      <c r="I1446" t="inlineStr">
        <is>
          <t>Public payer</t>
        </is>
      </c>
      <c r="J1446" t="inlineStr">
        <is>
          <t>Omar Haddad</t>
        </is>
      </c>
      <c r="K1446" s="70" t="n">
        <v>1766</v>
      </c>
      <c r="L1446" s="71" t="n">
        <v>2285.09</v>
      </c>
      <c r="M1446" s="71" t="n">
        <v>4035468.94</v>
      </c>
      <c r="N1446" s="71" t="n">
        <v>1412414.13</v>
      </c>
      <c r="O1446" s="71" t="n">
        <v>2623054.81</v>
      </c>
      <c r="P1446" s="71" t="n">
        <v>431113.14</v>
      </c>
      <c r="Q1446" s="71" t="n">
        <v>2191941.67</v>
      </c>
      <c r="R1446" t="inlineStr">
        <is>
          <t>Inflammation</t>
        </is>
      </c>
      <c r="S1446" s="70" t="n">
        <v>1749</v>
      </c>
      <c r="T1446" s="71" t="n">
        <v>635372.01</v>
      </c>
      <c r="U1446" t="inlineStr">
        <is>
          <t>High</t>
        </is>
      </c>
      <c r="V1446">
        <f>IF(AND(OR(Dashboard!$C$6="All",E1446=Dashboard!$C$6),OR(Dashboard!$F$6="All",G1446=Dashboard!$F$6),OR(Dashboard!$I$6="All",H1446=Dashboard!$I$6)),1,0)</f>
        <v/>
      </c>
    </row>
    <row r="1447">
      <c r="A1447" t="inlineStr">
        <is>
          <t>PF101438</t>
        </is>
      </c>
      <c r="B1447" s="68" t="n">
        <v>45831</v>
      </c>
      <c r="C1447" s="69" t="n">
        <v>2025</v>
      </c>
      <c r="D1447" t="inlineStr">
        <is>
          <t>Jun</t>
        </is>
      </c>
      <c r="E1447" t="inlineStr">
        <is>
          <t>Emerging markets</t>
        </is>
      </c>
      <c r="F1447" t="inlineStr">
        <is>
          <t>Brazil</t>
        </is>
      </c>
      <c r="G1447" t="inlineStr">
        <is>
          <t>Comirnaty</t>
        </is>
      </c>
      <c r="H1447" t="inlineStr">
        <is>
          <t>Hospital</t>
        </is>
      </c>
      <c r="I1447" t="inlineStr">
        <is>
          <t>Self-pay</t>
        </is>
      </c>
      <c r="J1447" t="inlineStr">
        <is>
          <t>Noah Smith</t>
        </is>
      </c>
      <c r="K1447" s="70" t="n">
        <v>945</v>
      </c>
      <c r="L1447" s="71" t="n">
        <v>114.78</v>
      </c>
      <c r="M1447" s="71" t="n">
        <v>108467.1</v>
      </c>
      <c r="N1447" s="71" t="n">
        <v>27116.78</v>
      </c>
      <c r="O1447" s="71" t="n">
        <v>81350.32000000001</v>
      </c>
      <c r="P1447" s="71" t="n">
        <v>36888.13</v>
      </c>
      <c r="Q1447" s="71" t="n">
        <v>44462.19</v>
      </c>
      <c r="R1447" t="inlineStr">
        <is>
          <t>Vaccines</t>
        </is>
      </c>
      <c r="S1447" s="70" t="n">
        <v>790</v>
      </c>
      <c r="T1447" s="71" t="n">
        <v>17191.84</v>
      </c>
      <c r="U1447" t="inlineStr">
        <is>
          <t>Low</t>
        </is>
      </c>
      <c r="V1447">
        <f>IF(AND(OR(Dashboard!$C$6="All",E1447=Dashboard!$C$6),OR(Dashboard!$F$6="All",G1447=Dashboard!$F$6),OR(Dashboard!$I$6="All",H1447=Dashboard!$I$6)),1,0)</f>
        <v/>
      </c>
    </row>
    <row r="1448">
      <c r="A1448" t="inlineStr">
        <is>
          <t>PF101439</t>
        </is>
      </c>
      <c r="B1448" s="68" t="n">
        <v>45831</v>
      </c>
      <c r="C1448" s="69" t="n">
        <v>2025</v>
      </c>
      <c r="D1448" t="inlineStr">
        <is>
          <t>Jun</t>
        </is>
      </c>
      <c r="E1448" t="inlineStr">
        <is>
          <t>Emerging markets</t>
        </is>
      </c>
      <c r="F1448" t="inlineStr">
        <is>
          <t>China</t>
        </is>
      </c>
      <c r="G1448" t="inlineStr">
        <is>
          <t>Comirnaty</t>
        </is>
      </c>
      <c r="H1448" t="inlineStr">
        <is>
          <t>Hospital</t>
        </is>
      </c>
      <c r="I1448" t="inlineStr">
        <is>
          <t>Private insurer</t>
        </is>
      </c>
      <c r="J1448" t="inlineStr">
        <is>
          <t>Ana Costa</t>
        </is>
      </c>
      <c r="K1448" s="70" t="n">
        <v>1071</v>
      </c>
      <c r="L1448" s="71" t="n">
        <v>104.99</v>
      </c>
      <c r="M1448" s="71" t="n">
        <v>112444.29</v>
      </c>
      <c r="N1448" s="71" t="n">
        <v>11244.43</v>
      </c>
      <c r="O1448" s="71" t="n">
        <v>101199.86</v>
      </c>
      <c r="P1448" s="71" t="n">
        <v>41323.18</v>
      </c>
      <c r="Q1448" s="71" t="n">
        <v>59876.68</v>
      </c>
      <c r="R1448" t="inlineStr">
        <is>
          <t>Vaccines</t>
        </is>
      </c>
      <c r="S1448" s="70" t="n">
        <v>822</v>
      </c>
      <c r="T1448" s="71" t="n">
        <v>15704.23</v>
      </c>
      <c r="U1448" t="inlineStr">
        <is>
          <t>Low</t>
        </is>
      </c>
      <c r="V1448">
        <f>IF(AND(OR(Dashboard!$C$6="All",E1448=Dashboard!$C$6),OR(Dashboard!$F$6="All",G1448=Dashboard!$F$6),OR(Dashboard!$I$6="All",H1448=Dashboard!$I$6)),1,0)</f>
        <v/>
      </c>
    </row>
    <row r="1449">
      <c r="A1449" t="inlineStr">
        <is>
          <t>PF101440</t>
        </is>
      </c>
      <c r="B1449" s="68" t="n">
        <v>45831</v>
      </c>
      <c r="C1449" s="69" t="n">
        <v>2025</v>
      </c>
      <c r="D1449" t="inlineStr">
        <is>
          <t>Jun</t>
        </is>
      </c>
      <c r="E1449" t="inlineStr">
        <is>
          <t>Emerging markets</t>
        </is>
      </c>
      <c r="F1449" t="inlineStr">
        <is>
          <t>China</t>
        </is>
      </c>
      <c r="G1449" t="inlineStr">
        <is>
          <t>Paxlovid</t>
        </is>
      </c>
      <c r="H1449" t="inlineStr">
        <is>
          <t>Retail pharmacy</t>
        </is>
      </c>
      <c r="I1449" t="inlineStr">
        <is>
          <t>Self-pay</t>
        </is>
      </c>
      <c r="J1449" t="inlineStr">
        <is>
          <t>Liam O'Brien</t>
        </is>
      </c>
      <c r="K1449" s="70" t="n">
        <v>1948</v>
      </c>
      <c r="L1449" s="71" t="n">
        <v>1102.24</v>
      </c>
      <c r="M1449" s="71" t="n">
        <v>2147163.52</v>
      </c>
      <c r="N1449" s="71" t="n">
        <v>429432.7</v>
      </c>
      <c r="O1449" s="71" t="n">
        <v>1717730.82</v>
      </c>
      <c r="P1449" s="71" t="n">
        <v>514669.59</v>
      </c>
      <c r="Q1449" s="71" t="n">
        <v>1203061.23</v>
      </c>
      <c r="R1449" t="inlineStr">
        <is>
          <t>Antiviral</t>
        </is>
      </c>
      <c r="S1449" s="70" t="n">
        <v>1365</v>
      </c>
      <c r="T1449" s="71" t="n">
        <v>415477.81</v>
      </c>
      <c r="U1449" t="inlineStr">
        <is>
          <t>Low</t>
        </is>
      </c>
      <c r="V1449">
        <f>IF(AND(OR(Dashboard!$C$6="All",E1449=Dashboard!$C$6),OR(Dashboard!$F$6="All",G1449=Dashboard!$F$6),OR(Dashboard!$I$6="All",H1449=Dashboard!$I$6)),1,0)</f>
        <v/>
      </c>
    </row>
    <row r="1450">
      <c r="A1450" t="inlineStr">
        <is>
          <t>PF101441</t>
        </is>
      </c>
      <c r="B1450" s="68" t="n">
        <v>45831</v>
      </c>
      <c r="C1450" s="69" t="n">
        <v>2025</v>
      </c>
      <c r="D1450" t="inlineStr">
        <is>
          <t>Jun</t>
        </is>
      </c>
      <c r="E1450" t="inlineStr">
        <is>
          <t>Emerging markets</t>
        </is>
      </c>
      <c r="F1450" t="inlineStr">
        <is>
          <t>India</t>
        </is>
      </c>
      <c r="G1450" t="inlineStr">
        <is>
          <t>Comirnaty</t>
        </is>
      </c>
      <c r="H1450" t="inlineStr">
        <is>
          <t>Retail pharmacy</t>
        </is>
      </c>
      <c r="I1450" t="inlineStr">
        <is>
          <t>Self-pay</t>
        </is>
      </c>
      <c r="J1450" t="inlineStr">
        <is>
          <t>Yuki Sato</t>
        </is>
      </c>
      <c r="K1450" s="70" t="n">
        <v>1156</v>
      </c>
      <c r="L1450" s="71" t="n">
        <v>119.84</v>
      </c>
      <c r="M1450" s="71" t="n">
        <v>138535.04</v>
      </c>
      <c r="N1450" s="71" t="n">
        <v>6926.75</v>
      </c>
      <c r="O1450" s="71" t="n">
        <v>131608.29</v>
      </c>
      <c r="P1450" s="71" t="n">
        <v>45371.78</v>
      </c>
      <c r="Q1450" s="71" t="n">
        <v>86236.50999999999</v>
      </c>
      <c r="R1450" t="inlineStr">
        <is>
          <t>Vaccines</t>
        </is>
      </c>
      <c r="S1450" s="70" t="n">
        <v>733</v>
      </c>
      <c r="T1450" s="71" t="n">
        <v>26972</v>
      </c>
      <c r="U1450" t="inlineStr">
        <is>
          <t>Low</t>
        </is>
      </c>
      <c r="V1450">
        <f>IF(AND(OR(Dashboard!$C$6="All",E1450=Dashboard!$C$6),OR(Dashboard!$F$6="All",G1450=Dashboard!$F$6),OR(Dashboard!$I$6="All",H1450=Dashboard!$I$6)),1,0)</f>
        <v/>
      </c>
    </row>
    <row r="1451">
      <c r="A1451" t="inlineStr">
        <is>
          <t>PF101442</t>
        </is>
      </c>
      <c r="B1451" s="68" t="n">
        <v>45832</v>
      </c>
      <c r="C1451" s="69" t="n">
        <v>2025</v>
      </c>
      <c r="D1451" t="inlineStr">
        <is>
          <t>Jun</t>
        </is>
      </c>
      <c r="E1451" t="inlineStr">
        <is>
          <t>Europe</t>
        </is>
      </c>
      <c r="F1451" t="inlineStr">
        <is>
          <t>Germany</t>
        </is>
      </c>
      <c r="G1451" t="inlineStr">
        <is>
          <t>Comirnaty</t>
        </is>
      </c>
      <c r="H1451" t="inlineStr">
        <is>
          <t>Hospital</t>
        </is>
      </c>
      <c r="I1451" t="inlineStr">
        <is>
          <t>Public payer</t>
        </is>
      </c>
      <c r="J1451" t="inlineStr">
        <is>
          <t>Hiroshi Tanaka</t>
        </is>
      </c>
      <c r="K1451" s="70" t="n">
        <v>250</v>
      </c>
      <c r="L1451" s="71" t="n">
        <v>120.5</v>
      </c>
      <c r="M1451" s="71" t="n">
        <v>30125</v>
      </c>
      <c r="N1451" s="71" t="n">
        <v>4518.75</v>
      </c>
      <c r="O1451" s="71" t="n">
        <v>25606.25</v>
      </c>
      <c r="P1451" s="71" t="n">
        <v>9872.68</v>
      </c>
      <c r="Q1451" s="71" t="n">
        <v>15733.57</v>
      </c>
      <c r="R1451" t="inlineStr">
        <is>
          <t>Vaccines</t>
        </is>
      </c>
      <c r="S1451" s="70" t="n">
        <v>202</v>
      </c>
      <c r="T1451" s="71" t="n">
        <v>3931.71</v>
      </c>
      <c r="U1451" t="inlineStr">
        <is>
          <t>Low</t>
        </is>
      </c>
      <c r="V1451">
        <f>IF(AND(OR(Dashboard!$C$6="All",E1451=Dashboard!$C$6),OR(Dashboard!$F$6="All",G1451=Dashboard!$F$6),OR(Dashboard!$I$6="All",H1451=Dashboard!$I$6)),1,0)</f>
        <v/>
      </c>
    </row>
    <row r="1452">
      <c r="A1452" t="inlineStr">
        <is>
          <t>PF101443</t>
        </is>
      </c>
      <c r="B1452" s="68" t="n">
        <v>45832</v>
      </c>
      <c r="C1452" s="69" t="n">
        <v>2025</v>
      </c>
      <c r="D1452" t="inlineStr">
        <is>
          <t>Jun</t>
        </is>
      </c>
      <c r="E1452" t="inlineStr">
        <is>
          <t>United States</t>
        </is>
      </c>
      <c r="F1452" t="inlineStr">
        <is>
          <t>USA</t>
        </is>
      </c>
      <c r="G1452" t="inlineStr">
        <is>
          <t>Comirnaty</t>
        </is>
      </c>
      <c r="H1452" t="inlineStr">
        <is>
          <t>Retail pharmacy</t>
        </is>
      </c>
      <c r="I1452" t="inlineStr">
        <is>
          <t>Public payer</t>
        </is>
      </c>
      <c r="J1452" t="inlineStr">
        <is>
          <t>Shraddha Kulkarni</t>
        </is>
      </c>
      <c r="K1452" s="70" t="n">
        <v>1684</v>
      </c>
      <c r="L1452" s="71" t="n">
        <v>192.11</v>
      </c>
      <c r="M1452" s="71" t="n">
        <v>323513.24</v>
      </c>
      <c r="N1452" s="71" t="n">
        <v>64702.65</v>
      </c>
      <c r="O1452" s="71" t="n">
        <v>258810.59</v>
      </c>
      <c r="P1452" s="71" t="n">
        <v>66818.11</v>
      </c>
      <c r="Q1452" s="71" t="n">
        <v>191992.48</v>
      </c>
      <c r="R1452" t="inlineStr">
        <is>
          <t>Vaccines</t>
        </is>
      </c>
      <c r="S1452" s="70" t="n">
        <v>1183</v>
      </c>
      <c r="T1452" s="71" t="n">
        <v>43797.53</v>
      </c>
      <c r="U1452" t="inlineStr">
        <is>
          <t>Low</t>
        </is>
      </c>
      <c r="V1452">
        <f>IF(AND(OR(Dashboard!$C$6="All",E1452=Dashboard!$C$6),OR(Dashboard!$F$6="All",G1452=Dashboard!$F$6),OR(Dashboard!$I$6="All",H1452=Dashboard!$I$6)),1,0)</f>
        <v/>
      </c>
    </row>
    <row r="1453">
      <c r="A1453" t="inlineStr">
        <is>
          <t>PF101444</t>
        </is>
      </c>
      <c r="B1453" s="68" t="n">
        <v>45832</v>
      </c>
      <c r="C1453" s="69" t="n">
        <v>2025</v>
      </c>
      <c r="D1453" t="inlineStr">
        <is>
          <t>Jun</t>
        </is>
      </c>
      <c r="E1453" t="inlineStr">
        <is>
          <t>Europe</t>
        </is>
      </c>
      <c r="F1453" t="inlineStr">
        <is>
          <t>Germany</t>
        </is>
      </c>
      <c r="G1453" t="inlineStr">
        <is>
          <t>Xeljanz</t>
        </is>
      </c>
      <c r="H1453" t="inlineStr">
        <is>
          <t>Hospital</t>
        </is>
      </c>
      <c r="I1453" t="inlineStr">
        <is>
          <t>Public payer</t>
        </is>
      </c>
      <c r="J1453" t="inlineStr">
        <is>
          <t>Wei Chen</t>
        </is>
      </c>
      <c r="K1453" s="70" t="n">
        <v>2768</v>
      </c>
      <c r="L1453" s="71" t="n">
        <v>1297.17</v>
      </c>
      <c r="M1453" s="71" t="n">
        <v>3590566.56</v>
      </c>
      <c r="N1453" s="71" t="n">
        <v>718113.3100000001</v>
      </c>
      <c r="O1453" s="71" t="n">
        <v>2872453.25</v>
      </c>
      <c r="P1453" s="71" t="n">
        <v>700256.88</v>
      </c>
      <c r="Q1453" s="71" t="n">
        <v>2172196.37</v>
      </c>
      <c r="R1453" t="inlineStr">
        <is>
          <t>Inflammation</t>
        </is>
      </c>
      <c r="S1453" s="70" t="n">
        <v>2043</v>
      </c>
      <c r="T1453" s="71" t="n">
        <v>647647.9300000001</v>
      </c>
      <c r="U1453" t="inlineStr">
        <is>
          <t>High</t>
        </is>
      </c>
      <c r="V1453">
        <f>IF(AND(OR(Dashboard!$C$6="All",E1453=Dashboard!$C$6),OR(Dashboard!$F$6="All",G1453=Dashboard!$F$6),OR(Dashboard!$I$6="All",H1453=Dashboard!$I$6)),1,0)</f>
        <v/>
      </c>
    </row>
    <row r="1454">
      <c r="A1454" t="inlineStr">
        <is>
          <t>PF101445</t>
        </is>
      </c>
      <c r="B1454" s="68" t="n">
        <v>45832</v>
      </c>
      <c r="C1454" s="69" t="n">
        <v>2025</v>
      </c>
      <c r="D1454" t="inlineStr">
        <is>
          <t>Jun</t>
        </is>
      </c>
      <c r="E1454" t="inlineStr">
        <is>
          <t>United States</t>
        </is>
      </c>
      <c r="F1454" t="inlineStr">
        <is>
          <t>USA</t>
        </is>
      </c>
      <c r="G1454" t="inlineStr">
        <is>
          <t>Eliquis</t>
        </is>
      </c>
      <c r="H1454" t="inlineStr">
        <is>
          <t>Government / tender</t>
        </is>
      </c>
      <c r="I1454" t="inlineStr">
        <is>
          <t>Public payer</t>
        </is>
      </c>
      <c r="J1454" t="inlineStr">
        <is>
          <t>Priya Nair</t>
        </is>
      </c>
      <c r="K1454" s="70" t="n">
        <v>2301</v>
      </c>
      <c r="L1454" s="71" t="n">
        <v>690.54</v>
      </c>
      <c r="M1454" s="71" t="n">
        <v>1588932.54</v>
      </c>
      <c r="N1454" s="71" t="n">
        <v>317786.51</v>
      </c>
      <c r="O1454" s="71" t="n">
        <v>1271146.03</v>
      </c>
      <c r="P1454" s="71" t="n">
        <v>169529.85</v>
      </c>
      <c r="Q1454" s="71" t="n">
        <v>1101616.18</v>
      </c>
      <c r="R1454" t="inlineStr">
        <is>
          <t>Cardiology</t>
        </is>
      </c>
      <c r="S1454" s="70" t="n">
        <v>1785</v>
      </c>
      <c r="T1454" s="71" t="n">
        <v>255378.97</v>
      </c>
      <c r="U1454" t="inlineStr">
        <is>
          <t>High</t>
        </is>
      </c>
      <c r="V1454">
        <f>IF(AND(OR(Dashboard!$C$6="All",E1454=Dashboard!$C$6),OR(Dashboard!$F$6="All",G1454=Dashboard!$F$6),OR(Dashboard!$I$6="All",H1454=Dashboard!$I$6)),1,0)</f>
        <v/>
      </c>
    </row>
    <row r="1455">
      <c r="A1455" t="inlineStr">
        <is>
          <t>PF101446</t>
        </is>
      </c>
      <c r="B1455" s="68" t="n">
        <v>45832</v>
      </c>
      <c r="C1455" s="69" t="n">
        <v>2025</v>
      </c>
      <c r="D1455" t="inlineStr">
        <is>
          <t>Jun</t>
        </is>
      </c>
      <c r="E1455" t="inlineStr">
        <is>
          <t>United States</t>
        </is>
      </c>
      <c r="F1455" t="inlineStr">
        <is>
          <t>USA</t>
        </is>
      </c>
      <c r="G1455" t="inlineStr">
        <is>
          <t>Xeljanz</t>
        </is>
      </c>
      <c r="H1455" t="inlineStr">
        <is>
          <t>Hospital</t>
        </is>
      </c>
      <c r="I1455" t="inlineStr">
        <is>
          <t>Private insurer</t>
        </is>
      </c>
      <c r="J1455" t="inlineStr">
        <is>
          <t>Aisha Bello</t>
        </is>
      </c>
      <c r="K1455" s="70" t="n">
        <v>555</v>
      </c>
      <c r="L1455" s="71" t="n">
        <v>2084.61</v>
      </c>
      <c r="M1455" s="71" t="n">
        <v>1156958.55</v>
      </c>
      <c r="N1455" s="71" t="n">
        <v>231391.71</v>
      </c>
      <c r="O1455" s="71" t="n">
        <v>925566.84</v>
      </c>
      <c r="P1455" s="71" t="n">
        <v>142707.47</v>
      </c>
      <c r="Q1455" s="71" t="n">
        <v>782859.37</v>
      </c>
      <c r="R1455" t="inlineStr">
        <is>
          <t>Inflammation</t>
        </is>
      </c>
      <c r="S1455" s="70" t="n">
        <v>385</v>
      </c>
      <c r="T1455" s="71" t="n">
        <v>213290.2</v>
      </c>
      <c r="U1455" t="inlineStr">
        <is>
          <t>High</t>
        </is>
      </c>
      <c r="V1455">
        <f>IF(AND(OR(Dashboard!$C$6="All",E1455=Dashboard!$C$6),OR(Dashboard!$F$6="All",G1455=Dashboard!$F$6),OR(Dashboard!$I$6="All",H1455=Dashboard!$I$6)),1,0)</f>
        <v/>
      </c>
    </row>
    <row r="1456">
      <c r="A1456" t="inlineStr">
        <is>
          <t>PF101447</t>
        </is>
      </c>
      <c r="B1456" s="68" t="n">
        <v>45832</v>
      </c>
      <c r="C1456" s="69" t="n">
        <v>2025</v>
      </c>
      <c r="D1456" t="inlineStr">
        <is>
          <t>Jun</t>
        </is>
      </c>
      <c r="E1456" t="inlineStr">
        <is>
          <t>Emerging markets</t>
        </is>
      </c>
      <c r="F1456" t="inlineStr">
        <is>
          <t>Mexico</t>
        </is>
      </c>
      <c r="G1456" t="inlineStr">
        <is>
          <t>Paxlovid</t>
        </is>
      </c>
      <c r="H1456" t="inlineStr">
        <is>
          <t>Retail pharmacy</t>
        </is>
      </c>
      <c r="I1456" t="inlineStr">
        <is>
          <t>Private insurer</t>
        </is>
      </c>
      <c r="J1456" t="inlineStr">
        <is>
          <t>Yuki Sato</t>
        </is>
      </c>
      <c r="K1456" s="70" t="n">
        <v>1417</v>
      </c>
      <c r="L1456" s="71" t="n">
        <v>1103.09</v>
      </c>
      <c r="M1456" s="71" t="n">
        <v>1563078.53</v>
      </c>
      <c r="N1456" s="71" t="n">
        <v>156307.85</v>
      </c>
      <c r="O1456" s="71" t="n">
        <v>1406770.68</v>
      </c>
      <c r="P1456" s="71" t="n">
        <v>400120.96</v>
      </c>
      <c r="Q1456" s="71" t="n">
        <v>1006649.72</v>
      </c>
      <c r="R1456" t="inlineStr">
        <is>
          <t>Antiviral</t>
        </is>
      </c>
      <c r="S1456" s="70" t="n">
        <v>1179</v>
      </c>
      <c r="T1456" s="71" t="n">
        <v>276308.41</v>
      </c>
      <c r="U1456" t="inlineStr">
        <is>
          <t>Low</t>
        </is>
      </c>
      <c r="V1456">
        <f>IF(AND(OR(Dashboard!$C$6="All",E1456=Dashboard!$C$6),OR(Dashboard!$F$6="All",G1456=Dashboard!$F$6),OR(Dashboard!$I$6="All",H1456=Dashboard!$I$6)),1,0)</f>
        <v/>
      </c>
    </row>
    <row r="1457">
      <c r="A1457" t="inlineStr">
        <is>
          <t>PF101448</t>
        </is>
      </c>
      <c r="B1457" s="68" t="n">
        <v>45832</v>
      </c>
      <c r="C1457" s="69" t="n">
        <v>2025</v>
      </c>
      <c r="D1457" t="inlineStr">
        <is>
          <t>Jun</t>
        </is>
      </c>
      <c r="E1457" t="inlineStr">
        <is>
          <t>United States</t>
        </is>
      </c>
      <c r="F1457" t="inlineStr">
        <is>
          <t>USA</t>
        </is>
      </c>
      <c r="G1457" t="inlineStr">
        <is>
          <t>Prevnar 20</t>
        </is>
      </c>
      <c r="H1457" t="inlineStr">
        <is>
          <t>Hospital</t>
        </is>
      </c>
      <c r="I1457" t="inlineStr">
        <is>
          <t>Private insurer</t>
        </is>
      </c>
      <c r="J1457" t="inlineStr">
        <is>
          <t>Priya Nair</t>
        </is>
      </c>
      <c r="K1457" s="70" t="n">
        <v>1817</v>
      </c>
      <c r="L1457" s="71" t="n">
        <v>352.48</v>
      </c>
      <c r="M1457" s="71" t="n">
        <v>640456.16</v>
      </c>
      <c r="N1457" s="71" t="n">
        <v>224159.66</v>
      </c>
      <c r="O1457" s="71" t="n">
        <v>416296.5</v>
      </c>
      <c r="P1457" s="71" t="n">
        <v>122519.07</v>
      </c>
      <c r="Q1457" s="71" t="n">
        <v>293777.43</v>
      </c>
      <c r="R1457" t="inlineStr">
        <is>
          <t>Vaccines</t>
        </is>
      </c>
      <c r="S1457" s="70" t="n">
        <v>1183</v>
      </c>
      <c r="T1457" s="71" t="n">
        <v>130582.78</v>
      </c>
      <c r="U1457" t="inlineStr">
        <is>
          <t>Low</t>
        </is>
      </c>
      <c r="V1457">
        <f>IF(AND(OR(Dashboard!$C$6="All",E1457=Dashboard!$C$6),OR(Dashboard!$F$6="All",G1457=Dashboard!$F$6),OR(Dashboard!$I$6="All",H1457=Dashboard!$I$6)),1,0)</f>
        <v/>
      </c>
    </row>
    <row r="1458">
      <c r="A1458" t="inlineStr">
        <is>
          <t>PF101449</t>
        </is>
      </c>
      <c r="B1458" s="68" t="n">
        <v>45832</v>
      </c>
      <c r="C1458" s="69" t="n">
        <v>2025</v>
      </c>
      <c r="D1458" t="inlineStr">
        <is>
          <t>Jun</t>
        </is>
      </c>
      <c r="E1458" t="inlineStr">
        <is>
          <t>Emerging markets</t>
        </is>
      </c>
      <c r="F1458" t="inlineStr">
        <is>
          <t>China</t>
        </is>
      </c>
      <c r="G1458" t="inlineStr">
        <is>
          <t>Xeljanz</t>
        </is>
      </c>
      <c r="H1458" t="inlineStr">
        <is>
          <t>Government / tender</t>
        </is>
      </c>
      <c r="I1458" t="inlineStr">
        <is>
          <t>Public payer</t>
        </is>
      </c>
      <c r="J1458" t="inlineStr">
        <is>
          <t>Noah Smith</t>
        </is>
      </c>
      <c r="K1458" s="70" t="n">
        <v>1910</v>
      </c>
      <c r="L1458" s="71" t="n">
        <v>1298.78</v>
      </c>
      <c r="M1458" s="71" t="n">
        <v>2480669.8</v>
      </c>
      <c r="N1458" s="71" t="n">
        <v>620167.45</v>
      </c>
      <c r="O1458" s="71" t="n">
        <v>1860502.35</v>
      </c>
      <c r="P1458" s="71" t="n">
        <v>499136.28</v>
      </c>
      <c r="Q1458" s="71" t="n">
        <v>1361366.07</v>
      </c>
      <c r="R1458" t="inlineStr">
        <is>
          <t>Inflammation</t>
        </is>
      </c>
      <c r="S1458" s="70" t="n">
        <v>1319</v>
      </c>
      <c r="T1458" s="71" t="n">
        <v>496906.06</v>
      </c>
      <c r="U1458" t="inlineStr">
        <is>
          <t>High</t>
        </is>
      </c>
      <c r="V1458">
        <f>IF(AND(OR(Dashboard!$C$6="All",E1458=Dashboard!$C$6),OR(Dashboard!$F$6="All",G1458=Dashboard!$F$6),OR(Dashboard!$I$6="All",H1458=Dashboard!$I$6)),1,0)</f>
        <v/>
      </c>
    </row>
    <row r="1459">
      <c r="A1459" t="inlineStr">
        <is>
          <t>PF101450</t>
        </is>
      </c>
      <c r="B1459" s="68" t="n">
        <v>45832</v>
      </c>
      <c r="C1459" s="69" t="n">
        <v>2025</v>
      </c>
      <c r="D1459" t="inlineStr">
        <is>
          <t>Jun</t>
        </is>
      </c>
      <c r="E1459" t="inlineStr">
        <is>
          <t>Europe</t>
        </is>
      </c>
      <c r="F1459" t="inlineStr">
        <is>
          <t>Germany</t>
        </is>
      </c>
      <c r="G1459" t="inlineStr">
        <is>
          <t>Vyndaqel</t>
        </is>
      </c>
      <c r="H1459" t="inlineStr">
        <is>
          <t>Retail pharmacy</t>
        </is>
      </c>
      <c r="I1459" t="inlineStr">
        <is>
          <t>Private insurer</t>
        </is>
      </c>
      <c r="J1459" t="inlineStr">
        <is>
          <t>Arjun Mehta</t>
        </is>
      </c>
      <c r="K1459" s="70" t="n">
        <v>2090</v>
      </c>
      <c r="L1459" s="71" t="n">
        <v>4724.38</v>
      </c>
      <c r="M1459" s="71" t="n">
        <v>9873954.199999999</v>
      </c>
      <c r="N1459" s="71" t="n">
        <v>493697.71</v>
      </c>
      <c r="O1459" s="71" t="n">
        <v>9380256.49</v>
      </c>
      <c r="P1459" s="71" t="n">
        <v>1303086.03</v>
      </c>
      <c r="Q1459" s="71" t="n">
        <v>8077170.46</v>
      </c>
      <c r="R1459" t="inlineStr">
        <is>
          <t>Rare disease</t>
        </is>
      </c>
      <c r="S1459" s="70" t="n">
        <v>1523</v>
      </c>
      <c r="T1459" s="71" t="n">
        <v>1336624.75</v>
      </c>
      <c r="U1459" t="inlineStr">
        <is>
          <t>Medium</t>
        </is>
      </c>
      <c r="V1459">
        <f>IF(AND(OR(Dashboard!$C$6="All",E1459=Dashboard!$C$6),OR(Dashboard!$F$6="All",G1459=Dashboard!$F$6),OR(Dashboard!$I$6="All",H1459=Dashboard!$I$6)),1,0)</f>
        <v/>
      </c>
    </row>
    <row r="1460">
      <c r="A1460" t="inlineStr">
        <is>
          <t>PF101451</t>
        </is>
      </c>
      <c r="B1460" s="68" t="n">
        <v>45832</v>
      </c>
      <c r="C1460" s="69" t="n">
        <v>2025</v>
      </c>
      <c r="D1460" t="inlineStr">
        <is>
          <t>Jun</t>
        </is>
      </c>
      <c r="E1460" t="inlineStr">
        <is>
          <t>United States</t>
        </is>
      </c>
      <c r="F1460" t="inlineStr">
        <is>
          <t>USA</t>
        </is>
      </c>
      <c r="G1460" t="inlineStr">
        <is>
          <t>Eliquis</t>
        </is>
      </c>
      <c r="H1460" t="inlineStr">
        <is>
          <t>Hospital</t>
        </is>
      </c>
      <c r="I1460" t="inlineStr">
        <is>
          <t>Private insurer</t>
        </is>
      </c>
      <c r="J1460" t="inlineStr">
        <is>
          <t>Wei Chen</t>
        </is>
      </c>
      <c r="K1460" s="70" t="n">
        <v>1992</v>
      </c>
      <c r="L1460" s="71" t="n">
        <v>706.72</v>
      </c>
      <c r="M1460" s="71" t="n">
        <v>1407786.24</v>
      </c>
      <c r="N1460" s="71" t="n">
        <v>422335.87</v>
      </c>
      <c r="O1460" s="71" t="n">
        <v>985450.37</v>
      </c>
      <c r="P1460" s="71" t="n">
        <v>148366.14</v>
      </c>
      <c r="Q1460" s="71" t="n">
        <v>837084.23</v>
      </c>
      <c r="R1460" t="inlineStr">
        <is>
          <t>Cardiology</t>
        </is>
      </c>
      <c r="S1460" s="70" t="n">
        <v>1296</v>
      </c>
      <c r="T1460" s="71" t="n">
        <v>215589.76</v>
      </c>
      <c r="U1460" t="inlineStr">
        <is>
          <t>High</t>
        </is>
      </c>
      <c r="V1460">
        <f>IF(AND(OR(Dashboard!$C$6="All",E1460=Dashboard!$C$6),OR(Dashboard!$F$6="All",G1460=Dashboard!$F$6),OR(Dashboard!$I$6="All",H1460=Dashboard!$I$6)),1,0)</f>
        <v/>
      </c>
    </row>
    <row r="1461">
      <c r="A1461" t="inlineStr">
        <is>
          <t>PF101452</t>
        </is>
      </c>
      <c r="B1461" s="68" t="n">
        <v>45832</v>
      </c>
      <c r="C1461" s="69" t="n">
        <v>2025</v>
      </c>
      <c r="D1461" t="inlineStr">
        <is>
          <t>Jun</t>
        </is>
      </c>
      <c r="E1461" t="inlineStr">
        <is>
          <t>United States</t>
        </is>
      </c>
      <c r="F1461" t="inlineStr">
        <is>
          <t>USA</t>
        </is>
      </c>
      <c r="G1461" t="inlineStr">
        <is>
          <t>Abrysvo</t>
        </is>
      </c>
      <c r="H1461" t="inlineStr">
        <is>
          <t>Government / tender</t>
        </is>
      </c>
      <c r="I1461" t="inlineStr">
        <is>
          <t>Self-pay</t>
        </is>
      </c>
      <c r="J1461" t="inlineStr">
        <is>
          <t>Ravindra Patil</t>
        </is>
      </c>
      <c r="K1461" s="70" t="n">
        <v>1275</v>
      </c>
      <c r="L1461" s="71" t="n">
        <v>451.84</v>
      </c>
      <c r="M1461" s="71" t="n">
        <v>576096</v>
      </c>
      <c r="N1461" s="71" t="n">
        <v>201633.6</v>
      </c>
      <c r="O1461" s="71" t="n">
        <v>374462.4</v>
      </c>
      <c r="P1461" s="71" t="n">
        <v>108243.11</v>
      </c>
      <c r="Q1461" s="71" t="n">
        <v>266219.29</v>
      </c>
      <c r="R1461" t="inlineStr">
        <is>
          <t>Vaccines</t>
        </is>
      </c>
      <c r="S1461" s="70" t="n">
        <v>1024</v>
      </c>
      <c r="T1461" s="71" t="n">
        <v>90090.83</v>
      </c>
      <c r="U1461" t="inlineStr">
        <is>
          <t>Low</t>
        </is>
      </c>
      <c r="V1461">
        <f>IF(AND(OR(Dashboard!$C$6="All",E1461=Dashboard!$C$6),OR(Dashboard!$F$6="All",G1461=Dashboard!$F$6),OR(Dashboard!$I$6="All",H1461=Dashboard!$I$6)),1,0)</f>
        <v/>
      </c>
    </row>
    <row r="1462">
      <c r="A1462" t="inlineStr">
        <is>
          <t>PF101453</t>
        </is>
      </c>
      <c r="B1462" s="68" t="n">
        <v>45833</v>
      </c>
      <c r="C1462" s="69" t="n">
        <v>2025</v>
      </c>
      <c r="D1462" t="inlineStr">
        <is>
          <t>Jun</t>
        </is>
      </c>
      <c r="E1462" t="inlineStr">
        <is>
          <t>United States</t>
        </is>
      </c>
      <c r="F1462" t="inlineStr">
        <is>
          <t>USA</t>
        </is>
      </c>
      <c r="G1462" t="inlineStr">
        <is>
          <t>Eliquis</t>
        </is>
      </c>
      <c r="H1462" t="inlineStr">
        <is>
          <t>Hospital</t>
        </is>
      </c>
      <c r="I1462" t="inlineStr">
        <is>
          <t>Public payer</t>
        </is>
      </c>
      <c r="J1462" t="inlineStr">
        <is>
          <t>Ruhi Shaikh</t>
        </is>
      </c>
      <c r="K1462" s="70" t="n">
        <v>2634</v>
      </c>
      <c r="L1462" s="71" t="n">
        <v>677.71</v>
      </c>
      <c r="M1462" s="71" t="n">
        <v>1785088.14</v>
      </c>
      <c r="N1462" s="71" t="n">
        <v>535526.4399999999</v>
      </c>
      <c r="O1462" s="71" t="n">
        <v>1249561.7</v>
      </c>
      <c r="P1462" s="71" t="n">
        <v>203269.69</v>
      </c>
      <c r="Q1462" s="71" t="n">
        <v>1046292.01</v>
      </c>
      <c r="R1462" t="inlineStr">
        <is>
          <t>Cardiology</t>
        </is>
      </c>
      <c r="S1462" s="70" t="n">
        <v>1829</v>
      </c>
      <c r="T1462" s="71" t="n">
        <v>331761.77</v>
      </c>
      <c r="U1462" t="inlineStr">
        <is>
          <t>High</t>
        </is>
      </c>
      <c r="V1462">
        <f>IF(AND(OR(Dashboard!$C$6="All",E1462=Dashboard!$C$6),OR(Dashboard!$F$6="All",G1462=Dashboard!$F$6),OR(Dashboard!$I$6="All",H1462=Dashboard!$I$6)),1,0)</f>
        <v/>
      </c>
    </row>
    <row r="1463">
      <c r="A1463" t="inlineStr">
        <is>
          <t>PF101454</t>
        </is>
      </c>
      <c r="B1463" s="68" t="n">
        <v>45833</v>
      </c>
      <c r="C1463" s="69" t="n">
        <v>2025</v>
      </c>
      <c r="D1463" t="inlineStr">
        <is>
          <t>Jun</t>
        </is>
      </c>
      <c r="E1463" t="inlineStr">
        <is>
          <t>United States</t>
        </is>
      </c>
      <c r="F1463" t="inlineStr">
        <is>
          <t>USA</t>
        </is>
      </c>
      <c r="G1463" t="inlineStr">
        <is>
          <t>Ibrance</t>
        </is>
      </c>
      <c r="H1463" t="inlineStr">
        <is>
          <t>Retail pharmacy</t>
        </is>
      </c>
      <c r="I1463" t="inlineStr">
        <is>
          <t>Private insurer</t>
        </is>
      </c>
      <c r="J1463" t="inlineStr">
        <is>
          <t>Aisha Bello</t>
        </is>
      </c>
      <c r="K1463" s="70" t="n">
        <v>2602</v>
      </c>
      <c r="L1463" s="71" t="n">
        <v>4429.7</v>
      </c>
      <c r="M1463" s="71" t="n">
        <v>11526079.4</v>
      </c>
      <c r="N1463" s="71" t="n">
        <v>2305215.88</v>
      </c>
      <c r="O1463" s="71" t="n">
        <v>9220863.52</v>
      </c>
      <c r="P1463" s="71" t="n">
        <v>1149635.22</v>
      </c>
      <c r="Q1463" s="71" t="n">
        <v>8071228.3</v>
      </c>
      <c r="R1463" t="inlineStr">
        <is>
          <t>Oncology</t>
        </is>
      </c>
      <c r="S1463" s="70" t="n">
        <v>2187</v>
      </c>
      <c r="T1463" s="71" t="n">
        <v>1543601.42</v>
      </c>
      <c r="U1463" t="inlineStr">
        <is>
          <t>High</t>
        </is>
      </c>
      <c r="V1463">
        <f>IF(AND(OR(Dashboard!$C$6="All",E1463=Dashboard!$C$6),OR(Dashboard!$F$6="All",G1463=Dashboard!$F$6),OR(Dashboard!$I$6="All",H1463=Dashboard!$I$6)),1,0)</f>
        <v/>
      </c>
    </row>
    <row r="1464">
      <c r="A1464" t="inlineStr">
        <is>
          <t>PF101455</t>
        </is>
      </c>
      <c r="B1464" s="68" t="n">
        <v>45833</v>
      </c>
      <c r="C1464" s="69" t="n">
        <v>2025</v>
      </c>
      <c r="D1464" t="inlineStr">
        <is>
          <t>Jun</t>
        </is>
      </c>
      <c r="E1464" t="inlineStr">
        <is>
          <t>Europe</t>
        </is>
      </c>
      <c r="F1464" t="inlineStr">
        <is>
          <t>Germany</t>
        </is>
      </c>
      <c r="G1464" t="inlineStr">
        <is>
          <t>Eliquis</t>
        </is>
      </c>
      <c r="H1464" t="inlineStr">
        <is>
          <t>Retail pharmacy</t>
        </is>
      </c>
      <c r="I1464" t="inlineStr">
        <is>
          <t>Private insurer</t>
        </is>
      </c>
      <c r="J1464" t="inlineStr">
        <is>
          <t>Carlos Silva</t>
        </is>
      </c>
      <c r="K1464" s="70" t="n">
        <v>388</v>
      </c>
      <c r="L1464" s="71" t="n">
        <v>455.15</v>
      </c>
      <c r="M1464" s="71" t="n">
        <v>176598.2</v>
      </c>
      <c r="N1464" s="71" t="n">
        <v>26489.73</v>
      </c>
      <c r="O1464" s="71" t="n">
        <v>150108.47</v>
      </c>
      <c r="P1464" s="71" t="n">
        <v>29233.82</v>
      </c>
      <c r="Q1464" s="71" t="n">
        <v>120874.65</v>
      </c>
      <c r="R1464" t="inlineStr">
        <is>
          <t>Cardiology</t>
        </is>
      </c>
      <c r="S1464" s="70" t="n">
        <v>296</v>
      </c>
      <c r="T1464" s="71" t="n">
        <v>31551.26</v>
      </c>
      <c r="U1464" t="inlineStr">
        <is>
          <t>High</t>
        </is>
      </c>
      <c r="V1464">
        <f>IF(AND(OR(Dashboard!$C$6="All",E1464=Dashboard!$C$6),OR(Dashboard!$F$6="All",G1464=Dashboard!$F$6),OR(Dashboard!$I$6="All",H1464=Dashboard!$I$6)),1,0)</f>
        <v/>
      </c>
    </row>
    <row r="1465">
      <c r="A1465" t="inlineStr">
        <is>
          <t>PF101456</t>
        </is>
      </c>
      <c r="B1465" s="68" t="n">
        <v>45833</v>
      </c>
      <c r="C1465" s="69" t="n">
        <v>2025</v>
      </c>
      <c r="D1465" t="inlineStr">
        <is>
          <t>Jun</t>
        </is>
      </c>
      <c r="E1465" t="inlineStr">
        <is>
          <t>United States</t>
        </is>
      </c>
      <c r="F1465" t="inlineStr">
        <is>
          <t>USA</t>
        </is>
      </c>
      <c r="G1465" t="inlineStr">
        <is>
          <t>Prevnar 20</t>
        </is>
      </c>
      <c r="H1465" t="inlineStr">
        <is>
          <t>Hospital</t>
        </is>
      </c>
      <c r="I1465" t="inlineStr">
        <is>
          <t>Private insurer</t>
        </is>
      </c>
      <c r="J1465" t="inlineStr">
        <is>
          <t>Sara Rossi</t>
        </is>
      </c>
      <c r="K1465" s="70" t="n">
        <v>2998</v>
      </c>
      <c r="L1465" s="71" t="n">
        <v>337.6</v>
      </c>
      <c r="M1465" s="71" t="n">
        <v>1012124.8</v>
      </c>
      <c r="N1465" s="71" t="n">
        <v>202424.96</v>
      </c>
      <c r="O1465" s="71" t="n">
        <v>809699.84</v>
      </c>
      <c r="P1465" s="71" t="n">
        <v>201472.78</v>
      </c>
      <c r="Q1465" s="71" t="n">
        <v>608227.0600000001</v>
      </c>
      <c r="R1465" t="inlineStr">
        <is>
          <t>Vaccines</t>
        </is>
      </c>
      <c r="S1465" s="70" t="n">
        <v>2617</v>
      </c>
      <c r="T1465" s="71" t="n">
        <v>148654.31</v>
      </c>
      <c r="U1465" t="inlineStr">
        <is>
          <t>Low</t>
        </is>
      </c>
      <c r="V1465">
        <f>IF(AND(OR(Dashboard!$C$6="All",E1465=Dashboard!$C$6),OR(Dashboard!$F$6="All",G1465=Dashboard!$F$6),OR(Dashboard!$I$6="All",H1465=Dashboard!$I$6)),1,0)</f>
        <v/>
      </c>
    </row>
    <row r="1466">
      <c r="A1466" t="inlineStr">
        <is>
          <t>PF101457</t>
        </is>
      </c>
      <c r="B1466" s="68" t="n">
        <v>45834</v>
      </c>
      <c r="C1466" s="69" t="n">
        <v>2025</v>
      </c>
      <c r="D1466" t="inlineStr">
        <is>
          <t>Jun</t>
        </is>
      </c>
      <c r="E1466" t="inlineStr">
        <is>
          <t>International developed</t>
        </is>
      </c>
      <c r="F1466" t="inlineStr">
        <is>
          <t>Australia</t>
        </is>
      </c>
      <c r="G1466" t="inlineStr">
        <is>
          <t>Ibrance</t>
        </is>
      </c>
      <c r="H1466" t="inlineStr">
        <is>
          <t>Hospital</t>
        </is>
      </c>
      <c r="I1466" t="inlineStr">
        <is>
          <t>Private insurer</t>
        </is>
      </c>
      <c r="J1466" t="inlineStr">
        <is>
          <t>Hiroshi Tanaka</t>
        </is>
      </c>
      <c r="K1466" s="70" t="n">
        <v>298</v>
      </c>
      <c r="L1466" s="71" t="n">
        <v>3144.96</v>
      </c>
      <c r="M1466" s="71" t="n">
        <v>937198.08</v>
      </c>
      <c r="N1466" s="71" t="n">
        <v>187439.62</v>
      </c>
      <c r="O1466" s="71" t="n">
        <v>749758.46</v>
      </c>
      <c r="P1466" s="71" t="n">
        <v>130686.86</v>
      </c>
      <c r="Q1466" s="71" t="n">
        <v>619071.6</v>
      </c>
      <c r="R1466" t="inlineStr">
        <is>
          <t>Oncology</t>
        </is>
      </c>
      <c r="S1466" s="70" t="n">
        <v>230</v>
      </c>
      <c r="T1466" s="71" t="n">
        <v>138562.49</v>
      </c>
      <c r="U1466" t="inlineStr">
        <is>
          <t>High</t>
        </is>
      </c>
      <c r="V1466">
        <f>IF(AND(OR(Dashboard!$C$6="All",E1466=Dashboard!$C$6),OR(Dashboard!$F$6="All",G1466=Dashboard!$F$6),OR(Dashboard!$I$6="All",H1466=Dashboard!$I$6)),1,0)</f>
        <v/>
      </c>
    </row>
    <row r="1467">
      <c r="A1467" t="inlineStr">
        <is>
          <t>PF101458</t>
        </is>
      </c>
      <c r="B1467" s="68" t="n">
        <v>45834</v>
      </c>
      <c r="C1467" s="69" t="n">
        <v>2025</v>
      </c>
      <c r="D1467" t="inlineStr">
        <is>
          <t>Jun</t>
        </is>
      </c>
      <c r="E1467" t="inlineStr">
        <is>
          <t>Emerging markets</t>
        </is>
      </c>
      <c r="F1467" t="inlineStr">
        <is>
          <t>Mexico</t>
        </is>
      </c>
      <c r="G1467" t="inlineStr">
        <is>
          <t>Prevnar 20</t>
        </is>
      </c>
      <c r="H1467" t="inlineStr">
        <is>
          <t>Hospital</t>
        </is>
      </c>
      <c r="I1467" t="inlineStr">
        <is>
          <t>Public payer</t>
        </is>
      </c>
      <c r="J1467" t="inlineStr">
        <is>
          <t>Fatima Al-Saud</t>
        </is>
      </c>
      <c r="K1467" s="70" t="n">
        <v>2552</v>
      </c>
      <c r="L1467" s="71" t="n">
        <v>233.3</v>
      </c>
      <c r="M1467" s="71" t="n">
        <v>595381.6</v>
      </c>
      <c r="N1467" s="71" t="n">
        <v>148845.4</v>
      </c>
      <c r="O1467" s="71" t="n">
        <v>446536.2</v>
      </c>
      <c r="P1467" s="71" t="n">
        <v>182346.88</v>
      </c>
      <c r="Q1467" s="71" t="n">
        <v>264189.32</v>
      </c>
      <c r="R1467" t="inlineStr">
        <is>
          <t>Vaccines</t>
        </is>
      </c>
      <c r="S1467" s="70" t="n">
        <v>1686</v>
      </c>
      <c r="T1467" s="71" t="n">
        <v>72444.63</v>
      </c>
      <c r="U1467" t="inlineStr">
        <is>
          <t>Low</t>
        </is>
      </c>
      <c r="V1467">
        <f>IF(AND(OR(Dashboard!$C$6="All",E1467=Dashboard!$C$6),OR(Dashboard!$F$6="All",G1467=Dashboard!$F$6),OR(Dashboard!$I$6="All",H1467=Dashboard!$I$6)),1,0)</f>
        <v/>
      </c>
    </row>
    <row r="1468">
      <c r="A1468" t="inlineStr">
        <is>
          <t>PF101459</t>
        </is>
      </c>
      <c r="B1468" s="68" t="n">
        <v>45834</v>
      </c>
      <c r="C1468" s="69" t="n">
        <v>2025</v>
      </c>
      <c r="D1468" t="inlineStr">
        <is>
          <t>Jun</t>
        </is>
      </c>
      <c r="E1468" t="inlineStr">
        <is>
          <t>Europe</t>
        </is>
      </c>
      <c r="F1468" t="inlineStr">
        <is>
          <t>Germany</t>
        </is>
      </c>
      <c r="G1468" t="inlineStr">
        <is>
          <t>Prevnar 20</t>
        </is>
      </c>
      <c r="H1468" t="inlineStr">
        <is>
          <t>Retail pharmacy</t>
        </is>
      </c>
      <c r="I1468" t="inlineStr">
        <is>
          <t>Public payer</t>
        </is>
      </c>
      <c r="J1468" t="inlineStr">
        <is>
          <t>Yuki Sato</t>
        </is>
      </c>
      <c r="K1468" s="70" t="n">
        <v>929</v>
      </c>
      <c r="L1468" s="71" t="n">
        <v>252.85</v>
      </c>
      <c r="M1468" s="71" t="n">
        <v>234897.65</v>
      </c>
      <c r="N1468" s="71" t="n">
        <v>11744.88</v>
      </c>
      <c r="O1468" s="71" t="n">
        <v>223152.77</v>
      </c>
      <c r="P1468" s="71" t="n">
        <v>65168.39</v>
      </c>
      <c r="Q1468" s="71" t="n">
        <v>157984.38</v>
      </c>
      <c r="R1468" t="inlineStr">
        <is>
          <t>Vaccines</t>
        </is>
      </c>
      <c r="S1468" s="70" t="n">
        <v>620</v>
      </c>
      <c r="T1468" s="71" t="n">
        <v>29851.2</v>
      </c>
      <c r="U1468" t="inlineStr">
        <is>
          <t>Low</t>
        </is>
      </c>
      <c r="V1468">
        <f>IF(AND(OR(Dashboard!$C$6="All",E1468=Dashboard!$C$6),OR(Dashboard!$F$6="All",G1468=Dashboard!$F$6),OR(Dashboard!$I$6="All",H1468=Dashboard!$I$6)),1,0)</f>
        <v/>
      </c>
    </row>
    <row r="1469">
      <c r="A1469" t="inlineStr">
        <is>
          <t>PF101460</t>
        </is>
      </c>
      <c r="B1469" s="68" t="n">
        <v>45834</v>
      </c>
      <c r="C1469" s="69" t="n">
        <v>2025</v>
      </c>
      <c r="D1469" t="inlineStr">
        <is>
          <t>Jun</t>
        </is>
      </c>
      <c r="E1469" t="inlineStr">
        <is>
          <t>Europe</t>
        </is>
      </c>
      <c r="F1469" t="inlineStr">
        <is>
          <t>UK</t>
        </is>
      </c>
      <c r="G1469" t="inlineStr">
        <is>
          <t>Ibrance</t>
        </is>
      </c>
      <c r="H1469" t="inlineStr">
        <is>
          <t>Hospital</t>
        </is>
      </c>
      <c r="I1469" t="inlineStr">
        <is>
          <t>Private insurer</t>
        </is>
      </c>
      <c r="J1469" t="inlineStr">
        <is>
          <t>Sara Rossi</t>
        </is>
      </c>
      <c r="K1469" s="70" t="n">
        <v>522</v>
      </c>
      <c r="L1469" s="71" t="n">
        <v>3101.05</v>
      </c>
      <c r="M1469" s="71" t="n">
        <v>1618748.1</v>
      </c>
      <c r="N1469" s="71" t="n">
        <v>242812.21</v>
      </c>
      <c r="O1469" s="71" t="n">
        <v>1375935.89</v>
      </c>
      <c r="P1469" s="71" t="n">
        <v>228003.78</v>
      </c>
      <c r="Q1469" s="71" t="n">
        <v>1147932.11</v>
      </c>
      <c r="R1469" t="inlineStr">
        <is>
          <t>Oncology</t>
        </is>
      </c>
      <c r="S1469" s="70" t="n">
        <v>390</v>
      </c>
      <c r="T1469" s="71" t="n">
        <v>344690.87</v>
      </c>
      <c r="U1469" t="inlineStr">
        <is>
          <t>High</t>
        </is>
      </c>
      <c r="V1469">
        <f>IF(AND(OR(Dashboard!$C$6="All",E1469=Dashboard!$C$6),OR(Dashboard!$F$6="All",G1469=Dashboard!$F$6),OR(Dashboard!$I$6="All",H1469=Dashboard!$I$6)),1,0)</f>
        <v/>
      </c>
    </row>
    <row r="1470">
      <c r="A1470" t="inlineStr">
        <is>
          <t>PF101461</t>
        </is>
      </c>
      <c r="B1470" s="68" t="n">
        <v>45834</v>
      </c>
      <c r="C1470" s="69" t="n">
        <v>2025</v>
      </c>
      <c r="D1470" t="inlineStr">
        <is>
          <t>Jun</t>
        </is>
      </c>
      <c r="E1470" t="inlineStr">
        <is>
          <t>Europe</t>
        </is>
      </c>
      <c r="F1470" t="inlineStr">
        <is>
          <t>Spain</t>
        </is>
      </c>
      <c r="G1470" t="inlineStr">
        <is>
          <t>Comirnaty</t>
        </is>
      </c>
      <c r="H1470" t="inlineStr">
        <is>
          <t>Hospital</t>
        </is>
      </c>
      <c r="I1470" t="inlineStr">
        <is>
          <t>Public payer</t>
        </is>
      </c>
      <c r="J1470" t="inlineStr">
        <is>
          <t>Ravindra Patil</t>
        </is>
      </c>
      <c r="K1470" s="70" t="n">
        <v>1533</v>
      </c>
      <c r="L1470" s="71" t="n">
        <v>120.4</v>
      </c>
      <c r="M1470" s="71" t="n">
        <v>184573.2</v>
      </c>
      <c r="N1470" s="71" t="n">
        <v>18457.32</v>
      </c>
      <c r="O1470" s="71" t="n">
        <v>166115.88</v>
      </c>
      <c r="P1470" s="71" t="n">
        <v>58203.62</v>
      </c>
      <c r="Q1470" s="71" t="n">
        <v>107912.26</v>
      </c>
      <c r="R1470" t="inlineStr">
        <is>
          <t>Vaccines</t>
        </is>
      </c>
      <c r="S1470" s="70" t="n">
        <v>1329</v>
      </c>
      <c r="T1470" s="71" t="n">
        <v>38855.78</v>
      </c>
      <c r="U1470" t="inlineStr">
        <is>
          <t>Low</t>
        </is>
      </c>
      <c r="V1470">
        <f>IF(AND(OR(Dashboard!$C$6="All",E1470=Dashboard!$C$6),OR(Dashboard!$F$6="All",G1470=Dashboard!$F$6),OR(Dashboard!$I$6="All",H1470=Dashboard!$I$6)),1,0)</f>
        <v/>
      </c>
    </row>
    <row r="1471">
      <c r="A1471" t="inlineStr">
        <is>
          <t>PF101462</t>
        </is>
      </c>
      <c r="B1471" s="68" t="n">
        <v>45834</v>
      </c>
      <c r="C1471" s="69" t="n">
        <v>2025</v>
      </c>
      <c r="D1471" t="inlineStr">
        <is>
          <t>Jun</t>
        </is>
      </c>
      <c r="E1471" t="inlineStr">
        <is>
          <t>United States</t>
        </is>
      </c>
      <c r="F1471" t="inlineStr">
        <is>
          <t>USA</t>
        </is>
      </c>
      <c r="G1471" t="inlineStr">
        <is>
          <t>Abrysvo</t>
        </is>
      </c>
      <c r="H1471" t="inlineStr">
        <is>
          <t>Hospital</t>
        </is>
      </c>
      <c r="I1471" t="inlineStr">
        <is>
          <t>Public payer</t>
        </is>
      </c>
      <c r="J1471" t="inlineStr">
        <is>
          <t>Liam O'Brien</t>
        </is>
      </c>
      <c r="K1471" s="70" t="n">
        <v>745</v>
      </c>
      <c r="L1471" s="71" t="n">
        <v>443.02</v>
      </c>
      <c r="M1471" s="71" t="n">
        <v>330049.9</v>
      </c>
      <c r="N1471" s="71" t="n">
        <v>49507.49</v>
      </c>
      <c r="O1471" s="71" t="n">
        <v>280542.41</v>
      </c>
      <c r="P1471" s="71" t="n">
        <v>64454.71</v>
      </c>
      <c r="Q1471" s="71" t="n">
        <v>216087.7</v>
      </c>
      <c r="R1471" t="inlineStr">
        <is>
          <t>Vaccines</t>
        </is>
      </c>
      <c r="S1471" s="70" t="n">
        <v>500</v>
      </c>
      <c r="T1471" s="71" t="n">
        <v>67127.11</v>
      </c>
      <c r="U1471" t="inlineStr">
        <is>
          <t>Low</t>
        </is>
      </c>
      <c r="V1471">
        <f>IF(AND(OR(Dashboard!$C$6="All",E1471=Dashboard!$C$6),OR(Dashboard!$F$6="All",G1471=Dashboard!$F$6),OR(Dashboard!$I$6="All",H1471=Dashboard!$I$6)),1,0)</f>
        <v/>
      </c>
    </row>
    <row r="1472">
      <c r="A1472" t="inlineStr">
        <is>
          <t>PF101463</t>
        </is>
      </c>
      <c r="B1472" s="68" t="n">
        <v>45834</v>
      </c>
      <c r="C1472" s="69" t="n">
        <v>2025</v>
      </c>
      <c r="D1472" t="inlineStr">
        <is>
          <t>Jun</t>
        </is>
      </c>
      <c r="E1472" t="inlineStr">
        <is>
          <t>Europe</t>
        </is>
      </c>
      <c r="F1472" t="inlineStr">
        <is>
          <t>UK</t>
        </is>
      </c>
      <c r="G1472" t="inlineStr">
        <is>
          <t>Eliquis</t>
        </is>
      </c>
      <c r="H1472" t="inlineStr">
        <is>
          <t>Government / tender</t>
        </is>
      </c>
      <c r="I1472" t="inlineStr">
        <is>
          <t>Private insurer</t>
        </is>
      </c>
      <c r="J1472" t="inlineStr">
        <is>
          <t>Carlos Silva</t>
        </is>
      </c>
      <c r="K1472" s="70" t="n">
        <v>1984</v>
      </c>
      <c r="L1472" s="71" t="n">
        <v>386.84</v>
      </c>
      <c r="M1472" s="71" t="n">
        <v>767490.5600000001</v>
      </c>
      <c r="N1472" s="71" t="n">
        <v>153498.11</v>
      </c>
      <c r="O1472" s="71" t="n">
        <v>613992.45</v>
      </c>
      <c r="P1472" s="71" t="n">
        <v>151133.81</v>
      </c>
      <c r="Q1472" s="71" t="n">
        <v>462858.64</v>
      </c>
      <c r="R1472" t="inlineStr">
        <is>
          <t>Cardiology</t>
        </is>
      </c>
      <c r="S1472" s="70" t="n">
        <v>1755</v>
      </c>
      <c r="T1472" s="71" t="n">
        <v>106646.46</v>
      </c>
      <c r="U1472" t="inlineStr">
        <is>
          <t>High</t>
        </is>
      </c>
      <c r="V1472">
        <f>IF(AND(OR(Dashboard!$C$6="All",E1472=Dashboard!$C$6),OR(Dashboard!$F$6="All",G1472=Dashboard!$F$6),OR(Dashboard!$I$6="All",H1472=Dashboard!$I$6)),1,0)</f>
        <v/>
      </c>
    </row>
    <row r="1473">
      <c r="A1473" t="inlineStr">
        <is>
          <t>PF101464</t>
        </is>
      </c>
      <c r="B1473" s="68" t="n">
        <v>45834</v>
      </c>
      <c r="C1473" s="69" t="n">
        <v>2025</v>
      </c>
      <c r="D1473" t="inlineStr">
        <is>
          <t>Jun</t>
        </is>
      </c>
      <c r="E1473" t="inlineStr">
        <is>
          <t>United States</t>
        </is>
      </c>
      <c r="F1473" t="inlineStr">
        <is>
          <t>USA</t>
        </is>
      </c>
      <c r="G1473" t="inlineStr">
        <is>
          <t>Abrysvo</t>
        </is>
      </c>
      <c r="H1473" t="inlineStr">
        <is>
          <t>Retail pharmacy</t>
        </is>
      </c>
      <c r="I1473" t="inlineStr">
        <is>
          <t>Public payer</t>
        </is>
      </c>
      <c r="J1473" t="inlineStr">
        <is>
          <t>Ruhi Shaikh</t>
        </is>
      </c>
      <c r="K1473" s="70" t="n">
        <v>243</v>
      </c>
      <c r="L1473" s="71" t="n">
        <v>439.41</v>
      </c>
      <c r="M1473" s="71" t="n">
        <v>106776.63</v>
      </c>
      <c r="N1473" s="71" t="n">
        <v>32032.99</v>
      </c>
      <c r="O1473" s="71" t="n">
        <v>74743.64</v>
      </c>
      <c r="P1473" s="71" t="n">
        <v>19665.44</v>
      </c>
      <c r="Q1473" s="71" t="n">
        <v>55078.2</v>
      </c>
      <c r="R1473" t="inlineStr">
        <is>
          <t>Vaccines</t>
        </is>
      </c>
      <c r="S1473" s="70" t="n">
        <v>191</v>
      </c>
      <c r="T1473" s="71" t="n">
        <v>13879.88</v>
      </c>
      <c r="U1473" t="inlineStr">
        <is>
          <t>Low</t>
        </is>
      </c>
      <c r="V1473">
        <f>IF(AND(OR(Dashboard!$C$6="All",E1473=Dashboard!$C$6),OR(Dashboard!$F$6="All",G1473=Dashboard!$F$6),OR(Dashboard!$I$6="All",H1473=Dashboard!$I$6)),1,0)</f>
        <v/>
      </c>
    </row>
    <row r="1474">
      <c r="A1474" t="inlineStr">
        <is>
          <t>PF101465</t>
        </is>
      </c>
      <c r="B1474" s="68" t="n">
        <v>45834</v>
      </c>
      <c r="C1474" s="69" t="n">
        <v>2025</v>
      </c>
      <c r="D1474" t="inlineStr">
        <is>
          <t>Jun</t>
        </is>
      </c>
      <c r="E1474" t="inlineStr">
        <is>
          <t>United States</t>
        </is>
      </c>
      <c r="F1474" t="inlineStr">
        <is>
          <t>USA</t>
        </is>
      </c>
      <c r="G1474" t="inlineStr">
        <is>
          <t>Ibrance</t>
        </is>
      </c>
      <c r="H1474" t="inlineStr">
        <is>
          <t>Hospital</t>
        </is>
      </c>
      <c r="I1474" t="inlineStr">
        <is>
          <t>Private insurer</t>
        </is>
      </c>
      <c r="J1474" t="inlineStr">
        <is>
          <t>Omar Haddad</t>
        </is>
      </c>
      <c r="K1474" s="70" t="n">
        <v>623</v>
      </c>
      <c r="L1474" s="71" t="n">
        <v>4448.74</v>
      </c>
      <c r="M1474" s="71" t="n">
        <v>2771565.02</v>
      </c>
      <c r="N1474" s="71" t="n">
        <v>554313</v>
      </c>
      <c r="O1474" s="71" t="n">
        <v>2217252.02</v>
      </c>
      <c r="P1474" s="71" t="n">
        <v>273413.15</v>
      </c>
      <c r="Q1474" s="71" t="n">
        <v>1943838.87</v>
      </c>
      <c r="R1474" t="inlineStr">
        <is>
          <t>Oncology</t>
        </is>
      </c>
      <c r="S1474" s="70" t="n">
        <v>527</v>
      </c>
      <c r="T1474" s="71" t="n">
        <v>531106.37</v>
      </c>
      <c r="U1474" t="inlineStr">
        <is>
          <t>High</t>
        </is>
      </c>
      <c r="V1474">
        <f>IF(AND(OR(Dashboard!$C$6="All",E1474=Dashboard!$C$6),OR(Dashboard!$F$6="All",G1474=Dashboard!$F$6),OR(Dashboard!$I$6="All",H1474=Dashboard!$I$6)),1,0)</f>
        <v/>
      </c>
    </row>
    <row r="1475">
      <c r="A1475" t="inlineStr">
        <is>
          <t>PF101466</t>
        </is>
      </c>
      <c r="B1475" s="68" t="n">
        <v>45834</v>
      </c>
      <c r="C1475" s="69" t="n">
        <v>2025</v>
      </c>
      <c r="D1475" t="inlineStr">
        <is>
          <t>Jun</t>
        </is>
      </c>
      <c r="E1475" t="inlineStr">
        <is>
          <t>Emerging markets</t>
        </is>
      </c>
      <c r="F1475" t="inlineStr">
        <is>
          <t>Mexico</t>
        </is>
      </c>
      <c r="G1475" t="inlineStr">
        <is>
          <t>Eliquis</t>
        </is>
      </c>
      <c r="H1475" t="inlineStr">
        <is>
          <t>Retail pharmacy</t>
        </is>
      </c>
      <c r="I1475" t="inlineStr">
        <is>
          <t>Self-pay</t>
        </is>
      </c>
      <c r="J1475" t="inlineStr">
        <is>
          <t>Ana Costa</t>
        </is>
      </c>
      <c r="K1475" s="70" t="n">
        <v>1542</v>
      </c>
      <c r="L1475" s="71" t="n">
        <v>413.33</v>
      </c>
      <c r="M1475" s="71" t="n">
        <v>637354.86</v>
      </c>
      <c r="N1475" s="71" t="n">
        <v>63735.49</v>
      </c>
      <c r="O1475" s="71" t="n">
        <v>573619.37</v>
      </c>
      <c r="P1475" s="71" t="n">
        <v>113366.05</v>
      </c>
      <c r="Q1475" s="71" t="n">
        <v>460253.32</v>
      </c>
      <c r="R1475" t="inlineStr">
        <is>
          <t>Cardiology</t>
        </is>
      </c>
      <c r="S1475" s="70" t="n">
        <v>1196</v>
      </c>
      <c r="T1475" s="71" t="n">
        <v>79489.10000000001</v>
      </c>
      <c r="U1475" t="inlineStr">
        <is>
          <t>High</t>
        </is>
      </c>
      <c r="V1475">
        <f>IF(AND(OR(Dashboard!$C$6="All",E1475=Dashboard!$C$6),OR(Dashboard!$F$6="All",G1475=Dashboard!$F$6),OR(Dashboard!$I$6="All",H1475=Dashboard!$I$6)),1,0)</f>
        <v/>
      </c>
    </row>
    <row r="1476">
      <c r="A1476" t="inlineStr">
        <is>
          <t>PF101467</t>
        </is>
      </c>
      <c r="B1476" s="68" t="n">
        <v>45834</v>
      </c>
      <c r="C1476" s="69" t="n">
        <v>2025</v>
      </c>
      <c r="D1476" t="inlineStr">
        <is>
          <t>Jun</t>
        </is>
      </c>
      <c r="E1476" t="inlineStr">
        <is>
          <t>United States</t>
        </is>
      </c>
      <c r="F1476" t="inlineStr">
        <is>
          <t>USA</t>
        </is>
      </c>
      <c r="G1476" t="inlineStr">
        <is>
          <t>Prevnar 20</t>
        </is>
      </c>
      <c r="H1476" t="inlineStr">
        <is>
          <t>Retail pharmacy</t>
        </is>
      </c>
      <c r="I1476" t="inlineStr">
        <is>
          <t>Private insurer</t>
        </is>
      </c>
      <c r="J1476" t="inlineStr">
        <is>
          <t>Arjun Mehta</t>
        </is>
      </c>
      <c r="K1476" s="70" t="n">
        <v>1411</v>
      </c>
      <c r="L1476" s="71" t="n">
        <v>387.17</v>
      </c>
      <c r="M1476" s="71" t="n">
        <v>546296.87</v>
      </c>
      <c r="N1476" s="71" t="n">
        <v>81944.53</v>
      </c>
      <c r="O1476" s="71" t="n">
        <v>464352.34</v>
      </c>
      <c r="P1476" s="71" t="n">
        <v>94442.49000000001</v>
      </c>
      <c r="Q1476" s="71" t="n">
        <v>369909.85</v>
      </c>
      <c r="R1476" t="inlineStr">
        <is>
          <t>Vaccines</t>
        </is>
      </c>
      <c r="S1476" s="70" t="n">
        <v>920</v>
      </c>
      <c r="T1476" s="71" t="n">
        <v>116299.24</v>
      </c>
      <c r="U1476" t="inlineStr">
        <is>
          <t>Low</t>
        </is>
      </c>
      <c r="V1476">
        <f>IF(AND(OR(Dashboard!$C$6="All",E1476=Dashboard!$C$6),OR(Dashboard!$F$6="All",G1476=Dashboard!$F$6),OR(Dashboard!$I$6="All",H1476=Dashboard!$I$6)),1,0)</f>
        <v/>
      </c>
    </row>
    <row r="1477">
      <c r="A1477" t="inlineStr">
        <is>
          <t>PF101468</t>
        </is>
      </c>
      <c r="B1477" s="68" t="n">
        <v>45835</v>
      </c>
      <c r="C1477" s="69" t="n">
        <v>2025</v>
      </c>
      <c r="D1477" t="inlineStr">
        <is>
          <t>Jun</t>
        </is>
      </c>
      <c r="E1477" t="inlineStr">
        <is>
          <t>United States</t>
        </is>
      </c>
      <c r="F1477" t="inlineStr">
        <is>
          <t>USA</t>
        </is>
      </c>
      <c r="G1477" t="inlineStr">
        <is>
          <t>Comirnaty</t>
        </is>
      </c>
      <c r="H1477" t="inlineStr">
        <is>
          <t>Retail pharmacy</t>
        </is>
      </c>
      <c r="I1477" t="inlineStr">
        <is>
          <t>Public payer</t>
        </is>
      </c>
      <c r="J1477" t="inlineStr">
        <is>
          <t>Kofi Mensah</t>
        </is>
      </c>
      <c r="K1477" s="70" t="n">
        <v>2979</v>
      </c>
      <c r="L1477" s="71" t="n">
        <v>185.26</v>
      </c>
      <c r="M1477" s="71" t="n">
        <v>551889.54</v>
      </c>
      <c r="N1477" s="71" t="n">
        <v>137972.39</v>
      </c>
      <c r="O1477" s="71" t="n">
        <v>413917.15</v>
      </c>
      <c r="P1477" s="71" t="n">
        <v>118436.39</v>
      </c>
      <c r="Q1477" s="71" t="n">
        <v>295480.76</v>
      </c>
      <c r="R1477" t="inlineStr">
        <is>
          <t>Vaccines</t>
        </is>
      </c>
      <c r="S1477" s="70" t="n">
        <v>2795</v>
      </c>
      <c r="T1477" s="71" t="n">
        <v>71512.61</v>
      </c>
      <c r="U1477" t="inlineStr">
        <is>
          <t>Low</t>
        </is>
      </c>
      <c r="V1477">
        <f>IF(AND(OR(Dashboard!$C$6="All",E1477=Dashboard!$C$6),OR(Dashboard!$F$6="All",G1477=Dashboard!$F$6),OR(Dashboard!$I$6="All",H1477=Dashboard!$I$6)),1,0)</f>
        <v/>
      </c>
    </row>
    <row r="1478">
      <c r="A1478" t="inlineStr">
        <is>
          <t>PF101469</t>
        </is>
      </c>
      <c r="B1478" s="68" t="n">
        <v>45835</v>
      </c>
      <c r="C1478" s="69" t="n">
        <v>2025</v>
      </c>
      <c r="D1478" t="inlineStr">
        <is>
          <t>Jun</t>
        </is>
      </c>
      <c r="E1478" t="inlineStr">
        <is>
          <t>Europe</t>
        </is>
      </c>
      <c r="F1478" t="inlineStr">
        <is>
          <t>Spain</t>
        </is>
      </c>
      <c r="G1478" t="inlineStr">
        <is>
          <t>Paxlovid</t>
        </is>
      </c>
      <c r="H1478" t="inlineStr">
        <is>
          <t>Hospital</t>
        </is>
      </c>
      <c r="I1478" t="inlineStr">
        <is>
          <t>Self-pay</t>
        </is>
      </c>
      <c r="J1478" t="inlineStr">
        <is>
          <t>Wei Chen</t>
        </is>
      </c>
      <c r="K1478" s="70" t="n">
        <v>1566</v>
      </c>
      <c r="L1478" s="71" t="n">
        <v>1174.48</v>
      </c>
      <c r="M1478" s="71" t="n">
        <v>1839235.68</v>
      </c>
      <c r="N1478" s="71" t="n">
        <v>183923.57</v>
      </c>
      <c r="O1478" s="71" t="n">
        <v>1655312.11</v>
      </c>
      <c r="P1478" s="71" t="n">
        <v>419899.88</v>
      </c>
      <c r="Q1478" s="71" t="n">
        <v>1235412.23</v>
      </c>
      <c r="R1478" t="inlineStr">
        <is>
          <t>Antiviral</t>
        </is>
      </c>
      <c r="S1478" s="70" t="n">
        <v>985</v>
      </c>
      <c r="T1478" s="71" t="n">
        <v>248028.79</v>
      </c>
      <c r="U1478" t="inlineStr">
        <is>
          <t>Low</t>
        </is>
      </c>
      <c r="V1478">
        <f>IF(AND(OR(Dashboard!$C$6="All",E1478=Dashboard!$C$6),OR(Dashboard!$F$6="All",G1478=Dashboard!$F$6),OR(Dashboard!$I$6="All",H1478=Dashboard!$I$6)),1,0)</f>
        <v/>
      </c>
    </row>
    <row r="1479">
      <c r="A1479" t="inlineStr">
        <is>
          <t>PF101470</t>
        </is>
      </c>
      <c r="B1479" s="68" t="n">
        <v>45835</v>
      </c>
      <c r="C1479" s="69" t="n">
        <v>2025</v>
      </c>
      <c r="D1479" t="inlineStr">
        <is>
          <t>Jun</t>
        </is>
      </c>
      <c r="E1479" t="inlineStr">
        <is>
          <t>United States</t>
        </is>
      </c>
      <c r="F1479" t="inlineStr">
        <is>
          <t>USA</t>
        </is>
      </c>
      <c r="G1479" t="inlineStr">
        <is>
          <t>Prevnar 20</t>
        </is>
      </c>
      <c r="H1479" t="inlineStr">
        <is>
          <t>Hospital</t>
        </is>
      </c>
      <c r="I1479" t="inlineStr">
        <is>
          <t>Private insurer</t>
        </is>
      </c>
      <c r="J1479" t="inlineStr">
        <is>
          <t>Hiroshi Tanaka</t>
        </is>
      </c>
      <c r="K1479" s="70" t="n">
        <v>127</v>
      </c>
      <c r="L1479" s="71" t="n">
        <v>374.53</v>
      </c>
      <c r="M1479" s="71" t="n">
        <v>47565.31</v>
      </c>
      <c r="N1479" s="71" t="n">
        <v>16647.86</v>
      </c>
      <c r="O1479" s="71" t="n">
        <v>30917.45</v>
      </c>
      <c r="P1479" s="71" t="n">
        <v>9002.709999999999</v>
      </c>
      <c r="Q1479" s="71" t="n">
        <v>21914.74</v>
      </c>
      <c r="R1479" t="inlineStr">
        <is>
          <t>Vaccines</t>
        </is>
      </c>
      <c r="S1479" s="70" t="n">
        <v>101</v>
      </c>
      <c r="T1479" s="71" t="n">
        <v>6309.3</v>
      </c>
      <c r="U1479" t="inlineStr">
        <is>
          <t>Low</t>
        </is>
      </c>
      <c r="V1479">
        <f>IF(AND(OR(Dashboard!$C$6="All",E1479=Dashboard!$C$6),OR(Dashboard!$F$6="All",G1479=Dashboard!$F$6),OR(Dashboard!$I$6="All",H1479=Dashboard!$I$6)),1,0)</f>
        <v/>
      </c>
    </row>
    <row r="1480">
      <c r="A1480" t="inlineStr">
        <is>
          <t>PF101471</t>
        </is>
      </c>
      <c r="B1480" s="68" t="n">
        <v>45835</v>
      </c>
      <c r="C1480" s="69" t="n">
        <v>2025</v>
      </c>
      <c r="D1480" t="inlineStr">
        <is>
          <t>Jun</t>
        </is>
      </c>
      <c r="E1480" t="inlineStr">
        <is>
          <t>International developed</t>
        </is>
      </c>
      <c r="F1480" t="inlineStr">
        <is>
          <t>Australia</t>
        </is>
      </c>
      <c r="G1480" t="inlineStr">
        <is>
          <t>Paxlovid</t>
        </is>
      </c>
      <c r="H1480" t="inlineStr">
        <is>
          <t>Hospital</t>
        </is>
      </c>
      <c r="I1480" t="inlineStr">
        <is>
          <t>Private insurer</t>
        </is>
      </c>
      <c r="J1480" t="inlineStr">
        <is>
          <t>Zoya Ahmed</t>
        </is>
      </c>
      <c r="K1480" s="70" t="n">
        <v>1208</v>
      </c>
      <c r="L1480" s="71" t="n">
        <v>1070.25</v>
      </c>
      <c r="M1480" s="71" t="n">
        <v>1292862</v>
      </c>
      <c r="N1480" s="71" t="n">
        <v>64643.1</v>
      </c>
      <c r="O1480" s="71" t="n">
        <v>1228218.9</v>
      </c>
      <c r="P1480" s="71" t="n">
        <v>338646.29</v>
      </c>
      <c r="Q1480" s="71" t="n">
        <v>889572.61</v>
      </c>
      <c r="R1480" t="inlineStr">
        <is>
          <t>Antiviral</t>
        </is>
      </c>
      <c r="S1480" s="70" t="n">
        <v>1068</v>
      </c>
      <c r="T1480" s="71" t="n">
        <v>193694.64</v>
      </c>
      <c r="U1480" t="inlineStr">
        <is>
          <t>Low</t>
        </is>
      </c>
      <c r="V1480">
        <f>IF(AND(OR(Dashboard!$C$6="All",E1480=Dashboard!$C$6),OR(Dashboard!$F$6="All",G1480=Dashboard!$F$6),OR(Dashboard!$I$6="All",H1480=Dashboard!$I$6)),1,0)</f>
        <v/>
      </c>
    </row>
    <row r="1481">
      <c r="A1481" t="inlineStr">
        <is>
          <t>PF101472</t>
        </is>
      </c>
      <c r="B1481" s="68" t="n">
        <v>45835</v>
      </c>
      <c r="C1481" s="69" t="n">
        <v>2025</v>
      </c>
      <c r="D1481" t="inlineStr">
        <is>
          <t>Jun</t>
        </is>
      </c>
      <c r="E1481" t="inlineStr">
        <is>
          <t>United States</t>
        </is>
      </c>
      <c r="F1481" t="inlineStr">
        <is>
          <t>USA</t>
        </is>
      </c>
      <c r="G1481" t="inlineStr">
        <is>
          <t>Xeljanz</t>
        </is>
      </c>
      <c r="H1481" t="inlineStr">
        <is>
          <t>Retail pharmacy</t>
        </is>
      </c>
      <c r="I1481" t="inlineStr">
        <is>
          <t>Public payer</t>
        </is>
      </c>
      <c r="J1481" t="inlineStr">
        <is>
          <t>Kofi Mensah</t>
        </is>
      </c>
      <c r="K1481" s="70" t="n">
        <v>2315</v>
      </c>
      <c r="L1481" s="71" t="n">
        <v>2025.68</v>
      </c>
      <c r="M1481" s="71" t="n">
        <v>4689449.2</v>
      </c>
      <c r="N1481" s="71" t="n">
        <v>1172362.3</v>
      </c>
      <c r="O1481" s="71" t="n">
        <v>3517086.9</v>
      </c>
      <c r="P1481" s="71" t="n">
        <v>593087.87</v>
      </c>
      <c r="Q1481" s="71" t="n">
        <v>2923999.03</v>
      </c>
      <c r="R1481" t="inlineStr">
        <is>
          <t>Inflammation</t>
        </is>
      </c>
      <c r="S1481" s="70" t="n">
        <v>1770</v>
      </c>
      <c r="T1481" s="71" t="n">
        <v>828464.38</v>
      </c>
      <c r="U1481" t="inlineStr">
        <is>
          <t>High</t>
        </is>
      </c>
      <c r="V1481">
        <f>IF(AND(OR(Dashboard!$C$6="All",E1481=Dashboard!$C$6),OR(Dashboard!$F$6="All",G1481=Dashboard!$F$6),OR(Dashboard!$I$6="All",H1481=Dashboard!$I$6)),1,0)</f>
        <v/>
      </c>
    </row>
    <row r="1482">
      <c r="A1482" t="inlineStr">
        <is>
          <t>PF101473</t>
        </is>
      </c>
      <c r="B1482" s="68" t="n">
        <v>45835</v>
      </c>
      <c r="C1482" s="69" t="n">
        <v>2025</v>
      </c>
      <c r="D1482" t="inlineStr">
        <is>
          <t>Jun</t>
        </is>
      </c>
      <c r="E1482" t="inlineStr">
        <is>
          <t>International developed</t>
        </is>
      </c>
      <c r="F1482" t="inlineStr">
        <is>
          <t>Australia</t>
        </is>
      </c>
      <c r="G1482" t="inlineStr">
        <is>
          <t>Paxlovid</t>
        </is>
      </c>
      <c r="H1482" t="inlineStr">
        <is>
          <t>Hospital</t>
        </is>
      </c>
      <c r="I1482" t="inlineStr">
        <is>
          <t>Public payer</t>
        </is>
      </c>
      <c r="J1482" t="inlineStr">
        <is>
          <t>Kofi Mensah</t>
        </is>
      </c>
      <c r="K1482" s="70" t="n">
        <v>1490</v>
      </c>
      <c r="L1482" s="71" t="n">
        <v>1036.61</v>
      </c>
      <c r="M1482" s="71" t="n">
        <v>1544548.9</v>
      </c>
      <c r="N1482" s="71" t="n">
        <v>154454.89</v>
      </c>
      <c r="O1482" s="71" t="n">
        <v>1390094.01</v>
      </c>
      <c r="P1482" s="71" t="n">
        <v>415374.94</v>
      </c>
      <c r="Q1482" s="71" t="n">
        <v>974719.0699999999</v>
      </c>
      <c r="R1482" t="inlineStr">
        <is>
          <t>Antiviral</t>
        </is>
      </c>
      <c r="S1482" s="70" t="n">
        <v>1199</v>
      </c>
      <c r="T1482" s="71" t="n">
        <v>284804.39</v>
      </c>
      <c r="U1482" t="inlineStr">
        <is>
          <t>Low</t>
        </is>
      </c>
      <c r="V1482">
        <f>IF(AND(OR(Dashboard!$C$6="All",E1482=Dashboard!$C$6),OR(Dashboard!$F$6="All",G1482=Dashboard!$F$6),OR(Dashboard!$I$6="All",H1482=Dashboard!$I$6)),1,0)</f>
        <v/>
      </c>
    </row>
    <row r="1483">
      <c r="A1483" t="inlineStr">
        <is>
          <t>PF101474</t>
        </is>
      </c>
      <c r="B1483" s="68" t="n">
        <v>45836</v>
      </c>
      <c r="C1483" s="69" t="n">
        <v>2025</v>
      </c>
      <c r="D1483" t="inlineStr">
        <is>
          <t>Jun</t>
        </is>
      </c>
      <c r="E1483" t="inlineStr">
        <is>
          <t>Emerging markets</t>
        </is>
      </c>
      <c r="F1483" t="inlineStr">
        <is>
          <t>India</t>
        </is>
      </c>
      <c r="G1483" t="inlineStr">
        <is>
          <t>Abrysvo</t>
        </is>
      </c>
      <c r="H1483" t="inlineStr">
        <is>
          <t>Retail pharmacy</t>
        </is>
      </c>
      <c r="I1483" t="inlineStr">
        <is>
          <t>Private insurer</t>
        </is>
      </c>
      <c r="J1483" t="inlineStr">
        <is>
          <t>Sara Rossi</t>
        </is>
      </c>
      <c r="K1483" s="70" t="n">
        <v>2734</v>
      </c>
      <c r="L1483" s="71" t="n">
        <v>267.76</v>
      </c>
      <c r="M1483" s="71" t="n">
        <v>732055.84</v>
      </c>
      <c r="N1483" s="71" t="n">
        <v>146411.17</v>
      </c>
      <c r="O1483" s="71" t="n">
        <v>585644.67</v>
      </c>
      <c r="P1483" s="71" t="n">
        <v>233472.34</v>
      </c>
      <c r="Q1483" s="71" t="n">
        <v>352172.33</v>
      </c>
      <c r="R1483" t="inlineStr">
        <is>
          <t>Vaccines</t>
        </is>
      </c>
      <c r="S1483" s="70" t="n">
        <v>2023</v>
      </c>
      <c r="T1483" s="71" t="n">
        <v>152256.81</v>
      </c>
      <c r="U1483" t="inlineStr">
        <is>
          <t>Low</t>
        </is>
      </c>
      <c r="V1483">
        <f>IF(AND(OR(Dashboard!$C$6="All",E1483=Dashboard!$C$6),OR(Dashboard!$F$6="All",G1483=Dashboard!$F$6),OR(Dashboard!$I$6="All",H1483=Dashboard!$I$6)),1,0)</f>
        <v/>
      </c>
    </row>
    <row r="1484">
      <c r="A1484" t="inlineStr">
        <is>
          <t>PF101475</t>
        </is>
      </c>
      <c r="B1484" s="68" t="n">
        <v>45836</v>
      </c>
      <c r="C1484" s="69" t="n">
        <v>2025</v>
      </c>
      <c r="D1484" t="inlineStr">
        <is>
          <t>Jun</t>
        </is>
      </c>
      <c r="E1484" t="inlineStr">
        <is>
          <t>United States</t>
        </is>
      </c>
      <c r="F1484" t="inlineStr">
        <is>
          <t>USA</t>
        </is>
      </c>
      <c r="G1484" t="inlineStr">
        <is>
          <t>Paxlovid</t>
        </is>
      </c>
      <c r="H1484" t="inlineStr">
        <is>
          <t>Retail pharmacy</t>
        </is>
      </c>
      <c r="I1484" t="inlineStr">
        <is>
          <t>Public payer</t>
        </is>
      </c>
      <c r="J1484" t="inlineStr">
        <is>
          <t>Ravindra Patil</t>
        </is>
      </c>
      <c r="K1484" s="70" t="n">
        <v>910</v>
      </c>
      <c r="L1484" s="71" t="n">
        <v>1761.7</v>
      </c>
      <c r="M1484" s="71" t="n">
        <v>1603147</v>
      </c>
      <c r="N1484" s="71" t="n">
        <v>561101.45</v>
      </c>
      <c r="O1484" s="71" t="n">
        <v>1042045.55</v>
      </c>
      <c r="P1484" s="71" t="n">
        <v>255824.19</v>
      </c>
      <c r="Q1484" s="71" t="n">
        <v>786221.36</v>
      </c>
      <c r="R1484" t="inlineStr">
        <is>
          <t>Antiviral</t>
        </is>
      </c>
      <c r="S1484" s="70" t="n">
        <v>723</v>
      </c>
      <c r="T1484" s="71" t="n">
        <v>254535.73</v>
      </c>
      <c r="U1484" t="inlineStr">
        <is>
          <t>Low</t>
        </is>
      </c>
      <c r="V1484">
        <f>IF(AND(OR(Dashboard!$C$6="All",E1484=Dashboard!$C$6),OR(Dashboard!$F$6="All",G1484=Dashboard!$F$6),OR(Dashboard!$I$6="All",H1484=Dashboard!$I$6)),1,0)</f>
        <v/>
      </c>
    </row>
    <row r="1485">
      <c r="A1485" t="inlineStr">
        <is>
          <t>PF101476</t>
        </is>
      </c>
      <c r="B1485" s="68" t="n">
        <v>45836</v>
      </c>
      <c r="C1485" s="69" t="n">
        <v>2025</v>
      </c>
      <c r="D1485" t="inlineStr">
        <is>
          <t>Jun</t>
        </is>
      </c>
      <c r="E1485" t="inlineStr">
        <is>
          <t>Europe</t>
        </is>
      </c>
      <c r="F1485" t="inlineStr">
        <is>
          <t>Spain</t>
        </is>
      </c>
      <c r="G1485" t="inlineStr">
        <is>
          <t>Ibrance</t>
        </is>
      </c>
      <c r="H1485" t="inlineStr">
        <is>
          <t>Hospital</t>
        </is>
      </c>
      <c r="I1485" t="inlineStr">
        <is>
          <t>Private insurer</t>
        </is>
      </c>
      <c r="J1485" t="inlineStr">
        <is>
          <t>Fatima Al-Saud</t>
        </is>
      </c>
      <c r="K1485" s="70" t="n">
        <v>2391</v>
      </c>
      <c r="L1485" s="71" t="n">
        <v>3045.59</v>
      </c>
      <c r="M1485" s="71" t="n">
        <v>7282005.69</v>
      </c>
      <c r="N1485" s="71" t="n">
        <v>1456401.14</v>
      </c>
      <c r="O1485" s="71" t="n">
        <v>5825604.55</v>
      </c>
      <c r="P1485" s="71" t="n">
        <v>998996.36</v>
      </c>
      <c r="Q1485" s="71" t="n">
        <v>4826608.19</v>
      </c>
      <c r="R1485" t="inlineStr">
        <is>
          <t>Oncology</t>
        </is>
      </c>
      <c r="S1485" s="70" t="n">
        <v>1744</v>
      </c>
      <c r="T1485" s="71" t="n">
        <v>1223547.96</v>
      </c>
      <c r="U1485" t="inlineStr">
        <is>
          <t>High</t>
        </is>
      </c>
      <c r="V1485">
        <f>IF(AND(OR(Dashboard!$C$6="All",E1485=Dashboard!$C$6),OR(Dashboard!$F$6="All",G1485=Dashboard!$F$6),OR(Dashboard!$I$6="All",H1485=Dashboard!$I$6)),1,0)</f>
        <v/>
      </c>
    </row>
    <row r="1486">
      <c r="A1486" t="inlineStr">
        <is>
          <t>PF101477</t>
        </is>
      </c>
      <c r="B1486" s="68" t="n">
        <v>45836</v>
      </c>
      <c r="C1486" s="69" t="n">
        <v>2025</v>
      </c>
      <c r="D1486" t="inlineStr">
        <is>
          <t>Jun</t>
        </is>
      </c>
      <c r="E1486" t="inlineStr">
        <is>
          <t>Europe</t>
        </is>
      </c>
      <c r="F1486" t="inlineStr">
        <is>
          <t>UK</t>
        </is>
      </c>
      <c r="G1486" t="inlineStr">
        <is>
          <t>Xeljanz</t>
        </is>
      </c>
      <c r="H1486" t="inlineStr">
        <is>
          <t>Retail pharmacy</t>
        </is>
      </c>
      <c r="I1486" t="inlineStr">
        <is>
          <t>Public payer</t>
        </is>
      </c>
      <c r="J1486" t="inlineStr">
        <is>
          <t>Mei Lin</t>
        </is>
      </c>
      <c r="K1486" s="70" t="n">
        <v>72</v>
      </c>
      <c r="L1486" s="71" t="n">
        <v>1412.59</v>
      </c>
      <c r="M1486" s="71" t="n">
        <v>101706.48</v>
      </c>
      <c r="N1486" s="71" t="n">
        <v>25426.62</v>
      </c>
      <c r="O1486" s="71" t="n">
        <v>76279.86</v>
      </c>
      <c r="P1486" s="71" t="n">
        <v>17999.22</v>
      </c>
      <c r="Q1486" s="71" t="n">
        <v>58280.64</v>
      </c>
      <c r="R1486" t="inlineStr">
        <is>
          <t>Inflammation</t>
        </is>
      </c>
      <c r="S1486" s="70" t="n">
        <v>70</v>
      </c>
      <c r="T1486" s="71" t="n">
        <v>13673.07</v>
      </c>
      <c r="U1486" t="inlineStr">
        <is>
          <t>High</t>
        </is>
      </c>
      <c r="V1486">
        <f>IF(AND(OR(Dashboard!$C$6="All",E1486=Dashboard!$C$6),OR(Dashboard!$F$6="All",G1486=Dashboard!$F$6),OR(Dashboard!$I$6="All",H1486=Dashboard!$I$6)),1,0)</f>
        <v/>
      </c>
    </row>
    <row r="1487">
      <c r="A1487" t="inlineStr">
        <is>
          <t>PF101478</t>
        </is>
      </c>
      <c r="B1487" s="68" t="n">
        <v>45836</v>
      </c>
      <c r="C1487" s="69" t="n">
        <v>2025</v>
      </c>
      <c r="D1487" t="inlineStr">
        <is>
          <t>Jun</t>
        </is>
      </c>
      <c r="E1487" t="inlineStr">
        <is>
          <t>International developed</t>
        </is>
      </c>
      <c r="F1487" t="inlineStr">
        <is>
          <t>Australia</t>
        </is>
      </c>
      <c r="G1487" t="inlineStr">
        <is>
          <t>Ibrance</t>
        </is>
      </c>
      <c r="H1487" t="inlineStr">
        <is>
          <t>Government / tender</t>
        </is>
      </c>
      <c r="I1487" t="inlineStr">
        <is>
          <t>Private insurer</t>
        </is>
      </c>
      <c r="J1487" t="inlineStr">
        <is>
          <t>Amir Khan</t>
        </is>
      </c>
      <c r="K1487" s="70" t="n">
        <v>109</v>
      </c>
      <c r="L1487" s="71" t="n">
        <v>2754.58</v>
      </c>
      <c r="M1487" s="71" t="n">
        <v>300249.22</v>
      </c>
      <c r="N1487" s="71" t="n">
        <v>15012.46</v>
      </c>
      <c r="O1487" s="71" t="n">
        <v>285236.76</v>
      </c>
      <c r="P1487" s="71" t="n">
        <v>48226.36</v>
      </c>
      <c r="Q1487" s="71" t="n">
        <v>237010.4</v>
      </c>
      <c r="R1487" t="inlineStr">
        <is>
          <t>Oncology</t>
        </is>
      </c>
      <c r="S1487" s="70" t="n">
        <v>105</v>
      </c>
      <c r="T1487" s="71" t="n">
        <v>44935.12</v>
      </c>
      <c r="U1487" t="inlineStr">
        <is>
          <t>High</t>
        </is>
      </c>
      <c r="V1487">
        <f>IF(AND(OR(Dashboard!$C$6="All",E1487=Dashboard!$C$6),OR(Dashboard!$F$6="All",G1487=Dashboard!$F$6),OR(Dashboard!$I$6="All",H1487=Dashboard!$I$6)),1,0)</f>
        <v/>
      </c>
    </row>
    <row r="1488">
      <c r="A1488" t="inlineStr">
        <is>
          <t>PF101479</t>
        </is>
      </c>
      <c r="B1488" s="68" t="n">
        <v>45836</v>
      </c>
      <c r="C1488" s="69" t="n">
        <v>2025</v>
      </c>
      <c r="D1488" t="inlineStr">
        <is>
          <t>Jun</t>
        </is>
      </c>
      <c r="E1488" t="inlineStr">
        <is>
          <t>International developed</t>
        </is>
      </c>
      <c r="F1488" t="inlineStr">
        <is>
          <t>Australia</t>
        </is>
      </c>
      <c r="G1488" t="inlineStr">
        <is>
          <t>Ibrance</t>
        </is>
      </c>
      <c r="H1488" t="inlineStr">
        <is>
          <t>Government / tender</t>
        </is>
      </c>
      <c r="I1488" t="inlineStr">
        <is>
          <t>Private insurer</t>
        </is>
      </c>
      <c r="J1488" t="inlineStr">
        <is>
          <t>Yuki Sato</t>
        </is>
      </c>
      <c r="K1488" s="70" t="n">
        <v>1119</v>
      </c>
      <c r="L1488" s="71" t="n">
        <v>2971.14</v>
      </c>
      <c r="M1488" s="71" t="n">
        <v>3324705.66</v>
      </c>
      <c r="N1488" s="71" t="n">
        <v>498705.85</v>
      </c>
      <c r="O1488" s="71" t="n">
        <v>2825999.81</v>
      </c>
      <c r="P1488" s="71" t="n">
        <v>503106.39</v>
      </c>
      <c r="Q1488" s="71" t="n">
        <v>2322893.42</v>
      </c>
      <c r="R1488" t="inlineStr">
        <is>
          <t>Oncology</t>
        </is>
      </c>
      <c r="S1488" s="70" t="n">
        <v>781</v>
      </c>
      <c r="T1488" s="71" t="n">
        <v>688526.85</v>
      </c>
      <c r="U1488" t="inlineStr">
        <is>
          <t>High</t>
        </is>
      </c>
      <c r="V1488">
        <f>IF(AND(OR(Dashboard!$C$6="All",E1488=Dashboard!$C$6),OR(Dashboard!$F$6="All",G1488=Dashboard!$F$6),OR(Dashboard!$I$6="All",H1488=Dashboard!$I$6)),1,0)</f>
        <v/>
      </c>
    </row>
    <row r="1489">
      <c r="A1489" t="inlineStr">
        <is>
          <t>PF101480</t>
        </is>
      </c>
      <c r="B1489" s="68" t="n">
        <v>45836</v>
      </c>
      <c r="C1489" s="69" t="n">
        <v>2025</v>
      </c>
      <c r="D1489" t="inlineStr">
        <is>
          <t>Jun</t>
        </is>
      </c>
      <c r="E1489" t="inlineStr">
        <is>
          <t>International developed</t>
        </is>
      </c>
      <c r="F1489" t="inlineStr">
        <is>
          <t>Japan</t>
        </is>
      </c>
      <c r="G1489" t="inlineStr">
        <is>
          <t>Comirnaty</t>
        </is>
      </c>
      <c r="H1489" t="inlineStr">
        <is>
          <t>Retail pharmacy</t>
        </is>
      </c>
      <c r="I1489" t="inlineStr">
        <is>
          <t>Self-pay</t>
        </is>
      </c>
      <c r="J1489" t="inlineStr">
        <is>
          <t>Kofi Mensah</t>
        </is>
      </c>
      <c r="K1489" s="70" t="n">
        <v>822</v>
      </c>
      <c r="L1489" s="71" t="n">
        <v>104.6</v>
      </c>
      <c r="M1489" s="71" t="n">
        <v>85981.2</v>
      </c>
      <c r="N1489" s="71" t="n">
        <v>21495.3</v>
      </c>
      <c r="O1489" s="71" t="n">
        <v>64485.9</v>
      </c>
      <c r="P1489" s="71" t="n">
        <v>31624.94</v>
      </c>
      <c r="Q1489" s="71" t="n">
        <v>32860.96</v>
      </c>
      <c r="R1489" t="inlineStr">
        <is>
          <t>Vaccines</t>
        </is>
      </c>
      <c r="S1489" s="70" t="n">
        <v>812</v>
      </c>
      <c r="T1489" s="71" t="n">
        <v>13345.41</v>
      </c>
      <c r="U1489" t="inlineStr">
        <is>
          <t>Low</t>
        </is>
      </c>
      <c r="V1489">
        <f>IF(AND(OR(Dashboard!$C$6="All",E1489=Dashboard!$C$6),OR(Dashboard!$F$6="All",G1489=Dashboard!$F$6),OR(Dashboard!$I$6="All",H1489=Dashboard!$I$6)),1,0)</f>
        <v/>
      </c>
    </row>
    <row r="1490">
      <c r="A1490" t="inlineStr">
        <is>
          <t>PF101481</t>
        </is>
      </c>
      <c r="B1490" s="68" t="n">
        <v>45839</v>
      </c>
      <c r="C1490" s="69" t="n">
        <v>2025</v>
      </c>
      <c r="D1490" t="inlineStr">
        <is>
          <t>Jul</t>
        </is>
      </c>
      <c r="E1490" t="inlineStr">
        <is>
          <t>United States</t>
        </is>
      </c>
      <c r="F1490" t="inlineStr">
        <is>
          <t>USA</t>
        </is>
      </c>
      <c r="G1490" t="inlineStr">
        <is>
          <t>Comirnaty</t>
        </is>
      </c>
      <c r="H1490" t="inlineStr">
        <is>
          <t>Retail pharmacy</t>
        </is>
      </c>
      <c r="I1490" t="inlineStr">
        <is>
          <t>Public payer</t>
        </is>
      </c>
      <c r="J1490" t="inlineStr">
        <is>
          <t>Sophie Müller</t>
        </is>
      </c>
      <c r="K1490" s="70" t="n">
        <v>1409</v>
      </c>
      <c r="L1490" s="71" t="n">
        <v>170.4</v>
      </c>
      <c r="M1490" s="71" t="n">
        <v>240093.6</v>
      </c>
      <c r="N1490" s="71" t="n">
        <v>60023.4</v>
      </c>
      <c r="O1490" s="71" t="n">
        <v>180070.2</v>
      </c>
      <c r="P1490" s="71" t="n">
        <v>54322.76</v>
      </c>
      <c r="Q1490" s="71" t="n">
        <v>125747.44</v>
      </c>
      <c r="R1490" t="inlineStr">
        <is>
          <t>Vaccines</t>
        </is>
      </c>
      <c r="S1490" s="70" t="n">
        <v>1277</v>
      </c>
      <c r="T1490" s="71" t="n">
        <v>44255.64</v>
      </c>
      <c r="U1490" t="inlineStr">
        <is>
          <t>Low</t>
        </is>
      </c>
      <c r="V1490">
        <f>IF(AND(OR(Dashboard!$C$6="All",E1490=Dashboard!$C$6),OR(Dashboard!$F$6="All",G1490=Dashboard!$F$6),OR(Dashboard!$I$6="All",H1490=Dashboard!$I$6)),1,0)</f>
        <v/>
      </c>
    </row>
    <row r="1491">
      <c r="A1491" t="inlineStr">
        <is>
          <t>PF101482</t>
        </is>
      </c>
      <c r="B1491" s="68" t="n">
        <v>45839</v>
      </c>
      <c r="C1491" s="69" t="n">
        <v>2025</v>
      </c>
      <c r="D1491" t="inlineStr">
        <is>
          <t>Jul</t>
        </is>
      </c>
      <c r="E1491" t="inlineStr">
        <is>
          <t>Europe</t>
        </is>
      </c>
      <c r="F1491" t="inlineStr">
        <is>
          <t>Germany</t>
        </is>
      </c>
      <c r="G1491" t="inlineStr">
        <is>
          <t>Prevnar 20</t>
        </is>
      </c>
      <c r="H1491" t="inlineStr">
        <is>
          <t>Government / tender</t>
        </is>
      </c>
      <c r="I1491" t="inlineStr">
        <is>
          <t>Private insurer</t>
        </is>
      </c>
      <c r="J1491" t="inlineStr">
        <is>
          <t>Fatima Al-Saud</t>
        </is>
      </c>
      <c r="K1491" s="70" t="n">
        <v>2509</v>
      </c>
      <c r="L1491" s="71" t="n">
        <v>249.19</v>
      </c>
      <c r="M1491" s="71" t="n">
        <v>625217.71</v>
      </c>
      <c r="N1491" s="71" t="n">
        <v>62521.77</v>
      </c>
      <c r="O1491" s="71" t="n">
        <v>562695.9399999999</v>
      </c>
      <c r="P1491" s="71" t="n">
        <v>170344.46</v>
      </c>
      <c r="Q1491" s="71" t="n">
        <v>392351.48</v>
      </c>
      <c r="R1491" t="inlineStr">
        <is>
          <t>Vaccines</t>
        </is>
      </c>
      <c r="S1491" s="70" t="n">
        <v>1871</v>
      </c>
      <c r="T1491" s="71" t="n">
        <v>129555.24</v>
      </c>
      <c r="U1491" t="inlineStr">
        <is>
          <t>Low</t>
        </is>
      </c>
      <c r="V1491">
        <f>IF(AND(OR(Dashboard!$C$6="All",E1491=Dashboard!$C$6),OR(Dashboard!$F$6="All",G1491=Dashboard!$F$6),OR(Dashboard!$I$6="All",H1491=Dashboard!$I$6)),1,0)</f>
        <v/>
      </c>
    </row>
    <row r="1492">
      <c r="A1492" t="inlineStr">
        <is>
          <t>PF101483</t>
        </is>
      </c>
      <c r="B1492" s="68" t="n">
        <v>45839</v>
      </c>
      <c r="C1492" s="69" t="n">
        <v>2025</v>
      </c>
      <c r="D1492" t="inlineStr">
        <is>
          <t>Jul</t>
        </is>
      </c>
      <c r="E1492" t="inlineStr">
        <is>
          <t>United States</t>
        </is>
      </c>
      <c r="F1492" t="inlineStr">
        <is>
          <t>USA</t>
        </is>
      </c>
      <c r="G1492" t="inlineStr">
        <is>
          <t>Abrysvo</t>
        </is>
      </c>
      <c r="H1492" t="inlineStr">
        <is>
          <t>Retail pharmacy</t>
        </is>
      </c>
      <c r="I1492" t="inlineStr">
        <is>
          <t>Private insurer</t>
        </is>
      </c>
      <c r="J1492" t="inlineStr">
        <is>
          <t>Hiroshi Tanaka</t>
        </is>
      </c>
      <c r="K1492" s="70" t="n">
        <v>431</v>
      </c>
      <c r="L1492" s="71" t="n">
        <v>459.15</v>
      </c>
      <c r="M1492" s="71" t="n">
        <v>197893.65</v>
      </c>
      <c r="N1492" s="71" t="n">
        <v>29684.05</v>
      </c>
      <c r="O1492" s="71" t="n">
        <v>168209.6</v>
      </c>
      <c r="P1492" s="71" t="n">
        <v>35137.12</v>
      </c>
      <c r="Q1492" s="71" t="n">
        <v>133072.48</v>
      </c>
      <c r="R1492" t="inlineStr">
        <is>
          <t>Vaccines</t>
        </is>
      </c>
      <c r="S1492" s="70" t="n">
        <v>305</v>
      </c>
      <c r="T1492" s="71" t="n">
        <v>31496.09</v>
      </c>
      <c r="U1492" t="inlineStr">
        <is>
          <t>Low</t>
        </is>
      </c>
      <c r="V1492">
        <f>IF(AND(OR(Dashboard!$C$6="All",E1492=Dashboard!$C$6),OR(Dashboard!$F$6="All",G1492=Dashboard!$F$6),OR(Dashboard!$I$6="All",H1492=Dashboard!$I$6)),1,0)</f>
        <v/>
      </c>
    </row>
    <row r="1493">
      <c r="A1493" t="inlineStr">
        <is>
          <t>PF101484</t>
        </is>
      </c>
      <c r="B1493" s="68" t="n">
        <v>45839</v>
      </c>
      <c r="C1493" s="69" t="n">
        <v>2025</v>
      </c>
      <c r="D1493" t="inlineStr">
        <is>
          <t>Jul</t>
        </is>
      </c>
      <c r="E1493" t="inlineStr">
        <is>
          <t>Europe</t>
        </is>
      </c>
      <c r="F1493" t="inlineStr">
        <is>
          <t>France</t>
        </is>
      </c>
      <c r="G1493" t="inlineStr">
        <is>
          <t>Paxlovid</t>
        </is>
      </c>
      <c r="H1493" t="inlineStr">
        <is>
          <t>Government / tender</t>
        </is>
      </c>
      <c r="I1493" t="inlineStr">
        <is>
          <t>Private insurer</t>
        </is>
      </c>
      <c r="J1493" t="inlineStr">
        <is>
          <t>Mei Lin</t>
        </is>
      </c>
      <c r="K1493" s="70" t="n">
        <v>1303</v>
      </c>
      <c r="L1493" s="71" t="n">
        <v>1048.44</v>
      </c>
      <c r="M1493" s="71" t="n">
        <v>1366117.32</v>
      </c>
      <c r="N1493" s="71" t="n">
        <v>204917.6</v>
      </c>
      <c r="O1493" s="71" t="n">
        <v>1161199.72</v>
      </c>
      <c r="P1493" s="71" t="n">
        <v>344767.61</v>
      </c>
      <c r="Q1493" s="71" t="n">
        <v>816432.11</v>
      </c>
      <c r="R1493" t="inlineStr">
        <is>
          <t>Antiviral</t>
        </is>
      </c>
      <c r="S1493" s="70" t="n">
        <v>1269</v>
      </c>
      <c r="T1493" s="71" t="n">
        <v>286229.2</v>
      </c>
      <c r="U1493" t="inlineStr">
        <is>
          <t>Low</t>
        </is>
      </c>
      <c r="V1493">
        <f>IF(AND(OR(Dashboard!$C$6="All",E1493=Dashboard!$C$6),OR(Dashboard!$F$6="All",G1493=Dashboard!$F$6),OR(Dashboard!$I$6="All",H1493=Dashboard!$I$6)),1,0)</f>
        <v/>
      </c>
    </row>
    <row r="1494">
      <c r="A1494" t="inlineStr">
        <is>
          <t>PF101485</t>
        </is>
      </c>
      <c r="B1494" s="68" t="n">
        <v>45839</v>
      </c>
      <c r="C1494" s="69" t="n">
        <v>2025</v>
      </c>
      <c r="D1494" t="inlineStr">
        <is>
          <t>Jul</t>
        </is>
      </c>
      <c r="E1494" t="inlineStr">
        <is>
          <t>Europe</t>
        </is>
      </c>
      <c r="F1494" t="inlineStr">
        <is>
          <t>France</t>
        </is>
      </c>
      <c r="G1494" t="inlineStr">
        <is>
          <t>Vyndaqel</t>
        </is>
      </c>
      <c r="H1494" t="inlineStr">
        <is>
          <t>Government / tender</t>
        </is>
      </c>
      <c r="I1494" t="inlineStr">
        <is>
          <t>Self-pay</t>
        </is>
      </c>
      <c r="J1494" t="inlineStr">
        <is>
          <t>Sara Rossi</t>
        </is>
      </c>
      <c r="K1494" s="70" t="n">
        <v>2991</v>
      </c>
      <c r="L1494" s="71" t="n">
        <v>5187.56</v>
      </c>
      <c r="M1494" s="71" t="n">
        <v>15515991.96</v>
      </c>
      <c r="N1494" s="71" t="n">
        <v>775799.6</v>
      </c>
      <c r="O1494" s="71" t="n">
        <v>14740192.36</v>
      </c>
      <c r="P1494" s="71" t="n">
        <v>1899800.25</v>
      </c>
      <c r="Q1494" s="71" t="n">
        <v>12840392.11</v>
      </c>
      <c r="R1494" t="inlineStr">
        <is>
          <t>Rare disease</t>
        </is>
      </c>
      <c r="S1494" s="70" t="n">
        <v>2691</v>
      </c>
      <c r="T1494" s="71" t="n">
        <v>2803937.58</v>
      </c>
      <c r="U1494" t="inlineStr">
        <is>
          <t>Medium</t>
        </is>
      </c>
      <c r="V1494">
        <f>IF(AND(OR(Dashboard!$C$6="All",E1494=Dashboard!$C$6),OR(Dashboard!$F$6="All",G1494=Dashboard!$F$6),OR(Dashboard!$I$6="All",H1494=Dashboard!$I$6)),1,0)</f>
        <v/>
      </c>
    </row>
    <row r="1495">
      <c r="A1495" t="inlineStr">
        <is>
          <t>PF101486</t>
        </is>
      </c>
      <c r="B1495" s="68" t="n">
        <v>45840</v>
      </c>
      <c r="C1495" s="69" t="n">
        <v>2025</v>
      </c>
      <c r="D1495" t="inlineStr">
        <is>
          <t>Jul</t>
        </is>
      </c>
      <c r="E1495" t="inlineStr">
        <is>
          <t>United States</t>
        </is>
      </c>
      <c r="F1495" t="inlineStr">
        <is>
          <t>USA</t>
        </is>
      </c>
      <c r="G1495" t="inlineStr">
        <is>
          <t>Comirnaty</t>
        </is>
      </c>
      <c r="H1495" t="inlineStr">
        <is>
          <t>Government / tender</t>
        </is>
      </c>
      <c r="I1495" t="inlineStr">
        <is>
          <t>Public payer</t>
        </is>
      </c>
      <c r="J1495" t="inlineStr">
        <is>
          <t>Aisha Bello</t>
        </is>
      </c>
      <c r="K1495" s="70" t="n">
        <v>1017</v>
      </c>
      <c r="L1495" s="71" t="n">
        <v>166.64</v>
      </c>
      <c r="M1495" s="71" t="n">
        <v>169472.88</v>
      </c>
      <c r="N1495" s="71" t="n">
        <v>59315.51</v>
      </c>
      <c r="O1495" s="71" t="n">
        <v>110157.37</v>
      </c>
      <c r="P1495" s="71" t="n">
        <v>39483.41</v>
      </c>
      <c r="Q1495" s="71" t="n">
        <v>70673.96000000001</v>
      </c>
      <c r="R1495" t="inlineStr">
        <is>
          <t>Vaccines</t>
        </is>
      </c>
      <c r="S1495" s="70" t="n">
        <v>709</v>
      </c>
      <c r="T1495" s="71" t="n">
        <v>26081.51</v>
      </c>
      <c r="U1495" t="inlineStr">
        <is>
          <t>Low</t>
        </is>
      </c>
      <c r="V1495">
        <f>IF(AND(OR(Dashboard!$C$6="All",E1495=Dashboard!$C$6),OR(Dashboard!$F$6="All",G1495=Dashboard!$F$6),OR(Dashboard!$I$6="All",H1495=Dashboard!$I$6)),1,0)</f>
        <v/>
      </c>
    </row>
    <row r="1496">
      <c r="A1496" t="inlineStr">
        <is>
          <t>PF101487</t>
        </is>
      </c>
      <c r="B1496" s="68" t="n">
        <v>45840</v>
      </c>
      <c r="C1496" s="69" t="n">
        <v>2025</v>
      </c>
      <c r="D1496" t="inlineStr">
        <is>
          <t>Jul</t>
        </is>
      </c>
      <c r="E1496" t="inlineStr">
        <is>
          <t>United States</t>
        </is>
      </c>
      <c r="F1496" t="inlineStr">
        <is>
          <t>USA</t>
        </is>
      </c>
      <c r="G1496" t="inlineStr">
        <is>
          <t>Vyndaqel</t>
        </is>
      </c>
      <c r="H1496" t="inlineStr">
        <is>
          <t>Retail pharmacy</t>
        </is>
      </c>
      <c r="I1496" t="inlineStr">
        <is>
          <t>Public payer</t>
        </is>
      </c>
      <c r="J1496" t="inlineStr">
        <is>
          <t>Sara Rossi</t>
        </is>
      </c>
      <c r="K1496" s="70" t="n">
        <v>936</v>
      </c>
      <c r="L1496" s="71" t="n">
        <v>8346.610000000001</v>
      </c>
      <c r="M1496" s="71" t="n">
        <v>7812426.96</v>
      </c>
      <c r="N1496" s="71" t="n">
        <v>2734349.44</v>
      </c>
      <c r="O1496" s="71" t="n">
        <v>5078077.52</v>
      </c>
      <c r="P1496" s="71" t="n">
        <v>604265.0600000001</v>
      </c>
      <c r="Q1496" s="71" t="n">
        <v>4473812.46</v>
      </c>
      <c r="R1496" t="inlineStr">
        <is>
          <t>Rare disease</t>
        </is>
      </c>
      <c r="S1496" s="70" t="n">
        <v>658</v>
      </c>
      <c r="T1496" s="71" t="n">
        <v>1698445.16</v>
      </c>
      <c r="U1496" t="inlineStr">
        <is>
          <t>Medium</t>
        </is>
      </c>
      <c r="V1496">
        <f>IF(AND(OR(Dashboard!$C$6="All",E1496=Dashboard!$C$6),OR(Dashboard!$F$6="All",G1496=Dashboard!$F$6),OR(Dashboard!$I$6="All",H1496=Dashboard!$I$6)),1,0)</f>
        <v/>
      </c>
    </row>
    <row r="1497">
      <c r="A1497" t="inlineStr">
        <is>
          <t>PF101488</t>
        </is>
      </c>
      <c r="B1497" s="68" t="n">
        <v>45840</v>
      </c>
      <c r="C1497" s="69" t="n">
        <v>2025</v>
      </c>
      <c r="D1497" t="inlineStr">
        <is>
          <t>Jul</t>
        </is>
      </c>
      <c r="E1497" t="inlineStr">
        <is>
          <t>International developed</t>
        </is>
      </c>
      <c r="F1497" t="inlineStr">
        <is>
          <t>Canada</t>
        </is>
      </c>
      <c r="G1497" t="inlineStr">
        <is>
          <t>Prevnar 20</t>
        </is>
      </c>
      <c r="H1497" t="inlineStr">
        <is>
          <t>Retail pharmacy</t>
        </is>
      </c>
      <c r="I1497" t="inlineStr">
        <is>
          <t>Public payer</t>
        </is>
      </c>
      <c r="J1497" t="inlineStr">
        <is>
          <t>Aisha Bello</t>
        </is>
      </c>
      <c r="K1497" s="70" t="n">
        <v>3024</v>
      </c>
      <c r="L1497" s="71" t="n">
        <v>235.44</v>
      </c>
      <c r="M1497" s="71" t="n">
        <v>711970.5600000001</v>
      </c>
      <c r="N1497" s="71" t="n">
        <v>71197.06</v>
      </c>
      <c r="O1497" s="71" t="n">
        <v>640773.5</v>
      </c>
      <c r="P1497" s="71" t="n">
        <v>210418.45</v>
      </c>
      <c r="Q1497" s="71" t="n">
        <v>430355.05</v>
      </c>
      <c r="R1497" t="inlineStr">
        <is>
          <t>Vaccines</t>
        </is>
      </c>
      <c r="S1497" s="70" t="n">
        <v>2403</v>
      </c>
      <c r="T1497" s="71" t="n">
        <v>97435.5</v>
      </c>
      <c r="U1497" t="inlineStr">
        <is>
          <t>Low</t>
        </is>
      </c>
      <c r="V1497">
        <f>IF(AND(OR(Dashboard!$C$6="All",E1497=Dashboard!$C$6),OR(Dashboard!$F$6="All",G1497=Dashboard!$F$6),OR(Dashboard!$I$6="All",H1497=Dashboard!$I$6)),1,0)</f>
        <v/>
      </c>
    </row>
    <row r="1498">
      <c r="A1498" t="inlineStr">
        <is>
          <t>PF101489</t>
        </is>
      </c>
      <c r="B1498" s="68" t="n">
        <v>45840</v>
      </c>
      <c r="C1498" s="69" t="n">
        <v>2025</v>
      </c>
      <c r="D1498" t="inlineStr">
        <is>
          <t>Jul</t>
        </is>
      </c>
      <c r="E1498" t="inlineStr">
        <is>
          <t>United States</t>
        </is>
      </c>
      <c r="F1498" t="inlineStr">
        <is>
          <t>USA</t>
        </is>
      </c>
      <c r="G1498" t="inlineStr">
        <is>
          <t>Eliquis</t>
        </is>
      </c>
      <c r="H1498" t="inlineStr">
        <is>
          <t>Retail pharmacy</t>
        </is>
      </c>
      <c r="I1498" t="inlineStr">
        <is>
          <t>Private insurer</t>
        </is>
      </c>
      <c r="J1498" t="inlineStr">
        <is>
          <t>Noah Smith</t>
        </is>
      </c>
      <c r="K1498" s="70" t="n">
        <v>3056</v>
      </c>
      <c r="L1498" s="71" t="n">
        <v>734.6900000000001</v>
      </c>
      <c r="M1498" s="71" t="n">
        <v>2245212.64</v>
      </c>
      <c r="N1498" s="71" t="n">
        <v>336781.9</v>
      </c>
      <c r="O1498" s="71" t="n">
        <v>1908430.74</v>
      </c>
      <c r="P1498" s="71" t="n">
        <v>237253.57</v>
      </c>
      <c r="Q1498" s="71" t="n">
        <v>1671177.17</v>
      </c>
      <c r="R1498" t="inlineStr">
        <is>
          <t>Cardiology</t>
        </is>
      </c>
      <c r="S1498" s="70" t="n">
        <v>2316</v>
      </c>
      <c r="T1498" s="71" t="n">
        <v>468792.55</v>
      </c>
      <c r="U1498" t="inlineStr">
        <is>
          <t>High</t>
        </is>
      </c>
      <c r="V1498">
        <f>IF(AND(OR(Dashboard!$C$6="All",E1498=Dashboard!$C$6),OR(Dashboard!$F$6="All",G1498=Dashboard!$F$6),OR(Dashboard!$I$6="All",H1498=Dashboard!$I$6)),1,0)</f>
        <v/>
      </c>
    </row>
    <row r="1499">
      <c r="A1499" t="inlineStr">
        <is>
          <t>PF101490</t>
        </is>
      </c>
      <c r="B1499" s="68" t="n">
        <v>45840</v>
      </c>
      <c r="C1499" s="69" t="n">
        <v>2025</v>
      </c>
      <c r="D1499" t="inlineStr">
        <is>
          <t>Jul</t>
        </is>
      </c>
      <c r="E1499" t="inlineStr">
        <is>
          <t>Europe</t>
        </is>
      </c>
      <c r="F1499" t="inlineStr">
        <is>
          <t>France</t>
        </is>
      </c>
      <c r="G1499" t="inlineStr">
        <is>
          <t>Abrysvo</t>
        </is>
      </c>
      <c r="H1499" t="inlineStr">
        <is>
          <t>Hospital</t>
        </is>
      </c>
      <c r="I1499" t="inlineStr">
        <is>
          <t>Private insurer</t>
        </is>
      </c>
      <c r="J1499" t="inlineStr">
        <is>
          <t>Ana Costa</t>
        </is>
      </c>
      <c r="K1499" s="70" t="n">
        <v>1689</v>
      </c>
      <c r="L1499" s="71" t="n">
        <v>265.45</v>
      </c>
      <c r="M1499" s="71" t="n">
        <v>448345.05</v>
      </c>
      <c r="N1499" s="71" t="n">
        <v>22417.25</v>
      </c>
      <c r="O1499" s="71" t="n">
        <v>425927.8</v>
      </c>
      <c r="P1499" s="71" t="n">
        <v>143873.25</v>
      </c>
      <c r="Q1499" s="71" t="n">
        <v>282054.55</v>
      </c>
      <c r="R1499" t="inlineStr">
        <is>
          <t>Vaccines</t>
        </is>
      </c>
      <c r="S1499" s="70" t="n">
        <v>1310</v>
      </c>
      <c r="T1499" s="71" t="n">
        <v>74377.60000000001</v>
      </c>
      <c r="U1499" t="inlineStr">
        <is>
          <t>Low</t>
        </is>
      </c>
      <c r="V1499">
        <f>IF(AND(OR(Dashboard!$C$6="All",E1499=Dashboard!$C$6),OR(Dashboard!$F$6="All",G1499=Dashboard!$F$6),OR(Dashboard!$I$6="All",H1499=Dashboard!$I$6)),1,0)</f>
        <v/>
      </c>
    </row>
    <row r="1500">
      <c r="A1500" t="inlineStr">
        <is>
          <t>PF101491</t>
        </is>
      </c>
      <c r="B1500" s="68" t="n">
        <v>45840</v>
      </c>
      <c r="C1500" s="69" t="n">
        <v>2025</v>
      </c>
      <c r="D1500" t="inlineStr">
        <is>
          <t>Jul</t>
        </is>
      </c>
      <c r="E1500" t="inlineStr">
        <is>
          <t>International developed</t>
        </is>
      </c>
      <c r="F1500" t="inlineStr">
        <is>
          <t>Australia</t>
        </is>
      </c>
      <c r="G1500" t="inlineStr">
        <is>
          <t>Vyndaqel</t>
        </is>
      </c>
      <c r="H1500" t="inlineStr">
        <is>
          <t>Hospital</t>
        </is>
      </c>
      <c r="I1500" t="inlineStr">
        <is>
          <t>Public payer</t>
        </is>
      </c>
      <c r="J1500" t="inlineStr">
        <is>
          <t>Olivia Brown</t>
        </is>
      </c>
      <c r="K1500" s="70" t="n">
        <v>271</v>
      </c>
      <c r="L1500" s="71" t="n">
        <v>4956.85</v>
      </c>
      <c r="M1500" s="71" t="n">
        <v>1343306.35</v>
      </c>
      <c r="N1500" s="71" t="n">
        <v>335826.59</v>
      </c>
      <c r="O1500" s="71" t="n">
        <v>1007479.76</v>
      </c>
      <c r="P1500" s="71" t="n">
        <v>173432.91</v>
      </c>
      <c r="Q1500" s="71" t="n">
        <v>834046.85</v>
      </c>
      <c r="R1500" t="inlineStr">
        <is>
          <t>Rare disease</t>
        </is>
      </c>
      <c r="S1500" s="70" t="n">
        <v>217</v>
      </c>
      <c r="T1500" s="71" t="n">
        <v>266362.72</v>
      </c>
      <c r="U1500" t="inlineStr">
        <is>
          <t>Medium</t>
        </is>
      </c>
      <c r="V1500">
        <f>IF(AND(OR(Dashboard!$C$6="All",E1500=Dashboard!$C$6),OR(Dashboard!$F$6="All",G1500=Dashboard!$F$6),OR(Dashboard!$I$6="All",H1500=Dashboard!$I$6)),1,0)</f>
        <v/>
      </c>
    </row>
    <row r="1501">
      <c r="A1501" t="inlineStr">
        <is>
          <t>PF101492</t>
        </is>
      </c>
      <c r="B1501" s="68" t="n">
        <v>45841</v>
      </c>
      <c r="C1501" s="69" t="n">
        <v>2025</v>
      </c>
      <c r="D1501" t="inlineStr">
        <is>
          <t>Jul</t>
        </is>
      </c>
      <c r="E1501" t="inlineStr">
        <is>
          <t>United States</t>
        </is>
      </c>
      <c r="F1501" t="inlineStr">
        <is>
          <t>USA</t>
        </is>
      </c>
      <c r="G1501" t="inlineStr">
        <is>
          <t>Abrysvo</t>
        </is>
      </c>
      <c r="H1501" t="inlineStr">
        <is>
          <t>Retail pharmacy</t>
        </is>
      </c>
      <c r="I1501" t="inlineStr">
        <is>
          <t>Private insurer</t>
        </is>
      </c>
      <c r="J1501" t="inlineStr">
        <is>
          <t>Wei Chen</t>
        </is>
      </c>
      <c r="K1501" s="70" t="n">
        <v>1790</v>
      </c>
      <c r="L1501" s="71" t="n">
        <v>487.38</v>
      </c>
      <c r="M1501" s="71" t="n">
        <v>872410.2</v>
      </c>
      <c r="N1501" s="71" t="n">
        <v>305343.57</v>
      </c>
      <c r="O1501" s="71" t="n">
        <v>567066.63</v>
      </c>
      <c r="P1501" s="71" t="n">
        <v>145988.94</v>
      </c>
      <c r="Q1501" s="71" t="n">
        <v>421077.69</v>
      </c>
      <c r="R1501" t="inlineStr">
        <is>
          <t>Vaccines</t>
        </is>
      </c>
      <c r="S1501" s="70" t="n">
        <v>1550</v>
      </c>
      <c r="T1501" s="71" t="n">
        <v>163726.75</v>
      </c>
      <c r="U1501" t="inlineStr">
        <is>
          <t>Low</t>
        </is>
      </c>
      <c r="V1501">
        <f>IF(AND(OR(Dashboard!$C$6="All",E1501=Dashboard!$C$6),OR(Dashboard!$F$6="All",G1501=Dashboard!$F$6),OR(Dashboard!$I$6="All",H1501=Dashboard!$I$6)),1,0)</f>
        <v/>
      </c>
    </row>
    <row r="1502">
      <c r="A1502" t="inlineStr">
        <is>
          <t>PF101493</t>
        </is>
      </c>
      <c r="B1502" s="68" t="n">
        <v>45841</v>
      </c>
      <c r="C1502" s="69" t="n">
        <v>2025</v>
      </c>
      <c r="D1502" t="inlineStr">
        <is>
          <t>Jul</t>
        </is>
      </c>
      <c r="E1502" t="inlineStr">
        <is>
          <t>United States</t>
        </is>
      </c>
      <c r="F1502" t="inlineStr">
        <is>
          <t>USA</t>
        </is>
      </c>
      <c r="G1502" t="inlineStr">
        <is>
          <t>Comirnaty</t>
        </is>
      </c>
      <c r="H1502" t="inlineStr">
        <is>
          <t>Government / tender</t>
        </is>
      </c>
      <c r="I1502" t="inlineStr">
        <is>
          <t>Private insurer</t>
        </is>
      </c>
      <c r="J1502" t="inlineStr">
        <is>
          <t>Hiroshi Tanaka</t>
        </is>
      </c>
      <c r="K1502" s="70" t="n">
        <v>1869</v>
      </c>
      <c r="L1502" s="71" t="n">
        <v>192.34</v>
      </c>
      <c r="M1502" s="71" t="n">
        <v>359483.46</v>
      </c>
      <c r="N1502" s="71" t="n">
        <v>125819.21</v>
      </c>
      <c r="O1502" s="71" t="n">
        <v>233664.25</v>
      </c>
      <c r="P1502" s="71" t="n">
        <v>69568.59</v>
      </c>
      <c r="Q1502" s="71" t="n">
        <v>164095.66</v>
      </c>
      <c r="R1502" t="inlineStr">
        <is>
          <t>Vaccines</t>
        </is>
      </c>
      <c r="S1502" s="70" t="n">
        <v>1308</v>
      </c>
      <c r="T1502" s="71" t="n">
        <v>64632.05</v>
      </c>
      <c r="U1502" t="inlineStr">
        <is>
          <t>Low</t>
        </is>
      </c>
      <c r="V1502">
        <f>IF(AND(OR(Dashboard!$C$6="All",E1502=Dashboard!$C$6),OR(Dashboard!$F$6="All",G1502=Dashboard!$F$6),OR(Dashboard!$I$6="All",H1502=Dashboard!$I$6)),1,0)</f>
        <v/>
      </c>
    </row>
    <row r="1503">
      <c r="A1503" t="inlineStr">
        <is>
          <t>PF101494</t>
        </is>
      </c>
      <c r="B1503" s="68" t="n">
        <v>45841</v>
      </c>
      <c r="C1503" s="69" t="n">
        <v>2025</v>
      </c>
      <c r="D1503" t="inlineStr">
        <is>
          <t>Jul</t>
        </is>
      </c>
      <c r="E1503" t="inlineStr">
        <is>
          <t>Emerging markets</t>
        </is>
      </c>
      <c r="F1503" t="inlineStr">
        <is>
          <t>China</t>
        </is>
      </c>
      <c r="G1503" t="inlineStr">
        <is>
          <t>Ibrance</t>
        </is>
      </c>
      <c r="H1503" t="inlineStr">
        <is>
          <t>Retail pharmacy</t>
        </is>
      </c>
      <c r="I1503" t="inlineStr">
        <is>
          <t>Private insurer</t>
        </is>
      </c>
      <c r="J1503" t="inlineStr">
        <is>
          <t>Noah Smith</t>
        </is>
      </c>
      <c r="K1503" s="70" t="n">
        <v>1191</v>
      </c>
      <c r="L1503" s="71" t="n">
        <v>3029.42</v>
      </c>
      <c r="M1503" s="71" t="n">
        <v>3608039.22</v>
      </c>
      <c r="N1503" s="71" t="n">
        <v>541205.88</v>
      </c>
      <c r="O1503" s="71" t="n">
        <v>3066833.34</v>
      </c>
      <c r="P1503" s="71" t="n">
        <v>536784.16</v>
      </c>
      <c r="Q1503" s="71" t="n">
        <v>2530049.18</v>
      </c>
      <c r="R1503" t="inlineStr">
        <is>
          <t>Oncology</t>
        </is>
      </c>
      <c r="S1503" s="70" t="n">
        <v>996</v>
      </c>
      <c r="T1503" s="71" t="n">
        <v>583392.01</v>
      </c>
      <c r="U1503" t="inlineStr">
        <is>
          <t>High</t>
        </is>
      </c>
      <c r="V1503">
        <f>IF(AND(OR(Dashboard!$C$6="All",E1503=Dashboard!$C$6),OR(Dashboard!$F$6="All",G1503=Dashboard!$F$6),OR(Dashboard!$I$6="All",H1503=Dashboard!$I$6)),1,0)</f>
        <v/>
      </c>
    </row>
    <row r="1504">
      <c r="A1504" t="inlineStr">
        <is>
          <t>PF101495</t>
        </is>
      </c>
      <c r="B1504" s="68" t="n">
        <v>45841</v>
      </c>
      <c r="C1504" s="69" t="n">
        <v>2025</v>
      </c>
      <c r="D1504" t="inlineStr">
        <is>
          <t>Jul</t>
        </is>
      </c>
      <c r="E1504" t="inlineStr">
        <is>
          <t>Europe</t>
        </is>
      </c>
      <c r="F1504" t="inlineStr">
        <is>
          <t>UK</t>
        </is>
      </c>
      <c r="G1504" t="inlineStr">
        <is>
          <t>Comirnaty</t>
        </is>
      </c>
      <c r="H1504" t="inlineStr">
        <is>
          <t>Retail pharmacy</t>
        </is>
      </c>
      <c r="I1504" t="inlineStr">
        <is>
          <t>Private insurer</t>
        </is>
      </c>
      <c r="J1504" t="inlineStr">
        <is>
          <t>Mei Lin</t>
        </is>
      </c>
      <c r="K1504" s="70" t="n">
        <v>1136</v>
      </c>
      <c r="L1504" s="71" t="n">
        <v>118.15</v>
      </c>
      <c r="M1504" s="71" t="n">
        <v>134218.4</v>
      </c>
      <c r="N1504" s="71" t="n">
        <v>13421.84</v>
      </c>
      <c r="O1504" s="71" t="n">
        <v>120796.56</v>
      </c>
      <c r="P1504" s="71" t="n">
        <v>44026.92</v>
      </c>
      <c r="Q1504" s="71" t="n">
        <v>76769.64</v>
      </c>
      <c r="R1504" t="inlineStr">
        <is>
          <t>Vaccines</t>
        </is>
      </c>
      <c r="S1504" s="70" t="n">
        <v>1014</v>
      </c>
      <c r="T1504" s="71" t="n">
        <v>20694.78</v>
      </c>
      <c r="U1504" t="inlineStr">
        <is>
          <t>Low</t>
        </is>
      </c>
      <c r="V1504">
        <f>IF(AND(OR(Dashboard!$C$6="All",E1504=Dashboard!$C$6),OR(Dashboard!$F$6="All",G1504=Dashboard!$F$6),OR(Dashboard!$I$6="All",H1504=Dashboard!$I$6)),1,0)</f>
        <v/>
      </c>
    </row>
    <row r="1505">
      <c r="A1505" t="inlineStr">
        <is>
          <t>PF101496</t>
        </is>
      </c>
      <c r="B1505" s="68" t="n">
        <v>45841</v>
      </c>
      <c r="C1505" s="69" t="n">
        <v>2025</v>
      </c>
      <c r="D1505" t="inlineStr">
        <is>
          <t>Jul</t>
        </is>
      </c>
      <c r="E1505" t="inlineStr">
        <is>
          <t>International developed</t>
        </is>
      </c>
      <c r="F1505" t="inlineStr">
        <is>
          <t>Australia</t>
        </is>
      </c>
      <c r="G1505" t="inlineStr">
        <is>
          <t>Ibrance</t>
        </is>
      </c>
      <c r="H1505" t="inlineStr">
        <is>
          <t>Hospital</t>
        </is>
      </c>
      <c r="I1505" t="inlineStr">
        <is>
          <t>Private insurer</t>
        </is>
      </c>
      <c r="J1505" t="inlineStr">
        <is>
          <t>Zoya Ahmed</t>
        </is>
      </c>
      <c r="K1505" s="70" t="n">
        <v>1110</v>
      </c>
      <c r="L1505" s="71" t="n">
        <v>2952.78</v>
      </c>
      <c r="M1505" s="71" t="n">
        <v>3277585.8</v>
      </c>
      <c r="N1505" s="71" t="n">
        <v>819396.45</v>
      </c>
      <c r="O1505" s="71" t="n">
        <v>2458189.35</v>
      </c>
      <c r="P1505" s="71" t="n">
        <v>496000.29</v>
      </c>
      <c r="Q1505" s="71" t="n">
        <v>1962189.06</v>
      </c>
      <c r="R1505" t="inlineStr">
        <is>
          <t>Oncology</t>
        </is>
      </c>
      <c r="S1505" s="70" t="n">
        <v>926</v>
      </c>
      <c r="T1505" s="71" t="n">
        <v>645942.99</v>
      </c>
      <c r="U1505" t="inlineStr">
        <is>
          <t>High</t>
        </is>
      </c>
      <c r="V1505">
        <f>IF(AND(OR(Dashboard!$C$6="All",E1505=Dashboard!$C$6),OR(Dashboard!$F$6="All",G1505=Dashboard!$F$6),OR(Dashboard!$I$6="All",H1505=Dashboard!$I$6)),1,0)</f>
        <v/>
      </c>
    </row>
    <row r="1506">
      <c r="A1506" t="inlineStr">
        <is>
          <t>PF101497</t>
        </is>
      </c>
      <c r="B1506" s="68" t="n">
        <v>45842</v>
      </c>
      <c r="C1506" s="69" t="n">
        <v>2025</v>
      </c>
      <c r="D1506" t="inlineStr">
        <is>
          <t>Jul</t>
        </is>
      </c>
      <c r="E1506" t="inlineStr">
        <is>
          <t>United States</t>
        </is>
      </c>
      <c r="F1506" t="inlineStr">
        <is>
          <t>USA</t>
        </is>
      </c>
      <c r="G1506" t="inlineStr">
        <is>
          <t>Eliquis</t>
        </is>
      </c>
      <c r="H1506" t="inlineStr">
        <is>
          <t>Government / tender</t>
        </is>
      </c>
      <c r="I1506" t="inlineStr">
        <is>
          <t>Private insurer</t>
        </is>
      </c>
      <c r="J1506" t="inlineStr">
        <is>
          <t>Ravindra Patil</t>
        </is>
      </c>
      <c r="K1506" s="70" t="n">
        <v>1814</v>
      </c>
      <c r="L1506" s="71" t="n">
        <v>673.79</v>
      </c>
      <c r="M1506" s="71" t="n">
        <v>1222255.06</v>
      </c>
      <c r="N1506" s="71" t="n">
        <v>366676.52</v>
      </c>
      <c r="O1506" s="71" t="n">
        <v>855578.54</v>
      </c>
      <c r="P1506" s="71" t="n">
        <v>142036.09</v>
      </c>
      <c r="Q1506" s="71" t="n">
        <v>713542.45</v>
      </c>
      <c r="R1506" t="inlineStr">
        <is>
          <t>Cardiology</t>
        </is>
      </c>
      <c r="S1506" s="70" t="n">
        <v>1679</v>
      </c>
      <c r="T1506" s="71" t="n">
        <v>223606.65</v>
      </c>
      <c r="U1506" t="inlineStr">
        <is>
          <t>High</t>
        </is>
      </c>
      <c r="V1506">
        <f>IF(AND(OR(Dashboard!$C$6="All",E1506=Dashboard!$C$6),OR(Dashboard!$F$6="All",G1506=Dashboard!$F$6),OR(Dashboard!$I$6="All",H1506=Dashboard!$I$6)),1,0)</f>
        <v/>
      </c>
    </row>
    <row r="1507">
      <c r="A1507" t="inlineStr">
        <is>
          <t>PF101498</t>
        </is>
      </c>
      <c r="B1507" s="68" t="n">
        <v>45842</v>
      </c>
      <c r="C1507" s="69" t="n">
        <v>2025</v>
      </c>
      <c r="D1507" t="inlineStr">
        <is>
          <t>Jul</t>
        </is>
      </c>
      <c r="E1507" t="inlineStr">
        <is>
          <t>Europe</t>
        </is>
      </c>
      <c r="F1507" t="inlineStr">
        <is>
          <t>Germany</t>
        </is>
      </c>
      <c r="G1507" t="inlineStr">
        <is>
          <t>Abrysvo</t>
        </is>
      </c>
      <c r="H1507" t="inlineStr">
        <is>
          <t>Retail pharmacy</t>
        </is>
      </c>
      <c r="I1507" t="inlineStr">
        <is>
          <t>Public payer</t>
        </is>
      </c>
      <c r="J1507" t="inlineStr">
        <is>
          <t>Ruhi Shaikh</t>
        </is>
      </c>
      <c r="K1507" s="70" t="n">
        <v>2678</v>
      </c>
      <c r="L1507" s="71" t="n">
        <v>293.89</v>
      </c>
      <c r="M1507" s="71" t="n">
        <v>787037.42</v>
      </c>
      <c r="N1507" s="71" t="n">
        <v>39351.87</v>
      </c>
      <c r="O1507" s="71" t="n">
        <v>747685.55</v>
      </c>
      <c r="P1507" s="71" t="n">
        <v>224469.55</v>
      </c>
      <c r="Q1507" s="71" t="n">
        <v>523216</v>
      </c>
      <c r="R1507" t="inlineStr">
        <is>
          <t>Vaccines</t>
        </is>
      </c>
      <c r="S1507" s="70" t="n">
        <v>1713</v>
      </c>
      <c r="T1507" s="71" t="n">
        <v>112164.47</v>
      </c>
      <c r="U1507" t="inlineStr">
        <is>
          <t>Low</t>
        </is>
      </c>
      <c r="V1507">
        <f>IF(AND(OR(Dashboard!$C$6="All",E1507=Dashboard!$C$6),OR(Dashboard!$F$6="All",G1507=Dashboard!$F$6),OR(Dashboard!$I$6="All",H1507=Dashboard!$I$6)),1,0)</f>
        <v/>
      </c>
    </row>
    <row r="1508">
      <c r="A1508" t="inlineStr">
        <is>
          <t>PF101499</t>
        </is>
      </c>
      <c r="B1508" s="68" t="n">
        <v>45842</v>
      </c>
      <c r="C1508" s="69" t="n">
        <v>2025</v>
      </c>
      <c r="D1508" t="inlineStr">
        <is>
          <t>Jul</t>
        </is>
      </c>
      <c r="E1508" t="inlineStr">
        <is>
          <t>United States</t>
        </is>
      </c>
      <c r="F1508" t="inlineStr">
        <is>
          <t>USA</t>
        </is>
      </c>
      <c r="G1508" t="inlineStr">
        <is>
          <t>Abrysvo</t>
        </is>
      </c>
      <c r="H1508" t="inlineStr">
        <is>
          <t>Retail pharmacy</t>
        </is>
      </c>
      <c r="I1508" t="inlineStr">
        <is>
          <t>Public payer</t>
        </is>
      </c>
      <c r="J1508" t="inlineStr">
        <is>
          <t>Aisha Bello</t>
        </is>
      </c>
      <c r="K1508" s="70" t="n">
        <v>2815</v>
      </c>
      <c r="L1508" s="71" t="n">
        <v>475.52</v>
      </c>
      <c r="M1508" s="71" t="n">
        <v>1338588.8</v>
      </c>
      <c r="N1508" s="71" t="n">
        <v>334647.2</v>
      </c>
      <c r="O1508" s="71" t="n">
        <v>1003941.6</v>
      </c>
      <c r="P1508" s="71" t="n">
        <v>227401.04</v>
      </c>
      <c r="Q1508" s="71" t="n">
        <v>776540.5600000001</v>
      </c>
      <c r="R1508" t="inlineStr">
        <is>
          <t>Vaccines</t>
        </is>
      </c>
      <c r="S1508" s="70" t="n">
        <v>1809</v>
      </c>
      <c r="T1508" s="71" t="n">
        <v>273738.86</v>
      </c>
      <c r="U1508" t="inlineStr">
        <is>
          <t>Low</t>
        </is>
      </c>
      <c r="V1508">
        <f>IF(AND(OR(Dashboard!$C$6="All",E1508=Dashboard!$C$6),OR(Dashboard!$F$6="All",G1508=Dashboard!$F$6),OR(Dashboard!$I$6="All",H1508=Dashboard!$I$6)),1,0)</f>
        <v/>
      </c>
    </row>
    <row r="1509">
      <c r="A1509" t="inlineStr">
        <is>
          <t>PF101500</t>
        </is>
      </c>
      <c r="B1509" s="68" t="n">
        <v>45842</v>
      </c>
      <c r="C1509" s="69" t="n">
        <v>2025</v>
      </c>
      <c r="D1509" t="inlineStr">
        <is>
          <t>Jul</t>
        </is>
      </c>
      <c r="E1509" t="inlineStr">
        <is>
          <t>United States</t>
        </is>
      </c>
      <c r="F1509" t="inlineStr">
        <is>
          <t>USA</t>
        </is>
      </c>
      <c r="G1509" t="inlineStr">
        <is>
          <t>Eliquis</t>
        </is>
      </c>
      <c r="H1509" t="inlineStr">
        <is>
          <t>Retail pharmacy</t>
        </is>
      </c>
      <c r="I1509" t="inlineStr">
        <is>
          <t>Private insurer</t>
        </is>
      </c>
      <c r="J1509" t="inlineStr">
        <is>
          <t>Lucas Martin</t>
        </is>
      </c>
      <c r="K1509" s="70" t="n">
        <v>2785</v>
      </c>
      <c r="L1509" s="71" t="n">
        <v>632.75</v>
      </c>
      <c r="M1509" s="71" t="n">
        <v>1762208.75</v>
      </c>
      <c r="N1509" s="71" t="n">
        <v>528662.63</v>
      </c>
      <c r="O1509" s="71" t="n">
        <v>1233546.12</v>
      </c>
      <c r="P1509" s="71" t="n">
        <v>203092.86</v>
      </c>
      <c r="Q1509" s="71" t="n">
        <v>1030453.26</v>
      </c>
      <c r="R1509" t="inlineStr">
        <is>
          <t>Cardiology</t>
        </is>
      </c>
      <c r="S1509" s="70" t="n">
        <v>2369</v>
      </c>
      <c r="T1509" s="71" t="n">
        <v>342984.82</v>
      </c>
      <c r="U1509" t="inlineStr">
        <is>
          <t>High</t>
        </is>
      </c>
      <c r="V1509">
        <f>IF(AND(OR(Dashboard!$C$6="All",E1509=Dashboard!$C$6),OR(Dashboard!$F$6="All",G1509=Dashboard!$F$6),OR(Dashboard!$I$6="All",H1509=Dashboard!$I$6)),1,0)</f>
        <v/>
      </c>
    </row>
    <row r="1510">
      <c r="A1510" t="inlineStr">
        <is>
          <t>PF101501</t>
        </is>
      </c>
      <c r="B1510" s="68" t="n">
        <v>45842</v>
      </c>
      <c r="C1510" s="69" t="n">
        <v>2025</v>
      </c>
      <c r="D1510" t="inlineStr">
        <is>
          <t>Jul</t>
        </is>
      </c>
      <c r="E1510" t="inlineStr">
        <is>
          <t>United States</t>
        </is>
      </c>
      <c r="F1510" t="inlineStr">
        <is>
          <t>USA</t>
        </is>
      </c>
      <c r="G1510" t="inlineStr">
        <is>
          <t>Eliquis</t>
        </is>
      </c>
      <c r="H1510" t="inlineStr">
        <is>
          <t>Government / tender</t>
        </is>
      </c>
      <c r="I1510" t="inlineStr">
        <is>
          <t>Public payer</t>
        </is>
      </c>
      <c r="J1510" t="inlineStr">
        <is>
          <t>Aisha Bello</t>
        </is>
      </c>
      <c r="K1510" s="70" t="n">
        <v>1617</v>
      </c>
      <c r="L1510" s="71" t="n">
        <v>612.67</v>
      </c>
      <c r="M1510" s="71" t="n">
        <v>990687.39</v>
      </c>
      <c r="N1510" s="71" t="n">
        <v>148603.11</v>
      </c>
      <c r="O1510" s="71" t="n">
        <v>842084.28</v>
      </c>
      <c r="P1510" s="71" t="n">
        <v>122960.21</v>
      </c>
      <c r="Q1510" s="71" t="n">
        <v>719124.0699999999</v>
      </c>
      <c r="R1510" t="inlineStr">
        <is>
          <t>Cardiology</t>
        </is>
      </c>
      <c r="S1510" s="70" t="n">
        <v>1352</v>
      </c>
      <c r="T1510" s="71" t="n">
        <v>156544.95</v>
      </c>
      <c r="U1510" t="inlineStr">
        <is>
          <t>High</t>
        </is>
      </c>
      <c r="V1510">
        <f>IF(AND(OR(Dashboard!$C$6="All",E1510=Dashboard!$C$6),OR(Dashboard!$F$6="All",G1510=Dashboard!$F$6),OR(Dashboard!$I$6="All",H1510=Dashboard!$I$6)),1,0)</f>
        <v/>
      </c>
    </row>
    <row r="1511">
      <c r="A1511" t="inlineStr">
        <is>
          <t>PF101502</t>
        </is>
      </c>
      <c r="B1511" s="68" t="n">
        <v>45842</v>
      </c>
      <c r="C1511" s="69" t="n">
        <v>2025</v>
      </c>
      <c r="D1511" t="inlineStr">
        <is>
          <t>Jul</t>
        </is>
      </c>
      <c r="E1511" t="inlineStr">
        <is>
          <t>Europe</t>
        </is>
      </c>
      <c r="F1511" t="inlineStr">
        <is>
          <t>Spain</t>
        </is>
      </c>
      <c r="G1511" t="inlineStr">
        <is>
          <t>Ibrance</t>
        </is>
      </c>
      <c r="H1511" t="inlineStr">
        <is>
          <t>Hospital</t>
        </is>
      </c>
      <c r="I1511" t="inlineStr">
        <is>
          <t>Public payer</t>
        </is>
      </c>
      <c r="J1511" t="inlineStr">
        <is>
          <t>Fatima Al-Saud</t>
        </is>
      </c>
      <c r="K1511" s="70" t="n">
        <v>2526</v>
      </c>
      <c r="L1511" s="71" t="n">
        <v>2671.66</v>
      </c>
      <c r="M1511" s="71" t="n">
        <v>6748613.16</v>
      </c>
      <c r="N1511" s="71" t="n">
        <v>674861.3199999999</v>
      </c>
      <c r="O1511" s="71" t="n">
        <v>6073751.84</v>
      </c>
      <c r="P1511" s="71" t="n">
        <v>1102035.3</v>
      </c>
      <c r="Q1511" s="71" t="n">
        <v>4971716.54</v>
      </c>
      <c r="R1511" t="inlineStr">
        <is>
          <t>Oncology</t>
        </is>
      </c>
      <c r="S1511" s="70" t="n">
        <v>2345</v>
      </c>
      <c r="T1511" s="71" t="n">
        <v>889862.9399999999</v>
      </c>
      <c r="U1511" t="inlineStr">
        <is>
          <t>High</t>
        </is>
      </c>
      <c r="V1511">
        <f>IF(AND(OR(Dashboard!$C$6="All",E1511=Dashboard!$C$6),OR(Dashboard!$F$6="All",G1511=Dashboard!$F$6),OR(Dashboard!$I$6="All",H1511=Dashboard!$I$6)),1,0)</f>
        <v/>
      </c>
    </row>
    <row r="1512">
      <c r="A1512" t="inlineStr">
        <is>
          <t>PF101503</t>
        </is>
      </c>
      <c r="B1512" s="68" t="n">
        <v>45842</v>
      </c>
      <c r="C1512" s="69" t="n">
        <v>2025</v>
      </c>
      <c r="D1512" t="inlineStr">
        <is>
          <t>Jul</t>
        </is>
      </c>
      <c r="E1512" t="inlineStr">
        <is>
          <t>International developed</t>
        </is>
      </c>
      <c r="F1512" t="inlineStr">
        <is>
          <t>Japan</t>
        </is>
      </c>
      <c r="G1512" t="inlineStr">
        <is>
          <t>Abrysvo</t>
        </is>
      </c>
      <c r="H1512" t="inlineStr">
        <is>
          <t>Hospital</t>
        </is>
      </c>
      <c r="I1512" t="inlineStr">
        <is>
          <t>Private insurer</t>
        </is>
      </c>
      <c r="J1512" t="inlineStr">
        <is>
          <t>Ruhi Shaikh</t>
        </is>
      </c>
      <c r="K1512" s="70" t="n">
        <v>623</v>
      </c>
      <c r="L1512" s="71" t="n">
        <v>253.93</v>
      </c>
      <c r="M1512" s="71" t="n">
        <v>158198.39</v>
      </c>
      <c r="N1512" s="71" t="n">
        <v>39549.6</v>
      </c>
      <c r="O1512" s="71" t="n">
        <v>118648.79</v>
      </c>
      <c r="P1512" s="71" t="n">
        <v>52134.56</v>
      </c>
      <c r="Q1512" s="71" t="n">
        <v>66514.23</v>
      </c>
      <c r="R1512" t="inlineStr">
        <is>
          <t>Vaccines</t>
        </is>
      </c>
      <c r="S1512" s="70" t="n">
        <v>445</v>
      </c>
      <c r="T1512" s="71" t="n">
        <v>25680.31</v>
      </c>
      <c r="U1512" t="inlineStr">
        <is>
          <t>Low</t>
        </is>
      </c>
      <c r="V1512">
        <f>IF(AND(OR(Dashboard!$C$6="All",E1512=Dashboard!$C$6),OR(Dashboard!$F$6="All",G1512=Dashboard!$F$6),OR(Dashboard!$I$6="All",H1512=Dashboard!$I$6)),1,0)</f>
        <v/>
      </c>
    </row>
    <row r="1513">
      <c r="A1513" t="inlineStr">
        <is>
          <t>PF101504</t>
        </is>
      </c>
      <c r="B1513" s="68" t="n">
        <v>45842</v>
      </c>
      <c r="C1513" s="69" t="n">
        <v>2025</v>
      </c>
      <c r="D1513" t="inlineStr">
        <is>
          <t>Jul</t>
        </is>
      </c>
      <c r="E1513" t="inlineStr">
        <is>
          <t>Europe</t>
        </is>
      </c>
      <c r="F1513" t="inlineStr">
        <is>
          <t>France</t>
        </is>
      </c>
      <c r="G1513" t="inlineStr">
        <is>
          <t>Comirnaty</t>
        </is>
      </c>
      <c r="H1513" t="inlineStr">
        <is>
          <t>Hospital</t>
        </is>
      </c>
      <c r="I1513" t="inlineStr">
        <is>
          <t>Public payer</t>
        </is>
      </c>
      <c r="J1513" t="inlineStr">
        <is>
          <t>Kofi Mensah</t>
        </is>
      </c>
      <c r="K1513" s="70" t="n">
        <v>1384</v>
      </c>
      <c r="L1513" s="71" t="n">
        <v>114.14</v>
      </c>
      <c r="M1513" s="71" t="n">
        <v>157969.76</v>
      </c>
      <c r="N1513" s="71" t="n">
        <v>39492.44</v>
      </c>
      <c r="O1513" s="71" t="n">
        <v>118477.32</v>
      </c>
      <c r="P1513" s="71" t="n">
        <v>51296.21</v>
      </c>
      <c r="Q1513" s="71" t="n">
        <v>67181.11</v>
      </c>
      <c r="R1513" t="inlineStr">
        <is>
          <t>Vaccines</t>
        </is>
      </c>
      <c r="S1513" s="70" t="n">
        <v>907</v>
      </c>
      <c r="T1513" s="71" t="n">
        <v>21822.7</v>
      </c>
      <c r="U1513" t="inlineStr">
        <is>
          <t>Low</t>
        </is>
      </c>
      <c r="V1513">
        <f>IF(AND(OR(Dashboard!$C$6="All",E1513=Dashboard!$C$6),OR(Dashboard!$F$6="All",G1513=Dashboard!$F$6),OR(Dashboard!$I$6="All",H1513=Dashboard!$I$6)),1,0)</f>
        <v/>
      </c>
    </row>
    <row r="1514">
      <c r="A1514" t="inlineStr">
        <is>
          <t>PF101505</t>
        </is>
      </c>
      <c r="B1514" s="68" t="n">
        <v>45842</v>
      </c>
      <c r="C1514" s="69" t="n">
        <v>2025</v>
      </c>
      <c r="D1514" t="inlineStr">
        <is>
          <t>Jul</t>
        </is>
      </c>
      <c r="E1514" t="inlineStr">
        <is>
          <t>Europe</t>
        </is>
      </c>
      <c r="F1514" t="inlineStr">
        <is>
          <t>Spain</t>
        </is>
      </c>
      <c r="G1514" t="inlineStr">
        <is>
          <t>Eliquis</t>
        </is>
      </c>
      <c r="H1514" t="inlineStr">
        <is>
          <t>Government / tender</t>
        </is>
      </c>
      <c r="I1514" t="inlineStr">
        <is>
          <t>Public payer</t>
        </is>
      </c>
      <c r="J1514" t="inlineStr">
        <is>
          <t>Mei Lin</t>
        </is>
      </c>
      <c r="K1514" s="70" t="n">
        <v>575</v>
      </c>
      <c r="L1514" s="71" t="n">
        <v>432.09</v>
      </c>
      <c r="M1514" s="71" t="n">
        <v>248451.75</v>
      </c>
      <c r="N1514" s="71" t="n">
        <v>12422.59</v>
      </c>
      <c r="O1514" s="71" t="n">
        <v>236029.16</v>
      </c>
      <c r="P1514" s="71" t="n">
        <v>44766.11</v>
      </c>
      <c r="Q1514" s="71" t="n">
        <v>191263.05</v>
      </c>
      <c r="R1514" t="inlineStr">
        <is>
          <t>Cardiology</t>
        </is>
      </c>
      <c r="S1514" s="70" t="n">
        <v>530</v>
      </c>
      <c r="T1514" s="71" t="n">
        <v>45566.44</v>
      </c>
      <c r="U1514" t="inlineStr">
        <is>
          <t>High</t>
        </is>
      </c>
      <c r="V1514">
        <f>IF(AND(OR(Dashboard!$C$6="All",E1514=Dashboard!$C$6),OR(Dashboard!$F$6="All",G1514=Dashboard!$F$6),OR(Dashboard!$I$6="All",H1514=Dashboard!$I$6)),1,0)</f>
        <v/>
      </c>
    </row>
    <row r="1515">
      <c r="A1515" t="inlineStr">
        <is>
          <t>PF101506</t>
        </is>
      </c>
      <c r="B1515" s="68" t="n">
        <v>45842</v>
      </c>
      <c r="C1515" s="69" t="n">
        <v>2025</v>
      </c>
      <c r="D1515" t="inlineStr">
        <is>
          <t>Jul</t>
        </is>
      </c>
      <c r="E1515" t="inlineStr">
        <is>
          <t>United States</t>
        </is>
      </c>
      <c r="F1515" t="inlineStr">
        <is>
          <t>USA</t>
        </is>
      </c>
      <c r="G1515" t="inlineStr">
        <is>
          <t>Ibrance</t>
        </is>
      </c>
      <c r="H1515" t="inlineStr">
        <is>
          <t>Retail pharmacy</t>
        </is>
      </c>
      <c r="I1515" t="inlineStr">
        <is>
          <t>Private insurer</t>
        </is>
      </c>
      <c r="J1515" t="inlineStr">
        <is>
          <t>Ana Costa</t>
        </is>
      </c>
      <c r="K1515" s="70" t="n">
        <v>152</v>
      </c>
      <c r="L1515" s="71" t="n">
        <v>4239.09</v>
      </c>
      <c r="M1515" s="71" t="n">
        <v>644341.6800000001</v>
      </c>
      <c r="N1515" s="71" t="n">
        <v>161085.42</v>
      </c>
      <c r="O1515" s="71" t="n">
        <v>483256.26</v>
      </c>
      <c r="P1515" s="71" t="n">
        <v>67315.28999999999</v>
      </c>
      <c r="Q1515" s="71" t="n">
        <v>415940.97</v>
      </c>
      <c r="R1515" t="inlineStr">
        <is>
          <t>Oncology</t>
        </is>
      </c>
      <c r="S1515" s="70" t="n">
        <v>147</v>
      </c>
      <c r="T1515" s="71" t="n">
        <v>129461.06</v>
      </c>
      <c r="U1515" t="inlineStr">
        <is>
          <t>High</t>
        </is>
      </c>
      <c r="V1515">
        <f>IF(AND(OR(Dashboard!$C$6="All",E1515=Dashboard!$C$6),OR(Dashboard!$F$6="All",G1515=Dashboard!$F$6),OR(Dashboard!$I$6="All",H1515=Dashboard!$I$6)),1,0)</f>
        <v/>
      </c>
    </row>
    <row r="1516">
      <c r="A1516" t="inlineStr">
        <is>
          <t>PF101507</t>
        </is>
      </c>
      <c r="B1516" s="68" t="n">
        <v>45842</v>
      </c>
      <c r="C1516" s="69" t="n">
        <v>2025</v>
      </c>
      <c r="D1516" t="inlineStr">
        <is>
          <t>Jul</t>
        </is>
      </c>
      <c r="E1516" t="inlineStr">
        <is>
          <t>International developed</t>
        </is>
      </c>
      <c r="F1516" t="inlineStr">
        <is>
          <t>Japan</t>
        </is>
      </c>
      <c r="G1516" t="inlineStr">
        <is>
          <t>Ibrance</t>
        </is>
      </c>
      <c r="H1516" t="inlineStr">
        <is>
          <t>Retail pharmacy</t>
        </is>
      </c>
      <c r="I1516" t="inlineStr">
        <is>
          <t>Private insurer</t>
        </is>
      </c>
      <c r="J1516" t="inlineStr">
        <is>
          <t>Arjun Mehta</t>
        </is>
      </c>
      <c r="K1516" s="70" t="n">
        <v>1570</v>
      </c>
      <c r="L1516" s="71" t="n">
        <v>2989.88</v>
      </c>
      <c r="M1516" s="71" t="n">
        <v>4694111.6</v>
      </c>
      <c r="N1516" s="71" t="n">
        <v>1173527.9</v>
      </c>
      <c r="O1516" s="71" t="n">
        <v>3520583.7</v>
      </c>
      <c r="P1516" s="71" t="n">
        <v>700618.16</v>
      </c>
      <c r="Q1516" s="71" t="n">
        <v>2819965.54</v>
      </c>
      <c r="R1516" t="inlineStr">
        <is>
          <t>Oncology</t>
        </is>
      </c>
      <c r="S1516" s="70" t="n">
        <v>1108</v>
      </c>
      <c r="T1516" s="71" t="n">
        <v>806281.36</v>
      </c>
      <c r="U1516" t="inlineStr">
        <is>
          <t>High</t>
        </is>
      </c>
      <c r="V1516">
        <f>IF(AND(OR(Dashboard!$C$6="All",E1516=Dashboard!$C$6),OR(Dashboard!$F$6="All",G1516=Dashboard!$F$6),OR(Dashboard!$I$6="All",H1516=Dashboard!$I$6)),1,0)</f>
        <v/>
      </c>
    </row>
    <row r="1517">
      <c r="A1517" t="inlineStr">
        <is>
          <t>PF101508</t>
        </is>
      </c>
      <c r="B1517" s="68" t="n">
        <v>45843</v>
      </c>
      <c r="C1517" s="69" t="n">
        <v>2025</v>
      </c>
      <c r="D1517" t="inlineStr">
        <is>
          <t>Jul</t>
        </is>
      </c>
      <c r="E1517" t="inlineStr">
        <is>
          <t>United States</t>
        </is>
      </c>
      <c r="F1517" t="inlineStr">
        <is>
          <t>USA</t>
        </is>
      </c>
      <c r="G1517" t="inlineStr">
        <is>
          <t>Paxlovid</t>
        </is>
      </c>
      <c r="H1517" t="inlineStr">
        <is>
          <t>Retail pharmacy</t>
        </is>
      </c>
      <c r="I1517" t="inlineStr">
        <is>
          <t>Private insurer</t>
        </is>
      </c>
      <c r="J1517" t="inlineStr">
        <is>
          <t>Mei Lin</t>
        </is>
      </c>
      <c r="K1517" s="70" t="n">
        <v>513</v>
      </c>
      <c r="L1517" s="71" t="n">
        <v>1652.18</v>
      </c>
      <c r="M1517" s="71" t="n">
        <v>847568.34</v>
      </c>
      <c r="N1517" s="71" t="n">
        <v>211892.08</v>
      </c>
      <c r="O1517" s="71" t="n">
        <v>635676.26</v>
      </c>
      <c r="P1517" s="71" t="n">
        <v>141537.4</v>
      </c>
      <c r="Q1517" s="71" t="n">
        <v>494138.86</v>
      </c>
      <c r="R1517" t="inlineStr">
        <is>
          <t>Antiviral</t>
        </is>
      </c>
      <c r="S1517" s="70" t="n">
        <v>411</v>
      </c>
      <c r="T1517" s="71" t="n">
        <v>127908.24</v>
      </c>
      <c r="U1517" t="inlineStr">
        <is>
          <t>Low</t>
        </is>
      </c>
      <c r="V1517">
        <f>IF(AND(OR(Dashboard!$C$6="All",E1517=Dashboard!$C$6),OR(Dashboard!$F$6="All",G1517=Dashboard!$F$6),OR(Dashboard!$I$6="All",H1517=Dashboard!$I$6)),1,0)</f>
        <v/>
      </c>
    </row>
    <row r="1518">
      <c r="A1518" t="inlineStr">
        <is>
          <t>PF101509</t>
        </is>
      </c>
      <c r="B1518" s="68" t="n">
        <v>45843</v>
      </c>
      <c r="C1518" s="69" t="n">
        <v>2025</v>
      </c>
      <c r="D1518" t="inlineStr">
        <is>
          <t>Jul</t>
        </is>
      </c>
      <c r="E1518" t="inlineStr">
        <is>
          <t>Europe</t>
        </is>
      </c>
      <c r="F1518" t="inlineStr">
        <is>
          <t>UK</t>
        </is>
      </c>
      <c r="G1518" t="inlineStr">
        <is>
          <t>Eliquis</t>
        </is>
      </c>
      <c r="H1518" t="inlineStr">
        <is>
          <t>Hospital</t>
        </is>
      </c>
      <c r="I1518" t="inlineStr">
        <is>
          <t>Public payer</t>
        </is>
      </c>
      <c r="J1518" t="inlineStr">
        <is>
          <t>Yuki Sato</t>
        </is>
      </c>
      <c r="K1518" s="70" t="n">
        <v>2809</v>
      </c>
      <c r="L1518" s="71" t="n">
        <v>404.38</v>
      </c>
      <c r="M1518" s="71" t="n">
        <v>1135903.42</v>
      </c>
      <c r="N1518" s="71" t="n">
        <v>283975.85</v>
      </c>
      <c r="O1518" s="71" t="n">
        <v>851927.5699999999</v>
      </c>
      <c r="P1518" s="71" t="n">
        <v>213086.27</v>
      </c>
      <c r="Q1518" s="71" t="n">
        <v>638841.3</v>
      </c>
      <c r="R1518" t="inlineStr">
        <is>
          <t>Cardiology</t>
        </is>
      </c>
      <c r="S1518" s="70" t="n">
        <v>1787</v>
      </c>
      <c r="T1518" s="71" t="n">
        <v>202712.18</v>
      </c>
      <c r="U1518" t="inlineStr">
        <is>
          <t>High</t>
        </is>
      </c>
      <c r="V1518">
        <f>IF(AND(OR(Dashboard!$C$6="All",E1518=Dashboard!$C$6),OR(Dashboard!$F$6="All",G1518=Dashboard!$F$6),OR(Dashboard!$I$6="All",H1518=Dashboard!$I$6)),1,0)</f>
        <v/>
      </c>
    </row>
    <row r="1519">
      <c r="A1519" t="inlineStr">
        <is>
          <t>PF101510</t>
        </is>
      </c>
      <c r="B1519" s="68" t="n">
        <v>45843</v>
      </c>
      <c r="C1519" s="69" t="n">
        <v>2025</v>
      </c>
      <c r="D1519" t="inlineStr">
        <is>
          <t>Jul</t>
        </is>
      </c>
      <c r="E1519" t="inlineStr">
        <is>
          <t>United States</t>
        </is>
      </c>
      <c r="F1519" t="inlineStr">
        <is>
          <t>USA</t>
        </is>
      </c>
      <c r="G1519" t="inlineStr">
        <is>
          <t>Eliquis</t>
        </is>
      </c>
      <c r="H1519" t="inlineStr">
        <is>
          <t>Retail pharmacy</t>
        </is>
      </c>
      <c r="I1519" t="inlineStr">
        <is>
          <t>Private insurer</t>
        </is>
      </c>
      <c r="J1519" t="inlineStr">
        <is>
          <t>Carlos Silva</t>
        </is>
      </c>
      <c r="K1519" s="70" t="n">
        <v>3033</v>
      </c>
      <c r="L1519" s="71" t="n">
        <v>612.9</v>
      </c>
      <c r="M1519" s="71" t="n">
        <v>1858925.7</v>
      </c>
      <c r="N1519" s="71" t="n">
        <v>464731.42</v>
      </c>
      <c r="O1519" s="71" t="n">
        <v>1394194.28</v>
      </c>
      <c r="P1519" s="71" t="n">
        <v>235249.07</v>
      </c>
      <c r="Q1519" s="71" t="n">
        <v>1158945.21</v>
      </c>
      <c r="R1519" t="inlineStr">
        <is>
          <t>Cardiology</t>
        </is>
      </c>
      <c r="S1519" s="70" t="n">
        <v>2400</v>
      </c>
      <c r="T1519" s="71" t="n">
        <v>254877.85</v>
      </c>
      <c r="U1519" t="inlineStr">
        <is>
          <t>High</t>
        </is>
      </c>
      <c r="V1519">
        <f>IF(AND(OR(Dashboard!$C$6="All",E1519=Dashboard!$C$6),OR(Dashboard!$F$6="All",G1519=Dashboard!$F$6),OR(Dashboard!$I$6="All",H1519=Dashboard!$I$6)),1,0)</f>
        <v/>
      </c>
    </row>
    <row r="1520">
      <c r="A1520" t="inlineStr">
        <is>
          <t>PF101511</t>
        </is>
      </c>
      <c r="B1520" s="68" t="n">
        <v>45843</v>
      </c>
      <c r="C1520" s="69" t="n">
        <v>2025</v>
      </c>
      <c r="D1520" t="inlineStr">
        <is>
          <t>Jul</t>
        </is>
      </c>
      <c r="E1520" t="inlineStr">
        <is>
          <t>United States</t>
        </is>
      </c>
      <c r="F1520" t="inlineStr">
        <is>
          <t>USA</t>
        </is>
      </c>
      <c r="G1520" t="inlineStr">
        <is>
          <t>Xeljanz</t>
        </is>
      </c>
      <c r="H1520" t="inlineStr">
        <is>
          <t>Retail pharmacy</t>
        </is>
      </c>
      <c r="I1520" t="inlineStr">
        <is>
          <t>Public payer</t>
        </is>
      </c>
      <c r="J1520" t="inlineStr">
        <is>
          <t>Sophie Müller</t>
        </is>
      </c>
      <c r="K1520" s="70" t="n">
        <v>918</v>
      </c>
      <c r="L1520" s="71" t="n">
        <v>2107.22</v>
      </c>
      <c r="M1520" s="71" t="n">
        <v>1934427.96</v>
      </c>
      <c r="N1520" s="71" t="n">
        <v>386885.59</v>
      </c>
      <c r="O1520" s="71" t="n">
        <v>1547542.37</v>
      </c>
      <c r="P1520" s="71" t="n">
        <v>234141.65</v>
      </c>
      <c r="Q1520" s="71" t="n">
        <v>1313400.72</v>
      </c>
      <c r="R1520" t="inlineStr">
        <is>
          <t>Inflammation</t>
        </is>
      </c>
      <c r="S1520" s="70" t="n">
        <v>883</v>
      </c>
      <c r="T1520" s="71" t="n">
        <v>328152.31</v>
      </c>
      <c r="U1520" t="inlineStr">
        <is>
          <t>High</t>
        </is>
      </c>
      <c r="V1520">
        <f>IF(AND(OR(Dashboard!$C$6="All",E1520=Dashboard!$C$6),OR(Dashboard!$F$6="All",G1520=Dashboard!$F$6),OR(Dashboard!$I$6="All",H1520=Dashboard!$I$6)),1,0)</f>
        <v/>
      </c>
    </row>
    <row r="1521">
      <c r="A1521" t="inlineStr">
        <is>
          <t>PF101512</t>
        </is>
      </c>
      <c r="B1521" s="68" t="n">
        <v>45843</v>
      </c>
      <c r="C1521" s="69" t="n">
        <v>2025</v>
      </c>
      <c r="D1521" t="inlineStr">
        <is>
          <t>Jul</t>
        </is>
      </c>
      <c r="E1521" t="inlineStr">
        <is>
          <t>United States</t>
        </is>
      </c>
      <c r="F1521" t="inlineStr">
        <is>
          <t>USA</t>
        </is>
      </c>
      <c r="G1521" t="inlineStr">
        <is>
          <t>Ibrance</t>
        </is>
      </c>
      <c r="H1521" t="inlineStr">
        <is>
          <t>Hospital</t>
        </is>
      </c>
      <c r="I1521" t="inlineStr">
        <is>
          <t>Public payer</t>
        </is>
      </c>
      <c r="J1521" t="inlineStr">
        <is>
          <t>Sara Rossi</t>
        </is>
      </c>
      <c r="K1521" s="70" t="n">
        <v>2261</v>
      </c>
      <c r="L1521" s="71" t="n">
        <v>4409.82</v>
      </c>
      <c r="M1521" s="71" t="n">
        <v>9970603.02</v>
      </c>
      <c r="N1521" s="71" t="n">
        <v>1994120.6</v>
      </c>
      <c r="O1521" s="71" t="n">
        <v>7976482.42</v>
      </c>
      <c r="P1521" s="71" t="n">
        <v>966587.83</v>
      </c>
      <c r="Q1521" s="71" t="n">
        <v>7009894.59</v>
      </c>
      <c r="R1521" t="inlineStr">
        <is>
          <t>Oncology</t>
        </is>
      </c>
      <c r="S1521" s="70" t="n">
        <v>1527</v>
      </c>
      <c r="T1521" s="71" t="n">
        <v>1944884.83</v>
      </c>
      <c r="U1521" t="inlineStr">
        <is>
          <t>High</t>
        </is>
      </c>
      <c r="V1521">
        <f>IF(AND(OR(Dashboard!$C$6="All",E1521=Dashboard!$C$6),OR(Dashboard!$F$6="All",G1521=Dashboard!$F$6),OR(Dashboard!$I$6="All",H1521=Dashboard!$I$6)),1,0)</f>
        <v/>
      </c>
    </row>
    <row r="1522">
      <c r="A1522" t="inlineStr">
        <is>
          <t>PF101513</t>
        </is>
      </c>
      <c r="B1522" s="68" t="n">
        <v>45843</v>
      </c>
      <c r="C1522" s="69" t="n">
        <v>2025</v>
      </c>
      <c r="D1522" t="inlineStr">
        <is>
          <t>Jul</t>
        </is>
      </c>
      <c r="E1522" t="inlineStr">
        <is>
          <t>International developed</t>
        </is>
      </c>
      <c r="F1522" t="inlineStr">
        <is>
          <t>Canada</t>
        </is>
      </c>
      <c r="G1522" t="inlineStr">
        <is>
          <t>Prevnar 20</t>
        </is>
      </c>
      <c r="H1522" t="inlineStr">
        <is>
          <t>Retail pharmacy</t>
        </is>
      </c>
      <c r="I1522" t="inlineStr">
        <is>
          <t>Self-pay</t>
        </is>
      </c>
      <c r="J1522" t="inlineStr">
        <is>
          <t>Yuki Sato</t>
        </is>
      </c>
      <c r="K1522" s="70" t="n">
        <v>1400</v>
      </c>
      <c r="L1522" s="71" t="n">
        <v>211.41</v>
      </c>
      <c r="M1522" s="71" t="n">
        <v>295974</v>
      </c>
      <c r="N1522" s="71" t="n">
        <v>59194.8</v>
      </c>
      <c r="O1522" s="71" t="n">
        <v>236779.2</v>
      </c>
      <c r="P1522" s="71" t="n">
        <v>98893.62</v>
      </c>
      <c r="Q1522" s="71" t="n">
        <v>137885.58</v>
      </c>
      <c r="R1522" t="inlineStr">
        <is>
          <t>Vaccines</t>
        </is>
      </c>
      <c r="S1522" s="70" t="n">
        <v>1254</v>
      </c>
      <c r="T1522" s="71" t="n">
        <v>49728.19</v>
      </c>
      <c r="U1522" t="inlineStr">
        <is>
          <t>Low</t>
        </is>
      </c>
      <c r="V1522">
        <f>IF(AND(OR(Dashboard!$C$6="All",E1522=Dashboard!$C$6),OR(Dashboard!$F$6="All",G1522=Dashboard!$F$6),OR(Dashboard!$I$6="All",H1522=Dashboard!$I$6)),1,0)</f>
        <v/>
      </c>
    </row>
    <row r="1523">
      <c r="A1523" t="inlineStr">
        <is>
          <t>PF101514</t>
        </is>
      </c>
      <c r="B1523" s="68" t="n">
        <v>45843</v>
      </c>
      <c r="C1523" s="69" t="n">
        <v>2025</v>
      </c>
      <c r="D1523" t="inlineStr">
        <is>
          <t>Jul</t>
        </is>
      </c>
      <c r="E1523" t="inlineStr">
        <is>
          <t>United States</t>
        </is>
      </c>
      <c r="F1523" t="inlineStr">
        <is>
          <t>USA</t>
        </is>
      </c>
      <c r="G1523" t="inlineStr">
        <is>
          <t>Eliquis</t>
        </is>
      </c>
      <c r="H1523" t="inlineStr">
        <is>
          <t>Retail pharmacy</t>
        </is>
      </c>
      <c r="I1523" t="inlineStr">
        <is>
          <t>Public payer</t>
        </is>
      </c>
      <c r="J1523" t="inlineStr">
        <is>
          <t>Sophie Müller</t>
        </is>
      </c>
      <c r="K1523" s="70" t="n">
        <v>1992</v>
      </c>
      <c r="L1523" s="71" t="n">
        <v>621.46</v>
      </c>
      <c r="M1523" s="71" t="n">
        <v>1237948.32</v>
      </c>
      <c r="N1523" s="71" t="n">
        <v>433281.91</v>
      </c>
      <c r="O1523" s="71" t="n">
        <v>804666.41</v>
      </c>
      <c r="P1523" s="71" t="n">
        <v>151433.78</v>
      </c>
      <c r="Q1523" s="71" t="n">
        <v>653232.63</v>
      </c>
      <c r="R1523" t="inlineStr">
        <is>
          <t>Cardiology</t>
        </is>
      </c>
      <c r="S1523" s="70" t="n">
        <v>1310</v>
      </c>
      <c r="T1523" s="71" t="n">
        <v>264525.68</v>
      </c>
      <c r="U1523" t="inlineStr">
        <is>
          <t>High</t>
        </is>
      </c>
      <c r="V1523">
        <f>IF(AND(OR(Dashboard!$C$6="All",E1523=Dashboard!$C$6),OR(Dashboard!$F$6="All",G1523=Dashboard!$F$6),OR(Dashboard!$I$6="All",H1523=Dashboard!$I$6)),1,0)</f>
        <v/>
      </c>
    </row>
    <row r="1524">
      <c r="A1524" t="inlineStr">
        <is>
          <t>PF101515</t>
        </is>
      </c>
      <c r="B1524" s="68" t="n">
        <v>45843</v>
      </c>
      <c r="C1524" s="69" t="n">
        <v>2025</v>
      </c>
      <c r="D1524" t="inlineStr">
        <is>
          <t>Jul</t>
        </is>
      </c>
      <c r="E1524" t="inlineStr">
        <is>
          <t>Emerging markets</t>
        </is>
      </c>
      <c r="F1524" t="inlineStr">
        <is>
          <t>China</t>
        </is>
      </c>
      <c r="G1524" t="inlineStr">
        <is>
          <t>Ibrance</t>
        </is>
      </c>
      <c r="H1524" t="inlineStr">
        <is>
          <t>Hospital</t>
        </is>
      </c>
      <c r="I1524" t="inlineStr">
        <is>
          <t>Public payer</t>
        </is>
      </c>
      <c r="J1524" t="inlineStr">
        <is>
          <t>Mei Lin</t>
        </is>
      </c>
      <c r="K1524" s="70" t="n">
        <v>2950</v>
      </c>
      <c r="L1524" s="71" t="n">
        <v>2799.88</v>
      </c>
      <c r="M1524" s="71" t="n">
        <v>8259646</v>
      </c>
      <c r="N1524" s="71" t="n">
        <v>2064911.5</v>
      </c>
      <c r="O1524" s="71" t="n">
        <v>6194734.5</v>
      </c>
      <c r="P1524" s="71" t="n">
        <v>1284739.35</v>
      </c>
      <c r="Q1524" s="71" t="n">
        <v>4909995.15</v>
      </c>
      <c r="R1524" t="inlineStr">
        <is>
          <t>Oncology</t>
        </is>
      </c>
      <c r="S1524" s="70" t="n">
        <v>2644</v>
      </c>
      <c r="T1524" s="71" t="n">
        <v>1381114.22</v>
      </c>
      <c r="U1524" t="inlineStr">
        <is>
          <t>High</t>
        </is>
      </c>
      <c r="V1524">
        <f>IF(AND(OR(Dashboard!$C$6="All",E1524=Dashboard!$C$6),OR(Dashboard!$F$6="All",G1524=Dashboard!$F$6),OR(Dashboard!$I$6="All",H1524=Dashboard!$I$6)),1,0)</f>
        <v/>
      </c>
    </row>
    <row r="1525">
      <c r="A1525" t="inlineStr">
        <is>
          <t>PF101516</t>
        </is>
      </c>
      <c r="B1525" s="68" t="n">
        <v>45843</v>
      </c>
      <c r="C1525" s="69" t="n">
        <v>2025</v>
      </c>
      <c r="D1525" t="inlineStr">
        <is>
          <t>Jul</t>
        </is>
      </c>
      <c r="E1525" t="inlineStr">
        <is>
          <t>Emerging markets</t>
        </is>
      </c>
      <c r="F1525" t="inlineStr">
        <is>
          <t>India</t>
        </is>
      </c>
      <c r="G1525" t="inlineStr">
        <is>
          <t>Abrysvo</t>
        </is>
      </c>
      <c r="H1525" t="inlineStr">
        <is>
          <t>Government / tender</t>
        </is>
      </c>
      <c r="I1525" t="inlineStr">
        <is>
          <t>Public payer</t>
        </is>
      </c>
      <c r="J1525" t="inlineStr">
        <is>
          <t>Omar Haddad</t>
        </is>
      </c>
      <c r="K1525" s="70" t="n">
        <v>1205</v>
      </c>
      <c r="L1525" s="71" t="n">
        <v>277.45</v>
      </c>
      <c r="M1525" s="71" t="n">
        <v>334327.25</v>
      </c>
      <c r="N1525" s="71" t="n">
        <v>50149.09</v>
      </c>
      <c r="O1525" s="71" t="n">
        <v>284178.16</v>
      </c>
      <c r="P1525" s="71" t="n">
        <v>104700.58</v>
      </c>
      <c r="Q1525" s="71" t="n">
        <v>179477.58</v>
      </c>
      <c r="R1525" t="inlineStr">
        <is>
          <t>Vaccines</t>
        </is>
      </c>
      <c r="S1525" s="70" t="n">
        <v>1034</v>
      </c>
      <c r="T1525" s="71" t="n">
        <v>70363.77</v>
      </c>
      <c r="U1525" t="inlineStr">
        <is>
          <t>Low</t>
        </is>
      </c>
      <c r="V1525">
        <f>IF(AND(OR(Dashboard!$C$6="All",E1525=Dashboard!$C$6),OR(Dashboard!$F$6="All",G1525=Dashboard!$F$6),OR(Dashboard!$I$6="All",H1525=Dashboard!$I$6)),1,0)</f>
        <v/>
      </c>
    </row>
    <row r="1526">
      <c r="A1526" t="inlineStr">
        <is>
          <t>PF101517</t>
        </is>
      </c>
      <c r="B1526" s="68" t="n">
        <v>45843</v>
      </c>
      <c r="C1526" s="69" t="n">
        <v>2025</v>
      </c>
      <c r="D1526" t="inlineStr">
        <is>
          <t>Jul</t>
        </is>
      </c>
      <c r="E1526" t="inlineStr">
        <is>
          <t>Europe</t>
        </is>
      </c>
      <c r="F1526" t="inlineStr">
        <is>
          <t>Germany</t>
        </is>
      </c>
      <c r="G1526" t="inlineStr">
        <is>
          <t>Eliquis</t>
        </is>
      </c>
      <c r="H1526" t="inlineStr">
        <is>
          <t>Hospital</t>
        </is>
      </c>
      <c r="I1526" t="inlineStr">
        <is>
          <t>Private insurer</t>
        </is>
      </c>
      <c r="J1526" t="inlineStr">
        <is>
          <t>Shraddha Kulkarni</t>
        </is>
      </c>
      <c r="K1526" s="70" t="n">
        <v>2433</v>
      </c>
      <c r="L1526" s="71" t="n">
        <v>425.52</v>
      </c>
      <c r="M1526" s="71" t="n">
        <v>1035290.16</v>
      </c>
      <c r="N1526" s="71" t="n">
        <v>258822.54</v>
      </c>
      <c r="O1526" s="71" t="n">
        <v>776467.62</v>
      </c>
      <c r="P1526" s="71" t="n">
        <v>188239.51</v>
      </c>
      <c r="Q1526" s="71" t="n">
        <v>588228.11</v>
      </c>
      <c r="R1526" t="inlineStr">
        <is>
          <t>Cardiology</t>
        </is>
      </c>
      <c r="S1526" s="70" t="n">
        <v>1553</v>
      </c>
      <c r="T1526" s="71" t="n">
        <v>210357.07</v>
      </c>
      <c r="U1526" t="inlineStr">
        <is>
          <t>High</t>
        </is>
      </c>
      <c r="V1526">
        <f>IF(AND(OR(Dashboard!$C$6="All",E1526=Dashboard!$C$6),OR(Dashboard!$F$6="All",G1526=Dashboard!$F$6),OR(Dashboard!$I$6="All",H1526=Dashboard!$I$6)),1,0)</f>
        <v/>
      </c>
    </row>
    <row r="1527">
      <c r="A1527" t="inlineStr">
        <is>
          <t>PF101518</t>
        </is>
      </c>
      <c r="B1527" s="68" t="n">
        <v>45843</v>
      </c>
      <c r="C1527" s="69" t="n">
        <v>2025</v>
      </c>
      <c r="D1527" t="inlineStr">
        <is>
          <t>Jul</t>
        </is>
      </c>
      <c r="E1527" t="inlineStr">
        <is>
          <t>United States</t>
        </is>
      </c>
      <c r="F1527" t="inlineStr">
        <is>
          <t>USA</t>
        </is>
      </c>
      <c r="G1527" t="inlineStr">
        <is>
          <t>Prevnar 20</t>
        </is>
      </c>
      <c r="H1527" t="inlineStr">
        <is>
          <t>Hospital</t>
        </is>
      </c>
      <c r="I1527" t="inlineStr">
        <is>
          <t>Public payer</t>
        </is>
      </c>
      <c r="J1527" t="inlineStr">
        <is>
          <t>Lucas Martin</t>
        </is>
      </c>
      <c r="K1527" s="70" t="n">
        <v>275</v>
      </c>
      <c r="L1527" s="71" t="n">
        <v>365.78</v>
      </c>
      <c r="M1527" s="71" t="n">
        <v>100589.5</v>
      </c>
      <c r="N1527" s="71" t="n">
        <v>30176.85</v>
      </c>
      <c r="O1527" s="71" t="n">
        <v>70412.64999999999</v>
      </c>
      <c r="P1527" s="71" t="n">
        <v>19723.66</v>
      </c>
      <c r="Q1527" s="71" t="n">
        <v>50688.99</v>
      </c>
      <c r="R1527" t="inlineStr">
        <is>
          <t>Vaccines</t>
        </is>
      </c>
      <c r="S1527" s="70" t="n">
        <v>190</v>
      </c>
      <c r="T1527" s="71" t="n">
        <v>17272.38</v>
      </c>
      <c r="U1527" t="inlineStr">
        <is>
          <t>Low</t>
        </is>
      </c>
      <c r="V1527">
        <f>IF(AND(OR(Dashboard!$C$6="All",E1527=Dashboard!$C$6),OR(Dashboard!$F$6="All",G1527=Dashboard!$F$6),OR(Dashboard!$I$6="All",H1527=Dashboard!$I$6)),1,0)</f>
        <v/>
      </c>
    </row>
    <row r="1528">
      <c r="A1528" t="inlineStr">
        <is>
          <t>PF101519</t>
        </is>
      </c>
      <c r="B1528" s="68" t="n">
        <v>45844</v>
      </c>
      <c r="C1528" s="69" t="n">
        <v>2025</v>
      </c>
      <c r="D1528" t="inlineStr">
        <is>
          <t>Jul</t>
        </is>
      </c>
      <c r="E1528" t="inlineStr">
        <is>
          <t>Europe</t>
        </is>
      </c>
      <c r="F1528" t="inlineStr">
        <is>
          <t>Spain</t>
        </is>
      </c>
      <c r="G1528" t="inlineStr">
        <is>
          <t>Eliquis</t>
        </is>
      </c>
      <c r="H1528" t="inlineStr">
        <is>
          <t>Retail pharmacy</t>
        </is>
      </c>
      <c r="I1528" t="inlineStr">
        <is>
          <t>Public payer</t>
        </is>
      </c>
      <c r="J1528" t="inlineStr">
        <is>
          <t>Hiroshi Tanaka</t>
        </is>
      </c>
      <c r="K1528" s="70" t="n">
        <v>2993</v>
      </c>
      <c r="L1528" s="71" t="n">
        <v>396.32</v>
      </c>
      <c r="M1528" s="71" t="n">
        <v>1186185.76</v>
      </c>
      <c r="N1528" s="71" t="n">
        <v>177927.86</v>
      </c>
      <c r="O1528" s="71" t="n">
        <v>1008257.9</v>
      </c>
      <c r="P1528" s="71" t="n">
        <v>223410.03</v>
      </c>
      <c r="Q1528" s="71" t="n">
        <v>784847.87</v>
      </c>
      <c r="R1528" t="inlineStr">
        <is>
          <t>Cardiology</t>
        </is>
      </c>
      <c r="S1528" s="70" t="n">
        <v>2066</v>
      </c>
      <c r="T1528" s="71" t="n">
        <v>202387.4</v>
      </c>
      <c r="U1528" t="inlineStr">
        <is>
          <t>High</t>
        </is>
      </c>
      <c r="V1528">
        <f>IF(AND(OR(Dashboard!$C$6="All",E1528=Dashboard!$C$6),OR(Dashboard!$F$6="All",G1528=Dashboard!$F$6),OR(Dashboard!$I$6="All",H1528=Dashboard!$I$6)),1,0)</f>
        <v/>
      </c>
    </row>
    <row r="1529">
      <c r="A1529" t="inlineStr">
        <is>
          <t>PF101520</t>
        </is>
      </c>
      <c r="B1529" s="68" t="n">
        <v>45844</v>
      </c>
      <c r="C1529" s="69" t="n">
        <v>2025</v>
      </c>
      <c r="D1529" t="inlineStr">
        <is>
          <t>Jul</t>
        </is>
      </c>
      <c r="E1529" t="inlineStr">
        <is>
          <t>International developed</t>
        </is>
      </c>
      <c r="F1529" t="inlineStr">
        <is>
          <t>Canada</t>
        </is>
      </c>
      <c r="G1529" t="inlineStr">
        <is>
          <t>Ibrance</t>
        </is>
      </c>
      <c r="H1529" t="inlineStr">
        <is>
          <t>Retail pharmacy</t>
        </is>
      </c>
      <c r="I1529" t="inlineStr">
        <is>
          <t>Public payer</t>
        </is>
      </c>
      <c r="J1529" t="inlineStr">
        <is>
          <t>Olivia Brown</t>
        </is>
      </c>
      <c r="K1529" s="70" t="n">
        <v>1289</v>
      </c>
      <c r="L1529" s="71" t="n">
        <v>3040.23</v>
      </c>
      <c r="M1529" s="71" t="n">
        <v>3918856.47</v>
      </c>
      <c r="N1529" s="71" t="n">
        <v>195942.82</v>
      </c>
      <c r="O1529" s="71" t="n">
        <v>3722913.65</v>
      </c>
      <c r="P1529" s="71" t="n">
        <v>547242.08</v>
      </c>
      <c r="Q1529" s="71" t="n">
        <v>3175671.57</v>
      </c>
      <c r="R1529" t="inlineStr">
        <is>
          <t>Oncology</t>
        </is>
      </c>
      <c r="S1529" s="70" t="n">
        <v>1185</v>
      </c>
      <c r="T1529" s="71" t="n">
        <v>578003.16</v>
      </c>
      <c r="U1529" t="inlineStr">
        <is>
          <t>High</t>
        </is>
      </c>
      <c r="V1529">
        <f>IF(AND(OR(Dashboard!$C$6="All",E1529=Dashboard!$C$6),OR(Dashboard!$F$6="All",G1529=Dashboard!$F$6),OR(Dashboard!$I$6="All",H1529=Dashboard!$I$6)),1,0)</f>
        <v/>
      </c>
    </row>
    <row r="1530">
      <c r="A1530" t="inlineStr">
        <is>
          <t>PF101521</t>
        </is>
      </c>
      <c r="B1530" s="68" t="n">
        <v>45844</v>
      </c>
      <c r="C1530" s="69" t="n">
        <v>2025</v>
      </c>
      <c r="D1530" t="inlineStr">
        <is>
          <t>Jul</t>
        </is>
      </c>
      <c r="E1530" t="inlineStr">
        <is>
          <t>Emerging markets</t>
        </is>
      </c>
      <c r="F1530" t="inlineStr">
        <is>
          <t>India</t>
        </is>
      </c>
      <c r="G1530" t="inlineStr">
        <is>
          <t>Eliquis</t>
        </is>
      </c>
      <c r="H1530" t="inlineStr">
        <is>
          <t>Retail pharmacy</t>
        </is>
      </c>
      <c r="I1530" t="inlineStr">
        <is>
          <t>Private insurer</t>
        </is>
      </c>
      <c r="J1530" t="inlineStr">
        <is>
          <t>Sara Rossi</t>
        </is>
      </c>
      <c r="K1530" s="70" t="n">
        <v>2432</v>
      </c>
      <c r="L1530" s="71" t="n">
        <v>428.8</v>
      </c>
      <c r="M1530" s="71" t="n">
        <v>1042841.6</v>
      </c>
      <c r="N1530" s="71" t="n">
        <v>104284.16</v>
      </c>
      <c r="O1530" s="71" t="n">
        <v>938557.4399999999</v>
      </c>
      <c r="P1530" s="71" t="n">
        <v>187153.27</v>
      </c>
      <c r="Q1530" s="71" t="n">
        <v>751404.17</v>
      </c>
      <c r="R1530" t="inlineStr">
        <is>
          <t>Cardiology</t>
        </is>
      </c>
      <c r="S1530" s="70" t="n">
        <v>2346</v>
      </c>
      <c r="T1530" s="71" t="n">
        <v>210210.53</v>
      </c>
      <c r="U1530" t="inlineStr">
        <is>
          <t>High</t>
        </is>
      </c>
      <c r="V1530">
        <f>IF(AND(OR(Dashboard!$C$6="All",E1530=Dashboard!$C$6),OR(Dashboard!$F$6="All",G1530=Dashboard!$F$6),OR(Dashboard!$I$6="All",H1530=Dashboard!$I$6)),1,0)</f>
        <v/>
      </c>
    </row>
    <row r="1531">
      <c r="A1531" t="inlineStr">
        <is>
          <t>PF101522</t>
        </is>
      </c>
      <c r="B1531" s="68" t="n">
        <v>45844</v>
      </c>
      <c r="C1531" s="69" t="n">
        <v>2025</v>
      </c>
      <c r="D1531" t="inlineStr">
        <is>
          <t>Jul</t>
        </is>
      </c>
      <c r="E1531" t="inlineStr">
        <is>
          <t>United States</t>
        </is>
      </c>
      <c r="F1531" t="inlineStr">
        <is>
          <t>USA</t>
        </is>
      </c>
      <c r="G1531" t="inlineStr">
        <is>
          <t>Eliquis</t>
        </is>
      </c>
      <c r="H1531" t="inlineStr">
        <is>
          <t>Hospital</t>
        </is>
      </c>
      <c r="I1531" t="inlineStr">
        <is>
          <t>Private insurer</t>
        </is>
      </c>
      <c r="J1531" t="inlineStr">
        <is>
          <t>Mei Lin</t>
        </is>
      </c>
      <c r="K1531" s="70" t="n">
        <v>1073</v>
      </c>
      <c r="L1531" s="71" t="n">
        <v>643.15</v>
      </c>
      <c r="M1531" s="71" t="n">
        <v>690099.95</v>
      </c>
      <c r="N1531" s="71" t="n">
        <v>241534.98</v>
      </c>
      <c r="O1531" s="71" t="n">
        <v>448564.97</v>
      </c>
      <c r="P1531" s="71" t="n">
        <v>83640.16</v>
      </c>
      <c r="Q1531" s="71" t="n">
        <v>364924.81</v>
      </c>
      <c r="R1531" t="inlineStr">
        <is>
          <t>Cardiology</t>
        </is>
      </c>
      <c r="S1531" s="70" t="n">
        <v>818</v>
      </c>
      <c r="T1531" s="71" t="n">
        <v>128840.88</v>
      </c>
      <c r="U1531" t="inlineStr">
        <is>
          <t>High</t>
        </is>
      </c>
      <c r="V1531">
        <f>IF(AND(OR(Dashboard!$C$6="All",E1531=Dashboard!$C$6),OR(Dashboard!$F$6="All",G1531=Dashboard!$F$6),OR(Dashboard!$I$6="All",H1531=Dashboard!$I$6)),1,0)</f>
        <v/>
      </c>
    </row>
    <row r="1532">
      <c r="A1532" t="inlineStr">
        <is>
          <t>PF101523</t>
        </is>
      </c>
      <c r="B1532" s="68" t="n">
        <v>45844</v>
      </c>
      <c r="C1532" s="69" t="n">
        <v>2025</v>
      </c>
      <c r="D1532" t="inlineStr">
        <is>
          <t>Jul</t>
        </is>
      </c>
      <c r="E1532" t="inlineStr">
        <is>
          <t>United States</t>
        </is>
      </c>
      <c r="F1532" t="inlineStr">
        <is>
          <t>USA</t>
        </is>
      </c>
      <c r="G1532" t="inlineStr">
        <is>
          <t>Comirnaty</t>
        </is>
      </c>
      <c r="H1532" t="inlineStr">
        <is>
          <t>Retail pharmacy</t>
        </is>
      </c>
      <c r="I1532" t="inlineStr">
        <is>
          <t>Public payer</t>
        </is>
      </c>
      <c r="J1532" t="inlineStr">
        <is>
          <t>Zoya Ahmed</t>
        </is>
      </c>
      <c r="K1532" s="70" t="n">
        <v>338</v>
      </c>
      <c r="L1532" s="71" t="n">
        <v>192.8</v>
      </c>
      <c r="M1532" s="71" t="n">
        <v>65166.4</v>
      </c>
      <c r="N1532" s="71" t="n">
        <v>16291.6</v>
      </c>
      <c r="O1532" s="71" t="n">
        <v>48874.8</v>
      </c>
      <c r="P1532" s="71" t="n">
        <v>13237.3</v>
      </c>
      <c r="Q1532" s="71" t="n">
        <v>35637.5</v>
      </c>
      <c r="R1532" t="inlineStr">
        <is>
          <t>Vaccines</t>
        </is>
      </c>
      <c r="S1532" s="70" t="n">
        <v>288</v>
      </c>
      <c r="T1532" s="71" t="n">
        <v>8031.56</v>
      </c>
      <c r="U1532" t="inlineStr">
        <is>
          <t>Low</t>
        </is>
      </c>
      <c r="V1532">
        <f>IF(AND(OR(Dashboard!$C$6="All",E1532=Dashboard!$C$6),OR(Dashboard!$F$6="All",G1532=Dashboard!$F$6),OR(Dashboard!$I$6="All",H1532=Dashboard!$I$6)),1,0)</f>
        <v/>
      </c>
    </row>
    <row r="1533">
      <c r="A1533" t="inlineStr">
        <is>
          <t>PF101524</t>
        </is>
      </c>
      <c r="B1533" s="68" t="n">
        <v>45844</v>
      </c>
      <c r="C1533" s="69" t="n">
        <v>2025</v>
      </c>
      <c r="D1533" t="inlineStr">
        <is>
          <t>Jul</t>
        </is>
      </c>
      <c r="E1533" t="inlineStr">
        <is>
          <t>Europe</t>
        </is>
      </c>
      <c r="F1533" t="inlineStr">
        <is>
          <t>Germany</t>
        </is>
      </c>
      <c r="G1533" t="inlineStr">
        <is>
          <t>Ibrance</t>
        </is>
      </c>
      <c r="H1533" t="inlineStr">
        <is>
          <t>Hospital</t>
        </is>
      </c>
      <c r="I1533" t="inlineStr">
        <is>
          <t>Public payer</t>
        </is>
      </c>
      <c r="J1533" t="inlineStr">
        <is>
          <t>Lucas Martin</t>
        </is>
      </c>
      <c r="K1533" s="70" t="n">
        <v>2090</v>
      </c>
      <c r="L1533" s="71" t="n">
        <v>3057.18</v>
      </c>
      <c r="M1533" s="71" t="n">
        <v>6389506.2</v>
      </c>
      <c r="N1533" s="71" t="n">
        <v>1597376.55</v>
      </c>
      <c r="O1533" s="71" t="n">
        <v>4792129.65</v>
      </c>
      <c r="P1533" s="71" t="n">
        <v>901279.52</v>
      </c>
      <c r="Q1533" s="71" t="n">
        <v>3890850.13</v>
      </c>
      <c r="R1533" t="inlineStr">
        <is>
          <t>Oncology</t>
        </is>
      </c>
      <c r="S1533" s="70" t="n">
        <v>1934</v>
      </c>
      <c r="T1533" s="71" t="n">
        <v>1026722.73</v>
      </c>
      <c r="U1533" t="inlineStr">
        <is>
          <t>High</t>
        </is>
      </c>
      <c r="V1533">
        <f>IF(AND(OR(Dashboard!$C$6="All",E1533=Dashboard!$C$6),OR(Dashboard!$F$6="All",G1533=Dashboard!$F$6),OR(Dashboard!$I$6="All",H1533=Dashboard!$I$6)),1,0)</f>
        <v/>
      </c>
    </row>
    <row r="1534">
      <c r="A1534" t="inlineStr">
        <is>
          <t>PF101525</t>
        </is>
      </c>
      <c r="B1534" s="68" t="n">
        <v>45845</v>
      </c>
      <c r="C1534" s="69" t="n">
        <v>2025</v>
      </c>
      <c r="D1534" t="inlineStr">
        <is>
          <t>Jul</t>
        </is>
      </c>
      <c r="E1534" t="inlineStr">
        <is>
          <t>United States</t>
        </is>
      </c>
      <c r="F1534" t="inlineStr">
        <is>
          <t>USA</t>
        </is>
      </c>
      <c r="G1534" t="inlineStr">
        <is>
          <t>Prevnar 20</t>
        </is>
      </c>
      <c r="H1534" t="inlineStr">
        <is>
          <t>Government / tender</t>
        </is>
      </c>
      <c r="I1534" t="inlineStr">
        <is>
          <t>Public payer</t>
        </is>
      </c>
      <c r="J1534" t="inlineStr">
        <is>
          <t>Olivia Brown</t>
        </is>
      </c>
      <c r="K1534" s="70" t="n">
        <v>1718</v>
      </c>
      <c r="L1534" s="71" t="n">
        <v>370.62</v>
      </c>
      <c r="M1534" s="71" t="n">
        <v>636725.16</v>
      </c>
      <c r="N1534" s="71" t="n">
        <v>191017.55</v>
      </c>
      <c r="O1534" s="71" t="n">
        <v>445707.61</v>
      </c>
      <c r="P1534" s="71" t="n">
        <v>122470.16</v>
      </c>
      <c r="Q1534" s="71" t="n">
        <v>323237.45</v>
      </c>
      <c r="R1534" t="inlineStr">
        <is>
          <t>Vaccines</t>
        </is>
      </c>
      <c r="S1534" s="70" t="n">
        <v>1250</v>
      </c>
      <c r="T1534" s="71" t="n">
        <v>103037.99</v>
      </c>
      <c r="U1534" t="inlineStr">
        <is>
          <t>Low</t>
        </is>
      </c>
      <c r="V1534">
        <f>IF(AND(OR(Dashboard!$C$6="All",E1534=Dashboard!$C$6),OR(Dashboard!$F$6="All",G1534=Dashboard!$F$6),OR(Dashboard!$I$6="All",H1534=Dashboard!$I$6)),1,0)</f>
        <v/>
      </c>
    </row>
    <row r="1535">
      <c r="A1535" t="inlineStr">
        <is>
          <t>PF101526</t>
        </is>
      </c>
      <c r="B1535" s="68" t="n">
        <v>45845</v>
      </c>
      <c r="C1535" s="69" t="n">
        <v>2025</v>
      </c>
      <c r="D1535" t="inlineStr">
        <is>
          <t>Jul</t>
        </is>
      </c>
      <c r="E1535" t="inlineStr">
        <is>
          <t>Emerging markets</t>
        </is>
      </c>
      <c r="F1535" t="inlineStr">
        <is>
          <t>China</t>
        </is>
      </c>
      <c r="G1535" t="inlineStr">
        <is>
          <t>Comirnaty</t>
        </is>
      </c>
      <c r="H1535" t="inlineStr">
        <is>
          <t>Retail pharmacy</t>
        </is>
      </c>
      <c r="I1535" t="inlineStr">
        <is>
          <t>Private insurer</t>
        </is>
      </c>
      <c r="J1535" t="inlineStr">
        <is>
          <t>Kofi Mensah</t>
        </is>
      </c>
      <c r="K1535" s="70" t="n">
        <v>1930</v>
      </c>
      <c r="L1535" s="71" t="n">
        <v>117.36</v>
      </c>
      <c r="M1535" s="71" t="n">
        <v>226504.8</v>
      </c>
      <c r="N1535" s="71" t="n">
        <v>33975.72</v>
      </c>
      <c r="O1535" s="71" t="n">
        <v>192529.08</v>
      </c>
      <c r="P1535" s="71" t="n">
        <v>76498.67999999999</v>
      </c>
      <c r="Q1535" s="71" t="n">
        <v>116030.4</v>
      </c>
      <c r="R1535" t="inlineStr">
        <is>
          <t>Vaccines</t>
        </is>
      </c>
      <c r="S1535" s="70" t="n">
        <v>1248</v>
      </c>
      <c r="T1535" s="71" t="n">
        <v>37865.86</v>
      </c>
      <c r="U1535" t="inlineStr">
        <is>
          <t>Low</t>
        </is>
      </c>
      <c r="V1535">
        <f>IF(AND(OR(Dashboard!$C$6="All",E1535=Dashboard!$C$6),OR(Dashboard!$F$6="All",G1535=Dashboard!$F$6),OR(Dashboard!$I$6="All",H1535=Dashboard!$I$6)),1,0)</f>
        <v/>
      </c>
    </row>
    <row r="1536">
      <c r="A1536" t="inlineStr">
        <is>
          <t>PF101527</t>
        </is>
      </c>
      <c r="B1536" s="68" t="n">
        <v>45845</v>
      </c>
      <c r="C1536" s="69" t="n">
        <v>2025</v>
      </c>
      <c r="D1536" t="inlineStr">
        <is>
          <t>Jul</t>
        </is>
      </c>
      <c r="E1536" t="inlineStr">
        <is>
          <t>Europe</t>
        </is>
      </c>
      <c r="F1536" t="inlineStr">
        <is>
          <t>UK</t>
        </is>
      </c>
      <c r="G1536" t="inlineStr">
        <is>
          <t>Comirnaty</t>
        </is>
      </c>
      <c r="H1536" t="inlineStr">
        <is>
          <t>Retail pharmacy</t>
        </is>
      </c>
      <c r="I1536" t="inlineStr">
        <is>
          <t>Public payer</t>
        </is>
      </c>
      <c r="J1536" t="inlineStr">
        <is>
          <t>Yuki Sato</t>
        </is>
      </c>
      <c r="K1536" s="70" t="n">
        <v>2882</v>
      </c>
      <c r="L1536" s="71" t="n">
        <v>112</v>
      </c>
      <c r="M1536" s="71" t="n">
        <v>322784</v>
      </c>
      <c r="N1536" s="71" t="n">
        <v>16139.2</v>
      </c>
      <c r="O1536" s="71" t="n">
        <v>306644.8</v>
      </c>
      <c r="P1536" s="71" t="n">
        <v>114915.47</v>
      </c>
      <c r="Q1536" s="71" t="n">
        <v>191729.33</v>
      </c>
      <c r="R1536" t="inlineStr">
        <is>
          <t>Vaccines</t>
        </is>
      </c>
      <c r="S1536" s="70" t="n">
        <v>2225</v>
      </c>
      <c r="T1536" s="71" t="n">
        <v>47651.74</v>
      </c>
      <c r="U1536" t="inlineStr">
        <is>
          <t>Low</t>
        </is>
      </c>
      <c r="V1536">
        <f>IF(AND(OR(Dashboard!$C$6="All",E1536=Dashboard!$C$6),OR(Dashboard!$F$6="All",G1536=Dashboard!$F$6),OR(Dashboard!$I$6="All",H1536=Dashboard!$I$6)),1,0)</f>
        <v/>
      </c>
    </row>
    <row r="1537">
      <c r="A1537" t="inlineStr">
        <is>
          <t>PF101528</t>
        </is>
      </c>
      <c r="B1537" s="68" t="n">
        <v>45845</v>
      </c>
      <c r="C1537" s="69" t="n">
        <v>2025</v>
      </c>
      <c r="D1537" t="inlineStr">
        <is>
          <t>Jul</t>
        </is>
      </c>
      <c r="E1537" t="inlineStr">
        <is>
          <t>United States</t>
        </is>
      </c>
      <c r="F1537" t="inlineStr">
        <is>
          <t>USA</t>
        </is>
      </c>
      <c r="G1537" t="inlineStr">
        <is>
          <t>Vyndaqel</t>
        </is>
      </c>
      <c r="H1537" t="inlineStr">
        <is>
          <t>Retail pharmacy</t>
        </is>
      </c>
      <c r="I1537" t="inlineStr">
        <is>
          <t>Public payer</t>
        </is>
      </c>
      <c r="J1537" t="inlineStr">
        <is>
          <t>Wei Chen</t>
        </is>
      </c>
      <c r="K1537" s="70" t="n">
        <v>385</v>
      </c>
      <c r="L1537" s="71" t="n">
        <v>7918.69</v>
      </c>
      <c r="M1537" s="71" t="n">
        <v>3048695.65</v>
      </c>
      <c r="N1537" s="71" t="n">
        <v>457304.35</v>
      </c>
      <c r="O1537" s="71" t="n">
        <v>2591391.3</v>
      </c>
      <c r="P1537" s="71" t="n">
        <v>241957.25</v>
      </c>
      <c r="Q1537" s="71" t="n">
        <v>2349434.05</v>
      </c>
      <c r="R1537" t="inlineStr">
        <is>
          <t>Rare disease</t>
        </is>
      </c>
      <c r="S1537" s="70" t="n">
        <v>307</v>
      </c>
      <c r="T1537" s="71" t="n">
        <v>649919.2</v>
      </c>
      <c r="U1537" t="inlineStr">
        <is>
          <t>Medium</t>
        </is>
      </c>
      <c r="V1537">
        <f>IF(AND(OR(Dashboard!$C$6="All",E1537=Dashboard!$C$6),OR(Dashboard!$F$6="All",G1537=Dashboard!$F$6),OR(Dashboard!$I$6="All",H1537=Dashboard!$I$6)),1,0)</f>
        <v/>
      </c>
    </row>
    <row r="1538">
      <c r="A1538" t="inlineStr">
        <is>
          <t>PF101529</t>
        </is>
      </c>
      <c r="B1538" s="68" t="n">
        <v>45845</v>
      </c>
      <c r="C1538" s="69" t="n">
        <v>2025</v>
      </c>
      <c r="D1538" t="inlineStr">
        <is>
          <t>Jul</t>
        </is>
      </c>
      <c r="E1538" t="inlineStr">
        <is>
          <t>United States</t>
        </is>
      </c>
      <c r="F1538" t="inlineStr">
        <is>
          <t>USA</t>
        </is>
      </c>
      <c r="G1538" t="inlineStr">
        <is>
          <t>Prevnar 20</t>
        </is>
      </c>
      <c r="H1538" t="inlineStr">
        <is>
          <t>Government / tender</t>
        </is>
      </c>
      <c r="I1538" t="inlineStr">
        <is>
          <t>Public payer</t>
        </is>
      </c>
      <c r="J1538" t="inlineStr">
        <is>
          <t>Emma Clarke</t>
        </is>
      </c>
      <c r="K1538" s="70" t="n">
        <v>1445</v>
      </c>
      <c r="L1538" s="71" t="n">
        <v>379.52</v>
      </c>
      <c r="M1538" s="71" t="n">
        <v>548406.4</v>
      </c>
      <c r="N1538" s="71" t="n">
        <v>109681.28</v>
      </c>
      <c r="O1538" s="71" t="n">
        <v>438725.12</v>
      </c>
      <c r="P1538" s="71" t="n">
        <v>95798.84</v>
      </c>
      <c r="Q1538" s="71" t="n">
        <v>342926.28</v>
      </c>
      <c r="R1538" t="inlineStr">
        <is>
          <t>Vaccines</t>
        </is>
      </c>
      <c r="S1538" s="70" t="n">
        <v>1410</v>
      </c>
      <c r="T1538" s="71" t="n">
        <v>87892.78</v>
      </c>
      <c r="U1538" t="inlineStr">
        <is>
          <t>Low</t>
        </is>
      </c>
      <c r="V1538">
        <f>IF(AND(OR(Dashboard!$C$6="All",E1538=Dashboard!$C$6),OR(Dashboard!$F$6="All",G1538=Dashboard!$F$6),OR(Dashboard!$I$6="All",H1538=Dashboard!$I$6)),1,0)</f>
        <v/>
      </c>
    </row>
    <row r="1539">
      <c r="A1539" t="inlineStr">
        <is>
          <t>PF101530</t>
        </is>
      </c>
      <c r="B1539" s="68" t="n">
        <v>45845</v>
      </c>
      <c r="C1539" s="69" t="n">
        <v>2025</v>
      </c>
      <c r="D1539" t="inlineStr">
        <is>
          <t>Jul</t>
        </is>
      </c>
      <c r="E1539" t="inlineStr">
        <is>
          <t>International developed</t>
        </is>
      </c>
      <c r="F1539" t="inlineStr">
        <is>
          <t>Japan</t>
        </is>
      </c>
      <c r="G1539" t="inlineStr">
        <is>
          <t>Eliquis</t>
        </is>
      </c>
      <c r="H1539" t="inlineStr">
        <is>
          <t>Hospital</t>
        </is>
      </c>
      <c r="I1539" t="inlineStr">
        <is>
          <t>Self-pay</t>
        </is>
      </c>
      <c r="J1539" t="inlineStr">
        <is>
          <t>Priya Nair</t>
        </is>
      </c>
      <c r="K1539" s="70" t="n">
        <v>2253</v>
      </c>
      <c r="L1539" s="71" t="n">
        <v>389.92</v>
      </c>
      <c r="M1539" s="71" t="n">
        <v>878489.76</v>
      </c>
      <c r="N1539" s="71" t="n">
        <v>87848.98</v>
      </c>
      <c r="O1539" s="71" t="n">
        <v>790640.78</v>
      </c>
      <c r="P1539" s="71" t="n">
        <v>163885.22</v>
      </c>
      <c r="Q1539" s="71" t="n">
        <v>626755.5600000001</v>
      </c>
      <c r="R1539" t="inlineStr">
        <is>
          <t>Cardiology</t>
        </is>
      </c>
      <c r="S1539" s="70" t="n">
        <v>1800</v>
      </c>
      <c r="T1539" s="71" t="n">
        <v>105697.32</v>
      </c>
      <c r="U1539" t="inlineStr">
        <is>
          <t>High</t>
        </is>
      </c>
      <c r="V1539">
        <f>IF(AND(OR(Dashboard!$C$6="All",E1539=Dashboard!$C$6),OR(Dashboard!$F$6="All",G1539=Dashboard!$F$6),OR(Dashboard!$I$6="All",H1539=Dashboard!$I$6)),1,0)</f>
        <v/>
      </c>
    </row>
    <row r="1540">
      <c r="A1540" t="inlineStr">
        <is>
          <t>PF101531</t>
        </is>
      </c>
      <c r="B1540" s="68" t="n">
        <v>45845</v>
      </c>
      <c r="C1540" s="69" t="n">
        <v>2025</v>
      </c>
      <c r="D1540" t="inlineStr">
        <is>
          <t>Jul</t>
        </is>
      </c>
      <c r="E1540" t="inlineStr">
        <is>
          <t>Europe</t>
        </is>
      </c>
      <c r="F1540" t="inlineStr">
        <is>
          <t>Germany</t>
        </is>
      </c>
      <c r="G1540" t="inlineStr">
        <is>
          <t>Eliquis</t>
        </is>
      </c>
      <c r="H1540" t="inlineStr">
        <is>
          <t>Retail pharmacy</t>
        </is>
      </c>
      <c r="I1540" t="inlineStr">
        <is>
          <t>Private insurer</t>
        </is>
      </c>
      <c r="J1540" t="inlineStr">
        <is>
          <t>Zoya Ahmed</t>
        </is>
      </c>
      <c r="K1540" s="70" t="n">
        <v>2305</v>
      </c>
      <c r="L1540" s="71" t="n">
        <v>392.21</v>
      </c>
      <c r="M1540" s="71" t="n">
        <v>904044.05</v>
      </c>
      <c r="N1540" s="71" t="n">
        <v>180808.81</v>
      </c>
      <c r="O1540" s="71" t="n">
        <v>723235.24</v>
      </c>
      <c r="P1540" s="71" t="n">
        <v>180520.72</v>
      </c>
      <c r="Q1540" s="71" t="n">
        <v>542714.52</v>
      </c>
      <c r="R1540" t="inlineStr">
        <is>
          <t>Cardiology</t>
        </is>
      </c>
      <c r="S1540" s="70" t="n">
        <v>2188</v>
      </c>
      <c r="T1540" s="71" t="n">
        <v>169009.26</v>
      </c>
      <c r="U1540" t="inlineStr">
        <is>
          <t>High</t>
        </is>
      </c>
      <c r="V1540">
        <f>IF(AND(OR(Dashboard!$C$6="All",E1540=Dashboard!$C$6),OR(Dashboard!$F$6="All",G1540=Dashboard!$F$6),OR(Dashboard!$I$6="All",H1540=Dashboard!$I$6)),1,0)</f>
        <v/>
      </c>
    </row>
    <row r="1541">
      <c r="A1541" t="inlineStr">
        <is>
          <t>PF101532</t>
        </is>
      </c>
      <c r="B1541" s="68" t="n">
        <v>45845</v>
      </c>
      <c r="C1541" s="69" t="n">
        <v>2025</v>
      </c>
      <c r="D1541" t="inlineStr">
        <is>
          <t>Jul</t>
        </is>
      </c>
      <c r="E1541" t="inlineStr">
        <is>
          <t>Emerging markets</t>
        </is>
      </c>
      <c r="F1541" t="inlineStr">
        <is>
          <t>Brazil</t>
        </is>
      </c>
      <c r="G1541" t="inlineStr">
        <is>
          <t>Eliquis</t>
        </is>
      </c>
      <c r="H1541" t="inlineStr">
        <is>
          <t>Hospital</t>
        </is>
      </c>
      <c r="I1541" t="inlineStr">
        <is>
          <t>Private insurer</t>
        </is>
      </c>
      <c r="J1541" t="inlineStr">
        <is>
          <t>Wei Chen</t>
        </is>
      </c>
      <c r="K1541" s="70" t="n">
        <v>2537</v>
      </c>
      <c r="L1541" s="71" t="n">
        <v>432.28</v>
      </c>
      <c r="M1541" s="71" t="n">
        <v>1096694.36</v>
      </c>
      <c r="N1541" s="71" t="n">
        <v>109669.44</v>
      </c>
      <c r="O1541" s="71" t="n">
        <v>987024.92</v>
      </c>
      <c r="P1541" s="71" t="n">
        <v>189883.41</v>
      </c>
      <c r="Q1541" s="71" t="n">
        <v>797141.51</v>
      </c>
      <c r="R1541" t="inlineStr">
        <is>
          <t>Cardiology</t>
        </is>
      </c>
      <c r="S1541" s="70" t="n">
        <v>1769</v>
      </c>
      <c r="T1541" s="71" t="n">
        <v>158555.4</v>
      </c>
      <c r="U1541" t="inlineStr">
        <is>
          <t>High</t>
        </is>
      </c>
      <c r="V1541">
        <f>IF(AND(OR(Dashboard!$C$6="All",E1541=Dashboard!$C$6),OR(Dashboard!$F$6="All",G1541=Dashboard!$F$6),OR(Dashboard!$I$6="All",H1541=Dashboard!$I$6)),1,0)</f>
        <v/>
      </c>
    </row>
    <row r="1542">
      <c r="A1542" t="inlineStr">
        <is>
          <t>PF101533</t>
        </is>
      </c>
      <c r="B1542" s="68" t="n">
        <v>45846</v>
      </c>
      <c r="C1542" s="69" t="n">
        <v>2025</v>
      </c>
      <c r="D1542" t="inlineStr">
        <is>
          <t>Jul</t>
        </is>
      </c>
      <c r="E1542" t="inlineStr">
        <is>
          <t>Emerging markets</t>
        </is>
      </c>
      <c r="F1542" t="inlineStr">
        <is>
          <t>China</t>
        </is>
      </c>
      <c r="G1542" t="inlineStr">
        <is>
          <t>Ibrance</t>
        </is>
      </c>
      <c r="H1542" t="inlineStr">
        <is>
          <t>Government / tender</t>
        </is>
      </c>
      <c r="I1542" t="inlineStr">
        <is>
          <t>Private insurer</t>
        </is>
      </c>
      <c r="J1542" t="inlineStr">
        <is>
          <t>Lucas Martin</t>
        </is>
      </c>
      <c r="K1542" s="70" t="n">
        <v>859</v>
      </c>
      <c r="L1542" s="71" t="n">
        <v>3020.55</v>
      </c>
      <c r="M1542" s="71" t="n">
        <v>2594652.45</v>
      </c>
      <c r="N1542" s="71" t="n">
        <v>648663.11</v>
      </c>
      <c r="O1542" s="71" t="n">
        <v>1945989.34</v>
      </c>
      <c r="P1542" s="71" t="n">
        <v>379110.33</v>
      </c>
      <c r="Q1542" s="71" t="n">
        <v>1566879.01</v>
      </c>
      <c r="R1542" t="inlineStr">
        <is>
          <t>Oncology</t>
        </is>
      </c>
      <c r="S1542" s="70" t="n">
        <v>602</v>
      </c>
      <c r="T1542" s="71" t="n">
        <v>387244.59</v>
      </c>
      <c r="U1542" t="inlineStr">
        <is>
          <t>High</t>
        </is>
      </c>
      <c r="V1542">
        <f>IF(AND(OR(Dashboard!$C$6="All",E1542=Dashboard!$C$6),OR(Dashboard!$F$6="All",G1542=Dashboard!$F$6),OR(Dashboard!$I$6="All",H1542=Dashboard!$I$6)),1,0)</f>
        <v/>
      </c>
    </row>
    <row r="1543">
      <c r="A1543" t="inlineStr">
        <is>
          <t>PF101534</t>
        </is>
      </c>
      <c r="B1543" s="68" t="n">
        <v>45846</v>
      </c>
      <c r="C1543" s="69" t="n">
        <v>2025</v>
      </c>
      <c r="D1543" t="inlineStr">
        <is>
          <t>Jul</t>
        </is>
      </c>
      <c r="E1543" t="inlineStr">
        <is>
          <t>United States</t>
        </is>
      </c>
      <c r="F1543" t="inlineStr">
        <is>
          <t>USA</t>
        </is>
      </c>
      <c r="G1543" t="inlineStr">
        <is>
          <t>Eliquis</t>
        </is>
      </c>
      <c r="H1543" t="inlineStr">
        <is>
          <t>Retail pharmacy</t>
        </is>
      </c>
      <c r="I1543" t="inlineStr">
        <is>
          <t>Private insurer</t>
        </is>
      </c>
      <c r="J1543" t="inlineStr">
        <is>
          <t>Carlos Silva</t>
        </is>
      </c>
      <c r="K1543" s="70" t="n">
        <v>491</v>
      </c>
      <c r="L1543" s="71" t="n">
        <v>726.5599999999999</v>
      </c>
      <c r="M1543" s="71" t="n">
        <v>356740.96</v>
      </c>
      <c r="N1543" s="71" t="n">
        <v>53511.14</v>
      </c>
      <c r="O1543" s="71" t="n">
        <v>303229.82</v>
      </c>
      <c r="P1543" s="71" t="n">
        <v>37924.86</v>
      </c>
      <c r="Q1543" s="71" t="n">
        <v>265304.96</v>
      </c>
      <c r="R1543" t="inlineStr">
        <is>
          <t>Cardiology</t>
        </is>
      </c>
      <c r="S1543" s="70" t="n">
        <v>315</v>
      </c>
      <c r="T1543" s="71" t="n">
        <v>54481.71</v>
      </c>
      <c r="U1543" t="inlineStr">
        <is>
          <t>High</t>
        </is>
      </c>
      <c r="V1543">
        <f>IF(AND(OR(Dashboard!$C$6="All",E1543=Dashboard!$C$6),OR(Dashboard!$F$6="All",G1543=Dashboard!$F$6),OR(Dashboard!$I$6="All",H1543=Dashboard!$I$6)),1,0)</f>
        <v/>
      </c>
    </row>
    <row r="1544">
      <c r="A1544" t="inlineStr">
        <is>
          <t>PF101535</t>
        </is>
      </c>
      <c r="B1544" s="68" t="n">
        <v>45847</v>
      </c>
      <c r="C1544" s="69" t="n">
        <v>2025</v>
      </c>
      <c r="D1544" t="inlineStr">
        <is>
          <t>Jul</t>
        </is>
      </c>
      <c r="E1544" t="inlineStr">
        <is>
          <t>International developed</t>
        </is>
      </c>
      <c r="F1544" t="inlineStr">
        <is>
          <t>Japan</t>
        </is>
      </c>
      <c r="G1544" t="inlineStr">
        <is>
          <t>Ibrance</t>
        </is>
      </c>
      <c r="H1544" t="inlineStr">
        <is>
          <t>Retail pharmacy</t>
        </is>
      </c>
      <c r="I1544" t="inlineStr">
        <is>
          <t>Private insurer</t>
        </is>
      </c>
      <c r="J1544" t="inlineStr">
        <is>
          <t>Ana Costa</t>
        </is>
      </c>
      <c r="K1544" s="70" t="n">
        <v>2234</v>
      </c>
      <c r="L1544" s="71" t="n">
        <v>3034.69</v>
      </c>
      <c r="M1544" s="71" t="n">
        <v>6779497.46</v>
      </c>
      <c r="N1544" s="71" t="n">
        <v>677949.75</v>
      </c>
      <c r="O1544" s="71" t="n">
        <v>6101547.71</v>
      </c>
      <c r="P1544" s="71" t="n">
        <v>961930.92</v>
      </c>
      <c r="Q1544" s="71" t="n">
        <v>5139616.79</v>
      </c>
      <c r="R1544" t="inlineStr">
        <is>
          <t>Oncology</t>
        </is>
      </c>
      <c r="S1544" s="70" t="n">
        <v>1911</v>
      </c>
      <c r="T1544" s="71" t="n">
        <v>1291651.94</v>
      </c>
      <c r="U1544" t="inlineStr">
        <is>
          <t>High</t>
        </is>
      </c>
      <c r="V1544">
        <f>IF(AND(OR(Dashboard!$C$6="All",E1544=Dashboard!$C$6),OR(Dashboard!$F$6="All",G1544=Dashboard!$F$6),OR(Dashboard!$I$6="All",H1544=Dashboard!$I$6)),1,0)</f>
        <v/>
      </c>
    </row>
    <row r="1545">
      <c r="A1545" t="inlineStr">
        <is>
          <t>PF101536</t>
        </is>
      </c>
      <c r="B1545" s="68" t="n">
        <v>45847</v>
      </c>
      <c r="C1545" s="69" t="n">
        <v>2025</v>
      </c>
      <c r="D1545" t="inlineStr">
        <is>
          <t>Jul</t>
        </is>
      </c>
      <c r="E1545" t="inlineStr">
        <is>
          <t>United States</t>
        </is>
      </c>
      <c r="F1545" t="inlineStr">
        <is>
          <t>USA</t>
        </is>
      </c>
      <c r="G1545" t="inlineStr">
        <is>
          <t>Ibrance</t>
        </is>
      </c>
      <c r="H1545" t="inlineStr">
        <is>
          <t>Retail pharmacy</t>
        </is>
      </c>
      <c r="I1545" t="inlineStr">
        <is>
          <t>Public payer</t>
        </is>
      </c>
      <c r="J1545" t="inlineStr">
        <is>
          <t>Shraddha Kulkarni</t>
        </is>
      </c>
      <c r="K1545" s="70" t="n">
        <v>139</v>
      </c>
      <c r="L1545" s="71" t="n">
        <v>4415.81</v>
      </c>
      <c r="M1545" s="71" t="n">
        <v>613797.59</v>
      </c>
      <c r="N1545" s="71" t="n">
        <v>184139.28</v>
      </c>
      <c r="O1545" s="71" t="n">
        <v>429658.31</v>
      </c>
      <c r="P1545" s="71" t="n">
        <v>62529.18</v>
      </c>
      <c r="Q1545" s="71" t="n">
        <v>367129.13</v>
      </c>
      <c r="R1545" t="inlineStr">
        <is>
          <t>Oncology</t>
        </is>
      </c>
      <c r="S1545" s="70" t="n">
        <v>102</v>
      </c>
      <c r="T1545" s="71" t="n">
        <v>98481.78999999999</v>
      </c>
      <c r="U1545" t="inlineStr">
        <is>
          <t>High</t>
        </is>
      </c>
      <c r="V1545">
        <f>IF(AND(OR(Dashboard!$C$6="All",E1545=Dashboard!$C$6),OR(Dashboard!$F$6="All",G1545=Dashboard!$F$6),OR(Dashboard!$I$6="All",H1545=Dashboard!$I$6)),1,0)</f>
        <v/>
      </c>
    </row>
    <row r="1546">
      <c r="A1546" t="inlineStr">
        <is>
          <t>PF101537</t>
        </is>
      </c>
      <c r="B1546" s="68" t="n">
        <v>45847</v>
      </c>
      <c r="C1546" s="69" t="n">
        <v>2025</v>
      </c>
      <c r="D1546" t="inlineStr">
        <is>
          <t>Jul</t>
        </is>
      </c>
      <c r="E1546" t="inlineStr">
        <is>
          <t>United States</t>
        </is>
      </c>
      <c r="F1546" t="inlineStr">
        <is>
          <t>USA</t>
        </is>
      </c>
      <c r="G1546" t="inlineStr">
        <is>
          <t>Xeljanz</t>
        </is>
      </c>
      <c r="H1546" t="inlineStr">
        <is>
          <t>Retail pharmacy</t>
        </is>
      </c>
      <c r="I1546" t="inlineStr">
        <is>
          <t>Private insurer</t>
        </is>
      </c>
      <c r="J1546" t="inlineStr">
        <is>
          <t>Kofi Mensah</t>
        </is>
      </c>
      <c r="K1546" s="70" t="n">
        <v>1711</v>
      </c>
      <c r="L1546" s="71" t="n">
        <v>2243.02</v>
      </c>
      <c r="M1546" s="71" t="n">
        <v>3837807.22</v>
      </c>
      <c r="N1546" s="71" t="n">
        <v>767561.4399999999</v>
      </c>
      <c r="O1546" s="71" t="n">
        <v>3070245.78</v>
      </c>
      <c r="P1546" s="71" t="n">
        <v>438853.78</v>
      </c>
      <c r="Q1546" s="71" t="n">
        <v>2631392</v>
      </c>
      <c r="R1546" t="inlineStr">
        <is>
          <t>Inflammation</t>
        </is>
      </c>
      <c r="S1546" s="70" t="n">
        <v>1375</v>
      </c>
      <c r="T1546" s="71" t="n">
        <v>710615.6899999999</v>
      </c>
      <c r="U1546" t="inlineStr">
        <is>
          <t>High</t>
        </is>
      </c>
      <c r="V1546">
        <f>IF(AND(OR(Dashboard!$C$6="All",E1546=Dashboard!$C$6),OR(Dashboard!$F$6="All",G1546=Dashboard!$F$6),OR(Dashboard!$I$6="All",H1546=Dashboard!$I$6)),1,0)</f>
        <v/>
      </c>
    </row>
    <row r="1547">
      <c r="A1547" t="inlineStr">
        <is>
          <t>PF101538</t>
        </is>
      </c>
      <c r="B1547" s="68" t="n">
        <v>45847</v>
      </c>
      <c r="C1547" s="69" t="n">
        <v>2025</v>
      </c>
      <c r="D1547" t="inlineStr">
        <is>
          <t>Jul</t>
        </is>
      </c>
      <c r="E1547" t="inlineStr">
        <is>
          <t>United States</t>
        </is>
      </c>
      <c r="F1547" t="inlineStr">
        <is>
          <t>USA</t>
        </is>
      </c>
      <c r="G1547" t="inlineStr">
        <is>
          <t>Abrysvo</t>
        </is>
      </c>
      <c r="H1547" t="inlineStr">
        <is>
          <t>Retail pharmacy</t>
        </is>
      </c>
      <c r="I1547" t="inlineStr">
        <is>
          <t>Public payer</t>
        </is>
      </c>
      <c r="J1547" t="inlineStr">
        <is>
          <t>Yuki Sato</t>
        </is>
      </c>
      <c r="K1547" s="70" t="n">
        <v>1079</v>
      </c>
      <c r="L1547" s="71" t="n">
        <v>453.86</v>
      </c>
      <c r="M1547" s="71" t="n">
        <v>489714.94</v>
      </c>
      <c r="N1547" s="71" t="n">
        <v>73457.24000000001</v>
      </c>
      <c r="O1547" s="71" t="n">
        <v>416257.7</v>
      </c>
      <c r="P1547" s="71" t="n">
        <v>93326.28</v>
      </c>
      <c r="Q1547" s="71" t="n">
        <v>322931.42</v>
      </c>
      <c r="R1547" t="inlineStr">
        <is>
          <t>Vaccines</t>
        </is>
      </c>
      <c r="S1547" s="70" t="n">
        <v>1015</v>
      </c>
      <c r="T1547" s="71" t="n">
        <v>62991.03</v>
      </c>
      <c r="U1547" t="inlineStr">
        <is>
          <t>Low</t>
        </is>
      </c>
      <c r="V1547">
        <f>IF(AND(OR(Dashboard!$C$6="All",E1547=Dashboard!$C$6),OR(Dashboard!$F$6="All",G1547=Dashboard!$F$6),OR(Dashboard!$I$6="All",H1547=Dashboard!$I$6)),1,0)</f>
        <v/>
      </c>
    </row>
    <row r="1548">
      <c r="A1548" t="inlineStr">
        <is>
          <t>PF101539</t>
        </is>
      </c>
      <c r="B1548" s="68" t="n">
        <v>45847</v>
      </c>
      <c r="C1548" s="69" t="n">
        <v>2025</v>
      </c>
      <c r="D1548" t="inlineStr">
        <is>
          <t>Jul</t>
        </is>
      </c>
      <c r="E1548" t="inlineStr">
        <is>
          <t>United States</t>
        </is>
      </c>
      <c r="F1548" t="inlineStr">
        <is>
          <t>USA</t>
        </is>
      </c>
      <c r="G1548" t="inlineStr">
        <is>
          <t>Eliquis</t>
        </is>
      </c>
      <c r="H1548" t="inlineStr">
        <is>
          <t>Hospital</t>
        </is>
      </c>
      <c r="I1548" t="inlineStr">
        <is>
          <t>Private insurer</t>
        </is>
      </c>
      <c r="J1548" t="inlineStr">
        <is>
          <t>Aisha Bello</t>
        </is>
      </c>
      <c r="K1548" s="70" t="n">
        <v>2854</v>
      </c>
      <c r="L1548" s="71" t="n">
        <v>626.91</v>
      </c>
      <c r="M1548" s="71" t="n">
        <v>1789201.14</v>
      </c>
      <c r="N1548" s="71" t="n">
        <v>268380.17</v>
      </c>
      <c r="O1548" s="71" t="n">
        <v>1520820.97</v>
      </c>
      <c r="P1548" s="71" t="n">
        <v>221845.9</v>
      </c>
      <c r="Q1548" s="71" t="n">
        <v>1298975.07</v>
      </c>
      <c r="R1548" t="inlineStr">
        <is>
          <t>Cardiology</t>
        </is>
      </c>
      <c r="S1548" s="70" t="n">
        <v>2062</v>
      </c>
      <c r="T1548" s="71" t="n">
        <v>236340.09</v>
      </c>
      <c r="U1548" t="inlineStr">
        <is>
          <t>High</t>
        </is>
      </c>
      <c r="V1548">
        <f>IF(AND(OR(Dashboard!$C$6="All",E1548=Dashboard!$C$6),OR(Dashboard!$F$6="All",G1548=Dashboard!$F$6),OR(Dashboard!$I$6="All",H1548=Dashboard!$I$6)),1,0)</f>
        <v/>
      </c>
    </row>
    <row r="1549">
      <c r="A1549" t="inlineStr">
        <is>
          <t>PF101540</t>
        </is>
      </c>
      <c r="B1549" s="68" t="n">
        <v>45847</v>
      </c>
      <c r="C1549" s="69" t="n">
        <v>2025</v>
      </c>
      <c r="D1549" t="inlineStr">
        <is>
          <t>Jul</t>
        </is>
      </c>
      <c r="E1549" t="inlineStr">
        <is>
          <t>United States</t>
        </is>
      </c>
      <c r="F1549" t="inlineStr">
        <is>
          <t>USA</t>
        </is>
      </c>
      <c r="G1549" t="inlineStr">
        <is>
          <t>Paxlovid</t>
        </is>
      </c>
      <c r="H1549" t="inlineStr">
        <is>
          <t>Retail pharmacy</t>
        </is>
      </c>
      <c r="I1549" t="inlineStr">
        <is>
          <t>Public payer</t>
        </is>
      </c>
      <c r="J1549" t="inlineStr">
        <is>
          <t>Hiroshi Tanaka</t>
        </is>
      </c>
      <c r="K1549" s="70" t="n">
        <v>2892</v>
      </c>
      <c r="L1549" s="71" t="n">
        <v>1605.44</v>
      </c>
      <c r="M1549" s="71" t="n">
        <v>4642932.48</v>
      </c>
      <c r="N1549" s="71" t="n">
        <v>1392879.74</v>
      </c>
      <c r="O1549" s="71" t="n">
        <v>3250052.74</v>
      </c>
      <c r="P1549" s="71" t="n">
        <v>789289.3100000001</v>
      </c>
      <c r="Q1549" s="71" t="n">
        <v>2460763.43</v>
      </c>
      <c r="R1549" t="inlineStr">
        <is>
          <t>Antiviral</t>
        </is>
      </c>
      <c r="S1549" s="70" t="n">
        <v>2267</v>
      </c>
      <c r="T1549" s="71" t="n">
        <v>796465.41</v>
      </c>
      <c r="U1549" t="inlineStr">
        <is>
          <t>Low</t>
        </is>
      </c>
      <c r="V1549">
        <f>IF(AND(OR(Dashboard!$C$6="All",E1549=Dashboard!$C$6),OR(Dashboard!$F$6="All",G1549=Dashboard!$F$6),OR(Dashboard!$I$6="All",H1549=Dashboard!$I$6)),1,0)</f>
        <v/>
      </c>
    </row>
    <row r="1550">
      <c r="A1550" t="inlineStr">
        <is>
          <t>PF101541</t>
        </is>
      </c>
      <c r="B1550" s="68" t="n">
        <v>45847</v>
      </c>
      <c r="C1550" s="69" t="n">
        <v>2025</v>
      </c>
      <c r="D1550" t="inlineStr">
        <is>
          <t>Jul</t>
        </is>
      </c>
      <c r="E1550" t="inlineStr">
        <is>
          <t>Europe</t>
        </is>
      </c>
      <c r="F1550" t="inlineStr">
        <is>
          <t>Italy</t>
        </is>
      </c>
      <c r="G1550" t="inlineStr">
        <is>
          <t>Prevnar 20</t>
        </is>
      </c>
      <c r="H1550" t="inlineStr">
        <is>
          <t>Retail pharmacy</t>
        </is>
      </c>
      <c r="I1550" t="inlineStr">
        <is>
          <t>Public payer</t>
        </is>
      </c>
      <c r="J1550" t="inlineStr">
        <is>
          <t>Emma Clarke</t>
        </is>
      </c>
      <c r="K1550" s="70" t="n">
        <v>2556</v>
      </c>
      <c r="L1550" s="71" t="n">
        <v>243.06</v>
      </c>
      <c r="M1550" s="71" t="n">
        <v>621261.36</v>
      </c>
      <c r="N1550" s="71" t="n">
        <v>31063.07</v>
      </c>
      <c r="O1550" s="71" t="n">
        <v>590198.29</v>
      </c>
      <c r="P1550" s="71" t="n">
        <v>172812.79</v>
      </c>
      <c r="Q1550" s="71" t="n">
        <v>417385.5</v>
      </c>
      <c r="R1550" t="inlineStr">
        <is>
          <t>Vaccines</t>
        </is>
      </c>
      <c r="S1550" s="70" t="n">
        <v>1681</v>
      </c>
      <c r="T1550" s="71" t="n">
        <v>101201.22</v>
      </c>
      <c r="U1550" t="inlineStr">
        <is>
          <t>Low</t>
        </is>
      </c>
      <c r="V1550">
        <f>IF(AND(OR(Dashboard!$C$6="All",E1550=Dashboard!$C$6),OR(Dashboard!$F$6="All",G1550=Dashboard!$F$6),OR(Dashboard!$I$6="All",H1550=Dashboard!$I$6)),1,0)</f>
        <v/>
      </c>
    </row>
    <row r="1551">
      <c r="A1551" t="inlineStr">
        <is>
          <t>PF101542</t>
        </is>
      </c>
      <c r="B1551" s="68" t="n">
        <v>45847</v>
      </c>
      <c r="C1551" s="69" t="n">
        <v>2025</v>
      </c>
      <c r="D1551" t="inlineStr">
        <is>
          <t>Jul</t>
        </is>
      </c>
      <c r="E1551" t="inlineStr">
        <is>
          <t>Emerging markets</t>
        </is>
      </c>
      <c r="F1551" t="inlineStr">
        <is>
          <t>China</t>
        </is>
      </c>
      <c r="G1551" t="inlineStr">
        <is>
          <t>Eliquis</t>
        </is>
      </c>
      <c r="H1551" t="inlineStr">
        <is>
          <t>Retail pharmacy</t>
        </is>
      </c>
      <c r="I1551" t="inlineStr">
        <is>
          <t>Private insurer</t>
        </is>
      </c>
      <c r="J1551" t="inlineStr">
        <is>
          <t>Aisha Bello</t>
        </is>
      </c>
      <c r="K1551" s="70" t="n">
        <v>843</v>
      </c>
      <c r="L1551" s="71" t="n">
        <v>378.34</v>
      </c>
      <c r="M1551" s="71" t="n">
        <v>318940.62</v>
      </c>
      <c r="N1551" s="71" t="n">
        <v>79735.14999999999</v>
      </c>
      <c r="O1551" s="71" t="n">
        <v>239205.47</v>
      </c>
      <c r="P1551" s="71" t="n">
        <v>64194.16</v>
      </c>
      <c r="Q1551" s="71" t="n">
        <v>175011.31</v>
      </c>
      <c r="R1551" t="inlineStr">
        <is>
          <t>Cardiology</t>
        </is>
      </c>
      <c r="S1551" s="70" t="n">
        <v>618</v>
      </c>
      <c r="T1551" s="71" t="n">
        <v>49697.76</v>
      </c>
      <c r="U1551" t="inlineStr">
        <is>
          <t>High</t>
        </is>
      </c>
      <c r="V1551">
        <f>IF(AND(OR(Dashboard!$C$6="All",E1551=Dashboard!$C$6),OR(Dashboard!$F$6="All",G1551=Dashboard!$F$6),OR(Dashboard!$I$6="All",H1551=Dashboard!$I$6)),1,0)</f>
        <v/>
      </c>
    </row>
    <row r="1552">
      <c r="A1552" t="inlineStr">
        <is>
          <t>PF101543</t>
        </is>
      </c>
      <c r="B1552" s="68" t="n">
        <v>45847</v>
      </c>
      <c r="C1552" s="69" t="n">
        <v>2025</v>
      </c>
      <c r="D1552" t="inlineStr">
        <is>
          <t>Jul</t>
        </is>
      </c>
      <c r="E1552" t="inlineStr">
        <is>
          <t>Emerging markets</t>
        </is>
      </c>
      <c r="F1552" t="inlineStr">
        <is>
          <t>Brazil</t>
        </is>
      </c>
      <c r="G1552" t="inlineStr">
        <is>
          <t>Vyndaqel</t>
        </is>
      </c>
      <c r="H1552" t="inlineStr">
        <is>
          <t>Government / tender</t>
        </is>
      </c>
      <c r="I1552" t="inlineStr">
        <is>
          <t>Private insurer</t>
        </is>
      </c>
      <c r="J1552" t="inlineStr">
        <is>
          <t>Amir Khan</t>
        </is>
      </c>
      <c r="K1552" s="70" t="n">
        <v>2723</v>
      </c>
      <c r="L1552" s="71" t="n">
        <v>5281.12</v>
      </c>
      <c r="M1552" s="71" t="n">
        <v>14380489.76</v>
      </c>
      <c r="N1552" s="71" t="n">
        <v>719024.49</v>
      </c>
      <c r="O1552" s="71" t="n">
        <v>13661465.27</v>
      </c>
      <c r="P1552" s="71" t="n">
        <v>1675664.77</v>
      </c>
      <c r="Q1552" s="71" t="n">
        <v>11985800.5</v>
      </c>
      <c r="R1552" t="inlineStr">
        <is>
          <t>Rare disease</t>
        </is>
      </c>
      <c r="S1552" s="70" t="n">
        <v>2315</v>
      </c>
      <c r="T1552" s="71" t="n">
        <v>2551021.28</v>
      </c>
      <c r="U1552" t="inlineStr">
        <is>
          <t>Medium</t>
        </is>
      </c>
      <c r="V1552">
        <f>IF(AND(OR(Dashboard!$C$6="All",E1552=Dashboard!$C$6),OR(Dashboard!$F$6="All",G1552=Dashboard!$F$6),OR(Dashboard!$I$6="All",H1552=Dashboard!$I$6)),1,0)</f>
        <v/>
      </c>
    </row>
    <row r="1553">
      <c r="A1553" t="inlineStr">
        <is>
          <t>PF101544</t>
        </is>
      </c>
      <c r="B1553" s="68" t="n">
        <v>45847</v>
      </c>
      <c r="C1553" s="69" t="n">
        <v>2025</v>
      </c>
      <c r="D1553" t="inlineStr">
        <is>
          <t>Jul</t>
        </is>
      </c>
      <c r="E1553" t="inlineStr">
        <is>
          <t>International developed</t>
        </is>
      </c>
      <c r="F1553" t="inlineStr">
        <is>
          <t>Canada</t>
        </is>
      </c>
      <c r="G1553" t="inlineStr">
        <is>
          <t>Eliquis</t>
        </is>
      </c>
      <c r="H1553" t="inlineStr">
        <is>
          <t>Retail pharmacy</t>
        </is>
      </c>
      <c r="I1553" t="inlineStr">
        <is>
          <t>Public payer</t>
        </is>
      </c>
      <c r="J1553" t="inlineStr">
        <is>
          <t>Ana Costa</t>
        </is>
      </c>
      <c r="K1553" s="70" t="n">
        <v>904</v>
      </c>
      <c r="L1553" s="71" t="n">
        <v>431.06</v>
      </c>
      <c r="M1553" s="71" t="n">
        <v>389678.24</v>
      </c>
      <c r="N1553" s="71" t="n">
        <v>58451.74</v>
      </c>
      <c r="O1553" s="71" t="n">
        <v>331226.5</v>
      </c>
      <c r="P1553" s="71" t="n">
        <v>69786.62</v>
      </c>
      <c r="Q1553" s="71" t="n">
        <v>261439.88</v>
      </c>
      <c r="R1553" t="inlineStr">
        <is>
          <t>Cardiology</t>
        </is>
      </c>
      <c r="S1553" s="70" t="n">
        <v>771</v>
      </c>
      <c r="T1553" s="71" t="n">
        <v>48035.12</v>
      </c>
      <c r="U1553" t="inlineStr">
        <is>
          <t>High</t>
        </is>
      </c>
      <c r="V1553">
        <f>IF(AND(OR(Dashboard!$C$6="All",E1553=Dashboard!$C$6),OR(Dashboard!$F$6="All",G1553=Dashboard!$F$6),OR(Dashboard!$I$6="All",H1553=Dashboard!$I$6)),1,0)</f>
        <v/>
      </c>
    </row>
    <row r="1554">
      <c r="A1554" t="inlineStr">
        <is>
          <t>PF101545</t>
        </is>
      </c>
      <c r="B1554" s="68" t="n">
        <v>45847</v>
      </c>
      <c r="C1554" s="69" t="n">
        <v>2025</v>
      </c>
      <c r="D1554" t="inlineStr">
        <is>
          <t>Jul</t>
        </is>
      </c>
      <c r="E1554" t="inlineStr">
        <is>
          <t>United States</t>
        </is>
      </c>
      <c r="F1554" t="inlineStr">
        <is>
          <t>USA</t>
        </is>
      </c>
      <c r="G1554" t="inlineStr">
        <is>
          <t>Abrysvo</t>
        </is>
      </c>
      <c r="H1554" t="inlineStr">
        <is>
          <t>Hospital</t>
        </is>
      </c>
      <c r="I1554" t="inlineStr">
        <is>
          <t>Private insurer</t>
        </is>
      </c>
      <c r="J1554" t="inlineStr">
        <is>
          <t>Carlos Silva</t>
        </is>
      </c>
      <c r="K1554" s="70" t="n">
        <v>1773</v>
      </c>
      <c r="L1554" s="71" t="n">
        <v>477.15</v>
      </c>
      <c r="M1554" s="71" t="n">
        <v>845986.95</v>
      </c>
      <c r="N1554" s="71" t="n">
        <v>211496.74</v>
      </c>
      <c r="O1554" s="71" t="n">
        <v>634490.21</v>
      </c>
      <c r="P1554" s="71" t="n">
        <v>145053.21</v>
      </c>
      <c r="Q1554" s="71" t="n">
        <v>489437</v>
      </c>
      <c r="R1554" t="inlineStr">
        <is>
          <t>Vaccines</t>
        </is>
      </c>
      <c r="S1554" s="70" t="n">
        <v>1204</v>
      </c>
      <c r="T1554" s="71" t="n">
        <v>138266.61</v>
      </c>
      <c r="U1554" t="inlineStr">
        <is>
          <t>Low</t>
        </is>
      </c>
      <c r="V1554">
        <f>IF(AND(OR(Dashboard!$C$6="All",E1554=Dashboard!$C$6),OR(Dashboard!$F$6="All",G1554=Dashboard!$F$6),OR(Dashboard!$I$6="All",H1554=Dashboard!$I$6)),1,0)</f>
        <v/>
      </c>
    </row>
    <row r="1555">
      <c r="A1555" t="inlineStr">
        <is>
          <t>PF101546</t>
        </is>
      </c>
      <c r="B1555" s="68" t="n">
        <v>45847</v>
      </c>
      <c r="C1555" s="69" t="n">
        <v>2025</v>
      </c>
      <c r="D1555" t="inlineStr">
        <is>
          <t>Jul</t>
        </is>
      </c>
      <c r="E1555" t="inlineStr">
        <is>
          <t>Emerging markets</t>
        </is>
      </c>
      <c r="F1555" t="inlineStr">
        <is>
          <t>Brazil</t>
        </is>
      </c>
      <c r="G1555" t="inlineStr">
        <is>
          <t>Vyndaqel</t>
        </is>
      </c>
      <c r="H1555" t="inlineStr">
        <is>
          <t>Retail pharmacy</t>
        </is>
      </c>
      <c r="I1555" t="inlineStr">
        <is>
          <t>Public payer</t>
        </is>
      </c>
      <c r="J1555" t="inlineStr">
        <is>
          <t>Arjun Mehta</t>
        </is>
      </c>
      <c r="K1555" s="70" t="n">
        <v>1129</v>
      </c>
      <c r="L1555" s="71" t="n">
        <v>5095.85</v>
      </c>
      <c r="M1555" s="71" t="n">
        <v>5753214.65</v>
      </c>
      <c r="N1555" s="71" t="n">
        <v>862982.2</v>
      </c>
      <c r="O1555" s="71" t="n">
        <v>4890232.45</v>
      </c>
      <c r="P1555" s="71" t="n">
        <v>697837.77</v>
      </c>
      <c r="Q1555" s="71" t="n">
        <v>4192394.68</v>
      </c>
      <c r="R1555" t="inlineStr">
        <is>
          <t>Rare disease</t>
        </is>
      </c>
      <c r="S1555" s="70" t="n">
        <v>984</v>
      </c>
      <c r="T1555" s="71" t="n">
        <v>860667.14</v>
      </c>
      <c r="U1555" t="inlineStr">
        <is>
          <t>Medium</t>
        </is>
      </c>
      <c r="V1555">
        <f>IF(AND(OR(Dashboard!$C$6="All",E1555=Dashboard!$C$6),OR(Dashboard!$F$6="All",G1555=Dashboard!$F$6),OR(Dashboard!$I$6="All",H1555=Dashboard!$I$6)),1,0)</f>
        <v/>
      </c>
    </row>
    <row r="1556">
      <c r="A1556" t="inlineStr">
        <is>
          <t>PF101547</t>
        </is>
      </c>
      <c r="B1556" s="68" t="n">
        <v>45848</v>
      </c>
      <c r="C1556" s="69" t="n">
        <v>2025</v>
      </c>
      <c r="D1556" t="inlineStr">
        <is>
          <t>Jul</t>
        </is>
      </c>
      <c r="E1556" t="inlineStr">
        <is>
          <t>Europe</t>
        </is>
      </c>
      <c r="F1556" t="inlineStr">
        <is>
          <t>Germany</t>
        </is>
      </c>
      <c r="G1556" t="inlineStr">
        <is>
          <t>Prevnar 20</t>
        </is>
      </c>
      <c r="H1556" t="inlineStr">
        <is>
          <t>Hospital</t>
        </is>
      </c>
      <c r="I1556" t="inlineStr">
        <is>
          <t>Public payer</t>
        </is>
      </c>
      <c r="J1556" t="inlineStr">
        <is>
          <t>Shraddha Kulkarni</t>
        </is>
      </c>
      <c r="K1556" s="70" t="n">
        <v>1835</v>
      </c>
      <c r="L1556" s="71" t="n">
        <v>214.73</v>
      </c>
      <c r="M1556" s="71" t="n">
        <v>394029.55</v>
      </c>
      <c r="N1556" s="71" t="n">
        <v>39402.96</v>
      </c>
      <c r="O1556" s="71" t="n">
        <v>354626.59</v>
      </c>
      <c r="P1556" s="71" t="n">
        <v>126513.6</v>
      </c>
      <c r="Q1556" s="71" t="n">
        <v>228112.99</v>
      </c>
      <c r="R1556" t="inlineStr">
        <is>
          <t>Vaccines</t>
        </is>
      </c>
      <c r="S1556" s="70" t="n">
        <v>1298</v>
      </c>
      <c r="T1556" s="71" t="n">
        <v>76706</v>
      </c>
      <c r="U1556" t="inlineStr">
        <is>
          <t>Low</t>
        </is>
      </c>
      <c r="V1556">
        <f>IF(AND(OR(Dashboard!$C$6="All",E1556=Dashboard!$C$6),OR(Dashboard!$F$6="All",G1556=Dashboard!$F$6),OR(Dashboard!$I$6="All",H1556=Dashboard!$I$6)),1,0)</f>
        <v/>
      </c>
    </row>
    <row r="1557">
      <c r="A1557" t="inlineStr">
        <is>
          <t>PF101548</t>
        </is>
      </c>
      <c r="B1557" s="68" t="n">
        <v>45848</v>
      </c>
      <c r="C1557" s="69" t="n">
        <v>2025</v>
      </c>
      <c r="D1557" t="inlineStr">
        <is>
          <t>Jul</t>
        </is>
      </c>
      <c r="E1557" t="inlineStr">
        <is>
          <t>United States</t>
        </is>
      </c>
      <c r="F1557" t="inlineStr">
        <is>
          <t>USA</t>
        </is>
      </c>
      <c r="G1557" t="inlineStr">
        <is>
          <t>Xeljanz</t>
        </is>
      </c>
      <c r="H1557" t="inlineStr">
        <is>
          <t>Retail pharmacy</t>
        </is>
      </c>
      <c r="I1557" t="inlineStr">
        <is>
          <t>Public payer</t>
        </is>
      </c>
      <c r="J1557" t="inlineStr">
        <is>
          <t>Mei Lin</t>
        </is>
      </c>
      <c r="K1557" s="70" t="n">
        <v>2959</v>
      </c>
      <c r="L1557" s="71" t="n">
        <v>2088.42</v>
      </c>
      <c r="M1557" s="71" t="n">
        <v>6179634.78</v>
      </c>
      <c r="N1557" s="71" t="n">
        <v>926945.22</v>
      </c>
      <c r="O1557" s="71" t="n">
        <v>5252689.56</v>
      </c>
      <c r="P1557" s="71" t="n">
        <v>744006.98</v>
      </c>
      <c r="Q1557" s="71" t="n">
        <v>4508682.58</v>
      </c>
      <c r="R1557" t="inlineStr">
        <is>
          <t>Inflammation</t>
        </is>
      </c>
      <c r="S1557" s="70" t="n">
        <v>2939</v>
      </c>
      <c r="T1557" s="71" t="n">
        <v>1308690.39</v>
      </c>
      <c r="U1557" t="inlineStr">
        <is>
          <t>High</t>
        </is>
      </c>
      <c r="V1557">
        <f>IF(AND(OR(Dashboard!$C$6="All",E1557=Dashboard!$C$6),OR(Dashboard!$F$6="All",G1557=Dashboard!$F$6),OR(Dashboard!$I$6="All",H1557=Dashboard!$I$6)),1,0)</f>
        <v/>
      </c>
    </row>
    <row r="1558">
      <c r="A1558" t="inlineStr">
        <is>
          <t>PF101549</t>
        </is>
      </c>
      <c r="B1558" s="68" t="n">
        <v>45848</v>
      </c>
      <c r="C1558" s="69" t="n">
        <v>2025</v>
      </c>
      <c r="D1558" t="inlineStr">
        <is>
          <t>Jul</t>
        </is>
      </c>
      <c r="E1558" t="inlineStr">
        <is>
          <t>International developed</t>
        </is>
      </c>
      <c r="F1558" t="inlineStr">
        <is>
          <t>Canada</t>
        </is>
      </c>
      <c r="G1558" t="inlineStr">
        <is>
          <t>Xeljanz</t>
        </is>
      </c>
      <c r="H1558" t="inlineStr">
        <is>
          <t>Government / tender</t>
        </is>
      </c>
      <c r="I1558" t="inlineStr">
        <is>
          <t>Private insurer</t>
        </is>
      </c>
      <c r="J1558" t="inlineStr">
        <is>
          <t>Sophie Müller</t>
        </is>
      </c>
      <c r="K1558" s="70" t="n">
        <v>1398</v>
      </c>
      <c r="L1558" s="71" t="n">
        <v>1310.74</v>
      </c>
      <c r="M1558" s="71" t="n">
        <v>1832414.52</v>
      </c>
      <c r="N1558" s="71" t="n">
        <v>91620.73</v>
      </c>
      <c r="O1558" s="71" t="n">
        <v>1740793.79</v>
      </c>
      <c r="P1558" s="71" t="n">
        <v>341219.36</v>
      </c>
      <c r="Q1558" s="71" t="n">
        <v>1399574.43</v>
      </c>
      <c r="R1558" t="inlineStr">
        <is>
          <t>Inflammation</t>
        </is>
      </c>
      <c r="S1558" s="70" t="n">
        <v>931</v>
      </c>
      <c r="T1558" s="71" t="n">
        <v>324012.03</v>
      </c>
      <c r="U1558" t="inlineStr">
        <is>
          <t>High</t>
        </is>
      </c>
      <c r="V1558">
        <f>IF(AND(OR(Dashboard!$C$6="All",E1558=Dashboard!$C$6),OR(Dashboard!$F$6="All",G1558=Dashboard!$F$6),OR(Dashboard!$I$6="All",H1558=Dashboard!$I$6)),1,0)</f>
        <v/>
      </c>
    </row>
    <row r="1559">
      <c r="A1559" t="inlineStr">
        <is>
          <t>PF101550</t>
        </is>
      </c>
      <c r="B1559" s="68" t="n">
        <v>45848</v>
      </c>
      <c r="C1559" s="69" t="n">
        <v>2025</v>
      </c>
      <c r="D1559" t="inlineStr">
        <is>
          <t>Jul</t>
        </is>
      </c>
      <c r="E1559" t="inlineStr">
        <is>
          <t>Emerging markets</t>
        </is>
      </c>
      <c r="F1559" t="inlineStr">
        <is>
          <t>Brazil</t>
        </is>
      </c>
      <c r="G1559" t="inlineStr">
        <is>
          <t>Vyndaqel</t>
        </is>
      </c>
      <c r="H1559" t="inlineStr">
        <is>
          <t>Hospital</t>
        </is>
      </c>
      <c r="I1559" t="inlineStr">
        <is>
          <t>Public payer</t>
        </is>
      </c>
      <c r="J1559" t="inlineStr">
        <is>
          <t>Amir Khan</t>
        </is>
      </c>
      <c r="K1559" s="70" t="n">
        <v>1108</v>
      </c>
      <c r="L1559" s="71" t="n">
        <v>5288.42</v>
      </c>
      <c r="M1559" s="71" t="n">
        <v>5859569.36</v>
      </c>
      <c r="N1559" s="71" t="n">
        <v>1171913.87</v>
      </c>
      <c r="O1559" s="71" t="n">
        <v>4687655.49</v>
      </c>
      <c r="P1559" s="71" t="n">
        <v>714391.5699999999</v>
      </c>
      <c r="Q1559" s="71" t="n">
        <v>3973263.92</v>
      </c>
      <c r="R1559" t="inlineStr">
        <is>
          <t>Rare disease</t>
        </is>
      </c>
      <c r="S1559" s="70" t="n">
        <v>882</v>
      </c>
      <c r="T1559" s="71" t="n">
        <v>809151.26</v>
      </c>
      <c r="U1559" t="inlineStr">
        <is>
          <t>Medium</t>
        </is>
      </c>
      <c r="V1559">
        <f>IF(AND(OR(Dashboard!$C$6="All",E1559=Dashboard!$C$6),OR(Dashboard!$F$6="All",G1559=Dashboard!$F$6),OR(Dashboard!$I$6="All",H1559=Dashboard!$I$6)),1,0)</f>
        <v/>
      </c>
    </row>
    <row r="1560">
      <c r="A1560" t="inlineStr">
        <is>
          <t>PF101551</t>
        </is>
      </c>
      <c r="B1560" s="68" t="n">
        <v>45848</v>
      </c>
      <c r="C1560" s="69" t="n">
        <v>2025</v>
      </c>
      <c r="D1560" t="inlineStr">
        <is>
          <t>Jul</t>
        </is>
      </c>
      <c r="E1560" t="inlineStr">
        <is>
          <t>Emerging markets</t>
        </is>
      </c>
      <c r="F1560" t="inlineStr">
        <is>
          <t>China</t>
        </is>
      </c>
      <c r="G1560" t="inlineStr">
        <is>
          <t>Comirnaty</t>
        </is>
      </c>
      <c r="H1560" t="inlineStr">
        <is>
          <t>Government / tender</t>
        </is>
      </c>
      <c r="I1560" t="inlineStr">
        <is>
          <t>Public payer</t>
        </is>
      </c>
      <c r="J1560" t="inlineStr">
        <is>
          <t>Fatima Al-Saud</t>
        </is>
      </c>
      <c r="K1560" s="70" t="n">
        <v>907</v>
      </c>
      <c r="L1560" s="71" t="n">
        <v>106.82</v>
      </c>
      <c r="M1560" s="71" t="n">
        <v>96885.74000000001</v>
      </c>
      <c r="N1560" s="71" t="n">
        <v>4844.29</v>
      </c>
      <c r="O1560" s="71" t="n">
        <v>92041.45</v>
      </c>
      <c r="P1560" s="71" t="n">
        <v>33552.18</v>
      </c>
      <c r="Q1560" s="71" t="n">
        <v>58489.27</v>
      </c>
      <c r="R1560" t="inlineStr">
        <is>
          <t>Vaccines</t>
        </is>
      </c>
      <c r="S1560" s="70" t="n">
        <v>578</v>
      </c>
      <c r="T1560" s="71" t="n">
        <v>12716.69</v>
      </c>
      <c r="U1560" t="inlineStr">
        <is>
          <t>Low</t>
        </is>
      </c>
      <c r="V1560">
        <f>IF(AND(OR(Dashboard!$C$6="All",E1560=Dashboard!$C$6),OR(Dashboard!$F$6="All",G1560=Dashboard!$F$6),OR(Dashboard!$I$6="All",H1560=Dashboard!$I$6)),1,0)</f>
        <v/>
      </c>
    </row>
    <row r="1561">
      <c r="A1561" t="inlineStr">
        <is>
          <t>PF101552</t>
        </is>
      </c>
      <c r="B1561" s="68" t="n">
        <v>45848</v>
      </c>
      <c r="C1561" s="69" t="n">
        <v>2025</v>
      </c>
      <c r="D1561" t="inlineStr">
        <is>
          <t>Jul</t>
        </is>
      </c>
      <c r="E1561" t="inlineStr">
        <is>
          <t>Emerging markets</t>
        </is>
      </c>
      <c r="F1561" t="inlineStr">
        <is>
          <t>Mexico</t>
        </is>
      </c>
      <c r="G1561" t="inlineStr">
        <is>
          <t>Xeljanz</t>
        </is>
      </c>
      <c r="H1561" t="inlineStr">
        <is>
          <t>Retail pharmacy</t>
        </is>
      </c>
      <c r="I1561" t="inlineStr">
        <is>
          <t>Public payer</t>
        </is>
      </c>
      <c r="J1561" t="inlineStr">
        <is>
          <t>Kofi Mensah</t>
        </is>
      </c>
      <c r="K1561" s="70" t="n">
        <v>1087</v>
      </c>
      <c r="L1561" s="71" t="n">
        <v>1370.36</v>
      </c>
      <c r="M1561" s="71" t="n">
        <v>1489581.32</v>
      </c>
      <c r="N1561" s="71" t="n">
        <v>223437.2</v>
      </c>
      <c r="O1561" s="71" t="n">
        <v>1266144.12</v>
      </c>
      <c r="P1561" s="71" t="n">
        <v>271165.32</v>
      </c>
      <c r="Q1561" s="71" t="n">
        <v>994978.8</v>
      </c>
      <c r="R1561" t="inlineStr">
        <is>
          <t>Inflammation</t>
        </is>
      </c>
      <c r="S1561" s="70" t="n">
        <v>1028</v>
      </c>
      <c r="T1561" s="71" t="n">
        <v>257213.08</v>
      </c>
      <c r="U1561" t="inlineStr">
        <is>
          <t>High</t>
        </is>
      </c>
      <c r="V1561">
        <f>IF(AND(OR(Dashboard!$C$6="All",E1561=Dashboard!$C$6),OR(Dashboard!$F$6="All",G1561=Dashboard!$F$6),OR(Dashboard!$I$6="All",H1561=Dashboard!$I$6)),1,0)</f>
        <v/>
      </c>
    </row>
    <row r="1562">
      <c r="A1562" t="inlineStr">
        <is>
          <t>PF101553</t>
        </is>
      </c>
      <c r="B1562" s="68" t="n">
        <v>45848</v>
      </c>
      <c r="C1562" s="69" t="n">
        <v>2025</v>
      </c>
      <c r="D1562" t="inlineStr">
        <is>
          <t>Jul</t>
        </is>
      </c>
      <c r="E1562" t="inlineStr">
        <is>
          <t>United States</t>
        </is>
      </c>
      <c r="F1562" t="inlineStr">
        <is>
          <t>USA</t>
        </is>
      </c>
      <c r="G1562" t="inlineStr">
        <is>
          <t>Eliquis</t>
        </is>
      </c>
      <c r="H1562" t="inlineStr">
        <is>
          <t>Retail pharmacy</t>
        </is>
      </c>
      <c r="I1562" t="inlineStr">
        <is>
          <t>Self-pay</t>
        </is>
      </c>
      <c r="J1562" t="inlineStr">
        <is>
          <t>Fatima Al-Saud</t>
        </is>
      </c>
      <c r="K1562" s="70" t="n">
        <v>342</v>
      </c>
      <c r="L1562" s="71" t="n">
        <v>659.84</v>
      </c>
      <c r="M1562" s="71" t="n">
        <v>225665.28</v>
      </c>
      <c r="N1562" s="71" t="n">
        <v>33849.79</v>
      </c>
      <c r="O1562" s="71" t="n">
        <v>191815.49</v>
      </c>
      <c r="P1562" s="71" t="n">
        <v>25229.82</v>
      </c>
      <c r="Q1562" s="71" t="n">
        <v>166585.67</v>
      </c>
      <c r="R1562" t="inlineStr">
        <is>
          <t>Cardiology</t>
        </is>
      </c>
      <c r="S1562" s="70" t="n">
        <v>261</v>
      </c>
      <c r="T1562" s="71" t="n">
        <v>31412.56</v>
      </c>
      <c r="U1562" t="inlineStr">
        <is>
          <t>High</t>
        </is>
      </c>
      <c r="V1562">
        <f>IF(AND(OR(Dashboard!$C$6="All",E1562=Dashboard!$C$6),OR(Dashboard!$F$6="All",G1562=Dashboard!$F$6),OR(Dashboard!$I$6="All",H1562=Dashboard!$I$6)),1,0)</f>
        <v/>
      </c>
    </row>
    <row r="1563">
      <c r="A1563" t="inlineStr">
        <is>
          <t>PF101554</t>
        </is>
      </c>
      <c r="B1563" s="68" t="n">
        <v>45848</v>
      </c>
      <c r="C1563" s="69" t="n">
        <v>2025</v>
      </c>
      <c r="D1563" t="inlineStr">
        <is>
          <t>Jul</t>
        </is>
      </c>
      <c r="E1563" t="inlineStr">
        <is>
          <t>Emerging markets</t>
        </is>
      </c>
      <c r="F1563" t="inlineStr">
        <is>
          <t>China</t>
        </is>
      </c>
      <c r="G1563" t="inlineStr">
        <is>
          <t>Paxlovid</t>
        </is>
      </c>
      <c r="H1563" t="inlineStr">
        <is>
          <t>Retail pharmacy</t>
        </is>
      </c>
      <c r="I1563" t="inlineStr">
        <is>
          <t>Public payer</t>
        </is>
      </c>
      <c r="J1563" t="inlineStr">
        <is>
          <t>Lucas Martin</t>
        </is>
      </c>
      <c r="K1563" s="70" t="n">
        <v>1892</v>
      </c>
      <c r="L1563" s="71" t="n">
        <v>1093.76</v>
      </c>
      <c r="M1563" s="71" t="n">
        <v>2069393.92</v>
      </c>
      <c r="N1563" s="71" t="n">
        <v>206939.39</v>
      </c>
      <c r="O1563" s="71" t="n">
        <v>1862454.53</v>
      </c>
      <c r="P1563" s="71" t="n">
        <v>509278.71</v>
      </c>
      <c r="Q1563" s="71" t="n">
        <v>1353175.82</v>
      </c>
      <c r="R1563" t="inlineStr">
        <is>
          <t>Antiviral</t>
        </is>
      </c>
      <c r="S1563" s="70" t="n">
        <v>1274</v>
      </c>
      <c r="T1563" s="71" t="n">
        <v>384360.39</v>
      </c>
      <c r="U1563" t="inlineStr">
        <is>
          <t>Low</t>
        </is>
      </c>
      <c r="V1563">
        <f>IF(AND(OR(Dashboard!$C$6="All",E1563=Dashboard!$C$6),OR(Dashboard!$F$6="All",G1563=Dashboard!$F$6),OR(Dashboard!$I$6="All",H1563=Dashboard!$I$6)),1,0)</f>
        <v/>
      </c>
    </row>
    <row r="1564">
      <c r="A1564" t="inlineStr">
        <is>
          <t>PF101555</t>
        </is>
      </c>
      <c r="B1564" s="68" t="n">
        <v>45848</v>
      </c>
      <c r="C1564" s="69" t="n">
        <v>2025</v>
      </c>
      <c r="D1564" t="inlineStr">
        <is>
          <t>Jul</t>
        </is>
      </c>
      <c r="E1564" t="inlineStr">
        <is>
          <t>International developed</t>
        </is>
      </c>
      <c r="F1564" t="inlineStr">
        <is>
          <t>Japan</t>
        </is>
      </c>
      <c r="G1564" t="inlineStr">
        <is>
          <t>Xeljanz</t>
        </is>
      </c>
      <c r="H1564" t="inlineStr">
        <is>
          <t>Hospital</t>
        </is>
      </c>
      <c r="I1564" t="inlineStr">
        <is>
          <t>Private insurer</t>
        </is>
      </c>
      <c r="J1564" t="inlineStr">
        <is>
          <t>Hiroshi Tanaka</t>
        </is>
      </c>
      <c r="K1564" s="70" t="n">
        <v>221</v>
      </c>
      <c r="L1564" s="71" t="n">
        <v>1376.01</v>
      </c>
      <c r="M1564" s="71" t="n">
        <v>304098.21</v>
      </c>
      <c r="N1564" s="71" t="n">
        <v>76024.55</v>
      </c>
      <c r="O1564" s="71" t="n">
        <v>228073.66</v>
      </c>
      <c r="P1564" s="71" t="n">
        <v>57857.71</v>
      </c>
      <c r="Q1564" s="71" t="n">
        <v>170215.95</v>
      </c>
      <c r="R1564" t="inlineStr">
        <is>
          <t>Inflammation</t>
        </is>
      </c>
      <c r="S1564" s="70" t="n">
        <v>149</v>
      </c>
      <c r="T1564" s="71" t="n">
        <v>66619.28999999999</v>
      </c>
      <c r="U1564" t="inlineStr">
        <is>
          <t>High</t>
        </is>
      </c>
      <c r="V1564">
        <f>IF(AND(OR(Dashboard!$C$6="All",E1564=Dashboard!$C$6),OR(Dashboard!$F$6="All",G1564=Dashboard!$F$6),OR(Dashboard!$I$6="All",H1564=Dashboard!$I$6)),1,0)</f>
        <v/>
      </c>
    </row>
    <row r="1565">
      <c r="A1565" t="inlineStr">
        <is>
          <t>PF101556</t>
        </is>
      </c>
      <c r="B1565" s="68" t="n">
        <v>45849</v>
      </c>
      <c r="C1565" s="69" t="n">
        <v>2025</v>
      </c>
      <c r="D1565" t="inlineStr">
        <is>
          <t>Jul</t>
        </is>
      </c>
      <c r="E1565" t="inlineStr">
        <is>
          <t>United States</t>
        </is>
      </c>
      <c r="F1565" t="inlineStr">
        <is>
          <t>USA</t>
        </is>
      </c>
      <c r="G1565" t="inlineStr">
        <is>
          <t>Comirnaty</t>
        </is>
      </c>
      <c r="H1565" t="inlineStr">
        <is>
          <t>Government / tender</t>
        </is>
      </c>
      <c r="I1565" t="inlineStr">
        <is>
          <t>Public payer</t>
        </is>
      </c>
      <c r="J1565" t="inlineStr">
        <is>
          <t>Ruhi Shaikh</t>
        </is>
      </c>
      <c r="K1565" s="70" t="n">
        <v>434</v>
      </c>
      <c r="L1565" s="71" t="n">
        <v>193.18</v>
      </c>
      <c r="M1565" s="71" t="n">
        <v>83840.12</v>
      </c>
      <c r="N1565" s="71" t="n">
        <v>25152.04</v>
      </c>
      <c r="O1565" s="71" t="n">
        <v>58688.08</v>
      </c>
      <c r="P1565" s="71" t="n">
        <v>17044.07</v>
      </c>
      <c r="Q1565" s="71" t="n">
        <v>41644.01</v>
      </c>
      <c r="R1565" t="inlineStr">
        <is>
          <t>Vaccines</t>
        </is>
      </c>
      <c r="S1565" s="70" t="n">
        <v>374</v>
      </c>
      <c r="T1565" s="71" t="n">
        <v>10525.8</v>
      </c>
      <c r="U1565" t="inlineStr">
        <is>
          <t>Low</t>
        </is>
      </c>
      <c r="V1565">
        <f>IF(AND(OR(Dashboard!$C$6="All",E1565=Dashboard!$C$6),OR(Dashboard!$F$6="All",G1565=Dashboard!$F$6),OR(Dashboard!$I$6="All",H1565=Dashboard!$I$6)),1,0)</f>
        <v/>
      </c>
    </row>
    <row r="1566">
      <c r="A1566" t="inlineStr">
        <is>
          <t>PF101557</t>
        </is>
      </c>
      <c r="B1566" s="68" t="n">
        <v>45849</v>
      </c>
      <c r="C1566" s="69" t="n">
        <v>2025</v>
      </c>
      <c r="D1566" t="inlineStr">
        <is>
          <t>Jul</t>
        </is>
      </c>
      <c r="E1566" t="inlineStr">
        <is>
          <t>United States</t>
        </is>
      </c>
      <c r="F1566" t="inlineStr">
        <is>
          <t>USA</t>
        </is>
      </c>
      <c r="G1566" t="inlineStr">
        <is>
          <t>Paxlovid</t>
        </is>
      </c>
      <c r="H1566" t="inlineStr">
        <is>
          <t>Retail pharmacy</t>
        </is>
      </c>
      <c r="I1566" t="inlineStr">
        <is>
          <t>Public payer</t>
        </is>
      </c>
      <c r="J1566" t="inlineStr">
        <is>
          <t>Liam O'Brien</t>
        </is>
      </c>
      <c r="K1566" s="70" t="n">
        <v>1774</v>
      </c>
      <c r="L1566" s="71" t="n">
        <v>1802.85</v>
      </c>
      <c r="M1566" s="71" t="n">
        <v>3198255.9</v>
      </c>
      <c r="N1566" s="71" t="n">
        <v>1119389.56</v>
      </c>
      <c r="O1566" s="71" t="n">
        <v>2078866.34</v>
      </c>
      <c r="P1566" s="71" t="n">
        <v>472887.24</v>
      </c>
      <c r="Q1566" s="71" t="n">
        <v>1605979.1</v>
      </c>
      <c r="R1566" t="inlineStr">
        <is>
          <t>Antiviral</t>
        </is>
      </c>
      <c r="S1566" s="70" t="n">
        <v>1383</v>
      </c>
      <c r="T1566" s="71" t="n">
        <v>420587.67</v>
      </c>
      <c r="U1566" t="inlineStr">
        <is>
          <t>Low</t>
        </is>
      </c>
      <c r="V1566">
        <f>IF(AND(OR(Dashboard!$C$6="All",E1566=Dashboard!$C$6),OR(Dashboard!$F$6="All",G1566=Dashboard!$F$6),OR(Dashboard!$I$6="All",H1566=Dashboard!$I$6)),1,0)</f>
        <v/>
      </c>
    </row>
    <row r="1567">
      <c r="A1567" t="inlineStr">
        <is>
          <t>PF101558</t>
        </is>
      </c>
      <c r="B1567" s="68" t="n">
        <v>45849</v>
      </c>
      <c r="C1567" s="69" t="n">
        <v>2025</v>
      </c>
      <c r="D1567" t="inlineStr">
        <is>
          <t>Jul</t>
        </is>
      </c>
      <c r="E1567" t="inlineStr">
        <is>
          <t>Europe</t>
        </is>
      </c>
      <c r="F1567" t="inlineStr">
        <is>
          <t>Italy</t>
        </is>
      </c>
      <c r="G1567" t="inlineStr">
        <is>
          <t>Prevnar 20</t>
        </is>
      </c>
      <c r="H1567" t="inlineStr">
        <is>
          <t>Hospital</t>
        </is>
      </c>
      <c r="I1567" t="inlineStr">
        <is>
          <t>Public payer</t>
        </is>
      </c>
      <c r="J1567" t="inlineStr">
        <is>
          <t>Ruhi Shaikh</t>
        </is>
      </c>
      <c r="K1567" s="70" t="n">
        <v>2365</v>
      </c>
      <c r="L1567" s="71" t="n">
        <v>224.22</v>
      </c>
      <c r="M1567" s="71" t="n">
        <v>530280.3</v>
      </c>
      <c r="N1567" s="71" t="n">
        <v>106056.06</v>
      </c>
      <c r="O1567" s="71" t="n">
        <v>424224.24</v>
      </c>
      <c r="P1567" s="71" t="n">
        <v>166205.86</v>
      </c>
      <c r="Q1567" s="71" t="n">
        <v>258018.38</v>
      </c>
      <c r="R1567" t="inlineStr">
        <is>
          <t>Vaccines</t>
        </is>
      </c>
      <c r="S1567" s="70" t="n">
        <v>1824</v>
      </c>
      <c r="T1567" s="71" t="n">
        <v>75855.57000000001</v>
      </c>
      <c r="U1567" t="inlineStr">
        <is>
          <t>Low</t>
        </is>
      </c>
      <c r="V1567">
        <f>IF(AND(OR(Dashboard!$C$6="All",E1567=Dashboard!$C$6),OR(Dashboard!$F$6="All",G1567=Dashboard!$F$6),OR(Dashboard!$I$6="All",H1567=Dashboard!$I$6)),1,0)</f>
        <v/>
      </c>
    </row>
    <row r="1568">
      <c r="A1568" t="inlineStr">
        <is>
          <t>PF101559</t>
        </is>
      </c>
      <c r="B1568" s="68" t="n">
        <v>45849</v>
      </c>
      <c r="C1568" s="69" t="n">
        <v>2025</v>
      </c>
      <c r="D1568" t="inlineStr">
        <is>
          <t>Jul</t>
        </is>
      </c>
      <c r="E1568" t="inlineStr">
        <is>
          <t>United States</t>
        </is>
      </c>
      <c r="F1568" t="inlineStr">
        <is>
          <t>USA</t>
        </is>
      </c>
      <c r="G1568" t="inlineStr">
        <is>
          <t>Ibrance</t>
        </is>
      </c>
      <c r="H1568" t="inlineStr">
        <is>
          <t>Hospital</t>
        </is>
      </c>
      <c r="I1568" t="inlineStr">
        <is>
          <t>Self-pay</t>
        </is>
      </c>
      <c r="J1568" t="inlineStr">
        <is>
          <t>Amir Khan</t>
        </is>
      </c>
      <c r="K1568" s="70" t="n">
        <v>1069</v>
      </c>
      <c r="L1568" s="71" t="n">
        <v>4387.33</v>
      </c>
      <c r="M1568" s="71" t="n">
        <v>4690055.77</v>
      </c>
      <c r="N1568" s="71" t="n">
        <v>938011.15</v>
      </c>
      <c r="O1568" s="71" t="n">
        <v>3752044.62</v>
      </c>
      <c r="P1568" s="71" t="n">
        <v>467140.9</v>
      </c>
      <c r="Q1568" s="71" t="n">
        <v>3284903.72</v>
      </c>
      <c r="R1568" t="inlineStr">
        <is>
          <t>Oncology</t>
        </is>
      </c>
      <c r="S1568" s="70" t="n">
        <v>705</v>
      </c>
      <c r="T1568" s="71" t="n">
        <v>986946.29</v>
      </c>
      <c r="U1568" t="inlineStr">
        <is>
          <t>High</t>
        </is>
      </c>
      <c r="V1568">
        <f>IF(AND(OR(Dashboard!$C$6="All",E1568=Dashboard!$C$6),OR(Dashboard!$F$6="All",G1568=Dashboard!$F$6),OR(Dashboard!$I$6="All",H1568=Dashboard!$I$6)),1,0)</f>
        <v/>
      </c>
    </row>
    <row r="1569">
      <c r="A1569" t="inlineStr">
        <is>
          <t>PF101560</t>
        </is>
      </c>
      <c r="B1569" s="68" t="n">
        <v>45849</v>
      </c>
      <c r="C1569" s="69" t="n">
        <v>2025</v>
      </c>
      <c r="D1569" t="inlineStr">
        <is>
          <t>Jul</t>
        </is>
      </c>
      <c r="E1569" t="inlineStr">
        <is>
          <t>Emerging markets</t>
        </is>
      </c>
      <c r="F1569" t="inlineStr">
        <is>
          <t>Brazil</t>
        </is>
      </c>
      <c r="G1569" t="inlineStr">
        <is>
          <t>Eliquis</t>
        </is>
      </c>
      <c r="H1569" t="inlineStr">
        <is>
          <t>Retail pharmacy</t>
        </is>
      </c>
      <c r="I1569" t="inlineStr">
        <is>
          <t>Private insurer</t>
        </is>
      </c>
      <c r="J1569" t="inlineStr">
        <is>
          <t>Zoya Ahmed</t>
        </is>
      </c>
      <c r="K1569" s="70" t="n">
        <v>2708</v>
      </c>
      <c r="L1569" s="71" t="n">
        <v>379.14</v>
      </c>
      <c r="M1569" s="71" t="n">
        <v>1026711.12</v>
      </c>
      <c r="N1569" s="71" t="n">
        <v>51335.56</v>
      </c>
      <c r="O1569" s="71" t="n">
        <v>975375.5600000001</v>
      </c>
      <c r="P1569" s="71" t="n">
        <v>198971.04</v>
      </c>
      <c r="Q1569" s="71" t="n">
        <v>776404.52</v>
      </c>
      <c r="R1569" t="inlineStr">
        <is>
          <t>Cardiology</t>
        </is>
      </c>
      <c r="S1569" s="70" t="n">
        <v>2103</v>
      </c>
      <c r="T1569" s="71" t="n">
        <v>150690.58</v>
      </c>
      <c r="U1569" t="inlineStr">
        <is>
          <t>High</t>
        </is>
      </c>
      <c r="V1569">
        <f>IF(AND(OR(Dashboard!$C$6="All",E1569=Dashboard!$C$6),OR(Dashboard!$F$6="All",G1569=Dashboard!$F$6),OR(Dashboard!$I$6="All",H1569=Dashboard!$I$6)),1,0)</f>
        <v/>
      </c>
    </row>
    <row r="1570">
      <c r="A1570" t="inlineStr">
        <is>
          <t>PF101561</t>
        </is>
      </c>
      <c r="B1570" s="68" t="n">
        <v>45849</v>
      </c>
      <c r="C1570" s="69" t="n">
        <v>2025</v>
      </c>
      <c r="D1570" t="inlineStr">
        <is>
          <t>Jul</t>
        </is>
      </c>
      <c r="E1570" t="inlineStr">
        <is>
          <t>United States</t>
        </is>
      </c>
      <c r="F1570" t="inlineStr">
        <is>
          <t>USA</t>
        </is>
      </c>
      <c r="G1570" t="inlineStr">
        <is>
          <t>Comirnaty</t>
        </is>
      </c>
      <c r="H1570" t="inlineStr">
        <is>
          <t>Government / tender</t>
        </is>
      </c>
      <c r="I1570" t="inlineStr">
        <is>
          <t>Private insurer</t>
        </is>
      </c>
      <c r="J1570" t="inlineStr">
        <is>
          <t>Sara Rossi</t>
        </is>
      </c>
      <c r="K1570" s="70" t="n">
        <v>2973</v>
      </c>
      <c r="L1570" s="71" t="n">
        <v>190.29</v>
      </c>
      <c r="M1570" s="71" t="n">
        <v>565732.17</v>
      </c>
      <c r="N1570" s="71" t="n">
        <v>169719.65</v>
      </c>
      <c r="O1570" s="71" t="n">
        <v>396012.52</v>
      </c>
      <c r="P1570" s="71" t="n">
        <v>117660.46</v>
      </c>
      <c r="Q1570" s="71" t="n">
        <v>278352.06</v>
      </c>
      <c r="R1570" t="inlineStr">
        <is>
          <t>Vaccines</t>
        </is>
      </c>
      <c r="S1570" s="70" t="n">
        <v>1928</v>
      </c>
      <c r="T1570" s="71" t="n">
        <v>79858.72</v>
      </c>
      <c r="U1570" t="inlineStr">
        <is>
          <t>Low</t>
        </is>
      </c>
      <c r="V1570">
        <f>IF(AND(OR(Dashboard!$C$6="All",E1570=Dashboard!$C$6),OR(Dashboard!$F$6="All",G1570=Dashboard!$F$6),OR(Dashboard!$I$6="All",H1570=Dashboard!$I$6)),1,0)</f>
        <v/>
      </c>
    </row>
    <row r="1571">
      <c r="A1571" t="inlineStr">
        <is>
          <t>PF101562</t>
        </is>
      </c>
      <c r="B1571" s="68" t="n">
        <v>45849</v>
      </c>
      <c r="C1571" s="69" t="n">
        <v>2025</v>
      </c>
      <c r="D1571" t="inlineStr">
        <is>
          <t>Jul</t>
        </is>
      </c>
      <c r="E1571" t="inlineStr">
        <is>
          <t>International developed</t>
        </is>
      </c>
      <c r="F1571" t="inlineStr">
        <is>
          <t>Japan</t>
        </is>
      </c>
      <c r="G1571" t="inlineStr">
        <is>
          <t>Xeljanz</t>
        </is>
      </c>
      <c r="H1571" t="inlineStr">
        <is>
          <t>Government / tender</t>
        </is>
      </c>
      <c r="I1571" t="inlineStr">
        <is>
          <t>Private insurer</t>
        </is>
      </c>
      <c r="J1571" t="inlineStr">
        <is>
          <t>Aisha Bello</t>
        </is>
      </c>
      <c r="K1571" s="70" t="n">
        <v>435</v>
      </c>
      <c r="L1571" s="71" t="n">
        <v>1330.8</v>
      </c>
      <c r="M1571" s="71" t="n">
        <v>578898</v>
      </c>
      <c r="N1571" s="71" t="n">
        <v>28944.9</v>
      </c>
      <c r="O1571" s="71" t="n">
        <v>549953.1</v>
      </c>
      <c r="P1571" s="71" t="n">
        <v>106216.08</v>
      </c>
      <c r="Q1571" s="71" t="n">
        <v>443737.02</v>
      </c>
      <c r="R1571" t="inlineStr">
        <is>
          <t>Inflammation</t>
        </is>
      </c>
      <c r="S1571" s="70" t="n">
        <v>283</v>
      </c>
      <c r="T1571" s="71" t="n">
        <v>93980.78</v>
      </c>
      <c r="U1571" t="inlineStr">
        <is>
          <t>High</t>
        </is>
      </c>
      <c r="V1571">
        <f>IF(AND(OR(Dashboard!$C$6="All",E1571=Dashboard!$C$6),OR(Dashboard!$F$6="All",G1571=Dashboard!$F$6),OR(Dashboard!$I$6="All",H1571=Dashboard!$I$6)),1,0)</f>
        <v/>
      </c>
    </row>
    <row r="1572">
      <c r="A1572" t="inlineStr">
        <is>
          <t>PF101563</t>
        </is>
      </c>
      <c r="B1572" s="68" t="n">
        <v>45850</v>
      </c>
      <c r="C1572" s="69" t="n">
        <v>2025</v>
      </c>
      <c r="D1572" t="inlineStr">
        <is>
          <t>Jul</t>
        </is>
      </c>
      <c r="E1572" t="inlineStr">
        <is>
          <t>Emerging markets</t>
        </is>
      </c>
      <c r="F1572" t="inlineStr">
        <is>
          <t>Brazil</t>
        </is>
      </c>
      <c r="G1572" t="inlineStr">
        <is>
          <t>Vyndaqel</t>
        </is>
      </c>
      <c r="H1572" t="inlineStr">
        <is>
          <t>Hospital</t>
        </is>
      </c>
      <c r="I1572" t="inlineStr">
        <is>
          <t>Public payer</t>
        </is>
      </c>
      <c r="J1572" t="inlineStr">
        <is>
          <t>Amir Khan</t>
        </is>
      </c>
      <c r="K1572" s="70" t="n">
        <v>1818</v>
      </c>
      <c r="L1572" s="71" t="n">
        <v>4695.5</v>
      </c>
      <c r="M1572" s="71" t="n">
        <v>8536419</v>
      </c>
      <c r="N1572" s="71" t="n">
        <v>2134104.75</v>
      </c>
      <c r="O1572" s="71" t="n">
        <v>6402314.25</v>
      </c>
      <c r="P1572" s="71" t="n">
        <v>1132216.26</v>
      </c>
      <c r="Q1572" s="71" t="n">
        <v>5270097.99</v>
      </c>
      <c r="R1572" t="inlineStr">
        <is>
          <t>Rare disease</t>
        </is>
      </c>
      <c r="S1572" s="70" t="n">
        <v>1775</v>
      </c>
      <c r="T1572" s="71" t="n">
        <v>1532032.98</v>
      </c>
      <c r="U1572" t="inlineStr">
        <is>
          <t>Medium</t>
        </is>
      </c>
      <c r="V1572">
        <f>IF(AND(OR(Dashboard!$C$6="All",E1572=Dashboard!$C$6),OR(Dashboard!$F$6="All",G1572=Dashboard!$F$6),OR(Dashboard!$I$6="All",H1572=Dashboard!$I$6)),1,0)</f>
        <v/>
      </c>
    </row>
    <row r="1573">
      <c r="A1573" t="inlineStr">
        <is>
          <t>PF101564</t>
        </is>
      </c>
      <c r="B1573" s="68" t="n">
        <v>45850</v>
      </c>
      <c r="C1573" s="69" t="n">
        <v>2025</v>
      </c>
      <c r="D1573" t="inlineStr">
        <is>
          <t>Jul</t>
        </is>
      </c>
      <c r="E1573" t="inlineStr">
        <is>
          <t>Europe</t>
        </is>
      </c>
      <c r="F1573" t="inlineStr">
        <is>
          <t>Italy</t>
        </is>
      </c>
      <c r="G1573" t="inlineStr">
        <is>
          <t>Comirnaty</t>
        </is>
      </c>
      <c r="H1573" t="inlineStr">
        <is>
          <t>Hospital</t>
        </is>
      </c>
      <c r="I1573" t="inlineStr">
        <is>
          <t>Private insurer</t>
        </is>
      </c>
      <c r="J1573" t="inlineStr">
        <is>
          <t>Liam O'Brien</t>
        </is>
      </c>
      <c r="K1573" s="70" t="n">
        <v>1113</v>
      </c>
      <c r="L1573" s="71" t="n">
        <v>108.68</v>
      </c>
      <c r="M1573" s="71" t="n">
        <v>120960.84</v>
      </c>
      <c r="N1573" s="71" t="n">
        <v>6048.04</v>
      </c>
      <c r="O1573" s="71" t="n">
        <v>114912.8</v>
      </c>
      <c r="P1573" s="71" t="n">
        <v>44034.59</v>
      </c>
      <c r="Q1573" s="71" t="n">
        <v>70878.21000000001</v>
      </c>
      <c r="R1573" t="inlineStr">
        <is>
          <t>Vaccines</t>
        </is>
      </c>
      <c r="S1573" s="70" t="n">
        <v>886</v>
      </c>
      <c r="T1573" s="71" t="n">
        <v>22455.66</v>
      </c>
      <c r="U1573" t="inlineStr">
        <is>
          <t>Low</t>
        </is>
      </c>
      <c r="V1573">
        <f>IF(AND(OR(Dashboard!$C$6="All",E1573=Dashboard!$C$6),OR(Dashboard!$F$6="All",G1573=Dashboard!$F$6),OR(Dashboard!$I$6="All",H1573=Dashboard!$I$6)),1,0)</f>
        <v/>
      </c>
    </row>
    <row r="1574">
      <c r="A1574" t="inlineStr">
        <is>
          <t>PF101565</t>
        </is>
      </c>
      <c r="B1574" s="68" t="n">
        <v>45850</v>
      </c>
      <c r="C1574" s="69" t="n">
        <v>2025</v>
      </c>
      <c r="D1574" t="inlineStr">
        <is>
          <t>Jul</t>
        </is>
      </c>
      <c r="E1574" t="inlineStr">
        <is>
          <t>Emerging markets</t>
        </is>
      </c>
      <c r="F1574" t="inlineStr">
        <is>
          <t>China</t>
        </is>
      </c>
      <c r="G1574" t="inlineStr">
        <is>
          <t>Ibrance</t>
        </is>
      </c>
      <c r="H1574" t="inlineStr">
        <is>
          <t>Hospital</t>
        </is>
      </c>
      <c r="I1574" t="inlineStr">
        <is>
          <t>Private insurer</t>
        </is>
      </c>
      <c r="J1574" t="inlineStr">
        <is>
          <t>Noah Smith</t>
        </is>
      </c>
      <c r="K1574" s="70" t="n">
        <v>757</v>
      </c>
      <c r="L1574" s="71" t="n">
        <v>2944.92</v>
      </c>
      <c r="M1574" s="71" t="n">
        <v>2229304.44</v>
      </c>
      <c r="N1574" s="71" t="n">
        <v>445860.89</v>
      </c>
      <c r="O1574" s="71" t="n">
        <v>1783443.55</v>
      </c>
      <c r="P1574" s="71" t="n">
        <v>339369.38</v>
      </c>
      <c r="Q1574" s="71" t="n">
        <v>1444074.17</v>
      </c>
      <c r="R1574" t="inlineStr">
        <is>
          <t>Oncology</t>
        </is>
      </c>
      <c r="S1574" s="70" t="n">
        <v>552</v>
      </c>
      <c r="T1574" s="71" t="n">
        <v>424454.93</v>
      </c>
      <c r="U1574" t="inlineStr">
        <is>
          <t>High</t>
        </is>
      </c>
      <c r="V1574">
        <f>IF(AND(OR(Dashboard!$C$6="All",E1574=Dashboard!$C$6),OR(Dashboard!$F$6="All",G1574=Dashboard!$F$6),OR(Dashboard!$I$6="All",H1574=Dashboard!$I$6)),1,0)</f>
        <v/>
      </c>
    </row>
    <row r="1575">
      <c r="A1575" t="inlineStr">
        <is>
          <t>PF101566</t>
        </is>
      </c>
      <c r="B1575" s="68" t="n">
        <v>45850</v>
      </c>
      <c r="C1575" s="69" t="n">
        <v>2025</v>
      </c>
      <c r="D1575" t="inlineStr">
        <is>
          <t>Jul</t>
        </is>
      </c>
      <c r="E1575" t="inlineStr">
        <is>
          <t>International developed</t>
        </is>
      </c>
      <c r="F1575" t="inlineStr">
        <is>
          <t>Japan</t>
        </is>
      </c>
      <c r="G1575" t="inlineStr">
        <is>
          <t>Xeljanz</t>
        </is>
      </c>
      <c r="H1575" t="inlineStr">
        <is>
          <t>Hospital</t>
        </is>
      </c>
      <c r="I1575" t="inlineStr">
        <is>
          <t>Private insurer</t>
        </is>
      </c>
      <c r="J1575" t="inlineStr">
        <is>
          <t>Noah Smith</t>
        </is>
      </c>
      <c r="K1575" s="70" t="n">
        <v>1949</v>
      </c>
      <c r="L1575" s="71" t="n">
        <v>1430.36</v>
      </c>
      <c r="M1575" s="71" t="n">
        <v>2787771.64</v>
      </c>
      <c r="N1575" s="71" t="n">
        <v>139388.58</v>
      </c>
      <c r="O1575" s="71" t="n">
        <v>2648383.06</v>
      </c>
      <c r="P1575" s="71" t="n">
        <v>501054.77</v>
      </c>
      <c r="Q1575" s="71" t="n">
        <v>2147328.29</v>
      </c>
      <c r="R1575" t="inlineStr">
        <is>
          <t>Inflammation</t>
        </is>
      </c>
      <c r="S1575" s="70" t="n">
        <v>1851</v>
      </c>
      <c r="T1575" s="71" t="n">
        <v>562139.52</v>
      </c>
      <c r="U1575" t="inlineStr">
        <is>
          <t>High</t>
        </is>
      </c>
      <c r="V1575">
        <f>IF(AND(OR(Dashboard!$C$6="All",E1575=Dashboard!$C$6),OR(Dashboard!$F$6="All",G1575=Dashboard!$F$6),OR(Dashboard!$I$6="All",H1575=Dashboard!$I$6)),1,0)</f>
        <v/>
      </c>
    </row>
    <row r="1576">
      <c r="A1576" t="inlineStr">
        <is>
          <t>PF101567</t>
        </is>
      </c>
      <c r="B1576" s="68" t="n">
        <v>45850</v>
      </c>
      <c r="C1576" s="69" t="n">
        <v>2025</v>
      </c>
      <c r="D1576" t="inlineStr">
        <is>
          <t>Jul</t>
        </is>
      </c>
      <c r="E1576" t="inlineStr">
        <is>
          <t>United States</t>
        </is>
      </c>
      <c r="F1576" t="inlineStr">
        <is>
          <t>USA</t>
        </is>
      </c>
      <c r="G1576" t="inlineStr">
        <is>
          <t>Xeljanz</t>
        </is>
      </c>
      <c r="H1576" t="inlineStr">
        <is>
          <t>Hospital</t>
        </is>
      </c>
      <c r="I1576" t="inlineStr">
        <is>
          <t>Private insurer</t>
        </is>
      </c>
      <c r="J1576" t="inlineStr">
        <is>
          <t>Ravindra Patil</t>
        </is>
      </c>
      <c r="K1576" s="70" t="n">
        <v>2263</v>
      </c>
      <c r="L1576" s="71" t="n">
        <v>2049.95</v>
      </c>
      <c r="M1576" s="71" t="n">
        <v>4639036.85</v>
      </c>
      <c r="N1576" s="71" t="n">
        <v>927807.37</v>
      </c>
      <c r="O1576" s="71" t="n">
        <v>3711229.48</v>
      </c>
      <c r="P1576" s="71" t="n">
        <v>582922.0699999999</v>
      </c>
      <c r="Q1576" s="71" t="n">
        <v>3128307.41</v>
      </c>
      <c r="R1576" t="inlineStr">
        <is>
          <t>Inflammation</t>
        </is>
      </c>
      <c r="S1576" s="70" t="n">
        <v>1705</v>
      </c>
      <c r="T1576" s="71" t="n">
        <v>631875.59</v>
      </c>
      <c r="U1576" t="inlineStr">
        <is>
          <t>High</t>
        </is>
      </c>
      <c r="V1576">
        <f>IF(AND(OR(Dashboard!$C$6="All",E1576=Dashboard!$C$6),OR(Dashboard!$F$6="All",G1576=Dashboard!$F$6),OR(Dashboard!$I$6="All",H1576=Dashboard!$I$6)),1,0)</f>
        <v/>
      </c>
    </row>
    <row r="1577">
      <c r="A1577" t="inlineStr">
        <is>
          <t>PF101568</t>
        </is>
      </c>
      <c r="B1577" s="68" t="n">
        <v>45850</v>
      </c>
      <c r="C1577" s="69" t="n">
        <v>2025</v>
      </c>
      <c r="D1577" t="inlineStr">
        <is>
          <t>Jul</t>
        </is>
      </c>
      <c r="E1577" t="inlineStr">
        <is>
          <t>Emerging markets</t>
        </is>
      </c>
      <c r="F1577" t="inlineStr">
        <is>
          <t>India</t>
        </is>
      </c>
      <c r="G1577" t="inlineStr">
        <is>
          <t>Eliquis</t>
        </is>
      </c>
      <c r="H1577" t="inlineStr">
        <is>
          <t>Hospital</t>
        </is>
      </c>
      <c r="I1577" t="inlineStr">
        <is>
          <t>Public payer</t>
        </is>
      </c>
      <c r="J1577" t="inlineStr">
        <is>
          <t>Lucas Martin</t>
        </is>
      </c>
      <c r="K1577" s="70" t="n">
        <v>2511</v>
      </c>
      <c r="L1577" s="71" t="n">
        <v>389.9</v>
      </c>
      <c r="M1577" s="71" t="n">
        <v>979038.9</v>
      </c>
      <c r="N1577" s="71" t="n">
        <v>97903.89</v>
      </c>
      <c r="O1577" s="71" t="n">
        <v>881135.01</v>
      </c>
      <c r="P1577" s="71" t="n">
        <v>196932.75</v>
      </c>
      <c r="Q1577" s="71" t="n">
        <v>684202.26</v>
      </c>
      <c r="R1577" t="inlineStr">
        <is>
          <t>Cardiology</t>
        </is>
      </c>
      <c r="S1577" s="70" t="n">
        <v>1989</v>
      </c>
      <c r="T1577" s="71" t="n">
        <v>192027.95</v>
      </c>
      <c r="U1577" t="inlineStr">
        <is>
          <t>High</t>
        </is>
      </c>
      <c r="V1577">
        <f>IF(AND(OR(Dashboard!$C$6="All",E1577=Dashboard!$C$6),OR(Dashboard!$F$6="All",G1577=Dashboard!$F$6),OR(Dashboard!$I$6="All",H1577=Dashboard!$I$6)),1,0)</f>
        <v/>
      </c>
    </row>
    <row r="1578">
      <c r="A1578" t="inlineStr">
        <is>
          <t>PF101569</t>
        </is>
      </c>
      <c r="B1578" s="68" t="n">
        <v>45850</v>
      </c>
      <c r="C1578" s="69" t="n">
        <v>2025</v>
      </c>
      <c r="D1578" t="inlineStr">
        <is>
          <t>Jul</t>
        </is>
      </c>
      <c r="E1578" t="inlineStr">
        <is>
          <t>United States</t>
        </is>
      </c>
      <c r="F1578" t="inlineStr">
        <is>
          <t>USA</t>
        </is>
      </c>
      <c r="G1578" t="inlineStr">
        <is>
          <t>Eliquis</t>
        </is>
      </c>
      <c r="H1578" t="inlineStr">
        <is>
          <t>Government / tender</t>
        </is>
      </c>
      <c r="I1578" t="inlineStr">
        <is>
          <t>Public payer</t>
        </is>
      </c>
      <c r="J1578" t="inlineStr">
        <is>
          <t>Hiroshi Tanaka</t>
        </is>
      </c>
      <c r="K1578" s="70" t="n">
        <v>1738</v>
      </c>
      <c r="L1578" s="71" t="n">
        <v>670.03</v>
      </c>
      <c r="M1578" s="71" t="n">
        <v>1164512.14</v>
      </c>
      <c r="N1578" s="71" t="n">
        <v>291128.03</v>
      </c>
      <c r="O1578" s="71" t="n">
        <v>873384.11</v>
      </c>
      <c r="P1578" s="71" t="n">
        <v>130507.35</v>
      </c>
      <c r="Q1578" s="71" t="n">
        <v>742876.76</v>
      </c>
      <c r="R1578" t="inlineStr">
        <is>
          <t>Cardiology</t>
        </is>
      </c>
      <c r="S1578" s="70" t="n">
        <v>1114</v>
      </c>
      <c r="T1578" s="71" t="n">
        <v>149307.27</v>
      </c>
      <c r="U1578" t="inlineStr">
        <is>
          <t>High</t>
        </is>
      </c>
      <c r="V1578">
        <f>IF(AND(OR(Dashboard!$C$6="All",E1578=Dashboard!$C$6),OR(Dashboard!$F$6="All",G1578=Dashboard!$F$6),OR(Dashboard!$I$6="All",H1578=Dashboard!$I$6)),1,0)</f>
        <v/>
      </c>
    </row>
    <row r="1579">
      <c r="A1579" t="inlineStr">
        <is>
          <t>PF101570</t>
        </is>
      </c>
      <c r="B1579" s="68" t="n">
        <v>45850</v>
      </c>
      <c r="C1579" s="69" t="n">
        <v>2025</v>
      </c>
      <c r="D1579" t="inlineStr">
        <is>
          <t>Jul</t>
        </is>
      </c>
      <c r="E1579" t="inlineStr">
        <is>
          <t>Europe</t>
        </is>
      </c>
      <c r="F1579" t="inlineStr">
        <is>
          <t>Spain</t>
        </is>
      </c>
      <c r="G1579" t="inlineStr">
        <is>
          <t>Comirnaty</t>
        </is>
      </c>
      <c r="H1579" t="inlineStr">
        <is>
          <t>Retail pharmacy</t>
        </is>
      </c>
      <c r="I1579" t="inlineStr">
        <is>
          <t>Public payer</t>
        </is>
      </c>
      <c r="J1579" t="inlineStr">
        <is>
          <t>Yuki Sato</t>
        </is>
      </c>
      <c r="K1579" s="70" t="n">
        <v>2238</v>
      </c>
      <c r="L1579" s="71" t="n">
        <v>117.59</v>
      </c>
      <c r="M1579" s="71" t="n">
        <v>263166.42</v>
      </c>
      <c r="N1579" s="71" t="n">
        <v>65791.60000000001</v>
      </c>
      <c r="O1579" s="71" t="n">
        <v>197374.82</v>
      </c>
      <c r="P1579" s="71" t="n">
        <v>89101.03</v>
      </c>
      <c r="Q1579" s="71" t="n">
        <v>108273.79</v>
      </c>
      <c r="R1579" t="inlineStr">
        <is>
          <t>Vaccines</t>
        </is>
      </c>
      <c r="S1579" s="70" t="n">
        <v>1593</v>
      </c>
      <c r="T1579" s="71" t="n">
        <v>57329.6</v>
      </c>
      <c r="U1579" t="inlineStr">
        <is>
          <t>Low</t>
        </is>
      </c>
      <c r="V1579">
        <f>IF(AND(OR(Dashboard!$C$6="All",E1579=Dashboard!$C$6),OR(Dashboard!$F$6="All",G1579=Dashboard!$F$6),OR(Dashboard!$I$6="All",H1579=Dashboard!$I$6)),1,0)</f>
        <v/>
      </c>
    </row>
    <row r="1580">
      <c r="A1580" t="inlineStr">
        <is>
          <t>PF101571</t>
        </is>
      </c>
      <c r="B1580" s="68" t="n">
        <v>45850</v>
      </c>
      <c r="C1580" s="69" t="n">
        <v>2025</v>
      </c>
      <c r="D1580" t="inlineStr">
        <is>
          <t>Jul</t>
        </is>
      </c>
      <c r="E1580" t="inlineStr">
        <is>
          <t>United States</t>
        </is>
      </c>
      <c r="F1580" t="inlineStr">
        <is>
          <t>USA</t>
        </is>
      </c>
      <c r="G1580" t="inlineStr">
        <is>
          <t>Abrysvo</t>
        </is>
      </c>
      <c r="H1580" t="inlineStr">
        <is>
          <t>Retail pharmacy</t>
        </is>
      </c>
      <c r="I1580" t="inlineStr">
        <is>
          <t>Private insurer</t>
        </is>
      </c>
      <c r="J1580" t="inlineStr">
        <is>
          <t>Lucas Martin</t>
        </is>
      </c>
      <c r="K1580" s="70" t="n">
        <v>1425</v>
      </c>
      <c r="L1580" s="71" t="n">
        <v>489.6</v>
      </c>
      <c r="M1580" s="71" t="n">
        <v>697680</v>
      </c>
      <c r="N1580" s="71" t="n">
        <v>244188</v>
      </c>
      <c r="O1580" s="71" t="n">
        <v>453492</v>
      </c>
      <c r="P1580" s="71" t="n">
        <v>122144.65</v>
      </c>
      <c r="Q1580" s="71" t="n">
        <v>331347.35</v>
      </c>
      <c r="R1580" t="inlineStr">
        <is>
          <t>Vaccines</t>
        </is>
      </c>
      <c r="S1580" s="70" t="n">
        <v>1330</v>
      </c>
      <c r="T1580" s="71" t="n">
        <v>114503.73</v>
      </c>
      <c r="U1580" t="inlineStr">
        <is>
          <t>Low</t>
        </is>
      </c>
      <c r="V1580">
        <f>IF(AND(OR(Dashboard!$C$6="All",E1580=Dashboard!$C$6),OR(Dashboard!$F$6="All",G1580=Dashboard!$F$6),OR(Dashboard!$I$6="All",H1580=Dashboard!$I$6)),1,0)</f>
        <v/>
      </c>
    </row>
    <row r="1581">
      <c r="A1581" t="inlineStr">
        <is>
          <t>PF101572</t>
        </is>
      </c>
      <c r="B1581" s="68" t="n">
        <v>45850</v>
      </c>
      <c r="C1581" s="69" t="n">
        <v>2025</v>
      </c>
      <c r="D1581" t="inlineStr">
        <is>
          <t>Jul</t>
        </is>
      </c>
      <c r="E1581" t="inlineStr">
        <is>
          <t>United States</t>
        </is>
      </c>
      <c r="F1581" t="inlineStr">
        <is>
          <t>USA</t>
        </is>
      </c>
      <c r="G1581" t="inlineStr">
        <is>
          <t>Xeljanz</t>
        </is>
      </c>
      <c r="H1581" t="inlineStr">
        <is>
          <t>Retail pharmacy</t>
        </is>
      </c>
      <c r="I1581" t="inlineStr">
        <is>
          <t>Private insurer</t>
        </is>
      </c>
      <c r="J1581" t="inlineStr">
        <is>
          <t>Lucas Martin</t>
        </is>
      </c>
      <c r="K1581" s="70" t="n">
        <v>1561</v>
      </c>
      <c r="L1581" s="71" t="n">
        <v>2167.34</v>
      </c>
      <c r="M1581" s="71" t="n">
        <v>3383217.74</v>
      </c>
      <c r="N1581" s="71" t="n">
        <v>1184126.21</v>
      </c>
      <c r="O1581" s="71" t="n">
        <v>2199091.53</v>
      </c>
      <c r="P1581" s="71" t="n">
        <v>385507.93</v>
      </c>
      <c r="Q1581" s="71" t="n">
        <v>1813583.6</v>
      </c>
      <c r="R1581" t="inlineStr">
        <is>
          <t>Inflammation</t>
        </is>
      </c>
      <c r="S1581" s="70" t="n">
        <v>1478</v>
      </c>
      <c r="T1581" s="71" t="n">
        <v>502966.12</v>
      </c>
      <c r="U1581" t="inlineStr">
        <is>
          <t>High</t>
        </is>
      </c>
      <c r="V1581">
        <f>IF(AND(OR(Dashboard!$C$6="All",E1581=Dashboard!$C$6),OR(Dashboard!$F$6="All",G1581=Dashboard!$F$6),OR(Dashboard!$I$6="All",H1581=Dashboard!$I$6)),1,0)</f>
        <v/>
      </c>
    </row>
    <row r="1582">
      <c r="A1582" t="inlineStr">
        <is>
          <t>PF101573</t>
        </is>
      </c>
      <c r="B1582" s="68" t="n">
        <v>45851</v>
      </c>
      <c r="C1582" s="69" t="n">
        <v>2025</v>
      </c>
      <c r="D1582" t="inlineStr">
        <is>
          <t>Jul</t>
        </is>
      </c>
      <c r="E1582" t="inlineStr">
        <is>
          <t>United States</t>
        </is>
      </c>
      <c r="F1582" t="inlineStr">
        <is>
          <t>USA</t>
        </is>
      </c>
      <c r="G1582" t="inlineStr">
        <is>
          <t>Comirnaty</t>
        </is>
      </c>
      <c r="H1582" t="inlineStr">
        <is>
          <t>Hospital</t>
        </is>
      </c>
      <c r="I1582" t="inlineStr">
        <is>
          <t>Private insurer</t>
        </is>
      </c>
      <c r="J1582" t="inlineStr">
        <is>
          <t>Carlos Silva</t>
        </is>
      </c>
      <c r="K1582" s="70" t="n">
        <v>1694</v>
      </c>
      <c r="L1582" s="71" t="n">
        <v>178.85</v>
      </c>
      <c r="M1582" s="71" t="n">
        <v>302971.9</v>
      </c>
      <c r="N1582" s="71" t="n">
        <v>90891.57000000001</v>
      </c>
      <c r="O1582" s="71" t="n">
        <v>212080.33</v>
      </c>
      <c r="P1582" s="71" t="n">
        <v>64967.24</v>
      </c>
      <c r="Q1582" s="71" t="n">
        <v>147113.09</v>
      </c>
      <c r="R1582" t="inlineStr">
        <is>
          <t>Vaccines</t>
        </is>
      </c>
      <c r="S1582" s="70" t="n">
        <v>1231</v>
      </c>
      <c r="T1582" s="71" t="n">
        <v>50101.72</v>
      </c>
      <c r="U1582" t="inlineStr">
        <is>
          <t>Low</t>
        </is>
      </c>
      <c r="V1582">
        <f>IF(AND(OR(Dashboard!$C$6="All",E1582=Dashboard!$C$6),OR(Dashboard!$F$6="All",G1582=Dashboard!$F$6),OR(Dashboard!$I$6="All",H1582=Dashboard!$I$6)),1,0)</f>
        <v/>
      </c>
    </row>
    <row r="1583">
      <c r="A1583" t="inlineStr">
        <is>
          <t>PF101574</t>
        </is>
      </c>
      <c r="B1583" s="68" t="n">
        <v>45851</v>
      </c>
      <c r="C1583" s="69" t="n">
        <v>2025</v>
      </c>
      <c r="D1583" t="inlineStr">
        <is>
          <t>Jul</t>
        </is>
      </c>
      <c r="E1583" t="inlineStr">
        <is>
          <t>Europe</t>
        </is>
      </c>
      <c r="F1583" t="inlineStr">
        <is>
          <t>France</t>
        </is>
      </c>
      <c r="G1583" t="inlineStr">
        <is>
          <t>Comirnaty</t>
        </is>
      </c>
      <c r="H1583" t="inlineStr">
        <is>
          <t>Hospital</t>
        </is>
      </c>
      <c r="I1583" t="inlineStr">
        <is>
          <t>Public payer</t>
        </is>
      </c>
      <c r="J1583" t="inlineStr">
        <is>
          <t>Kofi Mensah</t>
        </is>
      </c>
      <c r="K1583" s="70" t="n">
        <v>252</v>
      </c>
      <c r="L1583" s="71" t="n">
        <v>107.74</v>
      </c>
      <c r="M1583" s="71" t="n">
        <v>27150.48</v>
      </c>
      <c r="N1583" s="71" t="n">
        <v>2715.05</v>
      </c>
      <c r="O1583" s="71" t="n">
        <v>24435.43</v>
      </c>
      <c r="P1583" s="71" t="n">
        <v>9395.07</v>
      </c>
      <c r="Q1583" s="71" t="n">
        <v>15040.36</v>
      </c>
      <c r="R1583" t="inlineStr">
        <is>
          <t>Vaccines</t>
        </is>
      </c>
      <c r="S1583" s="70" t="n">
        <v>183</v>
      </c>
      <c r="T1583" s="71" t="n">
        <v>5178.37</v>
      </c>
      <c r="U1583" t="inlineStr">
        <is>
          <t>Low</t>
        </is>
      </c>
      <c r="V1583">
        <f>IF(AND(OR(Dashboard!$C$6="All",E1583=Dashboard!$C$6),OR(Dashboard!$F$6="All",G1583=Dashboard!$F$6),OR(Dashboard!$I$6="All",H1583=Dashboard!$I$6)),1,0)</f>
        <v/>
      </c>
    </row>
    <row r="1584">
      <c r="A1584" t="inlineStr">
        <is>
          <t>PF101575</t>
        </is>
      </c>
      <c r="B1584" s="68" t="n">
        <v>45851</v>
      </c>
      <c r="C1584" s="69" t="n">
        <v>2025</v>
      </c>
      <c r="D1584" t="inlineStr">
        <is>
          <t>Jul</t>
        </is>
      </c>
      <c r="E1584" t="inlineStr">
        <is>
          <t>United States</t>
        </is>
      </c>
      <c r="F1584" t="inlineStr">
        <is>
          <t>USA</t>
        </is>
      </c>
      <c r="G1584" t="inlineStr">
        <is>
          <t>Xeljanz</t>
        </is>
      </c>
      <c r="H1584" t="inlineStr">
        <is>
          <t>Retail pharmacy</t>
        </is>
      </c>
      <c r="I1584" t="inlineStr">
        <is>
          <t>Private insurer</t>
        </is>
      </c>
      <c r="J1584" t="inlineStr">
        <is>
          <t>Ana Costa</t>
        </is>
      </c>
      <c r="K1584" s="70" t="n">
        <v>1264</v>
      </c>
      <c r="L1584" s="71" t="n">
        <v>2161.15</v>
      </c>
      <c r="M1584" s="71" t="n">
        <v>2731693.6</v>
      </c>
      <c r="N1584" s="71" t="n">
        <v>546338.72</v>
      </c>
      <c r="O1584" s="71" t="n">
        <v>2185354.88</v>
      </c>
      <c r="P1584" s="71" t="n">
        <v>320349.2</v>
      </c>
      <c r="Q1584" s="71" t="n">
        <v>1865005.68</v>
      </c>
      <c r="R1584" t="inlineStr">
        <is>
          <t>Inflammation</t>
        </is>
      </c>
      <c r="S1584" s="70" t="n">
        <v>808</v>
      </c>
      <c r="T1584" s="71" t="n">
        <v>582874.24</v>
      </c>
      <c r="U1584" t="inlineStr">
        <is>
          <t>High</t>
        </is>
      </c>
      <c r="V1584">
        <f>IF(AND(OR(Dashboard!$C$6="All",E1584=Dashboard!$C$6),OR(Dashboard!$F$6="All",G1584=Dashboard!$F$6),OR(Dashboard!$I$6="All",H1584=Dashboard!$I$6)),1,0)</f>
        <v/>
      </c>
    </row>
    <row r="1585">
      <c r="A1585" t="inlineStr">
        <is>
          <t>PF101576</t>
        </is>
      </c>
      <c r="B1585" s="68" t="n">
        <v>45851</v>
      </c>
      <c r="C1585" s="69" t="n">
        <v>2025</v>
      </c>
      <c r="D1585" t="inlineStr">
        <is>
          <t>Jul</t>
        </is>
      </c>
      <c r="E1585" t="inlineStr">
        <is>
          <t>Europe</t>
        </is>
      </c>
      <c r="F1585" t="inlineStr">
        <is>
          <t>Spain</t>
        </is>
      </c>
      <c r="G1585" t="inlineStr">
        <is>
          <t>Vyndaqel</t>
        </is>
      </c>
      <c r="H1585" t="inlineStr">
        <is>
          <t>Retail pharmacy</t>
        </is>
      </c>
      <c r="I1585" t="inlineStr">
        <is>
          <t>Self-pay</t>
        </is>
      </c>
      <c r="J1585" t="inlineStr">
        <is>
          <t>Ruhi Shaikh</t>
        </is>
      </c>
      <c r="K1585" s="70" t="n">
        <v>3027</v>
      </c>
      <c r="L1585" s="71" t="n">
        <v>5161.46</v>
      </c>
      <c r="M1585" s="71" t="n">
        <v>15623739.42</v>
      </c>
      <c r="N1585" s="71" t="n">
        <v>3124747.88</v>
      </c>
      <c r="O1585" s="71" t="n">
        <v>12498991.54</v>
      </c>
      <c r="P1585" s="71" t="n">
        <v>1941923.45</v>
      </c>
      <c r="Q1585" s="71" t="n">
        <v>10557068.09</v>
      </c>
      <c r="R1585" t="inlineStr">
        <is>
          <t>Rare disease</t>
        </is>
      </c>
      <c r="S1585" s="70" t="n">
        <v>1902</v>
      </c>
      <c r="T1585" s="71" t="n">
        <v>2646813.58</v>
      </c>
      <c r="U1585" t="inlineStr">
        <is>
          <t>Medium</t>
        </is>
      </c>
      <c r="V1585">
        <f>IF(AND(OR(Dashboard!$C$6="All",E1585=Dashboard!$C$6),OR(Dashboard!$F$6="All",G1585=Dashboard!$F$6),OR(Dashboard!$I$6="All",H1585=Dashboard!$I$6)),1,0)</f>
        <v/>
      </c>
    </row>
    <row r="1586">
      <c r="A1586" t="inlineStr">
        <is>
          <t>PF101577</t>
        </is>
      </c>
      <c r="B1586" s="68" t="n">
        <v>45851</v>
      </c>
      <c r="C1586" s="69" t="n">
        <v>2025</v>
      </c>
      <c r="D1586" t="inlineStr">
        <is>
          <t>Jul</t>
        </is>
      </c>
      <c r="E1586" t="inlineStr">
        <is>
          <t>International developed</t>
        </is>
      </c>
      <c r="F1586" t="inlineStr">
        <is>
          <t>Canada</t>
        </is>
      </c>
      <c r="G1586" t="inlineStr">
        <is>
          <t>Ibrance</t>
        </is>
      </c>
      <c r="H1586" t="inlineStr">
        <is>
          <t>Hospital</t>
        </is>
      </c>
      <c r="I1586" t="inlineStr">
        <is>
          <t>Private insurer</t>
        </is>
      </c>
      <c r="J1586" t="inlineStr">
        <is>
          <t>Emma Clarke</t>
        </is>
      </c>
      <c r="K1586" s="70" t="n">
        <v>1081</v>
      </c>
      <c r="L1586" s="71" t="n">
        <v>2877.8</v>
      </c>
      <c r="M1586" s="71" t="n">
        <v>3110901.8</v>
      </c>
      <c r="N1586" s="71" t="n">
        <v>777725.45</v>
      </c>
      <c r="O1586" s="71" t="n">
        <v>2333176.35</v>
      </c>
      <c r="P1586" s="71" t="n">
        <v>457283.11</v>
      </c>
      <c r="Q1586" s="71" t="n">
        <v>1875893.24</v>
      </c>
      <c r="R1586" t="inlineStr">
        <is>
          <t>Oncology</t>
        </is>
      </c>
      <c r="S1586" s="70" t="n">
        <v>1013</v>
      </c>
      <c r="T1586" s="71" t="n">
        <v>666292.05</v>
      </c>
      <c r="U1586" t="inlineStr">
        <is>
          <t>High</t>
        </is>
      </c>
      <c r="V1586">
        <f>IF(AND(OR(Dashboard!$C$6="All",E1586=Dashboard!$C$6),OR(Dashboard!$F$6="All",G1586=Dashboard!$F$6),OR(Dashboard!$I$6="All",H1586=Dashboard!$I$6)),1,0)</f>
        <v/>
      </c>
    </row>
    <row r="1587">
      <c r="A1587" t="inlineStr">
        <is>
          <t>PF101578</t>
        </is>
      </c>
      <c r="B1587" s="68" t="n">
        <v>45851</v>
      </c>
      <c r="C1587" s="69" t="n">
        <v>2025</v>
      </c>
      <c r="D1587" t="inlineStr">
        <is>
          <t>Jul</t>
        </is>
      </c>
      <c r="E1587" t="inlineStr">
        <is>
          <t>Europe</t>
        </is>
      </c>
      <c r="F1587" t="inlineStr">
        <is>
          <t>Germany</t>
        </is>
      </c>
      <c r="G1587" t="inlineStr">
        <is>
          <t>Prevnar 20</t>
        </is>
      </c>
      <c r="H1587" t="inlineStr">
        <is>
          <t>Hospital</t>
        </is>
      </c>
      <c r="I1587" t="inlineStr">
        <is>
          <t>Private insurer</t>
        </is>
      </c>
      <c r="J1587" t="inlineStr">
        <is>
          <t>Aisha Bello</t>
        </is>
      </c>
      <c r="K1587" s="70" t="n">
        <v>2849</v>
      </c>
      <c r="L1587" s="71" t="n">
        <v>244.29</v>
      </c>
      <c r="M1587" s="71" t="n">
        <v>695982.21</v>
      </c>
      <c r="N1587" s="71" t="n">
        <v>139196.44</v>
      </c>
      <c r="O1587" s="71" t="n">
        <v>556785.77</v>
      </c>
      <c r="P1587" s="71" t="n">
        <v>189395.22</v>
      </c>
      <c r="Q1587" s="71" t="n">
        <v>367390.55</v>
      </c>
      <c r="R1587" t="inlineStr">
        <is>
          <t>Vaccines</t>
        </is>
      </c>
      <c r="S1587" s="70" t="n">
        <v>2377</v>
      </c>
      <c r="T1587" s="71" t="n">
        <v>97154.09</v>
      </c>
      <c r="U1587" t="inlineStr">
        <is>
          <t>Low</t>
        </is>
      </c>
      <c r="V1587">
        <f>IF(AND(OR(Dashboard!$C$6="All",E1587=Dashboard!$C$6),OR(Dashboard!$F$6="All",G1587=Dashboard!$F$6),OR(Dashboard!$I$6="All",H1587=Dashboard!$I$6)),1,0)</f>
        <v/>
      </c>
    </row>
    <row r="1588">
      <c r="A1588" t="inlineStr">
        <is>
          <t>PF101579</t>
        </is>
      </c>
      <c r="B1588" s="68" t="n">
        <v>45851</v>
      </c>
      <c r="C1588" s="69" t="n">
        <v>2025</v>
      </c>
      <c r="D1588" t="inlineStr">
        <is>
          <t>Jul</t>
        </is>
      </c>
      <c r="E1588" t="inlineStr">
        <is>
          <t>Emerging markets</t>
        </is>
      </c>
      <c r="F1588" t="inlineStr">
        <is>
          <t>Brazil</t>
        </is>
      </c>
      <c r="G1588" t="inlineStr">
        <is>
          <t>Prevnar 20</t>
        </is>
      </c>
      <c r="H1588" t="inlineStr">
        <is>
          <t>Government / tender</t>
        </is>
      </c>
      <c r="I1588" t="inlineStr">
        <is>
          <t>Public payer</t>
        </is>
      </c>
      <c r="J1588" t="inlineStr">
        <is>
          <t>Sophie Müller</t>
        </is>
      </c>
      <c r="K1588" s="70" t="n">
        <v>2161</v>
      </c>
      <c r="L1588" s="71" t="n">
        <v>232.28</v>
      </c>
      <c r="M1588" s="71" t="n">
        <v>501957.08</v>
      </c>
      <c r="N1588" s="71" t="n">
        <v>100391.42</v>
      </c>
      <c r="O1588" s="71" t="n">
        <v>401565.66</v>
      </c>
      <c r="P1588" s="71" t="n">
        <v>154756.74</v>
      </c>
      <c r="Q1588" s="71" t="n">
        <v>246808.92</v>
      </c>
      <c r="R1588" t="inlineStr">
        <is>
          <t>Vaccines</t>
        </is>
      </c>
      <c r="S1588" s="70" t="n">
        <v>2001</v>
      </c>
      <c r="T1588" s="71" t="n">
        <v>69999.8</v>
      </c>
      <c r="U1588" t="inlineStr">
        <is>
          <t>Low</t>
        </is>
      </c>
      <c r="V1588">
        <f>IF(AND(OR(Dashboard!$C$6="All",E1588=Dashboard!$C$6),OR(Dashboard!$F$6="All",G1588=Dashboard!$F$6),OR(Dashboard!$I$6="All",H1588=Dashboard!$I$6)),1,0)</f>
        <v/>
      </c>
    </row>
    <row r="1589">
      <c r="A1589" t="inlineStr">
        <is>
          <t>PF101580</t>
        </is>
      </c>
      <c r="B1589" s="68" t="n">
        <v>45851</v>
      </c>
      <c r="C1589" s="69" t="n">
        <v>2025</v>
      </c>
      <c r="D1589" t="inlineStr">
        <is>
          <t>Jul</t>
        </is>
      </c>
      <c r="E1589" t="inlineStr">
        <is>
          <t>International developed</t>
        </is>
      </c>
      <c r="F1589" t="inlineStr">
        <is>
          <t>Canada</t>
        </is>
      </c>
      <c r="G1589" t="inlineStr">
        <is>
          <t>Eliquis</t>
        </is>
      </c>
      <c r="H1589" t="inlineStr">
        <is>
          <t>Retail pharmacy</t>
        </is>
      </c>
      <c r="I1589" t="inlineStr">
        <is>
          <t>Self-pay</t>
        </is>
      </c>
      <c r="J1589" t="inlineStr">
        <is>
          <t>Kofi Mensah</t>
        </is>
      </c>
      <c r="K1589" s="70" t="n">
        <v>254</v>
      </c>
      <c r="L1589" s="71" t="n">
        <v>378.05</v>
      </c>
      <c r="M1589" s="71" t="n">
        <v>96024.7</v>
      </c>
      <c r="N1589" s="71" t="n">
        <v>24006.17</v>
      </c>
      <c r="O1589" s="71" t="n">
        <v>72018.53</v>
      </c>
      <c r="P1589" s="71" t="n">
        <v>18444.45</v>
      </c>
      <c r="Q1589" s="71" t="n">
        <v>53574.08</v>
      </c>
      <c r="R1589" t="inlineStr">
        <is>
          <t>Cardiology</t>
        </is>
      </c>
      <c r="S1589" s="70" t="n">
        <v>206</v>
      </c>
      <c r="T1589" s="71" t="n">
        <v>19604.14</v>
      </c>
      <c r="U1589" t="inlineStr">
        <is>
          <t>High</t>
        </is>
      </c>
      <c r="V1589">
        <f>IF(AND(OR(Dashboard!$C$6="All",E1589=Dashboard!$C$6),OR(Dashboard!$F$6="All",G1589=Dashboard!$F$6),OR(Dashboard!$I$6="All",H1589=Dashboard!$I$6)),1,0)</f>
        <v/>
      </c>
    </row>
    <row r="1590">
      <c r="A1590" t="inlineStr">
        <is>
          <t>PF101581</t>
        </is>
      </c>
      <c r="B1590" s="68" t="n">
        <v>45851</v>
      </c>
      <c r="C1590" s="69" t="n">
        <v>2025</v>
      </c>
      <c r="D1590" t="inlineStr">
        <is>
          <t>Jul</t>
        </is>
      </c>
      <c r="E1590" t="inlineStr">
        <is>
          <t>United States</t>
        </is>
      </c>
      <c r="F1590" t="inlineStr">
        <is>
          <t>USA</t>
        </is>
      </c>
      <c r="G1590" t="inlineStr">
        <is>
          <t>Prevnar 20</t>
        </is>
      </c>
      <c r="H1590" t="inlineStr">
        <is>
          <t>Hospital</t>
        </is>
      </c>
      <c r="I1590" t="inlineStr">
        <is>
          <t>Private insurer</t>
        </is>
      </c>
      <c r="J1590" t="inlineStr">
        <is>
          <t>Carlos Silva</t>
        </is>
      </c>
      <c r="K1590" s="70" t="n">
        <v>690</v>
      </c>
      <c r="L1590" s="71" t="n">
        <v>383.25</v>
      </c>
      <c r="M1590" s="71" t="n">
        <v>264442.5</v>
      </c>
      <c r="N1590" s="71" t="n">
        <v>66110.62</v>
      </c>
      <c r="O1590" s="71" t="n">
        <v>198331.88</v>
      </c>
      <c r="P1590" s="71" t="n">
        <v>47829.09</v>
      </c>
      <c r="Q1590" s="71" t="n">
        <v>150502.79</v>
      </c>
      <c r="R1590" t="inlineStr">
        <is>
          <t>Vaccines</t>
        </is>
      </c>
      <c r="S1590" s="70" t="n">
        <v>554</v>
      </c>
      <c r="T1590" s="71" t="n">
        <v>37081.78</v>
      </c>
      <c r="U1590" t="inlineStr">
        <is>
          <t>Low</t>
        </is>
      </c>
      <c r="V1590">
        <f>IF(AND(OR(Dashboard!$C$6="All",E1590=Dashboard!$C$6),OR(Dashboard!$F$6="All",G1590=Dashboard!$F$6),OR(Dashboard!$I$6="All",H1590=Dashboard!$I$6)),1,0)</f>
        <v/>
      </c>
    </row>
    <row r="1591">
      <c r="A1591" t="inlineStr">
        <is>
          <t>PF101582</t>
        </is>
      </c>
      <c r="B1591" s="68" t="n">
        <v>45851</v>
      </c>
      <c r="C1591" s="69" t="n">
        <v>2025</v>
      </c>
      <c r="D1591" t="inlineStr">
        <is>
          <t>Jul</t>
        </is>
      </c>
      <c r="E1591" t="inlineStr">
        <is>
          <t>United States</t>
        </is>
      </c>
      <c r="F1591" t="inlineStr">
        <is>
          <t>USA</t>
        </is>
      </c>
      <c r="G1591" t="inlineStr">
        <is>
          <t>Prevnar 20</t>
        </is>
      </c>
      <c r="H1591" t="inlineStr">
        <is>
          <t>Government / tender</t>
        </is>
      </c>
      <c r="I1591" t="inlineStr">
        <is>
          <t>Public payer</t>
        </is>
      </c>
      <c r="J1591" t="inlineStr">
        <is>
          <t>Arjun Mehta</t>
        </is>
      </c>
      <c r="K1591" s="70" t="n">
        <v>2188</v>
      </c>
      <c r="L1591" s="71" t="n">
        <v>357.38</v>
      </c>
      <c r="M1591" s="71" t="n">
        <v>781947.4399999999</v>
      </c>
      <c r="N1591" s="71" t="n">
        <v>117292.12</v>
      </c>
      <c r="O1591" s="71" t="n">
        <v>664655.3199999999</v>
      </c>
      <c r="P1591" s="71" t="n">
        <v>148883.25</v>
      </c>
      <c r="Q1591" s="71" t="n">
        <v>515772.07</v>
      </c>
      <c r="R1591" t="inlineStr">
        <is>
          <t>Vaccines</t>
        </is>
      </c>
      <c r="S1591" s="70" t="n">
        <v>1503</v>
      </c>
      <c r="T1591" s="71" t="n">
        <v>164678.28</v>
      </c>
      <c r="U1591" t="inlineStr">
        <is>
          <t>Low</t>
        </is>
      </c>
      <c r="V1591">
        <f>IF(AND(OR(Dashboard!$C$6="All",E1591=Dashboard!$C$6),OR(Dashboard!$F$6="All",G1591=Dashboard!$F$6),OR(Dashboard!$I$6="All",H1591=Dashboard!$I$6)),1,0)</f>
        <v/>
      </c>
    </row>
    <row r="1592">
      <c r="A1592" t="inlineStr">
        <is>
          <t>PF101583</t>
        </is>
      </c>
      <c r="B1592" s="68" t="n">
        <v>45851</v>
      </c>
      <c r="C1592" s="69" t="n">
        <v>2025</v>
      </c>
      <c r="D1592" t="inlineStr">
        <is>
          <t>Jul</t>
        </is>
      </c>
      <c r="E1592" t="inlineStr">
        <is>
          <t>International developed</t>
        </is>
      </c>
      <c r="F1592" t="inlineStr">
        <is>
          <t>Canada</t>
        </is>
      </c>
      <c r="G1592" t="inlineStr">
        <is>
          <t>Eliquis</t>
        </is>
      </c>
      <c r="H1592" t="inlineStr">
        <is>
          <t>Retail pharmacy</t>
        </is>
      </c>
      <c r="I1592" t="inlineStr">
        <is>
          <t>Private insurer</t>
        </is>
      </c>
      <c r="J1592" t="inlineStr">
        <is>
          <t>Ravindra Patil</t>
        </is>
      </c>
      <c r="K1592" s="70" t="n">
        <v>314</v>
      </c>
      <c r="L1592" s="71" t="n">
        <v>419.9</v>
      </c>
      <c r="M1592" s="71" t="n">
        <v>131848.6</v>
      </c>
      <c r="N1592" s="71" t="n">
        <v>13184.86</v>
      </c>
      <c r="O1592" s="71" t="n">
        <v>118663.74</v>
      </c>
      <c r="P1592" s="71" t="n">
        <v>24635.02</v>
      </c>
      <c r="Q1592" s="71" t="n">
        <v>94028.72</v>
      </c>
      <c r="R1592" t="inlineStr">
        <is>
          <t>Cardiology</t>
        </is>
      </c>
      <c r="S1592" s="70" t="n">
        <v>203</v>
      </c>
      <c r="T1592" s="71" t="n">
        <v>20843.29</v>
      </c>
      <c r="U1592" t="inlineStr">
        <is>
          <t>High</t>
        </is>
      </c>
      <c r="V1592">
        <f>IF(AND(OR(Dashboard!$C$6="All",E1592=Dashboard!$C$6),OR(Dashboard!$F$6="All",G1592=Dashboard!$F$6),OR(Dashboard!$I$6="All",H1592=Dashboard!$I$6)),1,0)</f>
        <v/>
      </c>
    </row>
    <row r="1593">
      <c r="A1593" t="inlineStr">
        <is>
          <t>PF101584</t>
        </is>
      </c>
      <c r="B1593" s="68" t="n">
        <v>45851</v>
      </c>
      <c r="C1593" s="69" t="n">
        <v>2025</v>
      </c>
      <c r="D1593" t="inlineStr">
        <is>
          <t>Jul</t>
        </is>
      </c>
      <c r="E1593" t="inlineStr">
        <is>
          <t>Europe</t>
        </is>
      </c>
      <c r="F1593" t="inlineStr">
        <is>
          <t>UK</t>
        </is>
      </c>
      <c r="G1593" t="inlineStr">
        <is>
          <t>Prevnar 20</t>
        </is>
      </c>
      <c r="H1593" t="inlineStr">
        <is>
          <t>Retail pharmacy</t>
        </is>
      </c>
      <c r="I1593" t="inlineStr">
        <is>
          <t>Self-pay</t>
        </is>
      </c>
      <c r="J1593" t="inlineStr">
        <is>
          <t>Liam O'Brien</t>
        </is>
      </c>
      <c r="K1593" s="70" t="n">
        <v>344</v>
      </c>
      <c r="L1593" s="71" t="n">
        <v>234.94</v>
      </c>
      <c r="M1593" s="71" t="n">
        <v>80819.36</v>
      </c>
      <c r="N1593" s="71" t="n">
        <v>20204.84</v>
      </c>
      <c r="O1593" s="71" t="n">
        <v>60614.52</v>
      </c>
      <c r="P1593" s="71" t="n">
        <v>23379.86</v>
      </c>
      <c r="Q1593" s="71" t="n">
        <v>37234.66</v>
      </c>
      <c r="R1593" t="inlineStr">
        <is>
          <t>Vaccines</t>
        </is>
      </c>
      <c r="S1593" s="70" t="n">
        <v>219</v>
      </c>
      <c r="T1593" s="71" t="n">
        <v>14459</v>
      </c>
      <c r="U1593" t="inlineStr">
        <is>
          <t>Low</t>
        </is>
      </c>
      <c r="V1593">
        <f>IF(AND(OR(Dashboard!$C$6="All",E1593=Dashboard!$C$6),OR(Dashboard!$F$6="All",G1593=Dashboard!$F$6),OR(Dashboard!$I$6="All",H1593=Dashboard!$I$6)),1,0)</f>
        <v/>
      </c>
    </row>
    <row r="1594">
      <c r="A1594" t="inlineStr">
        <is>
          <t>PF101585</t>
        </is>
      </c>
      <c r="B1594" s="68" t="n">
        <v>45851</v>
      </c>
      <c r="C1594" s="69" t="n">
        <v>2025</v>
      </c>
      <c r="D1594" t="inlineStr">
        <is>
          <t>Jul</t>
        </is>
      </c>
      <c r="E1594" t="inlineStr">
        <is>
          <t>Europe</t>
        </is>
      </c>
      <c r="F1594" t="inlineStr">
        <is>
          <t>France</t>
        </is>
      </c>
      <c r="G1594" t="inlineStr">
        <is>
          <t>Xeljanz</t>
        </is>
      </c>
      <c r="H1594" t="inlineStr">
        <is>
          <t>Hospital</t>
        </is>
      </c>
      <c r="I1594" t="inlineStr">
        <is>
          <t>Private insurer</t>
        </is>
      </c>
      <c r="J1594" t="inlineStr">
        <is>
          <t>Kofi Mensah</t>
        </is>
      </c>
      <c r="K1594" s="70" t="n">
        <v>1718</v>
      </c>
      <c r="L1594" s="71" t="n">
        <v>1505.15</v>
      </c>
      <c r="M1594" s="71" t="n">
        <v>2585847.7</v>
      </c>
      <c r="N1594" s="71" t="n">
        <v>387877.16</v>
      </c>
      <c r="O1594" s="71" t="n">
        <v>2197970.54</v>
      </c>
      <c r="P1594" s="71" t="n">
        <v>419761.57</v>
      </c>
      <c r="Q1594" s="71" t="n">
        <v>1778208.97</v>
      </c>
      <c r="R1594" t="inlineStr">
        <is>
          <t>Inflammation</t>
        </is>
      </c>
      <c r="S1594" s="70" t="n">
        <v>1516</v>
      </c>
      <c r="T1594" s="71" t="n">
        <v>328650.71</v>
      </c>
      <c r="U1594" t="inlineStr">
        <is>
          <t>High</t>
        </is>
      </c>
      <c r="V1594">
        <f>IF(AND(OR(Dashboard!$C$6="All",E1594=Dashboard!$C$6),OR(Dashboard!$F$6="All",G1594=Dashboard!$F$6),OR(Dashboard!$I$6="All",H1594=Dashboard!$I$6)),1,0)</f>
        <v/>
      </c>
    </row>
    <row r="1595">
      <c r="A1595" t="inlineStr">
        <is>
          <t>PF101586</t>
        </is>
      </c>
      <c r="B1595" s="68" t="n">
        <v>45851</v>
      </c>
      <c r="C1595" s="69" t="n">
        <v>2025</v>
      </c>
      <c r="D1595" t="inlineStr">
        <is>
          <t>Jul</t>
        </is>
      </c>
      <c r="E1595" t="inlineStr">
        <is>
          <t>Emerging markets</t>
        </is>
      </c>
      <c r="F1595" t="inlineStr">
        <is>
          <t>Brazil</t>
        </is>
      </c>
      <c r="G1595" t="inlineStr">
        <is>
          <t>Eliquis</t>
        </is>
      </c>
      <c r="H1595" t="inlineStr">
        <is>
          <t>Retail pharmacy</t>
        </is>
      </c>
      <c r="I1595" t="inlineStr">
        <is>
          <t>Public payer</t>
        </is>
      </c>
      <c r="J1595" t="inlineStr">
        <is>
          <t>Carlos Silva</t>
        </is>
      </c>
      <c r="K1595" s="70" t="n">
        <v>1478</v>
      </c>
      <c r="L1595" s="71" t="n">
        <v>443.94</v>
      </c>
      <c r="M1595" s="71" t="n">
        <v>656143.3199999999</v>
      </c>
      <c r="N1595" s="71" t="n">
        <v>164035.83</v>
      </c>
      <c r="O1595" s="71" t="n">
        <v>492107.49</v>
      </c>
      <c r="P1595" s="71" t="n">
        <v>112163.75</v>
      </c>
      <c r="Q1595" s="71" t="n">
        <v>379943.74</v>
      </c>
      <c r="R1595" t="inlineStr">
        <is>
          <t>Cardiology</t>
        </is>
      </c>
      <c r="S1595" s="70" t="n">
        <v>1227</v>
      </c>
      <c r="T1595" s="71" t="n">
        <v>93285.42999999999</v>
      </c>
      <c r="U1595" t="inlineStr">
        <is>
          <t>High</t>
        </is>
      </c>
      <c r="V1595">
        <f>IF(AND(OR(Dashboard!$C$6="All",E1595=Dashboard!$C$6),OR(Dashboard!$F$6="All",G1595=Dashboard!$F$6),OR(Dashboard!$I$6="All",H1595=Dashboard!$I$6)),1,0)</f>
        <v/>
      </c>
    </row>
    <row r="1596">
      <c r="A1596" t="inlineStr">
        <is>
          <t>PF101587</t>
        </is>
      </c>
      <c r="B1596" s="68" t="n">
        <v>45852</v>
      </c>
      <c r="C1596" s="69" t="n">
        <v>2025</v>
      </c>
      <c r="D1596" t="inlineStr">
        <is>
          <t>Jul</t>
        </is>
      </c>
      <c r="E1596" t="inlineStr">
        <is>
          <t>Europe</t>
        </is>
      </c>
      <c r="F1596" t="inlineStr">
        <is>
          <t>Spain</t>
        </is>
      </c>
      <c r="G1596" t="inlineStr">
        <is>
          <t>Abrysvo</t>
        </is>
      </c>
      <c r="H1596" t="inlineStr">
        <is>
          <t>Hospital</t>
        </is>
      </c>
      <c r="I1596" t="inlineStr">
        <is>
          <t>Self-pay</t>
        </is>
      </c>
      <c r="J1596" t="inlineStr">
        <is>
          <t>Sara Rossi</t>
        </is>
      </c>
      <c r="K1596" s="70" t="n">
        <v>1328</v>
      </c>
      <c r="L1596" s="71" t="n">
        <v>265.21</v>
      </c>
      <c r="M1596" s="71" t="n">
        <v>352198.88</v>
      </c>
      <c r="N1596" s="71" t="n">
        <v>52829.83</v>
      </c>
      <c r="O1596" s="71" t="n">
        <v>299369.05</v>
      </c>
      <c r="P1596" s="71" t="n">
        <v>108356.3</v>
      </c>
      <c r="Q1596" s="71" t="n">
        <v>191012.75</v>
      </c>
      <c r="R1596" t="inlineStr">
        <is>
          <t>Vaccines</t>
        </is>
      </c>
      <c r="S1596" s="70" t="n">
        <v>950</v>
      </c>
      <c r="T1596" s="71" t="n">
        <v>58399.97</v>
      </c>
      <c r="U1596" t="inlineStr">
        <is>
          <t>Low</t>
        </is>
      </c>
      <c r="V1596">
        <f>IF(AND(OR(Dashboard!$C$6="All",E1596=Dashboard!$C$6),OR(Dashboard!$F$6="All",G1596=Dashboard!$F$6),OR(Dashboard!$I$6="All",H1596=Dashboard!$I$6)),1,0)</f>
        <v/>
      </c>
    </row>
    <row r="1597">
      <c r="A1597" t="inlineStr">
        <is>
          <t>PF101588</t>
        </is>
      </c>
      <c r="B1597" s="68" t="n">
        <v>45852</v>
      </c>
      <c r="C1597" s="69" t="n">
        <v>2025</v>
      </c>
      <c r="D1597" t="inlineStr">
        <is>
          <t>Jul</t>
        </is>
      </c>
      <c r="E1597" t="inlineStr">
        <is>
          <t>Emerging markets</t>
        </is>
      </c>
      <c r="F1597" t="inlineStr">
        <is>
          <t>China</t>
        </is>
      </c>
      <c r="G1597" t="inlineStr">
        <is>
          <t>Ibrance</t>
        </is>
      </c>
      <c r="H1597" t="inlineStr">
        <is>
          <t>Hospital</t>
        </is>
      </c>
      <c r="I1597" t="inlineStr">
        <is>
          <t>Private insurer</t>
        </is>
      </c>
      <c r="J1597" t="inlineStr">
        <is>
          <t>Kofi Mensah</t>
        </is>
      </c>
      <c r="K1597" s="70" t="n">
        <v>1583</v>
      </c>
      <c r="L1597" s="71" t="n">
        <v>2753.82</v>
      </c>
      <c r="M1597" s="71" t="n">
        <v>4359297.06</v>
      </c>
      <c r="N1597" s="71" t="n">
        <v>1089824.26</v>
      </c>
      <c r="O1597" s="71" t="n">
        <v>3269472.8</v>
      </c>
      <c r="P1597" s="71" t="n">
        <v>693774.8</v>
      </c>
      <c r="Q1597" s="71" t="n">
        <v>2575698</v>
      </c>
      <c r="R1597" t="inlineStr">
        <is>
          <t>Oncology</t>
        </is>
      </c>
      <c r="S1597" s="70" t="n">
        <v>1072</v>
      </c>
      <c r="T1597" s="71" t="n">
        <v>806297.52</v>
      </c>
      <c r="U1597" t="inlineStr">
        <is>
          <t>High</t>
        </is>
      </c>
      <c r="V1597">
        <f>IF(AND(OR(Dashboard!$C$6="All",E1597=Dashboard!$C$6),OR(Dashboard!$F$6="All",G1597=Dashboard!$F$6),OR(Dashboard!$I$6="All",H1597=Dashboard!$I$6)),1,0)</f>
        <v/>
      </c>
    </row>
    <row r="1598">
      <c r="A1598" t="inlineStr">
        <is>
          <t>PF101589</t>
        </is>
      </c>
      <c r="B1598" s="68" t="n">
        <v>45852</v>
      </c>
      <c r="C1598" s="69" t="n">
        <v>2025</v>
      </c>
      <c r="D1598" t="inlineStr">
        <is>
          <t>Jul</t>
        </is>
      </c>
      <c r="E1598" t="inlineStr">
        <is>
          <t>Europe</t>
        </is>
      </c>
      <c r="F1598" t="inlineStr">
        <is>
          <t>Germany</t>
        </is>
      </c>
      <c r="G1598" t="inlineStr">
        <is>
          <t>Abrysvo</t>
        </is>
      </c>
      <c r="H1598" t="inlineStr">
        <is>
          <t>Hospital</t>
        </is>
      </c>
      <c r="I1598" t="inlineStr">
        <is>
          <t>Public payer</t>
        </is>
      </c>
      <c r="J1598" t="inlineStr">
        <is>
          <t>Mei Lin</t>
        </is>
      </c>
      <c r="K1598" s="70" t="n">
        <v>711</v>
      </c>
      <c r="L1598" s="71" t="n">
        <v>302.76</v>
      </c>
      <c r="M1598" s="71" t="n">
        <v>215262.36</v>
      </c>
      <c r="N1598" s="71" t="n">
        <v>53815.59</v>
      </c>
      <c r="O1598" s="71" t="n">
        <v>161446.77</v>
      </c>
      <c r="P1598" s="71" t="n">
        <v>58196.18</v>
      </c>
      <c r="Q1598" s="71" t="n">
        <v>103250.59</v>
      </c>
      <c r="R1598" t="inlineStr">
        <is>
          <t>Vaccines</t>
        </is>
      </c>
      <c r="S1598" s="70" t="n">
        <v>496</v>
      </c>
      <c r="T1598" s="71" t="n">
        <v>29576.16</v>
      </c>
      <c r="U1598" t="inlineStr">
        <is>
          <t>Low</t>
        </is>
      </c>
      <c r="V1598">
        <f>IF(AND(OR(Dashboard!$C$6="All",E1598=Dashboard!$C$6),OR(Dashboard!$F$6="All",G1598=Dashboard!$F$6),OR(Dashboard!$I$6="All",H1598=Dashboard!$I$6)),1,0)</f>
        <v/>
      </c>
    </row>
    <row r="1599">
      <c r="A1599" t="inlineStr">
        <is>
          <t>PF101590</t>
        </is>
      </c>
      <c r="B1599" s="68" t="n">
        <v>45852</v>
      </c>
      <c r="C1599" s="69" t="n">
        <v>2025</v>
      </c>
      <c r="D1599" t="inlineStr">
        <is>
          <t>Jul</t>
        </is>
      </c>
      <c r="E1599" t="inlineStr">
        <is>
          <t>United States</t>
        </is>
      </c>
      <c r="F1599" t="inlineStr">
        <is>
          <t>USA</t>
        </is>
      </c>
      <c r="G1599" t="inlineStr">
        <is>
          <t>Prevnar 20</t>
        </is>
      </c>
      <c r="H1599" t="inlineStr">
        <is>
          <t>Hospital</t>
        </is>
      </c>
      <c r="I1599" t="inlineStr">
        <is>
          <t>Private insurer</t>
        </is>
      </c>
      <c r="J1599" t="inlineStr">
        <is>
          <t>Sophie Müller</t>
        </is>
      </c>
      <c r="K1599" s="70" t="n">
        <v>2815</v>
      </c>
      <c r="L1599" s="71" t="n">
        <v>355.52</v>
      </c>
      <c r="M1599" s="71" t="n">
        <v>1000788.8</v>
      </c>
      <c r="N1599" s="71" t="n">
        <v>250197.2</v>
      </c>
      <c r="O1599" s="71" t="n">
        <v>750591.6</v>
      </c>
      <c r="P1599" s="71" t="n">
        <v>193235.07</v>
      </c>
      <c r="Q1599" s="71" t="n">
        <v>557356.53</v>
      </c>
      <c r="R1599" t="inlineStr">
        <is>
          <t>Vaccines</t>
        </is>
      </c>
      <c r="S1599" s="70" t="n">
        <v>2632</v>
      </c>
      <c r="T1599" s="71" t="n">
        <v>218249.33</v>
      </c>
      <c r="U1599" t="inlineStr">
        <is>
          <t>Low</t>
        </is>
      </c>
      <c r="V1599">
        <f>IF(AND(OR(Dashboard!$C$6="All",E1599=Dashboard!$C$6),OR(Dashboard!$F$6="All",G1599=Dashboard!$F$6),OR(Dashboard!$I$6="All",H1599=Dashboard!$I$6)),1,0)</f>
        <v/>
      </c>
    </row>
    <row r="1600">
      <c r="A1600" t="inlineStr">
        <is>
          <t>PF101591</t>
        </is>
      </c>
      <c r="B1600" s="68" t="n">
        <v>45852</v>
      </c>
      <c r="C1600" s="69" t="n">
        <v>2025</v>
      </c>
      <c r="D1600" t="inlineStr">
        <is>
          <t>Jul</t>
        </is>
      </c>
      <c r="E1600" t="inlineStr">
        <is>
          <t>International developed</t>
        </is>
      </c>
      <c r="F1600" t="inlineStr">
        <is>
          <t>Canada</t>
        </is>
      </c>
      <c r="G1600" t="inlineStr">
        <is>
          <t>Comirnaty</t>
        </is>
      </c>
      <c r="H1600" t="inlineStr">
        <is>
          <t>Hospital</t>
        </is>
      </c>
      <c r="I1600" t="inlineStr">
        <is>
          <t>Private insurer</t>
        </is>
      </c>
      <c r="J1600" t="inlineStr">
        <is>
          <t>Zoya Ahmed</t>
        </is>
      </c>
      <c r="K1600" s="70" t="n">
        <v>962</v>
      </c>
      <c r="L1600" s="71" t="n">
        <v>103.94</v>
      </c>
      <c r="M1600" s="71" t="n">
        <v>99990.28</v>
      </c>
      <c r="N1600" s="71" t="n">
        <v>19998.06</v>
      </c>
      <c r="O1600" s="71" t="n">
        <v>79992.22</v>
      </c>
      <c r="P1600" s="71" t="n">
        <v>38325.81</v>
      </c>
      <c r="Q1600" s="71" t="n">
        <v>41666.41</v>
      </c>
      <c r="R1600" t="inlineStr">
        <is>
          <t>Vaccines</t>
        </is>
      </c>
      <c r="S1600" s="70" t="n">
        <v>650</v>
      </c>
      <c r="T1600" s="71" t="n">
        <v>21841.78</v>
      </c>
      <c r="U1600" t="inlineStr">
        <is>
          <t>Low</t>
        </is>
      </c>
      <c r="V1600">
        <f>IF(AND(OR(Dashboard!$C$6="All",E1600=Dashboard!$C$6),OR(Dashboard!$F$6="All",G1600=Dashboard!$F$6),OR(Dashboard!$I$6="All",H1600=Dashboard!$I$6)),1,0)</f>
        <v/>
      </c>
    </row>
    <row r="1601">
      <c r="A1601" t="inlineStr">
        <is>
          <t>PF101592</t>
        </is>
      </c>
      <c r="B1601" s="68" t="n">
        <v>45852</v>
      </c>
      <c r="C1601" s="69" t="n">
        <v>2025</v>
      </c>
      <c r="D1601" t="inlineStr">
        <is>
          <t>Jul</t>
        </is>
      </c>
      <c r="E1601" t="inlineStr">
        <is>
          <t>United States</t>
        </is>
      </c>
      <c r="F1601" t="inlineStr">
        <is>
          <t>USA</t>
        </is>
      </c>
      <c r="G1601" t="inlineStr">
        <is>
          <t>Xeljanz</t>
        </is>
      </c>
      <c r="H1601" t="inlineStr">
        <is>
          <t>Government / tender</t>
        </is>
      </c>
      <c r="I1601" t="inlineStr">
        <is>
          <t>Self-pay</t>
        </is>
      </c>
      <c r="J1601" t="inlineStr">
        <is>
          <t>Sophie Müller</t>
        </is>
      </c>
      <c r="K1601" s="70" t="n">
        <v>1514</v>
      </c>
      <c r="L1601" s="71" t="n">
        <v>2363.39</v>
      </c>
      <c r="M1601" s="71" t="n">
        <v>3578172.46</v>
      </c>
      <c r="N1601" s="71" t="n">
        <v>894543.11</v>
      </c>
      <c r="O1601" s="71" t="n">
        <v>2683629.35</v>
      </c>
      <c r="P1601" s="71" t="n">
        <v>376948.6</v>
      </c>
      <c r="Q1601" s="71" t="n">
        <v>2306680.75</v>
      </c>
      <c r="R1601" t="inlineStr">
        <is>
          <t>Inflammation</t>
        </is>
      </c>
      <c r="S1601" s="70" t="n">
        <v>1120</v>
      </c>
      <c r="T1601" s="71" t="n">
        <v>677136.46</v>
      </c>
      <c r="U1601" t="inlineStr">
        <is>
          <t>High</t>
        </is>
      </c>
      <c r="V1601">
        <f>IF(AND(OR(Dashboard!$C$6="All",E1601=Dashboard!$C$6),OR(Dashboard!$F$6="All",G1601=Dashboard!$F$6),OR(Dashboard!$I$6="All",H1601=Dashboard!$I$6)),1,0)</f>
        <v/>
      </c>
    </row>
    <row r="1602">
      <c r="A1602" t="inlineStr">
        <is>
          <t>PF101593</t>
        </is>
      </c>
      <c r="B1602" s="68" t="n">
        <v>45852</v>
      </c>
      <c r="C1602" s="69" t="n">
        <v>2025</v>
      </c>
      <c r="D1602" t="inlineStr">
        <is>
          <t>Jul</t>
        </is>
      </c>
      <c r="E1602" t="inlineStr">
        <is>
          <t>United States</t>
        </is>
      </c>
      <c r="F1602" t="inlineStr">
        <is>
          <t>USA</t>
        </is>
      </c>
      <c r="G1602" t="inlineStr">
        <is>
          <t>Prevnar 20</t>
        </is>
      </c>
      <c r="H1602" t="inlineStr">
        <is>
          <t>Retail pharmacy</t>
        </is>
      </c>
      <c r="I1602" t="inlineStr">
        <is>
          <t>Private insurer</t>
        </is>
      </c>
      <c r="J1602" t="inlineStr">
        <is>
          <t>Arjun Mehta</t>
        </is>
      </c>
      <c r="K1602" s="70" t="n">
        <v>2625</v>
      </c>
      <c r="L1602" s="71" t="n">
        <v>347.57</v>
      </c>
      <c r="M1602" s="71" t="n">
        <v>912371.25</v>
      </c>
      <c r="N1602" s="71" t="n">
        <v>319329.94</v>
      </c>
      <c r="O1602" s="71" t="n">
        <v>593041.3100000001</v>
      </c>
      <c r="P1602" s="71" t="n">
        <v>179953.56</v>
      </c>
      <c r="Q1602" s="71" t="n">
        <v>413087.75</v>
      </c>
      <c r="R1602" t="inlineStr">
        <is>
          <t>Vaccines</t>
        </is>
      </c>
      <c r="S1602" s="70" t="n">
        <v>2037</v>
      </c>
      <c r="T1602" s="71" t="n">
        <v>112081.09</v>
      </c>
      <c r="U1602" t="inlineStr">
        <is>
          <t>Low</t>
        </is>
      </c>
      <c r="V1602">
        <f>IF(AND(OR(Dashboard!$C$6="All",E1602=Dashboard!$C$6),OR(Dashboard!$F$6="All",G1602=Dashboard!$F$6),OR(Dashboard!$I$6="All",H1602=Dashboard!$I$6)),1,0)</f>
        <v/>
      </c>
    </row>
    <row r="1603">
      <c r="A1603" t="inlineStr">
        <is>
          <t>PF101594</t>
        </is>
      </c>
      <c r="B1603" s="68" t="n">
        <v>45852</v>
      </c>
      <c r="C1603" s="69" t="n">
        <v>2025</v>
      </c>
      <c r="D1603" t="inlineStr">
        <is>
          <t>Jul</t>
        </is>
      </c>
      <c r="E1603" t="inlineStr">
        <is>
          <t>Europe</t>
        </is>
      </c>
      <c r="F1603" t="inlineStr">
        <is>
          <t>Spain</t>
        </is>
      </c>
      <c r="G1603" t="inlineStr">
        <is>
          <t>Xeljanz</t>
        </is>
      </c>
      <c r="H1603" t="inlineStr">
        <is>
          <t>Retail pharmacy</t>
        </is>
      </c>
      <c r="I1603" t="inlineStr">
        <is>
          <t>Private insurer</t>
        </is>
      </c>
      <c r="J1603" t="inlineStr">
        <is>
          <t>Aisha Bello</t>
        </is>
      </c>
      <c r="K1603" s="70" t="n">
        <v>779</v>
      </c>
      <c r="L1603" s="71" t="n">
        <v>1534.38</v>
      </c>
      <c r="M1603" s="71" t="n">
        <v>1195282.02</v>
      </c>
      <c r="N1603" s="71" t="n">
        <v>298820.51</v>
      </c>
      <c r="O1603" s="71" t="n">
        <v>896461.51</v>
      </c>
      <c r="P1603" s="71" t="n">
        <v>204047.33</v>
      </c>
      <c r="Q1603" s="71" t="n">
        <v>692414.1800000001</v>
      </c>
      <c r="R1603" t="inlineStr">
        <is>
          <t>Inflammation</t>
        </is>
      </c>
      <c r="S1603" s="70" t="n">
        <v>488</v>
      </c>
      <c r="T1603" s="71" t="n">
        <v>209862.83</v>
      </c>
      <c r="U1603" t="inlineStr">
        <is>
          <t>High</t>
        </is>
      </c>
      <c r="V1603">
        <f>IF(AND(OR(Dashboard!$C$6="All",E1603=Dashboard!$C$6),OR(Dashboard!$F$6="All",G1603=Dashboard!$F$6),OR(Dashboard!$I$6="All",H1603=Dashboard!$I$6)),1,0)</f>
        <v/>
      </c>
    </row>
    <row r="1604">
      <c r="A1604" t="inlineStr">
        <is>
          <t>PF101595</t>
        </is>
      </c>
      <c r="B1604" s="68" t="n">
        <v>45852</v>
      </c>
      <c r="C1604" s="69" t="n">
        <v>2025</v>
      </c>
      <c r="D1604" t="inlineStr">
        <is>
          <t>Jul</t>
        </is>
      </c>
      <c r="E1604" t="inlineStr">
        <is>
          <t>United States</t>
        </is>
      </c>
      <c r="F1604" t="inlineStr">
        <is>
          <t>USA</t>
        </is>
      </c>
      <c r="G1604" t="inlineStr">
        <is>
          <t>Paxlovid</t>
        </is>
      </c>
      <c r="H1604" t="inlineStr">
        <is>
          <t>Government / tender</t>
        </is>
      </c>
      <c r="I1604" t="inlineStr">
        <is>
          <t>Public payer</t>
        </is>
      </c>
      <c r="J1604" t="inlineStr">
        <is>
          <t>Carlos Silva</t>
        </is>
      </c>
      <c r="K1604" s="70" t="n">
        <v>432</v>
      </c>
      <c r="L1604" s="71" t="n">
        <v>1881.09</v>
      </c>
      <c r="M1604" s="71" t="n">
        <v>812630.88</v>
      </c>
      <c r="N1604" s="71" t="n">
        <v>203157.72</v>
      </c>
      <c r="O1604" s="71" t="n">
        <v>609473.16</v>
      </c>
      <c r="P1604" s="71" t="n">
        <v>122956.83</v>
      </c>
      <c r="Q1604" s="71" t="n">
        <v>486516.33</v>
      </c>
      <c r="R1604" t="inlineStr">
        <is>
          <t>Antiviral</t>
        </is>
      </c>
      <c r="S1604" s="70" t="n">
        <v>299</v>
      </c>
      <c r="T1604" s="71" t="n">
        <v>133233.88</v>
      </c>
      <c r="U1604" t="inlineStr">
        <is>
          <t>Low</t>
        </is>
      </c>
      <c r="V1604">
        <f>IF(AND(OR(Dashboard!$C$6="All",E1604=Dashboard!$C$6),OR(Dashboard!$F$6="All",G1604=Dashboard!$F$6),OR(Dashboard!$I$6="All",H1604=Dashboard!$I$6)),1,0)</f>
        <v/>
      </c>
    </row>
    <row r="1605">
      <c r="A1605" t="inlineStr">
        <is>
          <t>PF101596</t>
        </is>
      </c>
      <c r="B1605" s="68" t="n">
        <v>45853</v>
      </c>
      <c r="C1605" s="69" t="n">
        <v>2025</v>
      </c>
      <c r="D1605" t="inlineStr">
        <is>
          <t>Jul</t>
        </is>
      </c>
      <c r="E1605" t="inlineStr">
        <is>
          <t>Europe</t>
        </is>
      </c>
      <c r="F1605" t="inlineStr">
        <is>
          <t>Germany</t>
        </is>
      </c>
      <c r="G1605" t="inlineStr">
        <is>
          <t>Eliquis</t>
        </is>
      </c>
      <c r="H1605" t="inlineStr">
        <is>
          <t>Government / tender</t>
        </is>
      </c>
      <c r="I1605" t="inlineStr">
        <is>
          <t>Private insurer</t>
        </is>
      </c>
      <c r="J1605" t="inlineStr">
        <is>
          <t>Fatima Al-Saud</t>
        </is>
      </c>
      <c r="K1605" s="70" t="n">
        <v>2936</v>
      </c>
      <c r="L1605" s="71" t="n">
        <v>391.43</v>
      </c>
      <c r="M1605" s="71" t="n">
        <v>1149238.48</v>
      </c>
      <c r="N1605" s="71" t="n">
        <v>172385.77</v>
      </c>
      <c r="O1605" s="71" t="n">
        <v>976852.71</v>
      </c>
      <c r="P1605" s="71" t="n">
        <v>216912.52</v>
      </c>
      <c r="Q1605" s="71" t="n">
        <v>759940.1899999999</v>
      </c>
      <c r="R1605" t="inlineStr">
        <is>
          <t>Cardiology</t>
        </is>
      </c>
      <c r="S1605" s="70" t="n">
        <v>2296</v>
      </c>
      <c r="T1605" s="71" t="n">
        <v>146507.25</v>
      </c>
      <c r="U1605" t="inlineStr">
        <is>
          <t>High</t>
        </is>
      </c>
      <c r="V1605">
        <f>IF(AND(OR(Dashboard!$C$6="All",E1605=Dashboard!$C$6),OR(Dashboard!$F$6="All",G1605=Dashboard!$F$6),OR(Dashboard!$I$6="All",H1605=Dashboard!$I$6)),1,0)</f>
        <v/>
      </c>
    </row>
    <row r="1606">
      <c r="A1606" t="inlineStr">
        <is>
          <t>PF101597</t>
        </is>
      </c>
      <c r="B1606" s="68" t="n">
        <v>45853</v>
      </c>
      <c r="C1606" s="69" t="n">
        <v>2025</v>
      </c>
      <c r="D1606" t="inlineStr">
        <is>
          <t>Jul</t>
        </is>
      </c>
      <c r="E1606" t="inlineStr">
        <is>
          <t>United States</t>
        </is>
      </c>
      <c r="F1606" t="inlineStr">
        <is>
          <t>USA</t>
        </is>
      </c>
      <c r="G1606" t="inlineStr">
        <is>
          <t>Comirnaty</t>
        </is>
      </c>
      <c r="H1606" t="inlineStr">
        <is>
          <t>Retail pharmacy</t>
        </is>
      </c>
      <c r="I1606" t="inlineStr">
        <is>
          <t>Public payer</t>
        </is>
      </c>
      <c r="J1606" t="inlineStr">
        <is>
          <t>Arjun Mehta</t>
        </is>
      </c>
      <c r="K1606" s="70" t="n">
        <v>2412</v>
      </c>
      <c r="L1606" s="71" t="n">
        <v>193.33</v>
      </c>
      <c r="M1606" s="71" t="n">
        <v>466311.96</v>
      </c>
      <c r="N1606" s="71" t="n">
        <v>116577.99</v>
      </c>
      <c r="O1606" s="71" t="n">
        <v>349733.97</v>
      </c>
      <c r="P1606" s="71" t="n">
        <v>91412.09</v>
      </c>
      <c r="Q1606" s="71" t="n">
        <v>258321.88</v>
      </c>
      <c r="R1606" t="inlineStr">
        <is>
          <t>Vaccines</t>
        </is>
      </c>
      <c r="S1606" s="70" t="n">
        <v>1726</v>
      </c>
      <c r="T1606" s="71" t="n">
        <v>93536.96000000001</v>
      </c>
      <c r="U1606" t="inlineStr">
        <is>
          <t>Low</t>
        </is>
      </c>
      <c r="V1606">
        <f>IF(AND(OR(Dashboard!$C$6="All",E1606=Dashboard!$C$6),OR(Dashboard!$F$6="All",G1606=Dashboard!$F$6),OR(Dashboard!$I$6="All",H1606=Dashboard!$I$6)),1,0)</f>
        <v/>
      </c>
    </row>
    <row r="1607">
      <c r="A1607" t="inlineStr">
        <is>
          <t>PF101598</t>
        </is>
      </c>
      <c r="B1607" s="68" t="n">
        <v>45853</v>
      </c>
      <c r="C1607" s="69" t="n">
        <v>2025</v>
      </c>
      <c r="D1607" t="inlineStr">
        <is>
          <t>Jul</t>
        </is>
      </c>
      <c r="E1607" t="inlineStr">
        <is>
          <t>International developed</t>
        </is>
      </c>
      <c r="F1607" t="inlineStr">
        <is>
          <t>Canada</t>
        </is>
      </c>
      <c r="G1607" t="inlineStr">
        <is>
          <t>Paxlovid</t>
        </is>
      </c>
      <c r="H1607" t="inlineStr">
        <is>
          <t>Retail pharmacy</t>
        </is>
      </c>
      <c r="I1607" t="inlineStr">
        <is>
          <t>Public payer</t>
        </is>
      </c>
      <c r="J1607" t="inlineStr">
        <is>
          <t>Olivia Brown</t>
        </is>
      </c>
      <c r="K1607" s="70" t="n">
        <v>1603</v>
      </c>
      <c r="L1607" s="71" t="n">
        <v>1195.44</v>
      </c>
      <c r="M1607" s="71" t="n">
        <v>1916290.32</v>
      </c>
      <c r="N1607" s="71" t="n">
        <v>287443.55</v>
      </c>
      <c r="O1607" s="71" t="n">
        <v>1628846.77</v>
      </c>
      <c r="P1607" s="71" t="n">
        <v>434314.6</v>
      </c>
      <c r="Q1607" s="71" t="n">
        <v>1194532.17</v>
      </c>
      <c r="R1607" t="inlineStr">
        <is>
          <t>Antiviral</t>
        </is>
      </c>
      <c r="S1607" s="70" t="n">
        <v>1281</v>
      </c>
      <c r="T1607" s="71" t="n">
        <v>365071.64</v>
      </c>
      <c r="U1607" t="inlineStr">
        <is>
          <t>Low</t>
        </is>
      </c>
      <c r="V1607">
        <f>IF(AND(OR(Dashboard!$C$6="All",E1607=Dashboard!$C$6),OR(Dashboard!$F$6="All",G1607=Dashboard!$F$6),OR(Dashboard!$I$6="All",H1607=Dashboard!$I$6)),1,0)</f>
        <v/>
      </c>
    </row>
    <row r="1608">
      <c r="A1608" t="inlineStr">
        <is>
          <t>PF101599</t>
        </is>
      </c>
      <c r="B1608" s="68" t="n">
        <v>45853</v>
      </c>
      <c r="C1608" s="69" t="n">
        <v>2025</v>
      </c>
      <c r="D1608" t="inlineStr">
        <is>
          <t>Jul</t>
        </is>
      </c>
      <c r="E1608" t="inlineStr">
        <is>
          <t>Europe</t>
        </is>
      </c>
      <c r="F1608" t="inlineStr">
        <is>
          <t>Spain</t>
        </is>
      </c>
      <c r="G1608" t="inlineStr">
        <is>
          <t>Paxlovid</t>
        </is>
      </c>
      <c r="H1608" t="inlineStr">
        <is>
          <t>Hospital</t>
        </is>
      </c>
      <c r="I1608" t="inlineStr">
        <is>
          <t>Public payer</t>
        </is>
      </c>
      <c r="J1608" t="inlineStr">
        <is>
          <t>Yuki Sato</t>
        </is>
      </c>
      <c r="K1608" s="70" t="n">
        <v>907</v>
      </c>
      <c r="L1608" s="71" t="n">
        <v>1197.2</v>
      </c>
      <c r="M1608" s="71" t="n">
        <v>1085860.4</v>
      </c>
      <c r="N1608" s="71" t="n">
        <v>108586.04</v>
      </c>
      <c r="O1608" s="71" t="n">
        <v>977274.36</v>
      </c>
      <c r="P1608" s="71" t="n">
        <v>249594.64</v>
      </c>
      <c r="Q1608" s="71" t="n">
        <v>727679.72</v>
      </c>
      <c r="R1608" t="inlineStr">
        <is>
          <t>Antiviral</t>
        </is>
      </c>
      <c r="S1608" s="70" t="n">
        <v>614</v>
      </c>
      <c r="T1608" s="71" t="n">
        <v>130574.45</v>
      </c>
      <c r="U1608" t="inlineStr">
        <is>
          <t>Low</t>
        </is>
      </c>
      <c r="V1608">
        <f>IF(AND(OR(Dashboard!$C$6="All",E1608=Dashboard!$C$6),OR(Dashboard!$F$6="All",G1608=Dashboard!$F$6),OR(Dashboard!$I$6="All",H1608=Dashboard!$I$6)),1,0)</f>
        <v/>
      </c>
    </row>
    <row r="1609">
      <c r="A1609" t="inlineStr">
        <is>
          <t>PF101600</t>
        </is>
      </c>
      <c r="B1609" s="68" t="n">
        <v>45853</v>
      </c>
      <c r="C1609" s="69" t="n">
        <v>2025</v>
      </c>
      <c r="D1609" t="inlineStr">
        <is>
          <t>Jul</t>
        </is>
      </c>
      <c r="E1609" t="inlineStr">
        <is>
          <t>Emerging markets</t>
        </is>
      </c>
      <c r="F1609" t="inlineStr">
        <is>
          <t>Brazil</t>
        </is>
      </c>
      <c r="G1609" t="inlineStr">
        <is>
          <t>Abrysvo</t>
        </is>
      </c>
      <c r="H1609" t="inlineStr">
        <is>
          <t>Government / tender</t>
        </is>
      </c>
      <c r="I1609" t="inlineStr">
        <is>
          <t>Public payer</t>
        </is>
      </c>
      <c r="J1609" t="inlineStr">
        <is>
          <t>Zoya Ahmed</t>
        </is>
      </c>
      <c r="K1609" s="70" t="n">
        <v>2267</v>
      </c>
      <c r="L1609" s="71" t="n">
        <v>257.34</v>
      </c>
      <c r="M1609" s="71" t="n">
        <v>583389.78</v>
      </c>
      <c r="N1609" s="71" t="n">
        <v>87508.47</v>
      </c>
      <c r="O1609" s="71" t="n">
        <v>495881.31</v>
      </c>
      <c r="P1609" s="71" t="n">
        <v>183081.83</v>
      </c>
      <c r="Q1609" s="71" t="n">
        <v>312799.48</v>
      </c>
      <c r="R1609" t="inlineStr">
        <is>
          <t>Vaccines</t>
        </is>
      </c>
      <c r="S1609" s="70" t="n">
        <v>1746</v>
      </c>
      <c r="T1609" s="71" t="n">
        <v>75870.38</v>
      </c>
      <c r="U1609" t="inlineStr">
        <is>
          <t>Low</t>
        </is>
      </c>
      <c r="V1609">
        <f>IF(AND(OR(Dashboard!$C$6="All",E1609=Dashboard!$C$6),OR(Dashboard!$F$6="All",G1609=Dashboard!$F$6),OR(Dashboard!$I$6="All",H1609=Dashboard!$I$6)),1,0)</f>
        <v/>
      </c>
    </row>
    <row r="1610">
      <c r="A1610" t="inlineStr">
        <is>
          <t>PF101601</t>
        </is>
      </c>
      <c r="B1610" s="68" t="n">
        <v>45853</v>
      </c>
      <c r="C1610" s="69" t="n">
        <v>2025</v>
      </c>
      <c r="D1610" t="inlineStr">
        <is>
          <t>Jul</t>
        </is>
      </c>
      <c r="E1610" t="inlineStr">
        <is>
          <t>Emerging markets</t>
        </is>
      </c>
      <c r="F1610" t="inlineStr">
        <is>
          <t>Mexico</t>
        </is>
      </c>
      <c r="G1610" t="inlineStr">
        <is>
          <t>Prevnar 20</t>
        </is>
      </c>
      <c r="H1610" t="inlineStr">
        <is>
          <t>Retail pharmacy</t>
        </is>
      </c>
      <c r="I1610" t="inlineStr">
        <is>
          <t>Public payer</t>
        </is>
      </c>
      <c r="J1610" t="inlineStr">
        <is>
          <t>Aisha Bello</t>
        </is>
      </c>
      <c r="K1610" s="70" t="n">
        <v>1542</v>
      </c>
      <c r="L1610" s="71" t="n">
        <v>236.49</v>
      </c>
      <c r="M1610" s="71" t="n">
        <v>364667.58</v>
      </c>
      <c r="N1610" s="71" t="n">
        <v>91166.89999999999</v>
      </c>
      <c r="O1610" s="71" t="n">
        <v>273500.68</v>
      </c>
      <c r="P1610" s="71" t="n">
        <v>104366.74</v>
      </c>
      <c r="Q1610" s="71" t="n">
        <v>169133.94</v>
      </c>
      <c r="R1610" t="inlineStr">
        <is>
          <t>Vaccines</t>
        </is>
      </c>
      <c r="S1610" s="70" t="n">
        <v>1112</v>
      </c>
      <c r="T1610" s="71" t="n">
        <v>62785.76</v>
      </c>
      <c r="U1610" t="inlineStr">
        <is>
          <t>Low</t>
        </is>
      </c>
      <c r="V1610">
        <f>IF(AND(OR(Dashboard!$C$6="All",E1610=Dashboard!$C$6),OR(Dashboard!$F$6="All",G1610=Dashboard!$F$6),OR(Dashboard!$I$6="All",H1610=Dashboard!$I$6)),1,0)</f>
        <v/>
      </c>
    </row>
    <row r="1611">
      <c r="A1611" t="inlineStr">
        <is>
          <t>PF101602</t>
        </is>
      </c>
      <c r="B1611" s="68" t="n">
        <v>45854</v>
      </c>
      <c r="C1611" s="69" t="n">
        <v>2025</v>
      </c>
      <c r="D1611" t="inlineStr">
        <is>
          <t>Jul</t>
        </is>
      </c>
      <c r="E1611" t="inlineStr">
        <is>
          <t>Europe</t>
        </is>
      </c>
      <c r="F1611" t="inlineStr">
        <is>
          <t>UK</t>
        </is>
      </c>
      <c r="G1611" t="inlineStr">
        <is>
          <t>Prevnar 20</t>
        </is>
      </c>
      <c r="H1611" t="inlineStr">
        <is>
          <t>Retail pharmacy</t>
        </is>
      </c>
      <c r="I1611" t="inlineStr">
        <is>
          <t>Private insurer</t>
        </is>
      </c>
      <c r="J1611" t="inlineStr">
        <is>
          <t>Olivia Brown</t>
        </is>
      </c>
      <c r="K1611" s="70" t="n">
        <v>2378</v>
      </c>
      <c r="L1611" s="71" t="n">
        <v>216.52</v>
      </c>
      <c r="M1611" s="71" t="n">
        <v>514884.56</v>
      </c>
      <c r="N1611" s="71" t="n">
        <v>25744.23</v>
      </c>
      <c r="O1611" s="71" t="n">
        <v>489140.33</v>
      </c>
      <c r="P1611" s="71" t="n">
        <v>159622.51</v>
      </c>
      <c r="Q1611" s="71" t="n">
        <v>329517.82</v>
      </c>
      <c r="R1611" t="inlineStr">
        <is>
          <t>Vaccines</t>
        </is>
      </c>
      <c r="S1611" s="70" t="n">
        <v>2115</v>
      </c>
      <c r="T1611" s="71" t="n">
        <v>95137.5</v>
      </c>
      <c r="U1611" t="inlineStr">
        <is>
          <t>Low</t>
        </is>
      </c>
      <c r="V1611">
        <f>IF(AND(OR(Dashboard!$C$6="All",E1611=Dashboard!$C$6),OR(Dashboard!$F$6="All",G1611=Dashboard!$F$6),OR(Dashboard!$I$6="All",H1611=Dashboard!$I$6)),1,0)</f>
        <v/>
      </c>
    </row>
    <row r="1612">
      <c r="A1612" t="inlineStr">
        <is>
          <t>PF101603</t>
        </is>
      </c>
      <c r="B1612" s="68" t="n">
        <v>45854</v>
      </c>
      <c r="C1612" s="69" t="n">
        <v>2025</v>
      </c>
      <c r="D1612" t="inlineStr">
        <is>
          <t>Jul</t>
        </is>
      </c>
      <c r="E1612" t="inlineStr">
        <is>
          <t>Emerging markets</t>
        </is>
      </c>
      <c r="F1612" t="inlineStr">
        <is>
          <t>India</t>
        </is>
      </c>
      <c r="G1612" t="inlineStr">
        <is>
          <t>Comirnaty</t>
        </is>
      </c>
      <c r="H1612" t="inlineStr">
        <is>
          <t>Retail pharmacy</t>
        </is>
      </c>
      <c r="I1612" t="inlineStr">
        <is>
          <t>Private insurer</t>
        </is>
      </c>
      <c r="J1612" t="inlineStr">
        <is>
          <t>Arjun Mehta</t>
        </is>
      </c>
      <c r="K1612" s="70" t="n">
        <v>2577</v>
      </c>
      <c r="L1612" s="71" t="n">
        <v>109.39</v>
      </c>
      <c r="M1612" s="71" t="n">
        <v>281898.03</v>
      </c>
      <c r="N1612" s="71" t="n">
        <v>70474.50999999999</v>
      </c>
      <c r="O1612" s="71" t="n">
        <v>211423.52</v>
      </c>
      <c r="P1612" s="71" t="n">
        <v>102910.19</v>
      </c>
      <c r="Q1612" s="71" t="n">
        <v>108513.33</v>
      </c>
      <c r="R1612" t="inlineStr">
        <is>
          <t>Vaccines</t>
        </is>
      </c>
      <c r="S1612" s="70" t="n">
        <v>1926</v>
      </c>
      <c r="T1612" s="71" t="n">
        <v>48964.4</v>
      </c>
      <c r="U1612" t="inlineStr">
        <is>
          <t>Low</t>
        </is>
      </c>
      <c r="V1612">
        <f>IF(AND(OR(Dashboard!$C$6="All",E1612=Dashboard!$C$6),OR(Dashboard!$F$6="All",G1612=Dashboard!$F$6),OR(Dashboard!$I$6="All",H1612=Dashboard!$I$6)),1,0)</f>
        <v/>
      </c>
    </row>
    <row r="1613">
      <c r="A1613" t="inlineStr">
        <is>
          <t>PF101604</t>
        </is>
      </c>
      <c r="B1613" s="68" t="n">
        <v>45854</v>
      </c>
      <c r="C1613" s="69" t="n">
        <v>2025</v>
      </c>
      <c r="D1613" t="inlineStr">
        <is>
          <t>Jul</t>
        </is>
      </c>
      <c r="E1613" t="inlineStr">
        <is>
          <t>Europe</t>
        </is>
      </c>
      <c r="F1613" t="inlineStr">
        <is>
          <t>Spain</t>
        </is>
      </c>
      <c r="G1613" t="inlineStr">
        <is>
          <t>Prevnar 20</t>
        </is>
      </c>
      <c r="H1613" t="inlineStr">
        <is>
          <t>Hospital</t>
        </is>
      </c>
      <c r="I1613" t="inlineStr">
        <is>
          <t>Public payer</t>
        </is>
      </c>
      <c r="J1613" t="inlineStr">
        <is>
          <t>Ravindra Patil</t>
        </is>
      </c>
      <c r="K1613" s="70" t="n">
        <v>1786</v>
      </c>
      <c r="L1613" s="71" t="n">
        <v>218.61</v>
      </c>
      <c r="M1613" s="71" t="n">
        <v>390437.46</v>
      </c>
      <c r="N1613" s="71" t="n">
        <v>58565.62</v>
      </c>
      <c r="O1613" s="71" t="n">
        <v>331871.84</v>
      </c>
      <c r="P1613" s="71" t="n">
        <v>126094.4</v>
      </c>
      <c r="Q1613" s="71" t="n">
        <v>205777.44</v>
      </c>
      <c r="R1613" t="inlineStr">
        <is>
          <t>Vaccines</t>
        </is>
      </c>
      <c r="S1613" s="70" t="n">
        <v>1347</v>
      </c>
      <c r="T1613" s="71" t="n">
        <v>57743.38</v>
      </c>
      <c r="U1613" t="inlineStr">
        <is>
          <t>Low</t>
        </is>
      </c>
      <c r="V1613">
        <f>IF(AND(OR(Dashboard!$C$6="All",E1613=Dashboard!$C$6),OR(Dashboard!$F$6="All",G1613=Dashboard!$F$6),OR(Dashboard!$I$6="All",H1613=Dashboard!$I$6)),1,0)</f>
        <v/>
      </c>
    </row>
    <row r="1614">
      <c r="A1614" t="inlineStr">
        <is>
          <t>PF101605</t>
        </is>
      </c>
      <c r="B1614" s="68" t="n">
        <v>45854</v>
      </c>
      <c r="C1614" s="69" t="n">
        <v>2025</v>
      </c>
      <c r="D1614" t="inlineStr">
        <is>
          <t>Jul</t>
        </is>
      </c>
      <c r="E1614" t="inlineStr">
        <is>
          <t>Europe</t>
        </is>
      </c>
      <c r="F1614" t="inlineStr">
        <is>
          <t>Germany</t>
        </is>
      </c>
      <c r="G1614" t="inlineStr">
        <is>
          <t>Ibrance</t>
        </is>
      </c>
      <c r="H1614" t="inlineStr">
        <is>
          <t>Government / tender</t>
        </is>
      </c>
      <c r="I1614" t="inlineStr">
        <is>
          <t>Public payer</t>
        </is>
      </c>
      <c r="J1614" t="inlineStr">
        <is>
          <t>Lucas Martin</t>
        </is>
      </c>
      <c r="K1614" s="70" t="n">
        <v>903</v>
      </c>
      <c r="L1614" s="71" t="n">
        <v>2776.2</v>
      </c>
      <c r="M1614" s="71" t="n">
        <v>2506908.6</v>
      </c>
      <c r="N1614" s="71" t="n">
        <v>250690.86</v>
      </c>
      <c r="O1614" s="71" t="n">
        <v>2256217.74</v>
      </c>
      <c r="P1614" s="71" t="n">
        <v>399699.44</v>
      </c>
      <c r="Q1614" s="71" t="n">
        <v>1856518.3</v>
      </c>
      <c r="R1614" t="inlineStr">
        <is>
          <t>Oncology</t>
        </is>
      </c>
      <c r="S1614" s="70" t="n">
        <v>575</v>
      </c>
      <c r="T1614" s="71" t="n">
        <v>332567.89</v>
      </c>
      <c r="U1614" t="inlineStr">
        <is>
          <t>High</t>
        </is>
      </c>
      <c r="V1614">
        <f>IF(AND(OR(Dashboard!$C$6="All",E1614=Dashboard!$C$6),OR(Dashboard!$F$6="All",G1614=Dashboard!$F$6),OR(Dashboard!$I$6="All",H1614=Dashboard!$I$6)),1,0)</f>
        <v/>
      </c>
    </row>
    <row r="1615">
      <c r="A1615" t="inlineStr">
        <is>
          <t>PF101606</t>
        </is>
      </c>
      <c r="B1615" s="68" t="n">
        <v>45854</v>
      </c>
      <c r="C1615" s="69" t="n">
        <v>2025</v>
      </c>
      <c r="D1615" t="inlineStr">
        <is>
          <t>Jul</t>
        </is>
      </c>
      <c r="E1615" t="inlineStr">
        <is>
          <t>Europe</t>
        </is>
      </c>
      <c r="F1615" t="inlineStr">
        <is>
          <t>France</t>
        </is>
      </c>
      <c r="G1615" t="inlineStr">
        <is>
          <t>Comirnaty</t>
        </is>
      </c>
      <c r="H1615" t="inlineStr">
        <is>
          <t>Government / tender</t>
        </is>
      </c>
      <c r="I1615" t="inlineStr">
        <is>
          <t>Private insurer</t>
        </is>
      </c>
      <c r="J1615" t="inlineStr">
        <is>
          <t>Sara Rossi</t>
        </is>
      </c>
      <c r="K1615" s="70" t="n">
        <v>1051</v>
      </c>
      <c r="L1615" s="71" t="n">
        <v>119.98</v>
      </c>
      <c r="M1615" s="71" t="n">
        <v>126098.98</v>
      </c>
      <c r="N1615" s="71" t="n">
        <v>31524.74</v>
      </c>
      <c r="O1615" s="71" t="n">
        <v>94574.24000000001</v>
      </c>
      <c r="P1615" s="71" t="n">
        <v>41207.68</v>
      </c>
      <c r="Q1615" s="71" t="n">
        <v>53366.56</v>
      </c>
      <c r="R1615" t="inlineStr">
        <is>
          <t>Vaccines</t>
        </is>
      </c>
      <c r="S1615" s="70" t="n">
        <v>799</v>
      </c>
      <c r="T1615" s="71" t="n">
        <v>24968.49</v>
      </c>
      <c r="U1615" t="inlineStr">
        <is>
          <t>Low</t>
        </is>
      </c>
      <c r="V1615">
        <f>IF(AND(OR(Dashboard!$C$6="All",E1615=Dashboard!$C$6),OR(Dashboard!$F$6="All",G1615=Dashboard!$F$6),OR(Dashboard!$I$6="All",H1615=Dashboard!$I$6)),1,0)</f>
        <v/>
      </c>
    </row>
    <row r="1616">
      <c r="A1616" t="inlineStr">
        <is>
          <t>PF101607</t>
        </is>
      </c>
      <c r="B1616" s="68" t="n">
        <v>45854</v>
      </c>
      <c r="C1616" s="69" t="n">
        <v>2025</v>
      </c>
      <c r="D1616" t="inlineStr">
        <is>
          <t>Jul</t>
        </is>
      </c>
      <c r="E1616" t="inlineStr">
        <is>
          <t>United States</t>
        </is>
      </c>
      <c r="F1616" t="inlineStr">
        <is>
          <t>USA</t>
        </is>
      </c>
      <c r="G1616" t="inlineStr">
        <is>
          <t>Vyndaqel</t>
        </is>
      </c>
      <c r="H1616" t="inlineStr">
        <is>
          <t>Government / tender</t>
        </is>
      </c>
      <c r="I1616" t="inlineStr">
        <is>
          <t>Public payer</t>
        </is>
      </c>
      <c r="J1616" t="inlineStr">
        <is>
          <t>Carlos Silva</t>
        </is>
      </c>
      <c r="K1616" s="70" t="n">
        <v>276</v>
      </c>
      <c r="L1616" s="71" t="n">
        <v>9082.940000000001</v>
      </c>
      <c r="M1616" s="71" t="n">
        <v>2506891.44</v>
      </c>
      <c r="N1616" s="71" t="n">
        <v>626722.86</v>
      </c>
      <c r="O1616" s="71" t="n">
        <v>1880168.58</v>
      </c>
      <c r="P1616" s="71" t="n">
        <v>173606.97</v>
      </c>
      <c r="Q1616" s="71" t="n">
        <v>1706561.61</v>
      </c>
      <c r="R1616" t="inlineStr">
        <is>
          <t>Rare disease</t>
        </is>
      </c>
      <c r="S1616" s="70" t="n">
        <v>273</v>
      </c>
      <c r="T1616" s="71" t="n">
        <v>516612.96</v>
      </c>
      <c r="U1616" t="inlineStr">
        <is>
          <t>Medium</t>
        </is>
      </c>
      <c r="V1616">
        <f>IF(AND(OR(Dashboard!$C$6="All",E1616=Dashboard!$C$6),OR(Dashboard!$F$6="All",G1616=Dashboard!$F$6),OR(Dashboard!$I$6="All",H1616=Dashboard!$I$6)),1,0)</f>
        <v/>
      </c>
    </row>
    <row r="1617">
      <c r="A1617" t="inlineStr">
        <is>
          <t>PF101608</t>
        </is>
      </c>
      <c r="B1617" s="68" t="n">
        <v>45854</v>
      </c>
      <c r="C1617" s="69" t="n">
        <v>2025</v>
      </c>
      <c r="D1617" t="inlineStr">
        <is>
          <t>Jul</t>
        </is>
      </c>
      <c r="E1617" t="inlineStr">
        <is>
          <t>Europe</t>
        </is>
      </c>
      <c r="F1617" t="inlineStr">
        <is>
          <t>Italy</t>
        </is>
      </c>
      <c r="G1617" t="inlineStr">
        <is>
          <t>Xeljanz</t>
        </is>
      </c>
      <c r="H1617" t="inlineStr">
        <is>
          <t>Hospital</t>
        </is>
      </c>
      <c r="I1617" t="inlineStr">
        <is>
          <t>Self-pay</t>
        </is>
      </c>
      <c r="J1617" t="inlineStr">
        <is>
          <t>Hiroshi Tanaka</t>
        </is>
      </c>
      <c r="K1617" s="70" t="n">
        <v>2738</v>
      </c>
      <c r="L1617" s="71" t="n">
        <v>1474.24</v>
      </c>
      <c r="M1617" s="71" t="n">
        <v>4036469.12</v>
      </c>
      <c r="N1617" s="71" t="n">
        <v>201823.46</v>
      </c>
      <c r="O1617" s="71" t="n">
        <v>3834645.66</v>
      </c>
      <c r="P1617" s="71" t="n">
        <v>662452.88</v>
      </c>
      <c r="Q1617" s="71" t="n">
        <v>3172192.78</v>
      </c>
      <c r="R1617" t="inlineStr">
        <is>
          <t>Inflammation</t>
        </is>
      </c>
      <c r="S1617" s="70" t="n">
        <v>1834</v>
      </c>
      <c r="T1617" s="71" t="n">
        <v>739950.66</v>
      </c>
      <c r="U1617" t="inlineStr">
        <is>
          <t>High</t>
        </is>
      </c>
      <c r="V1617">
        <f>IF(AND(OR(Dashboard!$C$6="All",E1617=Dashboard!$C$6),OR(Dashboard!$F$6="All",G1617=Dashboard!$F$6),OR(Dashboard!$I$6="All",H1617=Dashboard!$I$6)),1,0)</f>
        <v/>
      </c>
    </row>
    <row r="1618">
      <c r="A1618" t="inlineStr">
        <is>
          <t>PF101609</t>
        </is>
      </c>
      <c r="B1618" s="68" t="n">
        <v>45854</v>
      </c>
      <c r="C1618" s="69" t="n">
        <v>2025</v>
      </c>
      <c r="D1618" t="inlineStr">
        <is>
          <t>Jul</t>
        </is>
      </c>
      <c r="E1618" t="inlineStr">
        <is>
          <t>Emerging markets</t>
        </is>
      </c>
      <c r="F1618" t="inlineStr">
        <is>
          <t>Brazil</t>
        </is>
      </c>
      <c r="G1618" t="inlineStr">
        <is>
          <t>Abrysvo</t>
        </is>
      </c>
      <c r="H1618" t="inlineStr">
        <is>
          <t>Retail pharmacy</t>
        </is>
      </c>
      <c r="I1618" t="inlineStr">
        <is>
          <t>Private insurer</t>
        </is>
      </c>
      <c r="J1618" t="inlineStr">
        <is>
          <t>Sara Rossi</t>
        </is>
      </c>
      <c r="K1618" s="70" t="n">
        <v>2348</v>
      </c>
      <c r="L1618" s="71" t="n">
        <v>264.73</v>
      </c>
      <c r="M1618" s="71" t="n">
        <v>621586.04</v>
      </c>
      <c r="N1618" s="71" t="n">
        <v>124317.21</v>
      </c>
      <c r="O1618" s="71" t="n">
        <v>497268.83</v>
      </c>
      <c r="P1618" s="71" t="n">
        <v>197489.17</v>
      </c>
      <c r="Q1618" s="71" t="n">
        <v>299779.66</v>
      </c>
      <c r="R1618" t="inlineStr">
        <is>
          <t>Vaccines</t>
        </is>
      </c>
      <c r="S1618" s="70" t="n">
        <v>2017</v>
      </c>
      <c r="T1618" s="71" t="n">
        <v>85999.53999999999</v>
      </c>
      <c r="U1618" t="inlineStr">
        <is>
          <t>Low</t>
        </is>
      </c>
      <c r="V1618">
        <f>IF(AND(OR(Dashboard!$C$6="All",E1618=Dashboard!$C$6),OR(Dashboard!$F$6="All",G1618=Dashboard!$F$6),OR(Dashboard!$I$6="All",H1618=Dashboard!$I$6)),1,0)</f>
        <v/>
      </c>
    </row>
    <row r="1619">
      <c r="A1619" t="inlineStr">
        <is>
          <t>PF101610</t>
        </is>
      </c>
      <c r="B1619" s="68" t="n">
        <v>45854</v>
      </c>
      <c r="C1619" s="69" t="n">
        <v>2025</v>
      </c>
      <c r="D1619" t="inlineStr">
        <is>
          <t>Jul</t>
        </is>
      </c>
      <c r="E1619" t="inlineStr">
        <is>
          <t>Europe</t>
        </is>
      </c>
      <c r="F1619" t="inlineStr">
        <is>
          <t>Spain</t>
        </is>
      </c>
      <c r="G1619" t="inlineStr">
        <is>
          <t>Abrysvo</t>
        </is>
      </c>
      <c r="H1619" t="inlineStr">
        <is>
          <t>Government / tender</t>
        </is>
      </c>
      <c r="I1619" t="inlineStr">
        <is>
          <t>Private insurer</t>
        </is>
      </c>
      <c r="J1619" t="inlineStr">
        <is>
          <t>Mei Lin</t>
        </is>
      </c>
      <c r="K1619" s="70" t="n">
        <v>2469</v>
      </c>
      <c r="L1619" s="71" t="n">
        <v>281.84</v>
      </c>
      <c r="M1619" s="71" t="n">
        <v>695862.96</v>
      </c>
      <c r="N1619" s="71" t="n">
        <v>34793.15</v>
      </c>
      <c r="O1619" s="71" t="n">
        <v>661069.8100000001</v>
      </c>
      <c r="P1619" s="71" t="n">
        <v>210933.87</v>
      </c>
      <c r="Q1619" s="71" t="n">
        <v>450135.94</v>
      </c>
      <c r="R1619" t="inlineStr">
        <is>
          <t>Vaccines</t>
        </is>
      </c>
      <c r="S1619" s="70" t="n">
        <v>1847</v>
      </c>
      <c r="T1619" s="71" t="n">
        <v>145749.7</v>
      </c>
      <c r="U1619" t="inlineStr">
        <is>
          <t>Low</t>
        </is>
      </c>
      <c r="V1619">
        <f>IF(AND(OR(Dashboard!$C$6="All",E1619=Dashboard!$C$6),OR(Dashboard!$F$6="All",G1619=Dashboard!$F$6),OR(Dashboard!$I$6="All",H1619=Dashboard!$I$6)),1,0)</f>
        <v/>
      </c>
    </row>
    <row r="1620">
      <c r="A1620" t="inlineStr">
        <is>
          <t>PF101611</t>
        </is>
      </c>
      <c r="B1620" s="68" t="n">
        <v>45854</v>
      </c>
      <c r="C1620" s="69" t="n">
        <v>2025</v>
      </c>
      <c r="D1620" t="inlineStr">
        <is>
          <t>Jul</t>
        </is>
      </c>
      <c r="E1620" t="inlineStr">
        <is>
          <t>United States</t>
        </is>
      </c>
      <c r="F1620" t="inlineStr">
        <is>
          <t>USA</t>
        </is>
      </c>
      <c r="G1620" t="inlineStr">
        <is>
          <t>Vyndaqel</t>
        </is>
      </c>
      <c r="H1620" t="inlineStr">
        <is>
          <t>Retail pharmacy</t>
        </is>
      </c>
      <c r="I1620" t="inlineStr">
        <is>
          <t>Private insurer</t>
        </is>
      </c>
      <c r="J1620" t="inlineStr">
        <is>
          <t>Liam O'Brien</t>
        </is>
      </c>
      <c r="K1620" s="70" t="n">
        <v>2001</v>
      </c>
      <c r="L1620" s="71" t="n">
        <v>7921.92</v>
      </c>
      <c r="M1620" s="71" t="n">
        <v>15851761.92</v>
      </c>
      <c r="N1620" s="71" t="n">
        <v>4755528.58</v>
      </c>
      <c r="O1620" s="71" t="n">
        <v>11096233.34</v>
      </c>
      <c r="P1620" s="71" t="n">
        <v>1284871.63</v>
      </c>
      <c r="Q1620" s="71" t="n">
        <v>9811361.710000001</v>
      </c>
      <c r="R1620" t="inlineStr">
        <is>
          <t>Rare disease</t>
        </is>
      </c>
      <c r="S1620" s="70" t="n">
        <v>1464</v>
      </c>
      <c r="T1620" s="71" t="n">
        <v>2868241.56</v>
      </c>
      <c r="U1620" t="inlineStr">
        <is>
          <t>Medium</t>
        </is>
      </c>
      <c r="V1620">
        <f>IF(AND(OR(Dashboard!$C$6="All",E1620=Dashboard!$C$6),OR(Dashboard!$F$6="All",G1620=Dashboard!$F$6),OR(Dashboard!$I$6="All",H1620=Dashboard!$I$6)),1,0)</f>
        <v/>
      </c>
    </row>
    <row r="1621">
      <c r="A1621" t="inlineStr">
        <is>
          <t>PF101612</t>
        </is>
      </c>
      <c r="B1621" s="68" t="n">
        <v>45855</v>
      </c>
      <c r="C1621" s="69" t="n">
        <v>2025</v>
      </c>
      <c r="D1621" t="inlineStr">
        <is>
          <t>Jul</t>
        </is>
      </c>
      <c r="E1621" t="inlineStr">
        <is>
          <t>United States</t>
        </is>
      </c>
      <c r="F1621" t="inlineStr">
        <is>
          <t>USA</t>
        </is>
      </c>
      <c r="G1621" t="inlineStr">
        <is>
          <t>Xeljanz</t>
        </is>
      </c>
      <c r="H1621" t="inlineStr">
        <is>
          <t>Hospital</t>
        </is>
      </c>
      <c r="I1621" t="inlineStr">
        <is>
          <t>Public payer</t>
        </is>
      </c>
      <c r="J1621" t="inlineStr">
        <is>
          <t>Mei Lin</t>
        </is>
      </c>
      <c r="K1621" s="70" t="n">
        <v>1952</v>
      </c>
      <c r="L1621" s="71" t="n">
        <v>2257.25</v>
      </c>
      <c r="M1621" s="71" t="n">
        <v>4406152</v>
      </c>
      <c r="N1621" s="71" t="n">
        <v>660922.8</v>
      </c>
      <c r="O1621" s="71" t="n">
        <v>3745229.2</v>
      </c>
      <c r="P1621" s="71" t="n">
        <v>484864.47</v>
      </c>
      <c r="Q1621" s="71" t="n">
        <v>3260364.73</v>
      </c>
      <c r="R1621" t="inlineStr">
        <is>
          <t>Inflammation</t>
        </is>
      </c>
      <c r="S1621" s="70" t="n">
        <v>1359</v>
      </c>
      <c r="T1621" s="71" t="n">
        <v>910482.74</v>
      </c>
      <c r="U1621" t="inlineStr">
        <is>
          <t>High</t>
        </is>
      </c>
      <c r="V1621">
        <f>IF(AND(OR(Dashboard!$C$6="All",E1621=Dashboard!$C$6),OR(Dashboard!$F$6="All",G1621=Dashboard!$F$6),OR(Dashboard!$I$6="All",H1621=Dashboard!$I$6)),1,0)</f>
        <v/>
      </c>
    </row>
    <row r="1622">
      <c r="A1622" t="inlineStr">
        <is>
          <t>PF101613</t>
        </is>
      </c>
      <c r="B1622" s="68" t="n">
        <v>45855</v>
      </c>
      <c r="C1622" s="69" t="n">
        <v>2025</v>
      </c>
      <c r="D1622" t="inlineStr">
        <is>
          <t>Jul</t>
        </is>
      </c>
      <c r="E1622" t="inlineStr">
        <is>
          <t>United States</t>
        </is>
      </c>
      <c r="F1622" t="inlineStr">
        <is>
          <t>USA</t>
        </is>
      </c>
      <c r="G1622" t="inlineStr">
        <is>
          <t>Prevnar 20</t>
        </is>
      </c>
      <c r="H1622" t="inlineStr">
        <is>
          <t>Retail pharmacy</t>
        </is>
      </c>
      <c r="I1622" t="inlineStr">
        <is>
          <t>Self-pay</t>
        </is>
      </c>
      <c r="J1622" t="inlineStr">
        <is>
          <t>Zoya Ahmed</t>
        </is>
      </c>
      <c r="K1622" s="70" t="n">
        <v>292</v>
      </c>
      <c r="L1622" s="71" t="n">
        <v>333.1</v>
      </c>
      <c r="M1622" s="71" t="n">
        <v>97265.2</v>
      </c>
      <c r="N1622" s="71" t="n">
        <v>34042.82</v>
      </c>
      <c r="O1622" s="71" t="n">
        <v>63222.38</v>
      </c>
      <c r="P1622" s="71" t="n">
        <v>20040.87</v>
      </c>
      <c r="Q1622" s="71" t="n">
        <v>43181.51</v>
      </c>
      <c r="R1622" t="inlineStr">
        <is>
          <t>Vaccines</t>
        </is>
      </c>
      <c r="S1622" s="70" t="n">
        <v>205</v>
      </c>
      <c r="T1622" s="71" t="n">
        <v>17893.78</v>
      </c>
      <c r="U1622" t="inlineStr">
        <is>
          <t>Low</t>
        </is>
      </c>
      <c r="V1622">
        <f>IF(AND(OR(Dashboard!$C$6="All",E1622=Dashboard!$C$6),OR(Dashboard!$F$6="All",G1622=Dashboard!$F$6),OR(Dashboard!$I$6="All",H1622=Dashboard!$I$6)),1,0)</f>
        <v/>
      </c>
    </row>
    <row r="1623">
      <c r="A1623" t="inlineStr">
        <is>
          <t>PF101614</t>
        </is>
      </c>
      <c r="B1623" s="68" t="n">
        <v>45855</v>
      </c>
      <c r="C1623" s="69" t="n">
        <v>2025</v>
      </c>
      <c r="D1623" t="inlineStr">
        <is>
          <t>Jul</t>
        </is>
      </c>
      <c r="E1623" t="inlineStr">
        <is>
          <t>United States</t>
        </is>
      </c>
      <c r="F1623" t="inlineStr">
        <is>
          <t>USA</t>
        </is>
      </c>
      <c r="G1623" t="inlineStr">
        <is>
          <t>Eliquis</t>
        </is>
      </c>
      <c r="H1623" t="inlineStr">
        <is>
          <t>Retail pharmacy</t>
        </is>
      </c>
      <c r="I1623" t="inlineStr">
        <is>
          <t>Public payer</t>
        </is>
      </c>
      <c r="J1623" t="inlineStr">
        <is>
          <t>Kofi Mensah</t>
        </is>
      </c>
      <c r="K1623" s="70" t="n">
        <v>300</v>
      </c>
      <c r="L1623" s="71" t="n">
        <v>700.27</v>
      </c>
      <c r="M1623" s="71" t="n">
        <v>210081</v>
      </c>
      <c r="N1623" s="71" t="n">
        <v>42016.2</v>
      </c>
      <c r="O1623" s="71" t="n">
        <v>168064.8</v>
      </c>
      <c r="P1623" s="71" t="n">
        <v>21885.9</v>
      </c>
      <c r="Q1623" s="71" t="n">
        <v>146178.9</v>
      </c>
      <c r="R1623" t="inlineStr">
        <is>
          <t>Cardiology</t>
        </is>
      </c>
      <c r="S1623" s="70" t="n">
        <v>235</v>
      </c>
      <c r="T1623" s="71" t="n">
        <v>42393.47</v>
      </c>
      <c r="U1623" t="inlineStr">
        <is>
          <t>High</t>
        </is>
      </c>
      <c r="V1623">
        <f>IF(AND(OR(Dashboard!$C$6="All",E1623=Dashboard!$C$6),OR(Dashboard!$F$6="All",G1623=Dashboard!$F$6),OR(Dashboard!$I$6="All",H1623=Dashboard!$I$6)),1,0)</f>
        <v/>
      </c>
    </row>
    <row r="1624">
      <c r="A1624" t="inlineStr">
        <is>
          <t>PF101615</t>
        </is>
      </c>
      <c r="B1624" s="68" t="n">
        <v>45855</v>
      </c>
      <c r="C1624" s="69" t="n">
        <v>2025</v>
      </c>
      <c r="D1624" t="inlineStr">
        <is>
          <t>Jul</t>
        </is>
      </c>
      <c r="E1624" t="inlineStr">
        <is>
          <t>United States</t>
        </is>
      </c>
      <c r="F1624" t="inlineStr">
        <is>
          <t>USA</t>
        </is>
      </c>
      <c r="G1624" t="inlineStr">
        <is>
          <t>Paxlovid</t>
        </is>
      </c>
      <c r="H1624" t="inlineStr">
        <is>
          <t>Retail pharmacy</t>
        </is>
      </c>
      <c r="I1624" t="inlineStr">
        <is>
          <t>Public payer</t>
        </is>
      </c>
      <c r="J1624" t="inlineStr">
        <is>
          <t>Carlos Silva</t>
        </is>
      </c>
      <c r="K1624" s="70" t="n">
        <v>2373</v>
      </c>
      <c r="L1624" s="71" t="n">
        <v>1754.67</v>
      </c>
      <c r="M1624" s="71" t="n">
        <v>4163831.91</v>
      </c>
      <c r="N1624" s="71" t="n">
        <v>832766.38</v>
      </c>
      <c r="O1624" s="71" t="n">
        <v>3331065.53</v>
      </c>
      <c r="P1624" s="71" t="n">
        <v>631732.85</v>
      </c>
      <c r="Q1624" s="71" t="n">
        <v>2699332.68</v>
      </c>
      <c r="R1624" t="inlineStr">
        <is>
          <t>Antiviral</t>
        </is>
      </c>
      <c r="S1624" s="70" t="n">
        <v>1509</v>
      </c>
      <c r="T1624" s="71" t="n">
        <v>706180.2</v>
      </c>
      <c r="U1624" t="inlineStr">
        <is>
          <t>Low</t>
        </is>
      </c>
      <c r="V1624">
        <f>IF(AND(OR(Dashboard!$C$6="All",E1624=Dashboard!$C$6),OR(Dashboard!$F$6="All",G1624=Dashboard!$F$6),OR(Dashboard!$I$6="All",H1624=Dashboard!$I$6)),1,0)</f>
        <v/>
      </c>
    </row>
    <row r="1625">
      <c r="A1625" t="inlineStr">
        <is>
          <t>PF101616</t>
        </is>
      </c>
      <c r="B1625" s="68" t="n">
        <v>45855</v>
      </c>
      <c r="C1625" s="69" t="n">
        <v>2025</v>
      </c>
      <c r="D1625" t="inlineStr">
        <is>
          <t>Jul</t>
        </is>
      </c>
      <c r="E1625" t="inlineStr">
        <is>
          <t>Europe</t>
        </is>
      </c>
      <c r="F1625" t="inlineStr">
        <is>
          <t>Italy</t>
        </is>
      </c>
      <c r="G1625" t="inlineStr">
        <is>
          <t>Paxlovid</t>
        </is>
      </c>
      <c r="H1625" t="inlineStr">
        <is>
          <t>Retail pharmacy</t>
        </is>
      </c>
      <c r="I1625" t="inlineStr">
        <is>
          <t>Public payer</t>
        </is>
      </c>
      <c r="J1625" t="inlineStr">
        <is>
          <t>Amir Khan</t>
        </is>
      </c>
      <c r="K1625" s="70" t="n">
        <v>2964</v>
      </c>
      <c r="L1625" s="71" t="n">
        <v>1100.42</v>
      </c>
      <c r="M1625" s="71" t="n">
        <v>3261644.88</v>
      </c>
      <c r="N1625" s="71" t="n">
        <v>163082.24</v>
      </c>
      <c r="O1625" s="71" t="n">
        <v>3098562.64</v>
      </c>
      <c r="P1625" s="71" t="n">
        <v>801902.27</v>
      </c>
      <c r="Q1625" s="71" t="n">
        <v>2296660.37</v>
      </c>
      <c r="R1625" t="inlineStr">
        <is>
          <t>Antiviral</t>
        </is>
      </c>
      <c r="S1625" s="70" t="n">
        <v>1945</v>
      </c>
      <c r="T1625" s="71" t="n">
        <v>464004.84</v>
      </c>
      <c r="U1625" t="inlineStr">
        <is>
          <t>Low</t>
        </is>
      </c>
      <c r="V1625">
        <f>IF(AND(OR(Dashboard!$C$6="All",E1625=Dashboard!$C$6),OR(Dashboard!$F$6="All",G1625=Dashboard!$F$6),OR(Dashboard!$I$6="All",H1625=Dashboard!$I$6)),1,0)</f>
        <v/>
      </c>
    </row>
    <row r="1626">
      <c r="A1626" t="inlineStr">
        <is>
          <t>PF101617</t>
        </is>
      </c>
      <c r="B1626" s="68" t="n">
        <v>45855</v>
      </c>
      <c r="C1626" s="69" t="n">
        <v>2025</v>
      </c>
      <c r="D1626" t="inlineStr">
        <is>
          <t>Jul</t>
        </is>
      </c>
      <c r="E1626" t="inlineStr">
        <is>
          <t>United States</t>
        </is>
      </c>
      <c r="F1626" t="inlineStr">
        <is>
          <t>USA</t>
        </is>
      </c>
      <c r="G1626" t="inlineStr">
        <is>
          <t>Comirnaty</t>
        </is>
      </c>
      <c r="H1626" t="inlineStr">
        <is>
          <t>Retail pharmacy</t>
        </is>
      </c>
      <c r="I1626" t="inlineStr">
        <is>
          <t>Public payer</t>
        </is>
      </c>
      <c r="J1626" t="inlineStr">
        <is>
          <t>Sophie Müller</t>
        </is>
      </c>
      <c r="K1626" s="70" t="n">
        <v>2504</v>
      </c>
      <c r="L1626" s="71" t="n">
        <v>186.32</v>
      </c>
      <c r="M1626" s="71" t="n">
        <v>466545.28</v>
      </c>
      <c r="N1626" s="71" t="n">
        <v>139963.58</v>
      </c>
      <c r="O1626" s="71" t="n">
        <v>326581.7</v>
      </c>
      <c r="P1626" s="71" t="n">
        <v>95478.25</v>
      </c>
      <c r="Q1626" s="71" t="n">
        <v>231103.45</v>
      </c>
      <c r="R1626" t="inlineStr">
        <is>
          <t>Vaccines</t>
        </is>
      </c>
      <c r="S1626" s="70" t="n">
        <v>1649</v>
      </c>
      <c r="T1626" s="71" t="n">
        <v>71362.07000000001</v>
      </c>
      <c r="U1626" t="inlineStr">
        <is>
          <t>Low</t>
        </is>
      </c>
      <c r="V1626">
        <f>IF(AND(OR(Dashboard!$C$6="All",E1626=Dashboard!$C$6),OR(Dashboard!$F$6="All",G1626=Dashboard!$F$6),OR(Dashboard!$I$6="All",H1626=Dashboard!$I$6)),1,0)</f>
        <v/>
      </c>
    </row>
    <row r="1627">
      <c r="A1627" t="inlineStr">
        <is>
          <t>PF101618</t>
        </is>
      </c>
      <c r="B1627" s="68" t="n">
        <v>45855</v>
      </c>
      <c r="C1627" s="69" t="n">
        <v>2025</v>
      </c>
      <c r="D1627" t="inlineStr">
        <is>
          <t>Jul</t>
        </is>
      </c>
      <c r="E1627" t="inlineStr">
        <is>
          <t>International developed</t>
        </is>
      </c>
      <c r="F1627" t="inlineStr">
        <is>
          <t>Japan</t>
        </is>
      </c>
      <c r="G1627" t="inlineStr">
        <is>
          <t>Abrysvo</t>
        </is>
      </c>
      <c r="H1627" t="inlineStr">
        <is>
          <t>Retail pharmacy</t>
        </is>
      </c>
      <c r="I1627" t="inlineStr">
        <is>
          <t>Public payer</t>
        </is>
      </c>
      <c r="J1627" t="inlineStr">
        <is>
          <t>Ruhi Shaikh</t>
        </is>
      </c>
      <c r="K1627" s="70" t="n">
        <v>948</v>
      </c>
      <c r="L1627" s="71" t="n">
        <v>263.66</v>
      </c>
      <c r="M1627" s="71" t="n">
        <v>249949.68</v>
      </c>
      <c r="N1627" s="71" t="n">
        <v>12497.48</v>
      </c>
      <c r="O1627" s="71" t="n">
        <v>237452.2</v>
      </c>
      <c r="P1627" s="71" t="n">
        <v>81823.96000000001</v>
      </c>
      <c r="Q1627" s="71" t="n">
        <v>155628.24</v>
      </c>
      <c r="R1627" t="inlineStr">
        <is>
          <t>Vaccines</t>
        </is>
      </c>
      <c r="S1627" s="70" t="n">
        <v>763</v>
      </c>
      <c r="T1627" s="71" t="n">
        <v>38867.31</v>
      </c>
      <c r="U1627" t="inlineStr">
        <is>
          <t>Low</t>
        </is>
      </c>
      <c r="V1627">
        <f>IF(AND(OR(Dashboard!$C$6="All",E1627=Dashboard!$C$6),OR(Dashboard!$F$6="All",G1627=Dashboard!$F$6),OR(Dashboard!$I$6="All",H1627=Dashboard!$I$6)),1,0)</f>
        <v/>
      </c>
    </row>
    <row r="1628">
      <c r="A1628" t="inlineStr">
        <is>
          <t>PF101619</t>
        </is>
      </c>
      <c r="B1628" s="68" t="n">
        <v>45855</v>
      </c>
      <c r="C1628" s="69" t="n">
        <v>2025</v>
      </c>
      <c r="D1628" t="inlineStr">
        <is>
          <t>Jul</t>
        </is>
      </c>
      <c r="E1628" t="inlineStr">
        <is>
          <t>Europe</t>
        </is>
      </c>
      <c r="F1628" t="inlineStr">
        <is>
          <t>UK</t>
        </is>
      </c>
      <c r="G1628" t="inlineStr">
        <is>
          <t>Paxlovid</t>
        </is>
      </c>
      <c r="H1628" t="inlineStr">
        <is>
          <t>Government / tender</t>
        </is>
      </c>
      <c r="I1628" t="inlineStr">
        <is>
          <t>Private insurer</t>
        </is>
      </c>
      <c r="J1628" t="inlineStr">
        <is>
          <t>Noah Smith</t>
        </is>
      </c>
      <c r="K1628" s="70" t="n">
        <v>2121</v>
      </c>
      <c r="L1628" s="71" t="n">
        <v>1097.57</v>
      </c>
      <c r="M1628" s="71" t="n">
        <v>2327945.97</v>
      </c>
      <c r="N1628" s="71" t="n">
        <v>349191.9</v>
      </c>
      <c r="O1628" s="71" t="n">
        <v>1978754.07</v>
      </c>
      <c r="P1628" s="71" t="n">
        <v>584902.08</v>
      </c>
      <c r="Q1628" s="71" t="n">
        <v>1393851.99</v>
      </c>
      <c r="R1628" t="inlineStr">
        <is>
          <t>Antiviral</t>
        </is>
      </c>
      <c r="S1628" s="70" t="n">
        <v>1615</v>
      </c>
      <c r="T1628" s="71" t="n">
        <v>404557.3</v>
      </c>
      <c r="U1628" t="inlineStr">
        <is>
          <t>Low</t>
        </is>
      </c>
      <c r="V1628">
        <f>IF(AND(OR(Dashboard!$C$6="All",E1628=Dashboard!$C$6),OR(Dashboard!$F$6="All",G1628=Dashboard!$F$6),OR(Dashboard!$I$6="All",H1628=Dashboard!$I$6)),1,0)</f>
        <v/>
      </c>
    </row>
    <row r="1629">
      <c r="A1629" t="inlineStr">
        <is>
          <t>PF101620</t>
        </is>
      </c>
      <c r="B1629" s="68" t="n">
        <v>45855</v>
      </c>
      <c r="C1629" s="69" t="n">
        <v>2025</v>
      </c>
      <c r="D1629" t="inlineStr">
        <is>
          <t>Jul</t>
        </is>
      </c>
      <c r="E1629" t="inlineStr">
        <is>
          <t>United States</t>
        </is>
      </c>
      <c r="F1629" t="inlineStr">
        <is>
          <t>USA</t>
        </is>
      </c>
      <c r="G1629" t="inlineStr">
        <is>
          <t>Comirnaty</t>
        </is>
      </c>
      <c r="H1629" t="inlineStr">
        <is>
          <t>Hospital</t>
        </is>
      </c>
      <c r="I1629" t="inlineStr">
        <is>
          <t>Private insurer</t>
        </is>
      </c>
      <c r="J1629" t="inlineStr">
        <is>
          <t>Sophie Müller</t>
        </is>
      </c>
      <c r="K1629" s="70" t="n">
        <v>731</v>
      </c>
      <c r="L1629" s="71" t="n">
        <v>192.5</v>
      </c>
      <c r="M1629" s="71" t="n">
        <v>140717.5</v>
      </c>
      <c r="N1629" s="71" t="n">
        <v>21107.63</v>
      </c>
      <c r="O1629" s="71" t="n">
        <v>119609.87</v>
      </c>
      <c r="P1629" s="71" t="n">
        <v>28424.8</v>
      </c>
      <c r="Q1629" s="71" t="n">
        <v>91185.07000000001</v>
      </c>
      <c r="R1629" t="inlineStr">
        <is>
          <t>Vaccines</t>
        </is>
      </c>
      <c r="S1629" s="70" t="n">
        <v>519</v>
      </c>
      <c r="T1629" s="71" t="n">
        <v>23281.05</v>
      </c>
      <c r="U1629" t="inlineStr">
        <is>
          <t>Low</t>
        </is>
      </c>
      <c r="V1629">
        <f>IF(AND(OR(Dashboard!$C$6="All",E1629=Dashboard!$C$6),OR(Dashboard!$F$6="All",G1629=Dashboard!$F$6),OR(Dashboard!$I$6="All",H1629=Dashboard!$I$6)),1,0)</f>
        <v/>
      </c>
    </row>
    <row r="1630">
      <c r="A1630" t="inlineStr">
        <is>
          <t>PF101621</t>
        </is>
      </c>
      <c r="B1630" s="68" t="n">
        <v>45855</v>
      </c>
      <c r="C1630" s="69" t="n">
        <v>2025</v>
      </c>
      <c r="D1630" t="inlineStr">
        <is>
          <t>Jul</t>
        </is>
      </c>
      <c r="E1630" t="inlineStr">
        <is>
          <t>Europe</t>
        </is>
      </c>
      <c r="F1630" t="inlineStr">
        <is>
          <t>Italy</t>
        </is>
      </c>
      <c r="G1630" t="inlineStr">
        <is>
          <t>Abrysvo</t>
        </is>
      </c>
      <c r="H1630" t="inlineStr">
        <is>
          <t>Retail pharmacy</t>
        </is>
      </c>
      <c r="I1630" t="inlineStr">
        <is>
          <t>Private insurer</t>
        </is>
      </c>
      <c r="J1630" t="inlineStr">
        <is>
          <t>Zoya Ahmed</t>
        </is>
      </c>
      <c r="K1630" s="70" t="n">
        <v>2852</v>
      </c>
      <c r="L1630" s="71" t="n">
        <v>291.33</v>
      </c>
      <c r="M1630" s="71" t="n">
        <v>830873.16</v>
      </c>
      <c r="N1630" s="71" t="n">
        <v>124630.97</v>
      </c>
      <c r="O1630" s="71" t="n">
        <v>706242.1899999999</v>
      </c>
      <c r="P1630" s="71" t="n">
        <v>246113.92</v>
      </c>
      <c r="Q1630" s="71" t="n">
        <v>460128.27</v>
      </c>
      <c r="R1630" t="inlineStr">
        <is>
          <t>Vaccines</t>
        </is>
      </c>
      <c r="S1630" s="70" t="n">
        <v>2462</v>
      </c>
      <c r="T1630" s="71" t="n">
        <v>100202.59</v>
      </c>
      <c r="U1630" t="inlineStr">
        <is>
          <t>Low</t>
        </is>
      </c>
      <c r="V1630">
        <f>IF(AND(OR(Dashboard!$C$6="All",E1630=Dashboard!$C$6),OR(Dashboard!$F$6="All",G1630=Dashboard!$F$6),OR(Dashboard!$I$6="All",H1630=Dashboard!$I$6)),1,0)</f>
        <v/>
      </c>
    </row>
    <row r="1631">
      <c r="A1631" t="inlineStr">
        <is>
          <t>PF101622</t>
        </is>
      </c>
      <c r="B1631" s="68" t="n">
        <v>45856</v>
      </c>
      <c r="C1631" s="69" t="n">
        <v>2025</v>
      </c>
      <c r="D1631" t="inlineStr">
        <is>
          <t>Jul</t>
        </is>
      </c>
      <c r="E1631" t="inlineStr">
        <is>
          <t>International developed</t>
        </is>
      </c>
      <c r="F1631" t="inlineStr">
        <is>
          <t>Canada</t>
        </is>
      </c>
      <c r="G1631" t="inlineStr">
        <is>
          <t>Eliquis</t>
        </is>
      </c>
      <c r="H1631" t="inlineStr">
        <is>
          <t>Hospital</t>
        </is>
      </c>
      <c r="I1631" t="inlineStr">
        <is>
          <t>Private insurer</t>
        </is>
      </c>
      <c r="J1631" t="inlineStr">
        <is>
          <t>Shraddha Kulkarni</t>
        </is>
      </c>
      <c r="K1631" s="70" t="n">
        <v>2197</v>
      </c>
      <c r="L1631" s="71" t="n">
        <v>439.62</v>
      </c>
      <c r="M1631" s="71" t="n">
        <v>965845.14</v>
      </c>
      <c r="N1631" s="71" t="n">
        <v>96584.50999999999</v>
      </c>
      <c r="O1631" s="71" t="n">
        <v>869260.63</v>
      </c>
      <c r="P1631" s="71" t="n">
        <v>170574.59</v>
      </c>
      <c r="Q1631" s="71" t="n">
        <v>698686.04</v>
      </c>
      <c r="R1631" t="inlineStr">
        <is>
          <t>Cardiology</t>
        </is>
      </c>
      <c r="S1631" s="70" t="n">
        <v>1860</v>
      </c>
      <c r="T1631" s="71" t="n">
        <v>193670.84</v>
      </c>
      <c r="U1631" t="inlineStr">
        <is>
          <t>High</t>
        </is>
      </c>
      <c r="V1631">
        <f>IF(AND(OR(Dashboard!$C$6="All",E1631=Dashboard!$C$6),OR(Dashboard!$F$6="All",G1631=Dashboard!$F$6),OR(Dashboard!$I$6="All",H1631=Dashboard!$I$6)),1,0)</f>
        <v/>
      </c>
    </row>
    <row r="1632">
      <c r="A1632" t="inlineStr">
        <is>
          <t>PF101623</t>
        </is>
      </c>
      <c r="B1632" s="68" t="n">
        <v>45856</v>
      </c>
      <c r="C1632" s="69" t="n">
        <v>2025</v>
      </c>
      <c r="D1632" t="inlineStr">
        <is>
          <t>Jul</t>
        </is>
      </c>
      <c r="E1632" t="inlineStr">
        <is>
          <t>Emerging markets</t>
        </is>
      </c>
      <c r="F1632" t="inlineStr">
        <is>
          <t>China</t>
        </is>
      </c>
      <c r="G1632" t="inlineStr">
        <is>
          <t>Eliquis</t>
        </is>
      </c>
      <c r="H1632" t="inlineStr">
        <is>
          <t>Hospital</t>
        </is>
      </c>
      <c r="I1632" t="inlineStr">
        <is>
          <t>Private insurer</t>
        </is>
      </c>
      <c r="J1632" t="inlineStr">
        <is>
          <t>Sophie Müller</t>
        </is>
      </c>
      <c r="K1632" s="70" t="n">
        <v>2418</v>
      </c>
      <c r="L1632" s="71" t="n">
        <v>446.54</v>
      </c>
      <c r="M1632" s="71" t="n">
        <v>1079733.72</v>
      </c>
      <c r="N1632" s="71" t="n">
        <v>161960.06</v>
      </c>
      <c r="O1632" s="71" t="n">
        <v>917773.66</v>
      </c>
      <c r="P1632" s="71" t="n">
        <v>179938.55</v>
      </c>
      <c r="Q1632" s="71" t="n">
        <v>737835.11</v>
      </c>
      <c r="R1632" t="inlineStr">
        <is>
          <t>Cardiology</t>
        </is>
      </c>
      <c r="S1632" s="70" t="n">
        <v>1866</v>
      </c>
      <c r="T1632" s="71" t="n">
        <v>202402.06</v>
      </c>
      <c r="U1632" t="inlineStr">
        <is>
          <t>High</t>
        </is>
      </c>
      <c r="V1632">
        <f>IF(AND(OR(Dashboard!$C$6="All",E1632=Dashboard!$C$6),OR(Dashboard!$F$6="All",G1632=Dashboard!$F$6),OR(Dashboard!$I$6="All",H1632=Dashboard!$I$6)),1,0)</f>
        <v/>
      </c>
    </row>
    <row r="1633">
      <c r="A1633" t="inlineStr">
        <is>
          <t>PF101624</t>
        </is>
      </c>
      <c r="B1633" s="68" t="n">
        <v>45856</v>
      </c>
      <c r="C1633" s="69" t="n">
        <v>2025</v>
      </c>
      <c r="D1633" t="inlineStr">
        <is>
          <t>Jul</t>
        </is>
      </c>
      <c r="E1633" t="inlineStr">
        <is>
          <t>International developed</t>
        </is>
      </c>
      <c r="F1633" t="inlineStr">
        <is>
          <t>Canada</t>
        </is>
      </c>
      <c r="G1633" t="inlineStr">
        <is>
          <t>Vyndaqel</t>
        </is>
      </c>
      <c r="H1633" t="inlineStr">
        <is>
          <t>Hospital</t>
        </is>
      </c>
      <c r="I1633" t="inlineStr">
        <is>
          <t>Self-pay</t>
        </is>
      </c>
      <c r="J1633" t="inlineStr">
        <is>
          <t>Ana Costa</t>
        </is>
      </c>
      <c r="K1633" s="70" t="n">
        <v>1240</v>
      </c>
      <c r="L1633" s="71" t="n">
        <v>5442.73</v>
      </c>
      <c r="M1633" s="71" t="n">
        <v>6748985.2</v>
      </c>
      <c r="N1633" s="71" t="n">
        <v>1012347.78</v>
      </c>
      <c r="O1633" s="71" t="n">
        <v>5736637.42</v>
      </c>
      <c r="P1633" s="71" t="n">
        <v>782169.64</v>
      </c>
      <c r="Q1633" s="71" t="n">
        <v>4954467.78</v>
      </c>
      <c r="R1633" t="inlineStr">
        <is>
          <t>Rare disease</t>
        </is>
      </c>
      <c r="S1633" s="70" t="n">
        <v>885</v>
      </c>
      <c r="T1633" s="71" t="n">
        <v>1210082.37</v>
      </c>
      <c r="U1633" t="inlineStr">
        <is>
          <t>Medium</t>
        </is>
      </c>
      <c r="V1633">
        <f>IF(AND(OR(Dashboard!$C$6="All",E1633=Dashboard!$C$6),OR(Dashboard!$F$6="All",G1633=Dashboard!$F$6),OR(Dashboard!$I$6="All",H1633=Dashboard!$I$6)),1,0)</f>
        <v/>
      </c>
    </row>
    <row r="1634">
      <c r="A1634" t="inlineStr">
        <is>
          <t>PF101625</t>
        </is>
      </c>
      <c r="B1634" s="68" t="n">
        <v>45856</v>
      </c>
      <c r="C1634" s="69" t="n">
        <v>2025</v>
      </c>
      <c r="D1634" t="inlineStr">
        <is>
          <t>Jul</t>
        </is>
      </c>
      <c r="E1634" t="inlineStr">
        <is>
          <t>Europe</t>
        </is>
      </c>
      <c r="F1634" t="inlineStr">
        <is>
          <t>Italy</t>
        </is>
      </c>
      <c r="G1634" t="inlineStr">
        <is>
          <t>Eliquis</t>
        </is>
      </c>
      <c r="H1634" t="inlineStr">
        <is>
          <t>Government / tender</t>
        </is>
      </c>
      <c r="I1634" t="inlineStr">
        <is>
          <t>Self-pay</t>
        </is>
      </c>
      <c r="J1634" t="inlineStr">
        <is>
          <t>Fatima Al-Saud</t>
        </is>
      </c>
      <c r="K1634" s="70" t="n">
        <v>2979</v>
      </c>
      <c r="L1634" s="71" t="n">
        <v>441.33</v>
      </c>
      <c r="M1634" s="71" t="n">
        <v>1314722.07</v>
      </c>
      <c r="N1634" s="71" t="n">
        <v>65736.10000000001</v>
      </c>
      <c r="O1634" s="71" t="n">
        <v>1248985.97</v>
      </c>
      <c r="P1634" s="71" t="n">
        <v>223137</v>
      </c>
      <c r="Q1634" s="71" t="n">
        <v>1025848.97</v>
      </c>
      <c r="R1634" t="inlineStr">
        <is>
          <t>Cardiology</t>
        </is>
      </c>
      <c r="S1634" s="70" t="n">
        <v>1949</v>
      </c>
      <c r="T1634" s="71" t="n">
        <v>284964.23</v>
      </c>
      <c r="U1634" t="inlineStr">
        <is>
          <t>High</t>
        </is>
      </c>
      <c r="V1634">
        <f>IF(AND(OR(Dashboard!$C$6="All",E1634=Dashboard!$C$6),OR(Dashboard!$F$6="All",G1634=Dashboard!$F$6),OR(Dashboard!$I$6="All",H1634=Dashboard!$I$6)),1,0)</f>
        <v/>
      </c>
    </row>
    <row r="1635">
      <c r="A1635" t="inlineStr">
        <is>
          <t>PF101626</t>
        </is>
      </c>
      <c r="B1635" s="68" t="n">
        <v>45856</v>
      </c>
      <c r="C1635" s="69" t="n">
        <v>2025</v>
      </c>
      <c r="D1635" t="inlineStr">
        <is>
          <t>Jul</t>
        </is>
      </c>
      <c r="E1635" t="inlineStr">
        <is>
          <t>Europe</t>
        </is>
      </c>
      <c r="F1635" t="inlineStr">
        <is>
          <t>Italy</t>
        </is>
      </c>
      <c r="G1635" t="inlineStr">
        <is>
          <t>Paxlovid</t>
        </is>
      </c>
      <c r="H1635" t="inlineStr">
        <is>
          <t>Hospital</t>
        </is>
      </c>
      <c r="I1635" t="inlineStr">
        <is>
          <t>Public payer</t>
        </is>
      </c>
      <c r="J1635" t="inlineStr">
        <is>
          <t>Sophie Müller</t>
        </is>
      </c>
      <c r="K1635" s="70" t="n">
        <v>1457</v>
      </c>
      <c r="L1635" s="71" t="n">
        <v>1141.82</v>
      </c>
      <c r="M1635" s="71" t="n">
        <v>1663631.74</v>
      </c>
      <c r="N1635" s="71" t="n">
        <v>83181.59</v>
      </c>
      <c r="O1635" s="71" t="n">
        <v>1580450.15</v>
      </c>
      <c r="P1635" s="71" t="n">
        <v>415610.04</v>
      </c>
      <c r="Q1635" s="71" t="n">
        <v>1164840.11</v>
      </c>
      <c r="R1635" t="inlineStr">
        <is>
          <t>Antiviral</t>
        </is>
      </c>
      <c r="S1635" s="70" t="n">
        <v>917</v>
      </c>
      <c r="T1635" s="71" t="n">
        <v>239105.9</v>
      </c>
      <c r="U1635" t="inlineStr">
        <is>
          <t>Low</t>
        </is>
      </c>
      <c r="V1635">
        <f>IF(AND(OR(Dashboard!$C$6="All",E1635=Dashboard!$C$6),OR(Dashboard!$F$6="All",G1635=Dashboard!$F$6),OR(Dashboard!$I$6="All",H1635=Dashboard!$I$6)),1,0)</f>
        <v/>
      </c>
    </row>
    <row r="1636">
      <c r="A1636" t="inlineStr">
        <is>
          <t>PF101627</t>
        </is>
      </c>
      <c r="B1636" s="68" t="n">
        <v>45856</v>
      </c>
      <c r="C1636" s="69" t="n">
        <v>2025</v>
      </c>
      <c r="D1636" t="inlineStr">
        <is>
          <t>Jul</t>
        </is>
      </c>
      <c r="E1636" t="inlineStr">
        <is>
          <t>International developed</t>
        </is>
      </c>
      <c r="F1636" t="inlineStr">
        <is>
          <t>Canada</t>
        </is>
      </c>
      <c r="G1636" t="inlineStr">
        <is>
          <t>Prevnar 20</t>
        </is>
      </c>
      <c r="H1636" t="inlineStr">
        <is>
          <t>Hospital</t>
        </is>
      </c>
      <c r="I1636" t="inlineStr">
        <is>
          <t>Private insurer</t>
        </is>
      </c>
      <c r="J1636" t="inlineStr">
        <is>
          <t>Sara Rossi</t>
        </is>
      </c>
      <c r="K1636" s="70" t="n">
        <v>2285</v>
      </c>
      <c r="L1636" s="71" t="n">
        <v>231.47</v>
      </c>
      <c r="M1636" s="71" t="n">
        <v>528908.95</v>
      </c>
      <c r="N1636" s="71" t="n">
        <v>52890.89</v>
      </c>
      <c r="O1636" s="71" t="n">
        <v>476018.06</v>
      </c>
      <c r="P1636" s="71" t="n">
        <v>154002.9</v>
      </c>
      <c r="Q1636" s="71" t="n">
        <v>322015.16</v>
      </c>
      <c r="R1636" t="inlineStr">
        <is>
          <t>Vaccines</t>
        </is>
      </c>
      <c r="S1636" s="70" t="n">
        <v>1864</v>
      </c>
      <c r="T1636" s="71" t="n">
        <v>65168.83</v>
      </c>
      <c r="U1636" t="inlineStr">
        <is>
          <t>Low</t>
        </is>
      </c>
      <c r="V1636">
        <f>IF(AND(OR(Dashboard!$C$6="All",E1636=Dashboard!$C$6),OR(Dashboard!$F$6="All",G1636=Dashboard!$F$6),OR(Dashboard!$I$6="All",H1636=Dashboard!$I$6)),1,0)</f>
        <v/>
      </c>
    </row>
    <row r="1637">
      <c r="A1637" t="inlineStr">
        <is>
          <t>PF101628</t>
        </is>
      </c>
      <c r="B1637" s="68" t="n">
        <v>45856</v>
      </c>
      <c r="C1637" s="69" t="n">
        <v>2025</v>
      </c>
      <c r="D1637" t="inlineStr">
        <is>
          <t>Jul</t>
        </is>
      </c>
      <c r="E1637" t="inlineStr">
        <is>
          <t>United States</t>
        </is>
      </c>
      <c r="F1637" t="inlineStr">
        <is>
          <t>USA</t>
        </is>
      </c>
      <c r="G1637" t="inlineStr">
        <is>
          <t>Comirnaty</t>
        </is>
      </c>
      <c r="H1637" t="inlineStr">
        <is>
          <t>Hospital</t>
        </is>
      </c>
      <c r="I1637" t="inlineStr">
        <is>
          <t>Private insurer</t>
        </is>
      </c>
      <c r="J1637" t="inlineStr">
        <is>
          <t>Ravindra Patil</t>
        </is>
      </c>
      <c r="K1637" s="70" t="n">
        <v>1995</v>
      </c>
      <c r="L1637" s="71" t="n">
        <v>175.87</v>
      </c>
      <c r="M1637" s="71" t="n">
        <v>350860.65</v>
      </c>
      <c r="N1637" s="71" t="n">
        <v>122801.23</v>
      </c>
      <c r="O1637" s="71" t="n">
        <v>228059.42</v>
      </c>
      <c r="P1637" s="71" t="n">
        <v>78849.03</v>
      </c>
      <c r="Q1637" s="71" t="n">
        <v>149210.39</v>
      </c>
      <c r="R1637" t="inlineStr">
        <is>
          <t>Vaccines</t>
        </is>
      </c>
      <c r="S1637" s="70" t="n">
        <v>1459</v>
      </c>
      <c r="T1637" s="71" t="n">
        <v>74176.16</v>
      </c>
      <c r="U1637" t="inlineStr">
        <is>
          <t>Low</t>
        </is>
      </c>
      <c r="V1637">
        <f>IF(AND(OR(Dashboard!$C$6="All",E1637=Dashboard!$C$6),OR(Dashboard!$F$6="All",G1637=Dashboard!$F$6),OR(Dashboard!$I$6="All",H1637=Dashboard!$I$6)),1,0)</f>
        <v/>
      </c>
    </row>
    <row r="1638">
      <c r="A1638" t="inlineStr">
        <is>
          <t>PF101629</t>
        </is>
      </c>
      <c r="B1638" s="68" t="n">
        <v>45856</v>
      </c>
      <c r="C1638" s="69" t="n">
        <v>2025</v>
      </c>
      <c r="D1638" t="inlineStr">
        <is>
          <t>Jul</t>
        </is>
      </c>
      <c r="E1638" t="inlineStr">
        <is>
          <t>International developed</t>
        </is>
      </c>
      <c r="F1638" t="inlineStr">
        <is>
          <t>Australia</t>
        </is>
      </c>
      <c r="G1638" t="inlineStr">
        <is>
          <t>Comirnaty</t>
        </is>
      </c>
      <c r="H1638" t="inlineStr">
        <is>
          <t>Retail pharmacy</t>
        </is>
      </c>
      <c r="I1638" t="inlineStr">
        <is>
          <t>Private insurer</t>
        </is>
      </c>
      <c r="J1638" t="inlineStr">
        <is>
          <t>Ana Costa</t>
        </is>
      </c>
      <c r="K1638" s="70" t="n">
        <v>799</v>
      </c>
      <c r="L1638" s="71" t="n">
        <v>119.92</v>
      </c>
      <c r="M1638" s="71" t="n">
        <v>95816.08</v>
      </c>
      <c r="N1638" s="71" t="n">
        <v>4790.8</v>
      </c>
      <c r="O1638" s="71" t="n">
        <v>91025.28</v>
      </c>
      <c r="P1638" s="71" t="n">
        <v>31517.6</v>
      </c>
      <c r="Q1638" s="71" t="n">
        <v>59507.68</v>
      </c>
      <c r="R1638" t="inlineStr">
        <is>
          <t>Vaccines</t>
        </is>
      </c>
      <c r="S1638" s="70" t="n">
        <v>518</v>
      </c>
      <c r="T1638" s="71" t="n">
        <v>20034.63</v>
      </c>
      <c r="U1638" t="inlineStr">
        <is>
          <t>Low</t>
        </is>
      </c>
      <c r="V1638">
        <f>IF(AND(OR(Dashboard!$C$6="All",E1638=Dashboard!$C$6),OR(Dashboard!$F$6="All",G1638=Dashboard!$F$6),OR(Dashboard!$I$6="All",H1638=Dashboard!$I$6)),1,0)</f>
        <v/>
      </c>
    </row>
    <row r="1639">
      <c r="A1639" t="inlineStr">
        <is>
          <t>PF101630</t>
        </is>
      </c>
      <c r="B1639" s="68" t="n">
        <v>45857</v>
      </c>
      <c r="C1639" s="69" t="n">
        <v>2025</v>
      </c>
      <c r="D1639" t="inlineStr">
        <is>
          <t>Jul</t>
        </is>
      </c>
      <c r="E1639" t="inlineStr">
        <is>
          <t>Europe</t>
        </is>
      </c>
      <c r="F1639" t="inlineStr">
        <is>
          <t>UK</t>
        </is>
      </c>
      <c r="G1639" t="inlineStr">
        <is>
          <t>Abrysvo</t>
        </is>
      </c>
      <c r="H1639" t="inlineStr">
        <is>
          <t>Government / tender</t>
        </is>
      </c>
      <c r="I1639" t="inlineStr">
        <is>
          <t>Public payer</t>
        </is>
      </c>
      <c r="J1639" t="inlineStr">
        <is>
          <t>Hiroshi Tanaka</t>
        </is>
      </c>
      <c r="K1639" s="70" t="n">
        <v>3005</v>
      </c>
      <c r="L1639" s="71" t="n">
        <v>268.87</v>
      </c>
      <c r="M1639" s="71" t="n">
        <v>807954.35</v>
      </c>
      <c r="N1639" s="71" t="n">
        <v>161590.87</v>
      </c>
      <c r="O1639" s="71" t="n">
        <v>646363.48</v>
      </c>
      <c r="P1639" s="71" t="n">
        <v>248483.72</v>
      </c>
      <c r="Q1639" s="71" t="n">
        <v>397879.76</v>
      </c>
      <c r="R1639" t="inlineStr">
        <is>
          <t>Vaccines</t>
        </is>
      </c>
      <c r="S1639" s="70" t="n">
        <v>2106</v>
      </c>
      <c r="T1639" s="71" t="n">
        <v>143953.33</v>
      </c>
      <c r="U1639" t="inlineStr">
        <is>
          <t>Low</t>
        </is>
      </c>
      <c r="V1639">
        <f>IF(AND(OR(Dashboard!$C$6="All",E1639=Dashboard!$C$6),OR(Dashboard!$F$6="All",G1639=Dashboard!$F$6),OR(Dashboard!$I$6="All",H1639=Dashboard!$I$6)),1,0)</f>
        <v/>
      </c>
    </row>
    <row r="1640">
      <c r="A1640" t="inlineStr">
        <is>
          <t>PF101631</t>
        </is>
      </c>
      <c r="B1640" s="68" t="n">
        <v>45857</v>
      </c>
      <c r="C1640" s="69" t="n">
        <v>2025</v>
      </c>
      <c r="D1640" t="inlineStr">
        <is>
          <t>Jul</t>
        </is>
      </c>
      <c r="E1640" t="inlineStr">
        <is>
          <t>International developed</t>
        </is>
      </c>
      <c r="F1640" t="inlineStr">
        <is>
          <t>Japan</t>
        </is>
      </c>
      <c r="G1640" t="inlineStr">
        <is>
          <t>Ibrance</t>
        </is>
      </c>
      <c r="H1640" t="inlineStr">
        <is>
          <t>Government / tender</t>
        </is>
      </c>
      <c r="I1640" t="inlineStr">
        <is>
          <t>Public payer</t>
        </is>
      </c>
      <c r="J1640" t="inlineStr">
        <is>
          <t>Ravindra Patil</t>
        </is>
      </c>
      <c r="K1640" s="70" t="n">
        <v>1775</v>
      </c>
      <c r="L1640" s="71" t="n">
        <v>2832.88</v>
      </c>
      <c r="M1640" s="71" t="n">
        <v>5028362</v>
      </c>
      <c r="N1640" s="71" t="n">
        <v>502836.2</v>
      </c>
      <c r="O1640" s="71" t="n">
        <v>4525525.8</v>
      </c>
      <c r="P1640" s="71" t="n">
        <v>783185.14</v>
      </c>
      <c r="Q1640" s="71" t="n">
        <v>3742340.66</v>
      </c>
      <c r="R1640" t="inlineStr">
        <is>
          <t>Oncology</t>
        </is>
      </c>
      <c r="S1640" s="70" t="n">
        <v>1553</v>
      </c>
      <c r="T1640" s="71" t="n">
        <v>906675.6800000001</v>
      </c>
      <c r="U1640" t="inlineStr">
        <is>
          <t>High</t>
        </is>
      </c>
      <c r="V1640">
        <f>IF(AND(OR(Dashboard!$C$6="All",E1640=Dashboard!$C$6),OR(Dashboard!$F$6="All",G1640=Dashboard!$F$6),OR(Dashboard!$I$6="All",H1640=Dashboard!$I$6)),1,0)</f>
        <v/>
      </c>
    </row>
    <row r="1641">
      <c r="A1641" t="inlineStr">
        <is>
          <t>PF101632</t>
        </is>
      </c>
      <c r="B1641" s="68" t="n">
        <v>45857</v>
      </c>
      <c r="C1641" s="69" t="n">
        <v>2025</v>
      </c>
      <c r="D1641" t="inlineStr">
        <is>
          <t>Jul</t>
        </is>
      </c>
      <c r="E1641" t="inlineStr">
        <is>
          <t>United States</t>
        </is>
      </c>
      <c r="F1641" t="inlineStr">
        <is>
          <t>USA</t>
        </is>
      </c>
      <c r="G1641" t="inlineStr">
        <is>
          <t>Comirnaty</t>
        </is>
      </c>
      <c r="H1641" t="inlineStr">
        <is>
          <t>Government / tender</t>
        </is>
      </c>
      <c r="I1641" t="inlineStr">
        <is>
          <t>Self-pay</t>
        </is>
      </c>
      <c r="J1641" t="inlineStr">
        <is>
          <t>Kofi Mensah</t>
        </is>
      </c>
      <c r="K1641" s="70" t="n">
        <v>886</v>
      </c>
      <c r="L1641" s="71" t="n">
        <v>188.43</v>
      </c>
      <c r="M1641" s="71" t="n">
        <v>166948.98</v>
      </c>
      <c r="N1641" s="71" t="n">
        <v>25042.35</v>
      </c>
      <c r="O1641" s="71" t="n">
        <v>141906.63</v>
      </c>
      <c r="P1641" s="71" t="n">
        <v>32925.39</v>
      </c>
      <c r="Q1641" s="71" t="n">
        <v>108981.24</v>
      </c>
      <c r="R1641" t="inlineStr">
        <is>
          <t>Vaccines</t>
        </is>
      </c>
      <c r="S1641" s="70" t="n">
        <v>614</v>
      </c>
      <c r="T1641" s="71" t="n">
        <v>27676.72</v>
      </c>
      <c r="U1641" t="inlineStr">
        <is>
          <t>Low</t>
        </is>
      </c>
      <c r="V1641">
        <f>IF(AND(OR(Dashboard!$C$6="All",E1641=Dashboard!$C$6),OR(Dashboard!$F$6="All",G1641=Dashboard!$F$6),OR(Dashboard!$I$6="All",H1641=Dashboard!$I$6)),1,0)</f>
        <v/>
      </c>
    </row>
    <row r="1642">
      <c r="A1642" t="inlineStr">
        <is>
          <t>PF101633</t>
        </is>
      </c>
      <c r="B1642" s="68" t="n">
        <v>45857</v>
      </c>
      <c r="C1642" s="69" t="n">
        <v>2025</v>
      </c>
      <c r="D1642" t="inlineStr">
        <is>
          <t>Jul</t>
        </is>
      </c>
      <c r="E1642" t="inlineStr">
        <is>
          <t>International developed</t>
        </is>
      </c>
      <c r="F1642" t="inlineStr">
        <is>
          <t>Canada</t>
        </is>
      </c>
      <c r="G1642" t="inlineStr">
        <is>
          <t>Prevnar 20</t>
        </is>
      </c>
      <c r="H1642" t="inlineStr">
        <is>
          <t>Retail pharmacy</t>
        </is>
      </c>
      <c r="I1642" t="inlineStr">
        <is>
          <t>Public payer</t>
        </is>
      </c>
      <c r="J1642" t="inlineStr">
        <is>
          <t>Arjun Mehta</t>
        </is>
      </c>
      <c r="K1642" s="70" t="n">
        <v>2252</v>
      </c>
      <c r="L1642" s="71" t="n">
        <v>217.25</v>
      </c>
      <c r="M1642" s="71" t="n">
        <v>489247</v>
      </c>
      <c r="N1642" s="71" t="n">
        <v>24462.35</v>
      </c>
      <c r="O1642" s="71" t="n">
        <v>464784.65</v>
      </c>
      <c r="P1642" s="71" t="n">
        <v>159689.91</v>
      </c>
      <c r="Q1642" s="71" t="n">
        <v>305094.74</v>
      </c>
      <c r="R1642" t="inlineStr">
        <is>
          <t>Vaccines</t>
        </is>
      </c>
      <c r="S1642" s="70" t="n">
        <v>1886</v>
      </c>
      <c r="T1642" s="71" t="n">
        <v>84286.75999999999</v>
      </c>
      <c r="U1642" t="inlineStr">
        <is>
          <t>Low</t>
        </is>
      </c>
      <c r="V1642">
        <f>IF(AND(OR(Dashboard!$C$6="All",E1642=Dashboard!$C$6),OR(Dashboard!$F$6="All",G1642=Dashboard!$F$6),OR(Dashboard!$I$6="All",H1642=Dashboard!$I$6)),1,0)</f>
        <v/>
      </c>
    </row>
    <row r="1643">
      <c r="A1643" t="inlineStr">
        <is>
          <t>PF101634</t>
        </is>
      </c>
      <c r="B1643" s="68" t="n">
        <v>45857</v>
      </c>
      <c r="C1643" s="69" t="n">
        <v>2025</v>
      </c>
      <c r="D1643" t="inlineStr">
        <is>
          <t>Jul</t>
        </is>
      </c>
      <c r="E1643" t="inlineStr">
        <is>
          <t>United States</t>
        </is>
      </c>
      <c r="F1643" t="inlineStr">
        <is>
          <t>USA</t>
        </is>
      </c>
      <c r="G1643" t="inlineStr">
        <is>
          <t>Comirnaty</t>
        </is>
      </c>
      <c r="H1643" t="inlineStr">
        <is>
          <t>Government / tender</t>
        </is>
      </c>
      <c r="I1643" t="inlineStr">
        <is>
          <t>Public payer</t>
        </is>
      </c>
      <c r="J1643" t="inlineStr">
        <is>
          <t>Olivia Brown</t>
        </is>
      </c>
      <c r="K1643" s="70" t="n">
        <v>1718</v>
      </c>
      <c r="L1643" s="71" t="n">
        <v>158.83</v>
      </c>
      <c r="M1643" s="71" t="n">
        <v>272869.94</v>
      </c>
      <c r="N1643" s="71" t="n">
        <v>95504.48</v>
      </c>
      <c r="O1643" s="71" t="n">
        <v>177365.46</v>
      </c>
      <c r="P1643" s="71" t="n">
        <v>64927.46</v>
      </c>
      <c r="Q1643" s="71" t="n">
        <v>112438</v>
      </c>
      <c r="R1643" t="inlineStr">
        <is>
          <t>Vaccines</t>
        </is>
      </c>
      <c r="S1643" s="70" t="n">
        <v>1598</v>
      </c>
      <c r="T1643" s="71" t="n">
        <v>57709.1</v>
      </c>
      <c r="U1643" t="inlineStr">
        <is>
          <t>Low</t>
        </is>
      </c>
      <c r="V1643">
        <f>IF(AND(OR(Dashboard!$C$6="All",E1643=Dashboard!$C$6),OR(Dashboard!$F$6="All",G1643=Dashboard!$F$6),OR(Dashboard!$I$6="All",H1643=Dashboard!$I$6)),1,0)</f>
        <v/>
      </c>
    </row>
    <row r="1644">
      <c r="A1644" t="inlineStr">
        <is>
          <t>PF101635</t>
        </is>
      </c>
      <c r="B1644" s="68" t="n">
        <v>45857</v>
      </c>
      <c r="C1644" s="69" t="n">
        <v>2025</v>
      </c>
      <c r="D1644" t="inlineStr">
        <is>
          <t>Jul</t>
        </is>
      </c>
      <c r="E1644" t="inlineStr">
        <is>
          <t>United States</t>
        </is>
      </c>
      <c r="F1644" t="inlineStr">
        <is>
          <t>USA</t>
        </is>
      </c>
      <c r="G1644" t="inlineStr">
        <is>
          <t>Ibrance</t>
        </is>
      </c>
      <c r="H1644" t="inlineStr">
        <is>
          <t>Hospital</t>
        </is>
      </c>
      <c r="I1644" t="inlineStr">
        <is>
          <t>Public payer</t>
        </is>
      </c>
      <c r="J1644" t="inlineStr">
        <is>
          <t>Fatima Al-Saud</t>
        </is>
      </c>
      <c r="K1644" s="70" t="n">
        <v>296</v>
      </c>
      <c r="L1644" s="71" t="n">
        <v>4595.71</v>
      </c>
      <c r="M1644" s="71" t="n">
        <v>1360330.16</v>
      </c>
      <c r="N1644" s="71" t="n">
        <v>204049.52</v>
      </c>
      <c r="O1644" s="71" t="n">
        <v>1156280.64</v>
      </c>
      <c r="P1644" s="71" t="n">
        <v>124987.31</v>
      </c>
      <c r="Q1644" s="71" t="n">
        <v>1031293.33</v>
      </c>
      <c r="R1644" t="inlineStr">
        <is>
          <t>Oncology</t>
        </is>
      </c>
      <c r="S1644" s="70" t="n">
        <v>290</v>
      </c>
      <c r="T1644" s="71" t="n">
        <v>239682.74</v>
      </c>
      <c r="U1644" t="inlineStr">
        <is>
          <t>High</t>
        </is>
      </c>
      <c r="V1644">
        <f>IF(AND(OR(Dashboard!$C$6="All",E1644=Dashboard!$C$6),OR(Dashboard!$F$6="All",G1644=Dashboard!$F$6),OR(Dashboard!$I$6="All",H1644=Dashboard!$I$6)),1,0)</f>
        <v/>
      </c>
    </row>
    <row r="1645">
      <c r="A1645" t="inlineStr">
        <is>
          <t>PF101636</t>
        </is>
      </c>
      <c r="B1645" s="68" t="n">
        <v>45857</v>
      </c>
      <c r="C1645" s="69" t="n">
        <v>2025</v>
      </c>
      <c r="D1645" t="inlineStr">
        <is>
          <t>Jul</t>
        </is>
      </c>
      <c r="E1645" t="inlineStr">
        <is>
          <t>International developed</t>
        </is>
      </c>
      <c r="F1645" t="inlineStr">
        <is>
          <t>Australia</t>
        </is>
      </c>
      <c r="G1645" t="inlineStr">
        <is>
          <t>Xeljanz</t>
        </is>
      </c>
      <c r="H1645" t="inlineStr">
        <is>
          <t>Hospital</t>
        </is>
      </c>
      <c r="I1645" t="inlineStr">
        <is>
          <t>Private insurer</t>
        </is>
      </c>
      <c r="J1645" t="inlineStr">
        <is>
          <t>Noah Smith</t>
        </is>
      </c>
      <c r="K1645" s="70" t="n">
        <v>2629</v>
      </c>
      <c r="L1645" s="71" t="n">
        <v>1516.78</v>
      </c>
      <c r="M1645" s="71" t="n">
        <v>3987614.62</v>
      </c>
      <c r="N1645" s="71" t="n">
        <v>398761.46</v>
      </c>
      <c r="O1645" s="71" t="n">
        <v>3588853.16</v>
      </c>
      <c r="P1645" s="71" t="n">
        <v>671601.12</v>
      </c>
      <c r="Q1645" s="71" t="n">
        <v>2917252.04</v>
      </c>
      <c r="R1645" t="inlineStr">
        <is>
          <t>Inflammation</t>
        </is>
      </c>
      <c r="S1645" s="70" t="n">
        <v>2035</v>
      </c>
      <c r="T1645" s="71" t="n">
        <v>561930.59</v>
      </c>
      <c r="U1645" t="inlineStr">
        <is>
          <t>High</t>
        </is>
      </c>
      <c r="V1645">
        <f>IF(AND(OR(Dashboard!$C$6="All",E1645=Dashboard!$C$6),OR(Dashboard!$F$6="All",G1645=Dashboard!$F$6),OR(Dashboard!$I$6="All",H1645=Dashboard!$I$6)),1,0)</f>
        <v/>
      </c>
    </row>
    <row r="1646">
      <c r="A1646" t="inlineStr">
        <is>
          <t>PF101637</t>
        </is>
      </c>
      <c r="B1646" s="68" t="n">
        <v>45858</v>
      </c>
      <c r="C1646" s="69" t="n">
        <v>2025</v>
      </c>
      <c r="D1646" t="inlineStr">
        <is>
          <t>Jul</t>
        </is>
      </c>
      <c r="E1646" t="inlineStr">
        <is>
          <t>United States</t>
        </is>
      </c>
      <c r="F1646" t="inlineStr">
        <is>
          <t>USA</t>
        </is>
      </c>
      <c r="G1646" t="inlineStr">
        <is>
          <t>Xeljanz</t>
        </is>
      </c>
      <c r="H1646" t="inlineStr">
        <is>
          <t>Government / tender</t>
        </is>
      </c>
      <c r="I1646" t="inlineStr">
        <is>
          <t>Public payer</t>
        </is>
      </c>
      <c r="J1646" t="inlineStr">
        <is>
          <t>Amir Khan</t>
        </is>
      </c>
      <c r="K1646" s="70" t="n">
        <v>444</v>
      </c>
      <c r="L1646" s="71" t="n">
        <v>2369.54</v>
      </c>
      <c r="M1646" s="71" t="n">
        <v>1052075.76</v>
      </c>
      <c r="N1646" s="71" t="n">
        <v>157811.36</v>
      </c>
      <c r="O1646" s="71" t="n">
        <v>894264.4</v>
      </c>
      <c r="P1646" s="71" t="n">
        <v>113440.5</v>
      </c>
      <c r="Q1646" s="71" t="n">
        <v>780823.9</v>
      </c>
      <c r="R1646" t="inlineStr">
        <is>
          <t>Inflammation</t>
        </is>
      </c>
      <c r="S1646" s="70" t="n">
        <v>388</v>
      </c>
      <c r="T1646" s="71" t="n">
        <v>213967.94</v>
      </c>
      <c r="U1646" t="inlineStr">
        <is>
          <t>High</t>
        </is>
      </c>
      <c r="V1646">
        <f>IF(AND(OR(Dashboard!$C$6="All",E1646=Dashboard!$C$6),OR(Dashboard!$F$6="All",G1646=Dashboard!$F$6),OR(Dashboard!$I$6="All",H1646=Dashboard!$I$6)),1,0)</f>
        <v/>
      </c>
    </row>
    <row r="1647">
      <c r="A1647" t="inlineStr">
        <is>
          <t>PF101638</t>
        </is>
      </c>
      <c r="B1647" s="68" t="n">
        <v>45858</v>
      </c>
      <c r="C1647" s="69" t="n">
        <v>2025</v>
      </c>
      <c r="D1647" t="inlineStr">
        <is>
          <t>Jul</t>
        </is>
      </c>
      <c r="E1647" t="inlineStr">
        <is>
          <t>United States</t>
        </is>
      </c>
      <c r="F1647" t="inlineStr">
        <is>
          <t>USA</t>
        </is>
      </c>
      <c r="G1647" t="inlineStr">
        <is>
          <t>Prevnar 20</t>
        </is>
      </c>
      <c r="H1647" t="inlineStr">
        <is>
          <t>Government / tender</t>
        </is>
      </c>
      <c r="I1647" t="inlineStr">
        <is>
          <t>Public payer</t>
        </is>
      </c>
      <c r="J1647" t="inlineStr">
        <is>
          <t>Amir Khan</t>
        </is>
      </c>
      <c r="K1647" s="70" t="n">
        <v>1793</v>
      </c>
      <c r="L1647" s="71" t="n">
        <v>356.26</v>
      </c>
      <c r="M1647" s="71" t="n">
        <v>638774.1800000001</v>
      </c>
      <c r="N1647" s="71" t="n">
        <v>159693.55</v>
      </c>
      <c r="O1647" s="71" t="n">
        <v>479080.63</v>
      </c>
      <c r="P1647" s="71" t="n">
        <v>120056.46</v>
      </c>
      <c r="Q1647" s="71" t="n">
        <v>359024.17</v>
      </c>
      <c r="R1647" t="inlineStr">
        <is>
          <t>Vaccines</t>
        </is>
      </c>
      <c r="S1647" s="70" t="n">
        <v>1348</v>
      </c>
      <c r="T1647" s="71" t="n">
        <v>98320.24000000001</v>
      </c>
      <c r="U1647" t="inlineStr">
        <is>
          <t>Low</t>
        </is>
      </c>
      <c r="V1647">
        <f>IF(AND(OR(Dashboard!$C$6="All",E1647=Dashboard!$C$6),OR(Dashboard!$F$6="All",G1647=Dashboard!$F$6),OR(Dashboard!$I$6="All",H1647=Dashboard!$I$6)),1,0)</f>
        <v/>
      </c>
    </row>
    <row r="1648">
      <c r="A1648" t="inlineStr">
        <is>
          <t>PF101639</t>
        </is>
      </c>
      <c r="B1648" s="68" t="n">
        <v>45858</v>
      </c>
      <c r="C1648" s="69" t="n">
        <v>2025</v>
      </c>
      <c r="D1648" t="inlineStr">
        <is>
          <t>Jul</t>
        </is>
      </c>
      <c r="E1648" t="inlineStr">
        <is>
          <t>Europe</t>
        </is>
      </c>
      <c r="F1648" t="inlineStr">
        <is>
          <t>France</t>
        </is>
      </c>
      <c r="G1648" t="inlineStr">
        <is>
          <t>Eliquis</t>
        </is>
      </c>
      <c r="H1648" t="inlineStr">
        <is>
          <t>Retail pharmacy</t>
        </is>
      </c>
      <c r="I1648" t="inlineStr">
        <is>
          <t>Private insurer</t>
        </is>
      </c>
      <c r="J1648" t="inlineStr">
        <is>
          <t>Mei Lin</t>
        </is>
      </c>
      <c r="K1648" s="70" t="n">
        <v>1922</v>
      </c>
      <c r="L1648" s="71" t="n">
        <v>389.79</v>
      </c>
      <c r="M1648" s="71" t="n">
        <v>749176.38</v>
      </c>
      <c r="N1648" s="71" t="n">
        <v>37458.82</v>
      </c>
      <c r="O1648" s="71" t="n">
        <v>711717.5600000001</v>
      </c>
      <c r="P1648" s="71" t="n">
        <v>144620.61</v>
      </c>
      <c r="Q1648" s="71" t="n">
        <v>567096.95</v>
      </c>
      <c r="R1648" t="inlineStr">
        <is>
          <t>Cardiology</t>
        </is>
      </c>
      <c r="S1648" s="70" t="n">
        <v>1620</v>
      </c>
      <c r="T1648" s="71" t="n">
        <v>115996.99</v>
      </c>
      <c r="U1648" t="inlineStr">
        <is>
          <t>High</t>
        </is>
      </c>
      <c r="V1648">
        <f>IF(AND(OR(Dashboard!$C$6="All",E1648=Dashboard!$C$6),OR(Dashboard!$F$6="All",G1648=Dashboard!$F$6),OR(Dashboard!$I$6="All",H1648=Dashboard!$I$6)),1,0)</f>
        <v/>
      </c>
    </row>
    <row r="1649">
      <c r="A1649" t="inlineStr">
        <is>
          <t>PF101640</t>
        </is>
      </c>
      <c r="B1649" s="68" t="n">
        <v>45858</v>
      </c>
      <c r="C1649" s="69" t="n">
        <v>2025</v>
      </c>
      <c r="D1649" t="inlineStr">
        <is>
          <t>Jul</t>
        </is>
      </c>
      <c r="E1649" t="inlineStr">
        <is>
          <t>Europe</t>
        </is>
      </c>
      <c r="F1649" t="inlineStr">
        <is>
          <t>UK</t>
        </is>
      </c>
      <c r="G1649" t="inlineStr">
        <is>
          <t>Ibrance</t>
        </is>
      </c>
      <c r="H1649" t="inlineStr">
        <is>
          <t>Retail pharmacy</t>
        </is>
      </c>
      <c r="I1649" t="inlineStr">
        <is>
          <t>Self-pay</t>
        </is>
      </c>
      <c r="J1649" t="inlineStr">
        <is>
          <t>Mei Lin</t>
        </is>
      </c>
      <c r="K1649" s="70" t="n">
        <v>263</v>
      </c>
      <c r="L1649" s="71" t="n">
        <v>3127.54</v>
      </c>
      <c r="M1649" s="71" t="n">
        <v>822543.02</v>
      </c>
      <c r="N1649" s="71" t="n">
        <v>41127.15</v>
      </c>
      <c r="O1649" s="71" t="n">
        <v>781415.87</v>
      </c>
      <c r="P1649" s="71" t="n">
        <v>113253.84</v>
      </c>
      <c r="Q1649" s="71" t="n">
        <v>668162.03</v>
      </c>
      <c r="R1649" t="inlineStr">
        <is>
          <t>Oncology</t>
        </is>
      </c>
      <c r="S1649" s="70" t="n">
        <v>202</v>
      </c>
      <c r="T1649" s="71" t="n">
        <v>134397.85</v>
      </c>
      <c r="U1649" t="inlineStr">
        <is>
          <t>High</t>
        </is>
      </c>
      <c r="V1649">
        <f>IF(AND(OR(Dashboard!$C$6="All",E1649=Dashboard!$C$6),OR(Dashboard!$F$6="All",G1649=Dashboard!$F$6),OR(Dashboard!$I$6="All",H1649=Dashboard!$I$6)),1,0)</f>
        <v/>
      </c>
    </row>
    <row r="1650">
      <c r="A1650" t="inlineStr">
        <is>
          <t>PF101641</t>
        </is>
      </c>
      <c r="B1650" s="68" t="n">
        <v>45858</v>
      </c>
      <c r="C1650" s="69" t="n">
        <v>2025</v>
      </c>
      <c r="D1650" t="inlineStr">
        <is>
          <t>Jul</t>
        </is>
      </c>
      <c r="E1650" t="inlineStr">
        <is>
          <t>Emerging markets</t>
        </is>
      </c>
      <c r="F1650" t="inlineStr">
        <is>
          <t>Mexico</t>
        </is>
      </c>
      <c r="G1650" t="inlineStr">
        <is>
          <t>Comirnaty</t>
        </is>
      </c>
      <c r="H1650" t="inlineStr">
        <is>
          <t>Retail pharmacy</t>
        </is>
      </c>
      <c r="I1650" t="inlineStr">
        <is>
          <t>Private insurer</t>
        </is>
      </c>
      <c r="J1650" t="inlineStr">
        <is>
          <t>Zoya Ahmed</t>
        </is>
      </c>
      <c r="K1650" s="70" t="n">
        <v>526</v>
      </c>
      <c r="L1650" s="71" t="n">
        <v>101.9</v>
      </c>
      <c r="M1650" s="71" t="n">
        <v>53599.4</v>
      </c>
      <c r="N1650" s="71" t="n">
        <v>8039.91</v>
      </c>
      <c r="O1650" s="71" t="n">
        <v>45559.49</v>
      </c>
      <c r="P1650" s="71" t="n">
        <v>20209.31</v>
      </c>
      <c r="Q1650" s="71" t="n">
        <v>25350.18</v>
      </c>
      <c r="R1650" t="inlineStr">
        <is>
          <t>Vaccines</t>
        </is>
      </c>
      <c r="S1650" s="70" t="n">
        <v>383</v>
      </c>
      <c r="T1650" s="71" t="n">
        <v>8086.04</v>
      </c>
      <c r="U1650" t="inlineStr">
        <is>
          <t>Low</t>
        </is>
      </c>
      <c r="V1650">
        <f>IF(AND(OR(Dashboard!$C$6="All",E1650=Dashboard!$C$6),OR(Dashboard!$F$6="All",G1650=Dashboard!$F$6),OR(Dashboard!$I$6="All",H1650=Dashboard!$I$6)),1,0)</f>
        <v/>
      </c>
    </row>
    <row r="1651">
      <c r="A1651" t="inlineStr">
        <is>
          <t>PF101642</t>
        </is>
      </c>
      <c r="B1651" s="68" t="n">
        <v>45858</v>
      </c>
      <c r="C1651" s="69" t="n">
        <v>2025</v>
      </c>
      <c r="D1651" t="inlineStr">
        <is>
          <t>Jul</t>
        </is>
      </c>
      <c r="E1651" t="inlineStr">
        <is>
          <t>United States</t>
        </is>
      </c>
      <c r="F1651" t="inlineStr">
        <is>
          <t>USA</t>
        </is>
      </c>
      <c r="G1651" t="inlineStr">
        <is>
          <t>Eliquis</t>
        </is>
      </c>
      <c r="H1651" t="inlineStr">
        <is>
          <t>Retail pharmacy</t>
        </is>
      </c>
      <c r="I1651" t="inlineStr">
        <is>
          <t>Self-pay</t>
        </is>
      </c>
      <c r="J1651" t="inlineStr">
        <is>
          <t>Wei Chen</t>
        </is>
      </c>
      <c r="K1651" s="70" t="n">
        <v>83</v>
      </c>
      <c r="L1651" s="71" t="n">
        <v>680.38</v>
      </c>
      <c r="M1651" s="71" t="n">
        <v>56471.54</v>
      </c>
      <c r="N1651" s="71" t="n">
        <v>16941.46</v>
      </c>
      <c r="O1651" s="71" t="n">
        <v>39530.08</v>
      </c>
      <c r="P1651" s="71" t="n">
        <v>6061.08</v>
      </c>
      <c r="Q1651" s="71" t="n">
        <v>33469</v>
      </c>
      <c r="R1651" t="inlineStr">
        <is>
          <t>Cardiology</t>
        </is>
      </c>
      <c r="S1651" s="70" t="n">
        <v>58</v>
      </c>
      <c r="T1651" s="71" t="n">
        <v>7901.49</v>
      </c>
      <c r="U1651" t="inlineStr">
        <is>
          <t>High</t>
        </is>
      </c>
      <c r="V1651">
        <f>IF(AND(OR(Dashboard!$C$6="All",E1651=Dashboard!$C$6),OR(Dashboard!$F$6="All",G1651=Dashboard!$F$6),OR(Dashboard!$I$6="All",H1651=Dashboard!$I$6)),1,0)</f>
        <v/>
      </c>
    </row>
    <row r="1652">
      <c r="A1652" t="inlineStr">
        <is>
          <t>PF101643</t>
        </is>
      </c>
      <c r="B1652" s="68" t="n">
        <v>45858</v>
      </c>
      <c r="C1652" s="69" t="n">
        <v>2025</v>
      </c>
      <c r="D1652" t="inlineStr">
        <is>
          <t>Jul</t>
        </is>
      </c>
      <c r="E1652" t="inlineStr">
        <is>
          <t>Europe</t>
        </is>
      </c>
      <c r="F1652" t="inlineStr">
        <is>
          <t>Spain</t>
        </is>
      </c>
      <c r="G1652" t="inlineStr">
        <is>
          <t>Eliquis</t>
        </is>
      </c>
      <c r="H1652" t="inlineStr">
        <is>
          <t>Retail pharmacy</t>
        </is>
      </c>
      <c r="I1652" t="inlineStr">
        <is>
          <t>Private insurer</t>
        </is>
      </c>
      <c r="J1652" t="inlineStr">
        <is>
          <t>Priya Nair</t>
        </is>
      </c>
      <c r="K1652" s="70" t="n">
        <v>175</v>
      </c>
      <c r="L1652" s="71" t="n">
        <v>380.25</v>
      </c>
      <c r="M1652" s="71" t="n">
        <v>66543.75</v>
      </c>
      <c r="N1652" s="71" t="n">
        <v>9981.559999999999</v>
      </c>
      <c r="O1652" s="71" t="n">
        <v>56562.19</v>
      </c>
      <c r="P1652" s="71" t="n">
        <v>13326.55</v>
      </c>
      <c r="Q1652" s="71" t="n">
        <v>43235.64</v>
      </c>
      <c r="R1652" t="inlineStr">
        <is>
          <t>Cardiology</t>
        </is>
      </c>
      <c r="S1652" s="70" t="n">
        <v>126</v>
      </c>
      <c r="T1652" s="71" t="n">
        <v>12106.95</v>
      </c>
      <c r="U1652" t="inlineStr">
        <is>
          <t>High</t>
        </is>
      </c>
      <c r="V1652">
        <f>IF(AND(OR(Dashboard!$C$6="All",E1652=Dashboard!$C$6),OR(Dashboard!$F$6="All",G1652=Dashboard!$F$6),OR(Dashboard!$I$6="All",H1652=Dashboard!$I$6)),1,0)</f>
        <v/>
      </c>
    </row>
    <row r="1653">
      <c r="A1653" t="inlineStr">
        <is>
          <t>PF101644</t>
        </is>
      </c>
      <c r="B1653" s="68" t="n">
        <v>45858</v>
      </c>
      <c r="C1653" s="69" t="n">
        <v>2025</v>
      </c>
      <c r="D1653" t="inlineStr">
        <is>
          <t>Jul</t>
        </is>
      </c>
      <c r="E1653" t="inlineStr">
        <is>
          <t>United States</t>
        </is>
      </c>
      <c r="F1653" t="inlineStr">
        <is>
          <t>USA</t>
        </is>
      </c>
      <c r="G1653" t="inlineStr">
        <is>
          <t>Paxlovid</t>
        </is>
      </c>
      <c r="H1653" t="inlineStr">
        <is>
          <t>Hospital</t>
        </is>
      </c>
      <c r="I1653" t="inlineStr">
        <is>
          <t>Public payer</t>
        </is>
      </c>
      <c r="J1653" t="inlineStr">
        <is>
          <t>Ravindra Patil</t>
        </is>
      </c>
      <c r="K1653" s="70" t="n">
        <v>551</v>
      </c>
      <c r="L1653" s="71" t="n">
        <v>1644.22</v>
      </c>
      <c r="M1653" s="71" t="n">
        <v>905965.22</v>
      </c>
      <c r="N1653" s="71" t="n">
        <v>271789.57</v>
      </c>
      <c r="O1653" s="71" t="n">
        <v>634175.65</v>
      </c>
      <c r="P1653" s="71" t="n">
        <v>146446.26</v>
      </c>
      <c r="Q1653" s="71" t="n">
        <v>487729.39</v>
      </c>
      <c r="R1653" t="inlineStr">
        <is>
          <t>Antiviral</t>
        </is>
      </c>
      <c r="S1653" s="70" t="n">
        <v>454</v>
      </c>
      <c r="T1653" s="71" t="n">
        <v>150249.56</v>
      </c>
      <c r="U1653" t="inlineStr">
        <is>
          <t>Low</t>
        </is>
      </c>
      <c r="V1653">
        <f>IF(AND(OR(Dashboard!$C$6="All",E1653=Dashboard!$C$6),OR(Dashboard!$F$6="All",G1653=Dashboard!$F$6),OR(Dashboard!$I$6="All",H1653=Dashboard!$I$6)),1,0)</f>
        <v/>
      </c>
    </row>
    <row r="1654">
      <c r="A1654" t="inlineStr">
        <is>
          <t>PF101645</t>
        </is>
      </c>
      <c r="B1654" s="68" t="n">
        <v>45859</v>
      </c>
      <c r="C1654" s="69" t="n">
        <v>2025</v>
      </c>
      <c r="D1654" t="inlineStr">
        <is>
          <t>Jul</t>
        </is>
      </c>
      <c r="E1654" t="inlineStr">
        <is>
          <t>United States</t>
        </is>
      </c>
      <c r="F1654" t="inlineStr">
        <is>
          <t>USA</t>
        </is>
      </c>
      <c r="G1654" t="inlineStr">
        <is>
          <t>Prevnar 20</t>
        </is>
      </c>
      <c r="H1654" t="inlineStr">
        <is>
          <t>Retail pharmacy</t>
        </is>
      </c>
      <c r="I1654" t="inlineStr">
        <is>
          <t>Public payer</t>
        </is>
      </c>
      <c r="J1654" t="inlineStr">
        <is>
          <t>Priya Nair</t>
        </is>
      </c>
      <c r="K1654" s="70" t="n">
        <v>213</v>
      </c>
      <c r="L1654" s="71" t="n">
        <v>365.23</v>
      </c>
      <c r="M1654" s="71" t="n">
        <v>77793.99000000001</v>
      </c>
      <c r="N1654" s="71" t="n">
        <v>27227.9</v>
      </c>
      <c r="O1654" s="71" t="n">
        <v>50566.09</v>
      </c>
      <c r="P1654" s="71" t="n">
        <v>14618.41</v>
      </c>
      <c r="Q1654" s="71" t="n">
        <v>35947.68</v>
      </c>
      <c r="R1654" t="inlineStr">
        <is>
          <t>Vaccines</t>
        </is>
      </c>
      <c r="S1654" s="70" t="n">
        <v>162</v>
      </c>
      <c r="T1654" s="71" t="n">
        <v>12365.19</v>
      </c>
      <c r="U1654" t="inlineStr">
        <is>
          <t>Low</t>
        </is>
      </c>
      <c r="V1654">
        <f>IF(AND(OR(Dashboard!$C$6="All",E1654=Dashboard!$C$6),OR(Dashboard!$F$6="All",G1654=Dashboard!$F$6),OR(Dashboard!$I$6="All",H1654=Dashboard!$I$6)),1,0)</f>
        <v/>
      </c>
    </row>
    <row r="1655">
      <c r="A1655" t="inlineStr">
        <is>
          <t>PF101646</t>
        </is>
      </c>
      <c r="B1655" s="68" t="n">
        <v>45859</v>
      </c>
      <c r="C1655" s="69" t="n">
        <v>2025</v>
      </c>
      <c r="D1655" t="inlineStr">
        <is>
          <t>Jul</t>
        </is>
      </c>
      <c r="E1655" t="inlineStr">
        <is>
          <t>United States</t>
        </is>
      </c>
      <c r="F1655" t="inlineStr">
        <is>
          <t>USA</t>
        </is>
      </c>
      <c r="G1655" t="inlineStr">
        <is>
          <t>Eliquis</t>
        </is>
      </c>
      <c r="H1655" t="inlineStr">
        <is>
          <t>Hospital</t>
        </is>
      </c>
      <c r="I1655" t="inlineStr">
        <is>
          <t>Public payer</t>
        </is>
      </c>
      <c r="J1655" t="inlineStr">
        <is>
          <t>Fatima Al-Saud</t>
        </is>
      </c>
      <c r="K1655" s="70" t="n">
        <v>203</v>
      </c>
      <c r="L1655" s="71" t="n">
        <v>687.1</v>
      </c>
      <c r="M1655" s="71" t="n">
        <v>139481.3</v>
      </c>
      <c r="N1655" s="71" t="n">
        <v>20922.19</v>
      </c>
      <c r="O1655" s="71" t="n">
        <v>118559.11</v>
      </c>
      <c r="P1655" s="71" t="n">
        <v>15632.55</v>
      </c>
      <c r="Q1655" s="71" t="n">
        <v>102926.56</v>
      </c>
      <c r="R1655" t="inlineStr">
        <is>
          <t>Cardiology</t>
        </is>
      </c>
      <c r="S1655" s="70" t="n">
        <v>138</v>
      </c>
      <c r="T1655" s="71" t="n">
        <v>27446.84</v>
      </c>
      <c r="U1655" t="inlineStr">
        <is>
          <t>High</t>
        </is>
      </c>
      <c r="V1655">
        <f>IF(AND(OR(Dashboard!$C$6="All",E1655=Dashboard!$C$6),OR(Dashboard!$F$6="All",G1655=Dashboard!$F$6),OR(Dashboard!$I$6="All",H1655=Dashboard!$I$6)),1,0)</f>
        <v/>
      </c>
    </row>
    <row r="1656">
      <c r="A1656" t="inlineStr">
        <is>
          <t>PF101647</t>
        </is>
      </c>
      <c r="B1656" s="68" t="n">
        <v>45859</v>
      </c>
      <c r="C1656" s="69" t="n">
        <v>2025</v>
      </c>
      <c r="D1656" t="inlineStr">
        <is>
          <t>Jul</t>
        </is>
      </c>
      <c r="E1656" t="inlineStr">
        <is>
          <t>Emerging markets</t>
        </is>
      </c>
      <c r="F1656" t="inlineStr">
        <is>
          <t>India</t>
        </is>
      </c>
      <c r="G1656" t="inlineStr">
        <is>
          <t>Comirnaty</t>
        </is>
      </c>
      <c r="H1656" t="inlineStr">
        <is>
          <t>Retail pharmacy</t>
        </is>
      </c>
      <c r="I1656" t="inlineStr">
        <is>
          <t>Self-pay</t>
        </is>
      </c>
      <c r="J1656" t="inlineStr">
        <is>
          <t>Lucas Martin</t>
        </is>
      </c>
      <c r="K1656" s="70" t="n">
        <v>1038</v>
      </c>
      <c r="L1656" s="71" t="n">
        <v>101.94</v>
      </c>
      <c r="M1656" s="71" t="n">
        <v>105813.72</v>
      </c>
      <c r="N1656" s="71" t="n">
        <v>10581.37</v>
      </c>
      <c r="O1656" s="71" t="n">
        <v>95232.35000000001</v>
      </c>
      <c r="P1656" s="71" t="n">
        <v>39731.3</v>
      </c>
      <c r="Q1656" s="71" t="n">
        <v>55501.05</v>
      </c>
      <c r="R1656" t="inlineStr">
        <is>
          <t>Vaccines</t>
        </is>
      </c>
      <c r="S1656" s="70" t="n">
        <v>855</v>
      </c>
      <c r="T1656" s="71" t="n">
        <v>17769.35</v>
      </c>
      <c r="U1656" t="inlineStr">
        <is>
          <t>Low</t>
        </is>
      </c>
      <c r="V1656">
        <f>IF(AND(OR(Dashboard!$C$6="All",E1656=Dashboard!$C$6),OR(Dashboard!$F$6="All",G1656=Dashboard!$F$6),OR(Dashboard!$I$6="All",H1656=Dashboard!$I$6)),1,0)</f>
        <v/>
      </c>
    </row>
    <row r="1657">
      <c r="A1657" t="inlineStr">
        <is>
          <t>PF101648</t>
        </is>
      </c>
      <c r="B1657" s="68" t="n">
        <v>45859</v>
      </c>
      <c r="C1657" s="69" t="n">
        <v>2025</v>
      </c>
      <c r="D1657" t="inlineStr">
        <is>
          <t>Jul</t>
        </is>
      </c>
      <c r="E1657" t="inlineStr">
        <is>
          <t>International developed</t>
        </is>
      </c>
      <c r="F1657" t="inlineStr">
        <is>
          <t>Australia</t>
        </is>
      </c>
      <c r="G1657" t="inlineStr">
        <is>
          <t>Prevnar 20</t>
        </is>
      </c>
      <c r="H1657" t="inlineStr">
        <is>
          <t>Retail pharmacy</t>
        </is>
      </c>
      <c r="I1657" t="inlineStr">
        <is>
          <t>Private insurer</t>
        </is>
      </c>
      <c r="J1657" t="inlineStr">
        <is>
          <t>Emma Clarke</t>
        </is>
      </c>
      <c r="K1657" s="70" t="n">
        <v>926</v>
      </c>
      <c r="L1657" s="71" t="n">
        <v>215.3</v>
      </c>
      <c r="M1657" s="71" t="n">
        <v>199367.8</v>
      </c>
      <c r="N1657" s="71" t="n">
        <v>49841.95</v>
      </c>
      <c r="O1657" s="71" t="n">
        <v>149525.85</v>
      </c>
      <c r="P1657" s="71" t="n">
        <v>62409.17</v>
      </c>
      <c r="Q1657" s="71" t="n">
        <v>87116.67999999999</v>
      </c>
      <c r="R1657" t="inlineStr">
        <is>
          <t>Vaccines</t>
        </is>
      </c>
      <c r="S1657" s="70" t="n">
        <v>604</v>
      </c>
      <c r="T1657" s="71" t="n">
        <v>31663.06</v>
      </c>
      <c r="U1657" t="inlineStr">
        <is>
          <t>Low</t>
        </is>
      </c>
      <c r="V1657">
        <f>IF(AND(OR(Dashboard!$C$6="All",E1657=Dashboard!$C$6),OR(Dashboard!$F$6="All",G1657=Dashboard!$F$6),OR(Dashboard!$I$6="All",H1657=Dashboard!$I$6)),1,0)</f>
        <v/>
      </c>
    </row>
    <row r="1658">
      <c r="A1658" t="inlineStr">
        <is>
          <t>PF101649</t>
        </is>
      </c>
      <c r="B1658" s="68" t="n">
        <v>45859</v>
      </c>
      <c r="C1658" s="69" t="n">
        <v>2025</v>
      </c>
      <c r="D1658" t="inlineStr">
        <is>
          <t>Jul</t>
        </is>
      </c>
      <c r="E1658" t="inlineStr">
        <is>
          <t>Europe</t>
        </is>
      </c>
      <c r="F1658" t="inlineStr">
        <is>
          <t>France</t>
        </is>
      </c>
      <c r="G1658" t="inlineStr">
        <is>
          <t>Eliquis</t>
        </is>
      </c>
      <c r="H1658" t="inlineStr">
        <is>
          <t>Retail pharmacy</t>
        </is>
      </c>
      <c r="I1658" t="inlineStr">
        <is>
          <t>Public payer</t>
        </is>
      </c>
      <c r="J1658" t="inlineStr">
        <is>
          <t>Aisha Bello</t>
        </is>
      </c>
      <c r="K1658" s="70" t="n">
        <v>1723</v>
      </c>
      <c r="L1658" s="71" t="n">
        <v>385.56</v>
      </c>
      <c r="M1658" s="71" t="n">
        <v>664319.88</v>
      </c>
      <c r="N1658" s="71" t="n">
        <v>166079.97</v>
      </c>
      <c r="O1658" s="71" t="n">
        <v>498239.91</v>
      </c>
      <c r="P1658" s="71" t="n">
        <v>134262.02</v>
      </c>
      <c r="Q1658" s="71" t="n">
        <v>363977.89</v>
      </c>
      <c r="R1658" t="inlineStr">
        <is>
          <t>Cardiology</t>
        </is>
      </c>
      <c r="S1658" s="70" t="n">
        <v>1582</v>
      </c>
      <c r="T1658" s="71" t="n">
        <v>94076.61</v>
      </c>
      <c r="U1658" t="inlineStr">
        <is>
          <t>High</t>
        </is>
      </c>
      <c r="V1658">
        <f>IF(AND(OR(Dashboard!$C$6="All",E1658=Dashboard!$C$6),OR(Dashboard!$F$6="All",G1658=Dashboard!$F$6),OR(Dashboard!$I$6="All",H1658=Dashboard!$I$6)),1,0)</f>
        <v/>
      </c>
    </row>
    <row r="1659">
      <c r="A1659" t="inlineStr">
        <is>
          <t>PF101650</t>
        </is>
      </c>
      <c r="B1659" s="68" t="n">
        <v>45859</v>
      </c>
      <c r="C1659" s="69" t="n">
        <v>2025</v>
      </c>
      <c r="D1659" t="inlineStr">
        <is>
          <t>Jul</t>
        </is>
      </c>
      <c r="E1659" t="inlineStr">
        <is>
          <t>United States</t>
        </is>
      </c>
      <c r="F1659" t="inlineStr">
        <is>
          <t>USA</t>
        </is>
      </c>
      <c r="G1659" t="inlineStr">
        <is>
          <t>Ibrance</t>
        </is>
      </c>
      <c r="H1659" t="inlineStr">
        <is>
          <t>Retail pharmacy</t>
        </is>
      </c>
      <c r="I1659" t="inlineStr">
        <is>
          <t>Private insurer</t>
        </is>
      </c>
      <c r="J1659" t="inlineStr">
        <is>
          <t>Noah Smith</t>
        </is>
      </c>
      <c r="K1659" s="70" t="n">
        <v>1222</v>
      </c>
      <c r="L1659" s="71" t="n">
        <v>4960.02</v>
      </c>
      <c r="M1659" s="71" t="n">
        <v>6061144.44</v>
      </c>
      <c r="N1659" s="71" t="n">
        <v>909171.67</v>
      </c>
      <c r="O1659" s="71" t="n">
        <v>5151972.77</v>
      </c>
      <c r="P1659" s="71" t="n">
        <v>535544.83</v>
      </c>
      <c r="Q1659" s="71" t="n">
        <v>4616427.94</v>
      </c>
      <c r="R1659" t="inlineStr">
        <is>
          <t>Oncology</t>
        </is>
      </c>
      <c r="S1659" s="70" t="n">
        <v>849</v>
      </c>
      <c r="T1659" s="71" t="n">
        <v>1172572.32</v>
      </c>
      <c r="U1659" t="inlineStr">
        <is>
          <t>High</t>
        </is>
      </c>
      <c r="V1659">
        <f>IF(AND(OR(Dashboard!$C$6="All",E1659=Dashboard!$C$6),OR(Dashboard!$F$6="All",G1659=Dashboard!$F$6),OR(Dashboard!$I$6="All",H1659=Dashboard!$I$6)),1,0)</f>
        <v/>
      </c>
    </row>
    <row r="1660">
      <c r="A1660" t="inlineStr">
        <is>
          <t>PF101651</t>
        </is>
      </c>
      <c r="B1660" s="68" t="n">
        <v>45859</v>
      </c>
      <c r="C1660" s="69" t="n">
        <v>2025</v>
      </c>
      <c r="D1660" t="inlineStr">
        <is>
          <t>Jul</t>
        </is>
      </c>
      <c r="E1660" t="inlineStr">
        <is>
          <t>United States</t>
        </is>
      </c>
      <c r="F1660" t="inlineStr">
        <is>
          <t>USA</t>
        </is>
      </c>
      <c r="G1660" t="inlineStr">
        <is>
          <t>Eliquis</t>
        </is>
      </c>
      <c r="H1660" t="inlineStr">
        <is>
          <t>Government / tender</t>
        </is>
      </c>
      <c r="I1660" t="inlineStr">
        <is>
          <t>Public payer</t>
        </is>
      </c>
      <c r="J1660" t="inlineStr">
        <is>
          <t>Aisha Bello</t>
        </is>
      </c>
      <c r="K1660" s="70" t="n">
        <v>798</v>
      </c>
      <c r="L1660" s="71" t="n">
        <v>707.92</v>
      </c>
      <c r="M1660" s="71" t="n">
        <v>564920.16</v>
      </c>
      <c r="N1660" s="71" t="n">
        <v>112984.03</v>
      </c>
      <c r="O1660" s="71" t="n">
        <v>451936.13</v>
      </c>
      <c r="P1660" s="71" t="n">
        <v>60698.97</v>
      </c>
      <c r="Q1660" s="71" t="n">
        <v>391237.16</v>
      </c>
      <c r="R1660" t="inlineStr">
        <is>
          <t>Cardiology</t>
        </is>
      </c>
      <c r="S1660" s="70" t="n">
        <v>621</v>
      </c>
      <c r="T1660" s="71" t="n">
        <v>82499.25</v>
      </c>
      <c r="U1660" t="inlineStr">
        <is>
          <t>High</t>
        </is>
      </c>
      <c r="V1660">
        <f>IF(AND(OR(Dashboard!$C$6="All",E1660=Dashboard!$C$6),OR(Dashboard!$F$6="All",G1660=Dashboard!$F$6),OR(Dashboard!$I$6="All",H1660=Dashboard!$I$6)),1,0)</f>
        <v/>
      </c>
    </row>
    <row r="1661">
      <c r="A1661" t="inlineStr">
        <is>
          <t>PF101652</t>
        </is>
      </c>
      <c r="B1661" s="68" t="n">
        <v>45860</v>
      </c>
      <c r="C1661" s="69" t="n">
        <v>2025</v>
      </c>
      <c r="D1661" t="inlineStr">
        <is>
          <t>Jul</t>
        </is>
      </c>
      <c r="E1661" t="inlineStr">
        <is>
          <t>Europe</t>
        </is>
      </c>
      <c r="F1661" t="inlineStr">
        <is>
          <t>UK</t>
        </is>
      </c>
      <c r="G1661" t="inlineStr">
        <is>
          <t>Eliquis</t>
        </is>
      </c>
      <c r="H1661" t="inlineStr">
        <is>
          <t>Retail pharmacy</t>
        </is>
      </c>
      <c r="I1661" t="inlineStr">
        <is>
          <t>Private insurer</t>
        </is>
      </c>
      <c r="J1661" t="inlineStr">
        <is>
          <t>Noah Smith</t>
        </is>
      </c>
      <c r="K1661" s="70" t="n">
        <v>2535</v>
      </c>
      <c r="L1661" s="71" t="n">
        <v>383.58</v>
      </c>
      <c r="M1661" s="71" t="n">
        <v>972375.3</v>
      </c>
      <c r="N1661" s="71" t="n">
        <v>145856.3</v>
      </c>
      <c r="O1661" s="71" t="n">
        <v>826519</v>
      </c>
      <c r="P1661" s="71" t="n">
        <v>198287.2</v>
      </c>
      <c r="Q1661" s="71" t="n">
        <v>628231.8</v>
      </c>
      <c r="R1661" t="inlineStr">
        <is>
          <t>Cardiology</t>
        </is>
      </c>
      <c r="S1661" s="70" t="n">
        <v>1668</v>
      </c>
      <c r="T1661" s="71" t="n">
        <v>207489</v>
      </c>
      <c r="U1661" t="inlineStr">
        <is>
          <t>High</t>
        </is>
      </c>
      <c r="V1661">
        <f>IF(AND(OR(Dashboard!$C$6="All",E1661=Dashboard!$C$6),OR(Dashboard!$F$6="All",G1661=Dashboard!$F$6),OR(Dashboard!$I$6="All",H1661=Dashboard!$I$6)),1,0)</f>
        <v/>
      </c>
    </row>
    <row r="1662">
      <c r="A1662" t="inlineStr">
        <is>
          <t>PF101653</t>
        </is>
      </c>
      <c r="B1662" s="68" t="n">
        <v>45860</v>
      </c>
      <c r="C1662" s="69" t="n">
        <v>2025</v>
      </c>
      <c r="D1662" t="inlineStr">
        <is>
          <t>Jul</t>
        </is>
      </c>
      <c r="E1662" t="inlineStr">
        <is>
          <t>Emerging markets</t>
        </is>
      </c>
      <c r="F1662" t="inlineStr">
        <is>
          <t>Brazil</t>
        </is>
      </c>
      <c r="G1662" t="inlineStr">
        <is>
          <t>Eliquis</t>
        </is>
      </c>
      <c r="H1662" t="inlineStr">
        <is>
          <t>Retail pharmacy</t>
        </is>
      </c>
      <c r="I1662" t="inlineStr">
        <is>
          <t>Private insurer</t>
        </is>
      </c>
      <c r="J1662" t="inlineStr">
        <is>
          <t>Ana Costa</t>
        </is>
      </c>
      <c r="K1662" s="70" t="n">
        <v>1082</v>
      </c>
      <c r="L1662" s="71" t="n">
        <v>451.49</v>
      </c>
      <c r="M1662" s="71" t="n">
        <v>488512.18</v>
      </c>
      <c r="N1662" s="71" t="n">
        <v>73276.83</v>
      </c>
      <c r="O1662" s="71" t="n">
        <v>415235.35</v>
      </c>
      <c r="P1662" s="71" t="n">
        <v>81636.34</v>
      </c>
      <c r="Q1662" s="71" t="n">
        <v>333599.01</v>
      </c>
      <c r="R1662" t="inlineStr">
        <is>
          <t>Cardiology</t>
        </is>
      </c>
      <c r="S1662" s="70" t="n">
        <v>845</v>
      </c>
      <c r="T1662" s="71" t="n">
        <v>58878.42</v>
      </c>
      <c r="U1662" t="inlineStr">
        <is>
          <t>High</t>
        </is>
      </c>
      <c r="V1662">
        <f>IF(AND(OR(Dashboard!$C$6="All",E1662=Dashboard!$C$6),OR(Dashboard!$F$6="All",G1662=Dashboard!$F$6),OR(Dashboard!$I$6="All",H1662=Dashboard!$I$6)),1,0)</f>
        <v/>
      </c>
    </row>
    <row r="1663">
      <c r="A1663" t="inlineStr">
        <is>
          <t>PF101654</t>
        </is>
      </c>
      <c r="B1663" s="68" t="n">
        <v>45860</v>
      </c>
      <c r="C1663" s="69" t="n">
        <v>2025</v>
      </c>
      <c r="D1663" t="inlineStr">
        <is>
          <t>Jul</t>
        </is>
      </c>
      <c r="E1663" t="inlineStr">
        <is>
          <t>United States</t>
        </is>
      </c>
      <c r="F1663" t="inlineStr">
        <is>
          <t>USA</t>
        </is>
      </c>
      <c r="G1663" t="inlineStr">
        <is>
          <t>Eliquis</t>
        </is>
      </c>
      <c r="H1663" t="inlineStr">
        <is>
          <t>Retail pharmacy</t>
        </is>
      </c>
      <c r="I1663" t="inlineStr">
        <is>
          <t>Private insurer</t>
        </is>
      </c>
      <c r="J1663" t="inlineStr">
        <is>
          <t>Wei Chen</t>
        </is>
      </c>
      <c r="K1663" s="70" t="n">
        <v>2951</v>
      </c>
      <c r="L1663" s="71" t="n">
        <v>622</v>
      </c>
      <c r="M1663" s="71" t="n">
        <v>1835522</v>
      </c>
      <c r="N1663" s="71" t="n">
        <v>275328.3</v>
      </c>
      <c r="O1663" s="71" t="n">
        <v>1560193.7</v>
      </c>
      <c r="P1663" s="71" t="n">
        <v>219914.97</v>
      </c>
      <c r="Q1663" s="71" t="n">
        <v>1340278.73</v>
      </c>
      <c r="R1663" t="inlineStr">
        <is>
          <t>Cardiology</t>
        </is>
      </c>
      <c r="S1663" s="70" t="n">
        <v>1965</v>
      </c>
      <c r="T1663" s="71" t="n">
        <v>388710.14</v>
      </c>
      <c r="U1663" t="inlineStr">
        <is>
          <t>High</t>
        </is>
      </c>
      <c r="V1663">
        <f>IF(AND(OR(Dashboard!$C$6="All",E1663=Dashboard!$C$6),OR(Dashboard!$F$6="All",G1663=Dashboard!$F$6),OR(Dashboard!$I$6="All",H1663=Dashboard!$I$6)),1,0)</f>
        <v/>
      </c>
    </row>
    <row r="1664">
      <c r="A1664" t="inlineStr">
        <is>
          <t>PF101655</t>
        </is>
      </c>
      <c r="B1664" s="68" t="n">
        <v>45860</v>
      </c>
      <c r="C1664" s="69" t="n">
        <v>2025</v>
      </c>
      <c r="D1664" t="inlineStr">
        <is>
          <t>Jul</t>
        </is>
      </c>
      <c r="E1664" t="inlineStr">
        <is>
          <t>International developed</t>
        </is>
      </c>
      <c r="F1664" t="inlineStr">
        <is>
          <t>Canada</t>
        </is>
      </c>
      <c r="G1664" t="inlineStr">
        <is>
          <t>Eliquis</t>
        </is>
      </c>
      <c r="H1664" t="inlineStr">
        <is>
          <t>Government / tender</t>
        </is>
      </c>
      <c r="I1664" t="inlineStr">
        <is>
          <t>Private insurer</t>
        </is>
      </c>
      <c r="J1664" t="inlineStr">
        <is>
          <t>Liam O'Brien</t>
        </is>
      </c>
      <c r="K1664" s="70" t="n">
        <v>2385</v>
      </c>
      <c r="L1664" s="71" t="n">
        <v>435.89</v>
      </c>
      <c r="M1664" s="71" t="n">
        <v>1039597.65</v>
      </c>
      <c r="N1664" s="71" t="n">
        <v>259899.41</v>
      </c>
      <c r="O1664" s="71" t="n">
        <v>779698.24</v>
      </c>
      <c r="P1664" s="71" t="n">
        <v>179655.97</v>
      </c>
      <c r="Q1664" s="71" t="n">
        <v>600042.27</v>
      </c>
      <c r="R1664" t="inlineStr">
        <is>
          <t>Cardiology</t>
        </is>
      </c>
      <c r="S1664" s="70" t="n">
        <v>1736</v>
      </c>
      <c r="T1664" s="71" t="n">
        <v>170785.84</v>
      </c>
      <c r="U1664" t="inlineStr">
        <is>
          <t>High</t>
        </is>
      </c>
      <c r="V1664">
        <f>IF(AND(OR(Dashboard!$C$6="All",E1664=Dashboard!$C$6),OR(Dashboard!$F$6="All",G1664=Dashboard!$F$6),OR(Dashboard!$I$6="All",H1664=Dashboard!$I$6)),1,0)</f>
        <v/>
      </c>
    </row>
    <row r="1665">
      <c r="A1665" t="inlineStr">
        <is>
          <t>PF101656</t>
        </is>
      </c>
      <c r="B1665" s="68" t="n">
        <v>45860</v>
      </c>
      <c r="C1665" s="69" t="n">
        <v>2025</v>
      </c>
      <c r="D1665" t="inlineStr">
        <is>
          <t>Jul</t>
        </is>
      </c>
      <c r="E1665" t="inlineStr">
        <is>
          <t>United States</t>
        </is>
      </c>
      <c r="F1665" t="inlineStr">
        <is>
          <t>USA</t>
        </is>
      </c>
      <c r="G1665" t="inlineStr">
        <is>
          <t>Prevnar 20</t>
        </is>
      </c>
      <c r="H1665" t="inlineStr">
        <is>
          <t>Retail pharmacy</t>
        </is>
      </c>
      <c r="I1665" t="inlineStr">
        <is>
          <t>Private insurer</t>
        </is>
      </c>
      <c r="J1665" t="inlineStr">
        <is>
          <t>Lucas Martin</t>
        </is>
      </c>
      <c r="K1665" s="70" t="n">
        <v>2876</v>
      </c>
      <c r="L1665" s="71" t="n">
        <v>331.54</v>
      </c>
      <c r="M1665" s="71" t="n">
        <v>953509.04</v>
      </c>
      <c r="N1665" s="71" t="n">
        <v>143026.36</v>
      </c>
      <c r="O1665" s="71" t="n">
        <v>810482.6800000001</v>
      </c>
      <c r="P1665" s="71" t="n">
        <v>198607.5</v>
      </c>
      <c r="Q1665" s="71" t="n">
        <v>611875.1800000001</v>
      </c>
      <c r="R1665" t="inlineStr">
        <is>
          <t>Vaccines</t>
        </is>
      </c>
      <c r="S1665" s="70" t="n">
        <v>2141</v>
      </c>
      <c r="T1665" s="71" t="n">
        <v>144877.65</v>
      </c>
      <c r="U1665" t="inlineStr">
        <is>
          <t>Low</t>
        </is>
      </c>
      <c r="V1665">
        <f>IF(AND(OR(Dashboard!$C$6="All",E1665=Dashboard!$C$6),OR(Dashboard!$F$6="All",G1665=Dashboard!$F$6),OR(Dashboard!$I$6="All",H1665=Dashboard!$I$6)),1,0)</f>
        <v/>
      </c>
    </row>
    <row r="1666">
      <c r="A1666" t="inlineStr">
        <is>
          <t>PF101657</t>
        </is>
      </c>
      <c r="B1666" s="68" t="n">
        <v>45860</v>
      </c>
      <c r="C1666" s="69" t="n">
        <v>2025</v>
      </c>
      <c r="D1666" t="inlineStr">
        <is>
          <t>Jul</t>
        </is>
      </c>
      <c r="E1666" t="inlineStr">
        <is>
          <t>United States</t>
        </is>
      </c>
      <c r="F1666" t="inlineStr">
        <is>
          <t>USA</t>
        </is>
      </c>
      <c r="G1666" t="inlineStr">
        <is>
          <t>Vyndaqel</t>
        </is>
      </c>
      <c r="H1666" t="inlineStr">
        <is>
          <t>Retail pharmacy</t>
        </is>
      </c>
      <c r="I1666" t="inlineStr">
        <is>
          <t>Public payer</t>
        </is>
      </c>
      <c r="J1666" t="inlineStr">
        <is>
          <t>Ana Costa</t>
        </is>
      </c>
      <c r="K1666" s="70" t="n">
        <v>309</v>
      </c>
      <c r="L1666" s="71" t="n">
        <v>7709.74</v>
      </c>
      <c r="M1666" s="71" t="n">
        <v>2382309.66</v>
      </c>
      <c r="N1666" s="71" t="n">
        <v>714692.9</v>
      </c>
      <c r="O1666" s="71" t="n">
        <v>1667616.76</v>
      </c>
      <c r="P1666" s="71" t="n">
        <v>192198.06</v>
      </c>
      <c r="Q1666" s="71" t="n">
        <v>1475418.7</v>
      </c>
      <c r="R1666" t="inlineStr">
        <is>
          <t>Rare disease</t>
        </is>
      </c>
      <c r="S1666" s="70" t="n">
        <v>227</v>
      </c>
      <c r="T1666" s="71" t="n">
        <v>464362.66</v>
      </c>
      <c r="U1666" t="inlineStr">
        <is>
          <t>Medium</t>
        </is>
      </c>
      <c r="V1666">
        <f>IF(AND(OR(Dashboard!$C$6="All",E1666=Dashboard!$C$6),OR(Dashboard!$F$6="All",G1666=Dashboard!$F$6),OR(Dashboard!$I$6="All",H1666=Dashboard!$I$6)),1,0)</f>
        <v/>
      </c>
    </row>
    <row r="1667">
      <c r="A1667" t="inlineStr">
        <is>
          <t>PF101658</t>
        </is>
      </c>
      <c r="B1667" s="68" t="n">
        <v>45861</v>
      </c>
      <c r="C1667" s="69" t="n">
        <v>2025</v>
      </c>
      <c r="D1667" t="inlineStr">
        <is>
          <t>Jul</t>
        </is>
      </c>
      <c r="E1667" t="inlineStr">
        <is>
          <t>Europe</t>
        </is>
      </c>
      <c r="F1667" t="inlineStr">
        <is>
          <t>Germany</t>
        </is>
      </c>
      <c r="G1667" t="inlineStr">
        <is>
          <t>Eliquis</t>
        </is>
      </c>
      <c r="H1667" t="inlineStr">
        <is>
          <t>Retail pharmacy</t>
        </is>
      </c>
      <c r="I1667" t="inlineStr">
        <is>
          <t>Private insurer</t>
        </is>
      </c>
      <c r="J1667" t="inlineStr">
        <is>
          <t>Amir Khan</t>
        </is>
      </c>
      <c r="K1667" s="70" t="n">
        <v>2289</v>
      </c>
      <c r="L1667" s="71" t="n">
        <v>415.97</v>
      </c>
      <c r="M1667" s="71" t="n">
        <v>952155.33</v>
      </c>
      <c r="N1667" s="71" t="n">
        <v>190431.07</v>
      </c>
      <c r="O1667" s="71" t="n">
        <v>761724.26</v>
      </c>
      <c r="P1667" s="71" t="n">
        <v>174510.63</v>
      </c>
      <c r="Q1667" s="71" t="n">
        <v>587213.63</v>
      </c>
      <c r="R1667" t="inlineStr">
        <is>
          <t>Cardiology</t>
        </is>
      </c>
      <c r="S1667" s="70" t="n">
        <v>1967</v>
      </c>
      <c r="T1667" s="71" t="n">
        <v>168292.82</v>
      </c>
      <c r="U1667" t="inlineStr">
        <is>
          <t>High</t>
        </is>
      </c>
      <c r="V1667">
        <f>IF(AND(OR(Dashboard!$C$6="All",E1667=Dashboard!$C$6),OR(Dashboard!$F$6="All",G1667=Dashboard!$F$6),OR(Dashboard!$I$6="All",H1667=Dashboard!$I$6)),1,0)</f>
        <v/>
      </c>
    </row>
    <row r="1668">
      <c r="A1668" t="inlineStr">
        <is>
          <t>PF101659</t>
        </is>
      </c>
      <c r="B1668" s="68" t="n">
        <v>45861</v>
      </c>
      <c r="C1668" s="69" t="n">
        <v>2025</v>
      </c>
      <c r="D1668" t="inlineStr">
        <is>
          <t>Jul</t>
        </is>
      </c>
      <c r="E1668" t="inlineStr">
        <is>
          <t>International developed</t>
        </is>
      </c>
      <c r="F1668" t="inlineStr">
        <is>
          <t>Australia</t>
        </is>
      </c>
      <c r="G1668" t="inlineStr">
        <is>
          <t>Comirnaty</t>
        </is>
      </c>
      <c r="H1668" t="inlineStr">
        <is>
          <t>Government / tender</t>
        </is>
      </c>
      <c r="I1668" t="inlineStr">
        <is>
          <t>Private insurer</t>
        </is>
      </c>
      <c r="J1668" t="inlineStr">
        <is>
          <t>Liam O'Brien</t>
        </is>
      </c>
      <c r="K1668" s="70" t="n">
        <v>1017</v>
      </c>
      <c r="L1668" s="71" t="n">
        <v>117.67</v>
      </c>
      <c r="M1668" s="71" t="n">
        <v>119670.39</v>
      </c>
      <c r="N1668" s="71" t="n">
        <v>29917.6</v>
      </c>
      <c r="O1668" s="71" t="n">
        <v>89752.78999999999</v>
      </c>
      <c r="P1668" s="71" t="n">
        <v>39763.76</v>
      </c>
      <c r="Q1668" s="71" t="n">
        <v>49989.03</v>
      </c>
      <c r="R1668" t="inlineStr">
        <is>
          <t>Vaccines</t>
        </is>
      </c>
      <c r="S1668" s="70" t="n">
        <v>866</v>
      </c>
      <c r="T1668" s="71" t="n">
        <v>18392.07</v>
      </c>
      <c r="U1668" t="inlineStr">
        <is>
          <t>Low</t>
        </is>
      </c>
      <c r="V1668">
        <f>IF(AND(OR(Dashboard!$C$6="All",E1668=Dashboard!$C$6),OR(Dashboard!$F$6="All",G1668=Dashboard!$F$6),OR(Dashboard!$I$6="All",H1668=Dashboard!$I$6)),1,0)</f>
        <v/>
      </c>
    </row>
    <row r="1669">
      <c r="A1669" t="inlineStr">
        <is>
          <t>PF101660</t>
        </is>
      </c>
      <c r="B1669" s="68" t="n">
        <v>45861</v>
      </c>
      <c r="C1669" s="69" t="n">
        <v>2025</v>
      </c>
      <c r="D1669" t="inlineStr">
        <is>
          <t>Jul</t>
        </is>
      </c>
      <c r="E1669" t="inlineStr">
        <is>
          <t>United States</t>
        </is>
      </c>
      <c r="F1669" t="inlineStr">
        <is>
          <t>USA</t>
        </is>
      </c>
      <c r="G1669" t="inlineStr">
        <is>
          <t>Eliquis</t>
        </is>
      </c>
      <c r="H1669" t="inlineStr">
        <is>
          <t>Government / tender</t>
        </is>
      </c>
      <c r="I1669" t="inlineStr">
        <is>
          <t>Public payer</t>
        </is>
      </c>
      <c r="J1669" t="inlineStr">
        <is>
          <t>Noah Smith</t>
        </is>
      </c>
      <c r="K1669" s="70" t="n">
        <v>2516</v>
      </c>
      <c r="L1669" s="71" t="n">
        <v>649.9</v>
      </c>
      <c r="M1669" s="71" t="n">
        <v>1635148.4</v>
      </c>
      <c r="N1669" s="71" t="n">
        <v>245272.26</v>
      </c>
      <c r="O1669" s="71" t="n">
        <v>1389876.14</v>
      </c>
      <c r="P1669" s="71" t="n">
        <v>194790.28</v>
      </c>
      <c r="Q1669" s="71" t="n">
        <v>1195085.86</v>
      </c>
      <c r="R1669" t="inlineStr">
        <is>
          <t>Cardiology</t>
        </is>
      </c>
      <c r="S1669" s="70" t="n">
        <v>2381</v>
      </c>
      <c r="T1669" s="71" t="n">
        <v>268227.31</v>
      </c>
      <c r="U1669" t="inlineStr">
        <is>
          <t>High</t>
        </is>
      </c>
      <c r="V1669">
        <f>IF(AND(OR(Dashboard!$C$6="All",E1669=Dashboard!$C$6),OR(Dashboard!$F$6="All",G1669=Dashboard!$F$6),OR(Dashboard!$I$6="All",H1669=Dashboard!$I$6)),1,0)</f>
        <v/>
      </c>
    </row>
    <row r="1670">
      <c r="A1670" t="inlineStr">
        <is>
          <t>PF101661</t>
        </is>
      </c>
      <c r="B1670" s="68" t="n">
        <v>45861</v>
      </c>
      <c r="C1670" s="69" t="n">
        <v>2025</v>
      </c>
      <c r="D1670" t="inlineStr">
        <is>
          <t>Jul</t>
        </is>
      </c>
      <c r="E1670" t="inlineStr">
        <is>
          <t>Europe</t>
        </is>
      </c>
      <c r="F1670" t="inlineStr">
        <is>
          <t>Spain</t>
        </is>
      </c>
      <c r="G1670" t="inlineStr">
        <is>
          <t>Prevnar 20</t>
        </is>
      </c>
      <c r="H1670" t="inlineStr">
        <is>
          <t>Hospital</t>
        </is>
      </c>
      <c r="I1670" t="inlineStr">
        <is>
          <t>Self-pay</t>
        </is>
      </c>
      <c r="J1670" t="inlineStr">
        <is>
          <t>Ruhi Shaikh</t>
        </is>
      </c>
      <c r="K1670" s="70" t="n">
        <v>1230</v>
      </c>
      <c r="L1670" s="71" t="n">
        <v>222.05</v>
      </c>
      <c r="M1670" s="71" t="n">
        <v>273121.5</v>
      </c>
      <c r="N1670" s="71" t="n">
        <v>27312.15</v>
      </c>
      <c r="O1670" s="71" t="n">
        <v>245809.35</v>
      </c>
      <c r="P1670" s="71" t="n">
        <v>82868.24000000001</v>
      </c>
      <c r="Q1670" s="71" t="n">
        <v>162941.11</v>
      </c>
      <c r="R1670" t="inlineStr">
        <is>
          <t>Vaccines</t>
        </is>
      </c>
      <c r="S1670" s="70" t="n">
        <v>1107</v>
      </c>
      <c r="T1670" s="71" t="n">
        <v>38202.23</v>
      </c>
      <c r="U1670" t="inlineStr">
        <is>
          <t>Low</t>
        </is>
      </c>
      <c r="V1670">
        <f>IF(AND(OR(Dashboard!$C$6="All",E1670=Dashboard!$C$6),OR(Dashboard!$F$6="All",G1670=Dashboard!$F$6),OR(Dashboard!$I$6="All",H1670=Dashboard!$I$6)),1,0)</f>
        <v/>
      </c>
    </row>
    <row r="1671">
      <c r="A1671" t="inlineStr">
        <is>
          <t>PF101662</t>
        </is>
      </c>
      <c r="B1671" s="68" t="n">
        <v>45861</v>
      </c>
      <c r="C1671" s="69" t="n">
        <v>2025</v>
      </c>
      <c r="D1671" t="inlineStr">
        <is>
          <t>Jul</t>
        </is>
      </c>
      <c r="E1671" t="inlineStr">
        <is>
          <t>International developed</t>
        </is>
      </c>
      <c r="F1671" t="inlineStr">
        <is>
          <t>Australia</t>
        </is>
      </c>
      <c r="G1671" t="inlineStr">
        <is>
          <t>Comirnaty</t>
        </is>
      </c>
      <c r="H1671" t="inlineStr">
        <is>
          <t>Hospital</t>
        </is>
      </c>
      <c r="I1671" t="inlineStr">
        <is>
          <t>Private insurer</t>
        </is>
      </c>
      <c r="J1671" t="inlineStr">
        <is>
          <t>Emma Clarke</t>
        </is>
      </c>
      <c r="K1671" s="70" t="n">
        <v>2244</v>
      </c>
      <c r="L1671" s="71" t="n">
        <v>119.36</v>
      </c>
      <c r="M1671" s="71" t="n">
        <v>267843.84</v>
      </c>
      <c r="N1671" s="71" t="n">
        <v>13392.19</v>
      </c>
      <c r="O1671" s="71" t="n">
        <v>254451.65</v>
      </c>
      <c r="P1671" s="71" t="n">
        <v>88678.3</v>
      </c>
      <c r="Q1671" s="71" t="n">
        <v>165773.35</v>
      </c>
      <c r="R1671" t="inlineStr">
        <is>
          <t>Vaccines</t>
        </is>
      </c>
      <c r="S1671" s="70" t="n">
        <v>1426</v>
      </c>
      <c r="T1671" s="71" t="n">
        <v>57620.18</v>
      </c>
      <c r="U1671" t="inlineStr">
        <is>
          <t>Low</t>
        </is>
      </c>
      <c r="V1671">
        <f>IF(AND(OR(Dashboard!$C$6="All",E1671=Dashboard!$C$6),OR(Dashboard!$F$6="All",G1671=Dashboard!$F$6),OR(Dashboard!$I$6="All",H1671=Dashboard!$I$6)),1,0)</f>
        <v/>
      </c>
    </row>
    <row r="1672">
      <c r="A1672" t="inlineStr">
        <is>
          <t>PF101663</t>
        </is>
      </c>
      <c r="B1672" s="68" t="n">
        <v>45861</v>
      </c>
      <c r="C1672" s="69" t="n">
        <v>2025</v>
      </c>
      <c r="D1672" t="inlineStr">
        <is>
          <t>Jul</t>
        </is>
      </c>
      <c r="E1672" t="inlineStr">
        <is>
          <t>United States</t>
        </is>
      </c>
      <c r="F1672" t="inlineStr">
        <is>
          <t>USA</t>
        </is>
      </c>
      <c r="G1672" t="inlineStr">
        <is>
          <t>Prevnar 20</t>
        </is>
      </c>
      <c r="H1672" t="inlineStr">
        <is>
          <t>Hospital</t>
        </is>
      </c>
      <c r="I1672" t="inlineStr">
        <is>
          <t>Self-pay</t>
        </is>
      </c>
      <c r="J1672" t="inlineStr">
        <is>
          <t>Kofi Mensah</t>
        </is>
      </c>
      <c r="K1672" s="70" t="n">
        <v>3024</v>
      </c>
      <c r="L1672" s="71" t="n">
        <v>395.18</v>
      </c>
      <c r="M1672" s="71" t="n">
        <v>1195024.32</v>
      </c>
      <c r="N1672" s="71" t="n">
        <v>298756.08</v>
      </c>
      <c r="O1672" s="71" t="n">
        <v>896268.24</v>
      </c>
      <c r="P1672" s="71" t="n">
        <v>204287.75</v>
      </c>
      <c r="Q1672" s="71" t="n">
        <v>691980.49</v>
      </c>
      <c r="R1672" t="inlineStr">
        <is>
          <t>Vaccines</t>
        </is>
      </c>
      <c r="S1672" s="70" t="n">
        <v>1952</v>
      </c>
      <c r="T1672" s="71" t="n">
        <v>216139.63</v>
      </c>
      <c r="U1672" t="inlineStr">
        <is>
          <t>Low</t>
        </is>
      </c>
      <c r="V1672">
        <f>IF(AND(OR(Dashboard!$C$6="All",E1672=Dashboard!$C$6),OR(Dashboard!$F$6="All",G1672=Dashboard!$F$6),OR(Dashboard!$I$6="All",H1672=Dashboard!$I$6)),1,0)</f>
        <v/>
      </c>
    </row>
    <row r="1673">
      <c r="A1673" t="inlineStr">
        <is>
          <t>PF101664</t>
        </is>
      </c>
      <c r="B1673" s="68" t="n">
        <v>45861</v>
      </c>
      <c r="C1673" s="69" t="n">
        <v>2025</v>
      </c>
      <c r="D1673" t="inlineStr">
        <is>
          <t>Jul</t>
        </is>
      </c>
      <c r="E1673" t="inlineStr">
        <is>
          <t>United States</t>
        </is>
      </c>
      <c r="F1673" t="inlineStr">
        <is>
          <t>USA</t>
        </is>
      </c>
      <c r="G1673" t="inlineStr">
        <is>
          <t>Eliquis</t>
        </is>
      </c>
      <c r="H1673" t="inlineStr">
        <is>
          <t>Hospital</t>
        </is>
      </c>
      <c r="I1673" t="inlineStr">
        <is>
          <t>Public payer</t>
        </is>
      </c>
      <c r="J1673" t="inlineStr">
        <is>
          <t>Ruhi Shaikh</t>
        </is>
      </c>
      <c r="K1673" s="70" t="n">
        <v>475</v>
      </c>
      <c r="L1673" s="71" t="n">
        <v>654.1900000000001</v>
      </c>
      <c r="M1673" s="71" t="n">
        <v>310740.25</v>
      </c>
      <c r="N1673" s="71" t="n">
        <v>46611.04</v>
      </c>
      <c r="O1673" s="71" t="n">
        <v>264129.21</v>
      </c>
      <c r="P1673" s="71" t="n">
        <v>35582.96</v>
      </c>
      <c r="Q1673" s="71" t="n">
        <v>228546.25</v>
      </c>
      <c r="R1673" t="inlineStr">
        <is>
          <t>Cardiology</t>
        </is>
      </c>
      <c r="S1673" s="70" t="n">
        <v>303</v>
      </c>
      <c r="T1673" s="71" t="n">
        <v>62700</v>
      </c>
      <c r="U1673" t="inlineStr">
        <is>
          <t>High</t>
        </is>
      </c>
      <c r="V1673">
        <f>IF(AND(OR(Dashboard!$C$6="All",E1673=Dashboard!$C$6),OR(Dashboard!$F$6="All",G1673=Dashboard!$F$6),OR(Dashboard!$I$6="All",H1673=Dashboard!$I$6)),1,0)</f>
        <v/>
      </c>
    </row>
    <row r="1674">
      <c r="A1674" t="inlineStr">
        <is>
          <t>PF101665</t>
        </is>
      </c>
      <c r="B1674" s="68" t="n">
        <v>45861</v>
      </c>
      <c r="C1674" s="69" t="n">
        <v>2025</v>
      </c>
      <c r="D1674" t="inlineStr">
        <is>
          <t>Jul</t>
        </is>
      </c>
      <c r="E1674" t="inlineStr">
        <is>
          <t>United States</t>
        </is>
      </c>
      <c r="F1674" t="inlineStr">
        <is>
          <t>USA</t>
        </is>
      </c>
      <c r="G1674" t="inlineStr">
        <is>
          <t>Vyndaqel</t>
        </is>
      </c>
      <c r="H1674" t="inlineStr">
        <is>
          <t>Hospital</t>
        </is>
      </c>
      <c r="I1674" t="inlineStr">
        <is>
          <t>Public payer</t>
        </is>
      </c>
      <c r="J1674" t="inlineStr">
        <is>
          <t>Omar Haddad</t>
        </is>
      </c>
      <c r="K1674" s="70" t="n">
        <v>2733</v>
      </c>
      <c r="L1674" s="71" t="n">
        <v>8112.24</v>
      </c>
      <c r="M1674" s="71" t="n">
        <v>22170751.92</v>
      </c>
      <c r="N1674" s="71" t="n">
        <v>7759763.17</v>
      </c>
      <c r="O1674" s="71" t="n">
        <v>14410988.75</v>
      </c>
      <c r="P1674" s="71" t="n">
        <v>1735460.94</v>
      </c>
      <c r="Q1674" s="71" t="n">
        <v>12675527.81</v>
      </c>
      <c r="R1674" t="inlineStr">
        <is>
          <t>Rare disease</t>
        </is>
      </c>
      <c r="S1674" s="70" t="n">
        <v>1808</v>
      </c>
      <c r="T1674" s="71" t="n">
        <v>4023189.58</v>
      </c>
      <c r="U1674" t="inlineStr">
        <is>
          <t>Medium</t>
        </is>
      </c>
      <c r="V1674">
        <f>IF(AND(OR(Dashboard!$C$6="All",E1674=Dashboard!$C$6),OR(Dashboard!$F$6="All",G1674=Dashboard!$F$6),OR(Dashboard!$I$6="All",H1674=Dashboard!$I$6)),1,0)</f>
        <v/>
      </c>
    </row>
    <row r="1675">
      <c r="A1675" t="inlineStr">
        <is>
          <t>PF101666</t>
        </is>
      </c>
      <c r="B1675" s="68" t="n">
        <v>45861</v>
      </c>
      <c r="C1675" s="69" t="n">
        <v>2025</v>
      </c>
      <c r="D1675" t="inlineStr">
        <is>
          <t>Jul</t>
        </is>
      </c>
      <c r="E1675" t="inlineStr">
        <is>
          <t>International developed</t>
        </is>
      </c>
      <c r="F1675" t="inlineStr">
        <is>
          <t>Australia</t>
        </is>
      </c>
      <c r="G1675" t="inlineStr">
        <is>
          <t>Vyndaqel</t>
        </is>
      </c>
      <c r="H1675" t="inlineStr">
        <is>
          <t>Hospital</t>
        </is>
      </c>
      <c r="I1675" t="inlineStr">
        <is>
          <t>Public payer</t>
        </is>
      </c>
      <c r="J1675" t="inlineStr">
        <is>
          <t>Priya Nair</t>
        </is>
      </c>
      <c r="K1675" s="70" t="n">
        <v>854</v>
      </c>
      <c r="L1675" s="71" t="n">
        <v>5543.6</v>
      </c>
      <c r="M1675" s="71" t="n">
        <v>4734234.4</v>
      </c>
      <c r="N1675" s="71" t="n">
        <v>473423.44</v>
      </c>
      <c r="O1675" s="71" t="n">
        <v>4260810.96</v>
      </c>
      <c r="P1675" s="71" t="n">
        <v>546622.75</v>
      </c>
      <c r="Q1675" s="71" t="n">
        <v>3714188.21</v>
      </c>
      <c r="R1675" t="inlineStr">
        <is>
          <t>Rare disease</t>
        </is>
      </c>
      <c r="S1675" s="70" t="n">
        <v>561</v>
      </c>
      <c r="T1675" s="71" t="n">
        <v>652331.12</v>
      </c>
      <c r="U1675" t="inlineStr">
        <is>
          <t>Medium</t>
        </is>
      </c>
      <c r="V1675">
        <f>IF(AND(OR(Dashboard!$C$6="All",E1675=Dashboard!$C$6),OR(Dashboard!$F$6="All",G1675=Dashboard!$F$6),OR(Dashboard!$I$6="All",H1675=Dashboard!$I$6)),1,0)</f>
        <v/>
      </c>
    </row>
    <row r="1676">
      <c r="A1676" t="inlineStr">
        <is>
          <t>PF101667</t>
        </is>
      </c>
      <c r="B1676" s="68" t="n">
        <v>45861</v>
      </c>
      <c r="C1676" s="69" t="n">
        <v>2025</v>
      </c>
      <c r="D1676" t="inlineStr">
        <is>
          <t>Jul</t>
        </is>
      </c>
      <c r="E1676" t="inlineStr">
        <is>
          <t>United States</t>
        </is>
      </c>
      <c r="F1676" t="inlineStr">
        <is>
          <t>USA</t>
        </is>
      </c>
      <c r="G1676" t="inlineStr">
        <is>
          <t>Comirnaty</t>
        </is>
      </c>
      <c r="H1676" t="inlineStr">
        <is>
          <t>Hospital</t>
        </is>
      </c>
      <c r="I1676" t="inlineStr">
        <is>
          <t>Private insurer</t>
        </is>
      </c>
      <c r="J1676" t="inlineStr">
        <is>
          <t>Kofi Mensah</t>
        </is>
      </c>
      <c r="K1676" s="70" t="n">
        <v>682</v>
      </c>
      <c r="L1676" s="71" t="n">
        <v>187.47</v>
      </c>
      <c r="M1676" s="71" t="n">
        <v>127854.54</v>
      </c>
      <c r="N1676" s="71" t="n">
        <v>31963.63</v>
      </c>
      <c r="O1676" s="71" t="n">
        <v>95890.91</v>
      </c>
      <c r="P1676" s="71" t="n">
        <v>26177.96</v>
      </c>
      <c r="Q1676" s="71" t="n">
        <v>69712.95</v>
      </c>
      <c r="R1676" t="inlineStr">
        <is>
          <t>Vaccines</t>
        </is>
      </c>
      <c r="S1676" s="70" t="n">
        <v>445</v>
      </c>
      <c r="T1676" s="71" t="n">
        <v>16775.88</v>
      </c>
      <c r="U1676" t="inlineStr">
        <is>
          <t>Low</t>
        </is>
      </c>
      <c r="V1676">
        <f>IF(AND(OR(Dashboard!$C$6="All",E1676=Dashboard!$C$6),OR(Dashboard!$F$6="All",G1676=Dashboard!$F$6),OR(Dashboard!$I$6="All",H1676=Dashboard!$I$6)),1,0)</f>
        <v/>
      </c>
    </row>
    <row r="1677">
      <c r="A1677" t="inlineStr">
        <is>
          <t>PF101668</t>
        </is>
      </c>
      <c r="B1677" s="68" t="n">
        <v>45861</v>
      </c>
      <c r="C1677" s="69" t="n">
        <v>2025</v>
      </c>
      <c r="D1677" t="inlineStr">
        <is>
          <t>Jul</t>
        </is>
      </c>
      <c r="E1677" t="inlineStr">
        <is>
          <t>Europe</t>
        </is>
      </c>
      <c r="F1677" t="inlineStr">
        <is>
          <t>Germany</t>
        </is>
      </c>
      <c r="G1677" t="inlineStr">
        <is>
          <t>Ibrance</t>
        </is>
      </c>
      <c r="H1677" t="inlineStr">
        <is>
          <t>Hospital</t>
        </is>
      </c>
      <c r="I1677" t="inlineStr">
        <is>
          <t>Public payer</t>
        </is>
      </c>
      <c r="J1677" t="inlineStr">
        <is>
          <t>Shraddha Kulkarni</t>
        </is>
      </c>
      <c r="K1677" s="70" t="n">
        <v>834</v>
      </c>
      <c r="L1677" s="71" t="n">
        <v>2973.81</v>
      </c>
      <c r="M1677" s="71" t="n">
        <v>2480157.54</v>
      </c>
      <c r="N1677" s="71" t="n">
        <v>248015.75</v>
      </c>
      <c r="O1677" s="71" t="n">
        <v>2232141.79</v>
      </c>
      <c r="P1677" s="71" t="n">
        <v>359562.87</v>
      </c>
      <c r="Q1677" s="71" t="n">
        <v>1872578.92</v>
      </c>
      <c r="R1677" t="inlineStr">
        <is>
          <t>Oncology</t>
        </is>
      </c>
      <c r="S1677" s="70" t="n">
        <v>601</v>
      </c>
      <c r="T1677" s="71" t="n">
        <v>315409.99</v>
      </c>
      <c r="U1677" t="inlineStr">
        <is>
          <t>High</t>
        </is>
      </c>
      <c r="V1677">
        <f>IF(AND(OR(Dashboard!$C$6="All",E1677=Dashboard!$C$6),OR(Dashboard!$F$6="All",G1677=Dashboard!$F$6),OR(Dashboard!$I$6="All",H1677=Dashboard!$I$6)),1,0)</f>
        <v/>
      </c>
    </row>
    <row r="1678">
      <c r="A1678" t="inlineStr">
        <is>
          <t>PF101669</t>
        </is>
      </c>
      <c r="B1678" s="68" t="n">
        <v>45862</v>
      </c>
      <c r="C1678" s="69" t="n">
        <v>2025</v>
      </c>
      <c r="D1678" t="inlineStr">
        <is>
          <t>Jul</t>
        </is>
      </c>
      <c r="E1678" t="inlineStr">
        <is>
          <t>International developed</t>
        </is>
      </c>
      <c r="F1678" t="inlineStr">
        <is>
          <t>Australia</t>
        </is>
      </c>
      <c r="G1678" t="inlineStr">
        <is>
          <t>Ibrance</t>
        </is>
      </c>
      <c r="H1678" t="inlineStr">
        <is>
          <t>Hospital</t>
        </is>
      </c>
      <c r="I1678" t="inlineStr">
        <is>
          <t>Public payer</t>
        </is>
      </c>
      <c r="J1678" t="inlineStr">
        <is>
          <t>Ana Costa</t>
        </is>
      </c>
      <c r="K1678" s="70" t="n">
        <v>2357</v>
      </c>
      <c r="L1678" s="71" t="n">
        <v>2901.13</v>
      </c>
      <c r="M1678" s="71" t="n">
        <v>6837963.41</v>
      </c>
      <c r="N1678" s="71" t="n">
        <v>341898.17</v>
      </c>
      <c r="O1678" s="71" t="n">
        <v>6496065.24</v>
      </c>
      <c r="P1678" s="71" t="n">
        <v>1056397.81</v>
      </c>
      <c r="Q1678" s="71" t="n">
        <v>5439667.43</v>
      </c>
      <c r="R1678" t="inlineStr">
        <is>
          <t>Oncology</t>
        </is>
      </c>
      <c r="S1678" s="70" t="n">
        <v>1736</v>
      </c>
      <c r="T1678" s="71" t="n">
        <v>1433051.96</v>
      </c>
      <c r="U1678" t="inlineStr">
        <is>
          <t>High</t>
        </is>
      </c>
      <c r="V1678">
        <f>IF(AND(OR(Dashboard!$C$6="All",E1678=Dashboard!$C$6),OR(Dashboard!$F$6="All",G1678=Dashboard!$F$6),OR(Dashboard!$I$6="All",H1678=Dashboard!$I$6)),1,0)</f>
        <v/>
      </c>
    </row>
    <row r="1679">
      <c r="A1679" t="inlineStr">
        <is>
          <t>PF101670</t>
        </is>
      </c>
      <c r="B1679" s="68" t="n">
        <v>45862</v>
      </c>
      <c r="C1679" s="69" t="n">
        <v>2025</v>
      </c>
      <c r="D1679" t="inlineStr">
        <is>
          <t>Jul</t>
        </is>
      </c>
      <c r="E1679" t="inlineStr">
        <is>
          <t>United States</t>
        </is>
      </c>
      <c r="F1679" t="inlineStr">
        <is>
          <t>USA</t>
        </is>
      </c>
      <c r="G1679" t="inlineStr">
        <is>
          <t>Abrysvo</t>
        </is>
      </c>
      <c r="H1679" t="inlineStr">
        <is>
          <t>Retail pharmacy</t>
        </is>
      </c>
      <c r="I1679" t="inlineStr">
        <is>
          <t>Private insurer</t>
        </is>
      </c>
      <c r="J1679" t="inlineStr">
        <is>
          <t>Noah Smith</t>
        </is>
      </c>
      <c r="K1679" s="70" t="n">
        <v>2438</v>
      </c>
      <c r="L1679" s="71" t="n">
        <v>435.71</v>
      </c>
      <c r="M1679" s="71" t="n">
        <v>1062260.98</v>
      </c>
      <c r="N1679" s="71" t="n">
        <v>212452.2</v>
      </c>
      <c r="O1679" s="71" t="n">
        <v>849808.78</v>
      </c>
      <c r="P1679" s="71" t="n">
        <v>205895.64</v>
      </c>
      <c r="Q1679" s="71" t="n">
        <v>643913.14</v>
      </c>
      <c r="R1679" t="inlineStr">
        <is>
          <t>Vaccines</t>
        </is>
      </c>
      <c r="S1679" s="70" t="n">
        <v>1647</v>
      </c>
      <c r="T1679" s="71" t="n">
        <v>173663.86</v>
      </c>
      <c r="U1679" t="inlineStr">
        <is>
          <t>Low</t>
        </is>
      </c>
      <c r="V1679">
        <f>IF(AND(OR(Dashboard!$C$6="All",E1679=Dashboard!$C$6),OR(Dashboard!$F$6="All",G1679=Dashboard!$F$6),OR(Dashboard!$I$6="All",H1679=Dashboard!$I$6)),1,0)</f>
        <v/>
      </c>
    </row>
    <row r="1680">
      <c r="A1680" t="inlineStr">
        <is>
          <t>PF101671</t>
        </is>
      </c>
      <c r="B1680" s="68" t="n">
        <v>45862</v>
      </c>
      <c r="C1680" s="69" t="n">
        <v>2025</v>
      </c>
      <c r="D1680" t="inlineStr">
        <is>
          <t>Jul</t>
        </is>
      </c>
      <c r="E1680" t="inlineStr">
        <is>
          <t>United States</t>
        </is>
      </c>
      <c r="F1680" t="inlineStr">
        <is>
          <t>USA</t>
        </is>
      </c>
      <c r="G1680" t="inlineStr">
        <is>
          <t>Abrysvo</t>
        </is>
      </c>
      <c r="H1680" t="inlineStr">
        <is>
          <t>Government / tender</t>
        </is>
      </c>
      <c r="I1680" t="inlineStr">
        <is>
          <t>Self-pay</t>
        </is>
      </c>
      <c r="J1680" t="inlineStr">
        <is>
          <t>Omar Haddad</t>
        </is>
      </c>
      <c r="K1680" s="70" t="n">
        <v>1110</v>
      </c>
      <c r="L1680" s="71" t="n">
        <v>408.56</v>
      </c>
      <c r="M1680" s="71" t="n">
        <v>453501.6</v>
      </c>
      <c r="N1680" s="71" t="n">
        <v>158725.56</v>
      </c>
      <c r="O1680" s="71" t="n">
        <v>294776.04</v>
      </c>
      <c r="P1680" s="71" t="n">
        <v>95883.89</v>
      </c>
      <c r="Q1680" s="71" t="n">
        <v>198892.15</v>
      </c>
      <c r="R1680" t="inlineStr">
        <is>
          <t>Vaccines</t>
        </is>
      </c>
      <c r="S1680" s="70" t="n">
        <v>818</v>
      </c>
      <c r="T1680" s="71" t="n">
        <v>84510.62</v>
      </c>
      <c r="U1680" t="inlineStr">
        <is>
          <t>Low</t>
        </is>
      </c>
      <c r="V1680">
        <f>IF(AND(OR(Dashboard!$C$6="All",E1680=Dashboard!$C$6),OR(Dashboard!$F$6="All",G1680=Dashboard!$F$6),OR(Dashboard!$I$6="All",H1680=Dashboard!$I$6)),1,0)</f>
        <v/>
      </c>
    </row>
    <row r="1681">
      <c r="A1681" t="inlineStr">
        <is>
          <t>PF101672</t>
        </is>
      </c>
      <c r="B1681" s="68" t="n">
        <v>45862</v>
      </c>
      <c r="C1681" s="69" t="n">
        <v>2025</v>
      </c>
      <c r="D1681" t="inlineStr">
        <is>
          <t>Jul</t>
        </is>
      </c>
      <c r="E1681" t="inlineStr">
        <is>
          <t>Emerging markets</t>
        </is>
      </c>
      <c r="F1681" t="inlineStr">
        <is>
          <t>India</t>
        </is>
      </c>
      <c r="G1681" t="inlineStr">
        <is>
          <t>Paxlovid</t>
        </is>
      </c>
      <c r="H1681" t="inlineStr">
        <is>
          <t>Government / tender</t>
        </is>
      </c>
      <c r="I1681" t="inlineStr">
        <is>
          <t>Public payer</t>
        </is>
      </c>
      <c r="J1681" t="inlineStr">
        <is>
          <t>Sophie Müller</t>
        </is>
      </c>
      <c r="K1681" s="70" t="n">
        <v>358</v>
      </c>
      <c r="L1681" s="71" t="n">
        <v>1129.27</v>
      </c>
      <c r="M1681" s="71" t="n">
        <v>404278.66</v>
      </c>
      <c r="N1681" s="71" t="n">
        <v>80855.73</v>
      </c>
      <c r="O1681" s="71" t="n">
        <v>323422.93</v>
      </c>
      <c r="P1681" s="71" t="n">
        <v>99712.99000000001</v>
      </c>
      <c r="Q1681" s="71" t="n">
        <v>223709.94</v>
      </c>
      <c r="R1681" t="inlineStr">
        <is>
          <t>Antiviral</t>
        </is>
      </c>
      <c r="S1681" s="70" t="n">
        <v>228</v>
      </c>
      <c r="T1681" s="71" t="n">
        <v>81909.92999999999</v>
      </c>
      <c r="U1681" t="inlineStr">
        <is>
          <t>Low</t>
        </is>
      </c>
      <c r="V1681">
        <f>IF(AND(OR(Dashboard!$C$6="All",E1681=Dashboard!$C$6),OR(Dashboard!$F$6="All",G1681=Dashboard!$F$6),OR(Dashboard!$I$6="All",H1681=Dashboard!$I$6)),1,0)</f>
        <v/>
      </c>
    </row>
    <row r="1682">
      <c r="A1682" t="inlineStr">
        <is>
          <t>PF101673</t>
        </is>
      </c>
      <c r="B1682" s="68" t="n">
        <v>45862</v>
      </c>
      <c r="C1682" s="69" t="n">
        <v>2025</v>
      </c>
      <c r="D1682" t="inlineStr">
        <is>
          <t>Jul</t>
        </is>
      </c>
      <c r="E1682" t="inlineStr">
        <is>
          <t>United States</t>
        </is>
      </c>
      <c r="F1682" t="inlineStr">
        <is>
          <t>USA</t>
        </is>
      </c>
      <c r="G1682" t="inlineStr">
        <is>
          <t>Abrysvo</t>
        </is>
      </c>
      <c r="H1682" t="inlineStr">
        <is>
          <t>Retail pharmacy</t>
        </is>
      </c>
      <c r="I1682" t="inlineStr">
        <is>
          <t>Public payer</t>
        </is>
      </c>
      <c r="J1682" t="inlineStr">
        <is>
          <t>Omar Haddad</t>
        </is>
      </c>
      <c r="K1682" s="70" t="n">
        <v>1964</v>
      </c>
      <c r="L1682" s="71" t="n">
        <v>470.29</v>
      </c>
      <c r="M1682" s="71" t="n">
        <v>923649.5600000001</v>
      </c>
      <c r="N1682" s="71" t="n">
        <v>277094.87</v>
      </c>
      <c r="O1682" s="71" t="n">
        <v>646554.6899999999</v>
      </c>
      <c r="P1682" s="71" t="n">
        <v>167224.19</v>
      </c>
      <c r="Q1682" s="71" t="n">
        <v>479330.5</v>
      </c>
      <c r="R1682" t="inlineStr">
        <is>
          <t>Vaccines</t>
        </is>
      </c>
      <c r="S1682" s="70" t="n">
        <v>1650</v>
      </c>
      <c r="T1682" s="71" t="n">
        <v>198683.84</v>
      </c>
      <c r="U1682" t="inlineStr">
        <is>
          <t>Low</t>
        </is>
      </c>
      <c r="V1682">
        <f>IF(AND(OR(Dashboard!$C$6="All",E1682=Dashboard!$C$6),OR(Dashboard!$F$6="All",G1682=Dashboard!$F$6),OR(Dashboard!$I$6="All",H1682=Dashboard!$I$6)),1,0)</f>
        <v/>
      </c>
    </row>
    <row r="1683">
      <c r="A1683" t="inlineStr">
        <is>
          <t>PF101674</t>
        </is>
      </c>
      <c r="B1683" s="68" t="n">
        <v>45862</v>
      </c>
      <c r="C1683" s="69" t="n">
        <v>2025</v>
      </c>
      <c r="D1683" t="inlineStr">
        <is>
          <t>Jul</t>
        </is>
      </c>
      <c r="E1683" t="inlineStr">
        <is>
          <t>International developed</t>
        </is>
      </c>
      <c r="F1683" t="inlineStr">
        <is>
          <t>Canada</t>
        </is>
      </c>
      <c r="G1683" t="inlineStr">
        <is>
          <t>Prevnar 20</t>
        </is>
      </c>
      <c r="H1683" t="inlineStr">
        <is>
          <t>Government / tender</t>
        </is>
      </c>
      <c r="I1683" t="inlineStr">
        <is>
          <t>Self-pay</t>
        </is>
      </c>
      <c r="J1683" t="inlineStr">
        <is>
          <t>Liam O'Brien</t>
        </is>
      </c>
      <c r="K1683" s="70" t="n">
        <v>464</v>
      </c>
      <c r="L1683" s="71" t="n">
        <v>233.03</v>
      </c>
      <c r="M1683" s="71" t="n">
        <v>108125.92</v>
      </c>
      <c r="N1683" s="71" t="n">
        <v>27031.48</v>
      </c>
      <c r="O1683" s="71" t="n">
        <v>81094.44</v>
      </c>
      <c r="P1683" s="71" t="n">
        <v>31455.79</v>
      </c>
      <c r="Q1683" s="71" t="n">
        <v>49638.65</v>
      </c>
      <c r="R1683" t="inlineStr">
        <is>
          <t>Vaccines</t>
        </is>
      </c>
      <c r="S1683" s="70" t="n">
        <v>459</v>
      </c>
      <c r="T1683" s="71" t="n">
        <v>13247.57</v>
      </c>
      <c r="U1683" t="inlineStr">
        <is>
          <t>Low</t>
        </is>
      </c>
      <c r="V1683">
        <f>IF(AND(OR(Dashboard!$C$6="All",E1683=Dashboard!$C$6),OR(Dashboard!$F$6="All",G1683=Dashboard!$F$6),OR(Dashboard!$I$6="All",H1683=Dashboard!$I$6)),1,0)</f>
        <v/>
      </c>
    </row>
    <row r="1684">
      <c r="A1684" t="inlineStr">
        <is>
          <t>PF101675</t>
        </is>
      </c>
      <c r="B1684" s="68" t="n">
        <v>45862</v>
      </c>
      <c r="C1684" s="69" t="n">
        <v>2025</v>
      </c>
      <c r="D1684" t="inlineStr">
        <is>
          <t>Jul</t>
        </is>
      </c>
      <c r="E1684" t="inlineStr">
        <is>
          <t>Emerging markets</t>
        </is>
      </c>
      <c r="F1684" t="inlineStr">
        <is>
          <t>Mexico</t>
        </is>
      </c>
      <c r="G1684" t="inlineStr">
        <is>
          <t>Xeljanz</t>
        </is>
      </c>
      <c r="H1684" t="inlineStr">
        <is>
          <t>Government / tender</t>
        </is>
      </c>
      <c r="I1684" t="inlineStr">
        <is>
          <t>Private insurer</t>
        </is>
      </c>
      <c r="J1684" t="inlineStr">
        <is>
          <t>Zoya Ahmed</t>
        </is>
      </c>
      <c r="K1684" s="70" t="n">
        <v>1136</v>
      </c>
      <c r="L1684" s="71" t="n">
        <v>1442.92</v>
      </c>
      <c r="M1684" s="71" t="n">
        <v>1639157.12</v>
      </c>
      <c r="N1684" s="71" t="n">
        <v>163915.71</v>
      </c>
      <c r="O1684" s="71" t="n">
        <v>1475241.41</v>
      </c>
      <c r="P1684" s="71" t="n">
        <v>291623.61</v>
      </c>
      <c r="Q1684" s="71" t="n">
        <v>1183617.8</v>
      </c>
      <c r="R1684" t="inlineStr">
        <is>
          <t>Inflammation</t>
        </is>
      </c>
      <c r="S1684" s="70" t="n">
        <v>1063</v>
      </c>
      <c r="T1684" s="71" t="n">
        <v>267538.26</v>
      </c>
      <c r="U1684" t="inlineStr">
        <is>
          <t>High</t>
        </is>
      </c>
      <c r="V1684">
        <f>IF(AND(OR(Dashboard!$C$6="All",E1684=Dashboard!$C$6),OR(Dashboard!$F$6="All",G1684=Dashboard!$F$6),OR(Dashboard!$I$6="All",H1684=Dashboard!$I$6)),1,0)</f>
        <v/>
      </c>
    </row>
    <row r="1685">
      <c r="A1685" t="inlineStr">
        <is>
          <t>PF101676</t>
        </is>
      </c>
      <c r="B1685" s="68" t="n">
        <v>45862</v>
      </c>
      <c r="C1685" s="69" t="n">
        <v>2025</v>
      </c>
      <c r="D1685" t="inlineStr">
        <is>
          <t>Jul</t>
        </is>
      </c>
      <c r="E1685" t="inlineStr">
        <is>
          <t>International developed</t>
        </is>
      </c>
      <c r="F1685" t="inlineStr">
        <is>
          <t>Canada</t>
        </is>
      </c>
      <c r="G1685" t="inlineStr">
        <is>
          <t>Eliquis</t>
        </is>
      </c>
      <c r="H1685" t="inlineStr">
        <is>
          <t>Retail pharmacy</t>
        </is>
      </c>
      <c r="I1685" t="inlineStr">
        <is>
          <t>Self-pay</t>
        </is>
      </c>
      <c r="J1685" t="inlineStr">
        <is>
          <t>Emma Clarke</t>
        </is>
      </c>
      <c r="K1685" s="70" t="n">
        <v>481</v>
      </c>
      <c r="L1685" s="71" t="n">
        <v>402.55</v>
      </c>
      <c r="M1685" s="71" t="n">
        <v>193626.55</v>
      </c>
      <c r="N1685" s="71" t="n">
        <v>19362.65</v>
      </c>
      <c r="O1685" s="71" t="n">
        <v>174263.9</v>
      </c>
      <c r="P1685" s="71" t="n">
        <v>36132.26</v>
      </c>
      <c r="Q1685" s="71" t="n">
        <v>138131.64</v>
      </c>
      <c r="R1685" t="inlineStr">
        <is>
          <t>Cardiology</t>
        </is>
      </c>
      <c r="S1685" s="70" t="n">
        <v>451</v>
      </c>
      <c r="T1685" s="71" t="n">
        <v>28355.79</v>
      </c>
      <c r="U1685" t="inlineStr">
        <is>
          <t>High</t>
        </is>
      </c>
      <c r="V1685">
        <f>IF(AND(OR(Dashboard!$C$6="All",E1685=Dashboard!$C$6),OR(Dashboard!$F$6="All",G1685=Dashboard!$F$6),OR(Dashboard!$I$6="All",H1685=Dashboard!$I$6)),1,0)</f>
        <v/>
      </c>
    </row>
    <row r="1686">
      <c r="A1686" t="inlineStr">
        <is>
          <t>PF101677</t>
        </is>
      </c>
      <c r="B1686" s="68" t="n">
        <v>45862</v>
      </c>
      <c r="C1686" s="69" t="n">
        <v>2025</v>
      </c>
      <c r="D1686" t="inlineStr">
        <is>
          <t>Jul</t>
        </is>
      </c>
      <c r="E1686" t="inlineStr">
        <is>
          <t>United States</t>
        </is>
      </c>
      <c r="F1686" t="inlineStr">
        <is>
          <t>USA</t>
        </is>
      </c>
      <c r="G1686" t="inlineStr">
        <is>
          <t>Paxlovid</t>
        </is>
      </c>
      <c r="H1686" t="inlineStr">
        <is>
          <t>Government / tender</t>
        </is>
      </c>
      <c r="I1686" t="inlineStr">
        <is>
          <t>Private insurer</t>
        </is>
      </c>
      <c r="J1686" t="inlineStr">
        <is>
          <t>Olivia Brown</t>
        </is>
      </c>
      <c r="K1686" s="70" t="n">
        <v>62</v>
      </c>
      <c r="L1686" s="71" t="n">
        <v>1765.17</v>
      </c>
      <c r="M1686" s="71" t="n">
        <v>109440.54</v>
      </c>
      <c r="N1686" s="71" t="n">
        <v>32832.16</v>
      </c>
      <c r="O1686" s="71" t="n">
        <v>76608.38</v>
      </c>
      <c r="P1686" s="71" t="n">
        <v>17627.74</v>
      </c>
      <c r="Q1686" s="71" t="n">
        <v>58980.64</v>
      </c>
      <c r="R1686" t="inlineStr">
        <is>
          <t>Antiviral</t>
        </is>
      </c>
      <c r="S1686" s="70" t="n">
        <v>51</v>
      </c>
      <c r="T1686" s="71" t="n">
        <v>22833.51</v>
      </c>
      <c r="U1686" t="inlineStr">
        <is>
          <t>Low</t>
        </is>
      </c>
      <c r="V1686">
        <f>IF(AND(OR(Dashboard!$C$6="All",E1686=Dashboard!$C$6),OR(Dashboard!$F$6="All",G1686=Dashboard!$F$6),OR(Dashboard!$I$6="All",H1686=Dashboard!$I$6)),1,0)</f>
        <v/>
      </c>
    </row>
    <row r="1687">
      <c r="A1687" t="inlineStr">
        <is>
          <t>PF101678</t>
        </is>
      </c>
      <c r="B1687" s="68" t="n">
        <v>45862</v>
      </c>
      <c r="C1687" s="69" t="n">
        <v>2025</v>
      </c>
      <c r="D1687" t="inlineStr">
        <is>
          <t>Jul</t>
        </is>
      </c>
      <c r="E1687" t="inlineStr">
        <is>
          <t>United States</t>
        </is>
      </c>
      <c r="F1687" t="inlineStr">
        <is>
          <t>USA</t>
        </is>
      </c>
      <c r="G1687" t="inlineStr">
        <is>
          <t>Eliquis</t>
        </is>
      </c>
      <c r="H1687" t="inlineStr">
        <is>
          <t>Government / tender</t>
        </is>
      </c>
      <c r="I1687" t="inlineStr">
        <is>
          <t>Private insurer</t>
        </is>
      </c>
      <c r="J1687" t="inlineStr">
        <is>
          <t>Sara Rossi</t>
        </is>
      </c>
      <c r="K1687" s="70" t="n">
        <v>2149</v>
      </c>
      <c r="L1687" s="71" t="n">
        <v>629.1799999999999</v>
      </c>
      <c r="M1687" s="71" t="n">
        <v>1352107.82</v>
      </c>
      <c r="N1687" s="71" t="n">
        <v>338026.96</v>
      </c>
      <c r="O1687" s="71" t="n">
        <v>1014080.86</v>
      </c>
      <c r="P1687" s="71" t="n">
        <v>162264.92</v>
      </c>
      <c r="Q1687" s="71" t="n">
        <v>851815.9399999999</v>
      </c>
      <c r="R1687" t="inlineStr">
        <is>
          <t>Cardiology</t>
        </is>
      </c>
      <c r="S1687" s="70" t="n">
        <v>2017</v>
      </c>
      <c r="T1687" s="71" t="n">
        <v>294180.22</v>
      </c>
      <c r="U1687" t="inlineStr">
        <is>
          <t>High</t>
        </is>
      </c>
      <c r="V1687">
        <f>IF(AND(OR(Dashboard!$C$6="All",E1687=Dashboard!$C$6),OR(Dashboard!$F$6="All",G1687=Dashboard!$F$6),OR(Dashboard!$I$6="All",H1687=Dashboard!$I$6)),1,0)</f>
        <v/>
      </c>
    </row>
    <row r="1688">
      <c r="A1688" t="inlineStr">
        <is>
          <t>PF101679</t>
        </is>
      </c>
      <c r="B1688" s="68" t="n">
        <v>45862</v>
      </c>
      <c r="C1688" s="69" t="n">
        <v>2025</v>
      </c>
      <c r="D1688" t="inlineStr">
        <is>
          <t>Jul</t>
        </is>
      </c>
      <c r="E1688" t="inlineStr">
        <is>
          <t>United States</t>
        </is>
      </c>
      <c r="F1688" t="inlineStr">
        <is>
          <t>USA</t>
        </is>
      </c>
      <c r="G1688" t="inlineStr">
        <is>
          <t>Paxlovid</t>
        </is>
      </c>
      <c r="H1688" t="inlineStr">
        <is>
          <t>Hospital</t>
        </is>
      </c>
      <c r="I1688" t="inlineStr">
        <is>
          <t>Public payer</t>
        </is>
      </c>
      <c r="J1688" t="inlineStr">
        <is>
          <t>Kofi Mensah</t>
        </is>
      </c>
      <c r="K1688" s="70" t="n">
        <v>1133</v>
      </c>
      <c r="L1688" s="71" t="n">
        <v>1677.22</v>
      </c>
      <c r="M1688" s="71" t="n">
        <v>1900290.26</v>
      </c>
      <c r="N1688" s="71" t="n">
        <v>570087.08</v>
      </c>
      <c r="O1688" s="71" t="n">
        <v>1330203.18</v>
      </c>
      <c r="P1688" s="71" t="n">
        <v>314133.93</v>
      </c>
      <c r="Q1688" s="71" t="n">
        <v>1016069.25</v>
      </c>
      <c r="R1688" t="inlineStr">
        <is>
          <t>Antiviral</t>
        </is>
      </c>
      <c r="S1688" s="70" t="n">
        <v>1094</v>
      </c>
      <c r="T1688" s="71" t="n">
        <v>283292.74</v>
      </c>
      <c r="U1688" t="inlineStr">
        <is>
          <t>Low</t>
        </is>
      </c>
      <c r="V1688">
        <f>IF(AND(OR(Dashboard!$C$6="All",E1688=Dashboard!$C$6),OR(Dashboard!$F$6="All",G1688=Dashboard!$F$6),OR(Dashboard!$I$6="All",H1688=Dashboard!$I$6)),1,0)</f>
        <v/>
      </c>
    </row>
    <row r="1689">
      <c r="A1689" t="inlineStr">
        <is>
          <t>PF101680</t>
        </is>
      </c>
      <c r="B1689" s="68" t="n">
        <v>45862</v>
      </c>
      <c r="C1689" s="69" t="n">
        <v>2025</v>
      </c>
      <c r="D1689" t="inlineStr">
        <is>
          <t>Jul</t>
        </is>
      </c>
      <c r="E1689" t="inlineStr">
        <is>
          <t>United States</t>
        </is>
      </c>
      <c r="F1689" t="inlineStr">
        <is>
          <t>USA</t>
        </is>
      </c>
      <c r="G1689" t="inlineStr">
        <is>
          <t>Prevnar 20</t>
        </is>
      </c>
      <c r="H1689" t="inlineStr">
        <is>
          <t>Hospital</t>
        </is>
      </c>
      <c r="I1689" t="inlineStr">
        <is>
          <t>Private insurer</t>
        </is>
      </c>
      <c r="J1689" t="inlineStr">
        <is>
          <t>Shraddha Kulkarni</t>
        </is>
      </c>
      <c r="K1689" s="70" t="n">
        <v>2501</v>
      </c>
      <c r="L1689" s="71" t="n">
        <v>382.83</v>
      </c>
      <c r="M1689" s="71" t="n">
        <v>957457.83</v>
      </c>
      <c r="N1689" s="71" t="n">
        <v>287237.35</v>
      </c>
      <c r="O1689" s="71" t="n">
        <v>670220.48</v>
      </c>
      <c r="P1689" s="71" t="n">
        <v>173273.1</v>
      </c>
      <c r="Q1689" s="71" t="n">
        <v>496947.38</v>
      </c>
      <c r="R1689" t="inlineStr">
        <is>
          <t>Vaccines</t>
        </is>
      </c>
      <c r="S1689" s="70" t="n">
        <v>1637</v>
      </c>
      <c r="T1689" s="71" t="n">
        <v>205645.11</v>
      </c>
      <c r="U1689" t="inlineStr">
        <is>
          <t>Low</t>
        </is>
      </c>
      <c r="V1689">
        <f>IF(AND(OR(Dashboard!$C$6="All",E1689=Dashboard!$C$6),OR(Dashboard!$F$6="All",G1689=Dashboard!$F$6),OR(Dashboard!$I$6="All",H1689=Dashboard!$I$6)),1,0)</f>
        <v/>
      </c>
    </row>
    <row r="1690">
      <c r="A1690" t="inlineStr">
        <is>
          <t>PF101681</t>
        </is>
      </c>
      <c r="B1690" s="68" t="n">
        <v>45862</v>
      </c>
      <c r="C1690" s="69" t="n">
        <v>2025</v>
      </c>
      <c r="D1690" t="inlineStr">
        <is>
          <t>Jul</t>
        </is>
      </c>
      <c r="E1690" t="inlineStr">
        <is>
          <t>United States</t>
        </is>
      </c>
      <c r="F1690" t="inlineStr">
        <is>
          <t>USA</t>
        </is>
      </c>
      <c r="G1690" t="inlineStr">
        <is>
          <t>Prevnar 20</t>
        </is>
      </c>
      <c r="H1690" t="inlineStr">
        <is>
          <t>Retail pharmacy</t>
        </is>
      </c>
      <c r="I1690" t="inlineStr">
        <is>
          <t>Private insurer</t>
        </is>
      </c>
      <c r="J1690" t="inlineStr">
        <is>
          <t>Ravindra Patil</t>
        </is>
      </c>
      <c r="K1690" s="70" t="n">
        <v>1985</v>
      </c>
      <c r="L1690" s="71" t="n">
        <v>400.72</v>
      </c>
      <c r="M1690" s="71" t="n">
        <v>795429.2</v>
      </c>
      <c r="N1690" s="71" t="n">
        <v>238628.76</v>
      </c>
      <c r="O1690" s="71" t="n">
        <v>556800.4399999999</v>
      </c>
      <c r="P1690" s="71" t="n">
        <v>138840.59</v>
      </c>
      <c r="Q1690" s="71" t="n">
        <v>417959.85</v>
      </c>
      <c r="R1690" t="inlineStr">
        <is>
          <t>Vaccines</t>
        </is>
      </c>
      <c r="S1690" s="70" t="n">
        <v>1260</v>
      </c>
      <c r="T1690" s="71" t="n">
        <v>128188.24</v>
      </c>
      <c r="U1690" t="inlineStr">
        <is>
          <t>Low</t>
        </is>
      </c>
      <c r="V1690">
        <f>IF(AND(OR(Dashboard!$C$6="All",E1690=Dashboard!$C$6),OR(Dashboard!$F$6="All",G1690=Dashboard!$F$6),OR(Dashboard!$I$6="All",H1690=Dashboard!$I$6)),1,0)</f>
        <v/>
      </c>
    </row>
    <row r="1691">
      <c r="A1691" t="inlineStr">
        <is>
          <t>PF101682</t>
        </is>
      </c>
      <c r="B1691" s="68" t="n">
        <v>45862</v>
      </c>
      <c r="C1691" s="69" t="n">
        <v>2025</v>
      </c>
      <c r="D1691" t="inlineStr">
        <is>
          <t>Jul</t>
        </is>
      </c>
      <c r="E1691" t="inlineStr">
        <is>
          <t>United States</t>
        </is>
      </c>
      <c r="F1691" t="inlineStr">
        <is>
          <t>USA</t>
        </is>
      </c>
      <c r="G1691" t="inlineStr">
        <is>
          <t>Xeljanz</t>
        </is>
      </c>
      <c r="H1691" t="inlineStr">
        <is>
          <t>Government / tender</t>
        </is>
      </c>
      <c r="I1691" t="inlineStr">
        <is>
          <t>Private insurer</t>
        </is>
      </c>
      <c r="J1691" t="inlineStr">
        <is>
          <t>Noah Smith</t>
        </is>
      </c>
      <c r="K1691" s="70" t="n">
        <v>1213</v>
      </c>
      <c r="L1691" s="71" t="n">
        <v>2200.3</v>
      </c>
      <c r="M1691" s="71" t="n">
        <v>2668963.9</v>
      </c>
      <c r="N1691" s="71" t="n">
        <v>400344.59</v>
      </c>
      <c r="O1691" s="71" t="n">
        <v>2268619.31</v>
      </c>
      <c r="P1691" s="71" t="n">
        <v>310352.17</v>
      </c>
      <c r="Q1691" s="71" t="n">
        <v>1958267.14</v>
      </c>
      <c r="R1691" t="inlineStr">
        <is>
          <t>Inflammation</t>
        </is>
      </c>
      <c r="S1691" s="70" t="n">
        <v>953</v>
      </c>
      <c r="T1691" s="71" t="n">
        <v>386193.36</v>
      </c>
      <c r="U1691" t="inlineStr">
        <is>
          <t>High</t>
        </is>
      </c>
      <c r="V1691">
        <f>IF(AND(OR(Dashboard!$C$6="All",E1691=Dashboard!$C$6),OR(Dashboard!$F$6="All",G1691=Dashboard!$F$6),OR(Dashboard!$I$6="All",H1691=Dashboard!$I$6)),1,0)</f>
        <v/>
      </c>
    </row>
    <row r="1692">
      <c r="A1692" t="inlineStr">
        <is>
          <t>PF101683</t>
        </is>
      </c>
      <c r="B1692" s="68" t="n">
        <v>45862</v>
      </c>
      <c r="C1692" s="69" t="n">
        <v>2025</v>
      </c>
      <c r="D1692" t="inlineStr">
        <is>
          <t>Jul</t>
        </is>
      </c>
      <c r="E1692" t="inlineStr">
        <is>
          <t>Europe</t>
        </is>
      </c>
      <c r="F1692" t="inlineStr">
        <is>
          <t>Germany</t>
        </is>
      </c>
      <c r="G1692" t="inlineStr">
        <is>
          <t>Paxlovid</t>
        </is>
      </c>
      <c r="H1692" t="inlineStr">
        <is>
          <t>Government / tender</t>
        </is>
      </c>
      <c r="I1692" t="inlineStr">
        <is>
          <t>Public payer</t>
        </is>
      </c>
      <c r="J1692" t="inlineStr">
        <is>
          <t>Amir Khan</t>
        </is>
      </c>
      <c r="K1692" s="70" t="n">
        <v>191</v>
      </c>
      <c r="L1692" s="71" t="n">
        <v>1174.31</v>
      </c>
      <c r="M1692" s="71" t="n">
        <v>224293.21</v>
      </c>
      <c r="N1692" s="71" t="n">
        <v>22429.32</v>
      </c>
      <c r="O1692" s="71" t="n">
        <v>201863.89</v>
      </c>
      <c r="P1692" s="71" t="n">
        <v>51415.7</v>
      </c>
      <c r="Q1692" s="71" t="n">
        <v>150448.19</v>
      </c>
      <c r="R1692" t="inlineStr">
        <is>
          <t>Antiviral</t>
        </is>
      </c>
      <c r="S1692" s="70" t="n">
        <v>151</v>
      </c>
      <c r="T1692" s="71" t="n">
        <v>38284.03</v>
      </c>
      <c r="U1692" t="inlineStr">
        <is>
          <t>Low</t>
        </is>
      </c>
      <c r="V1692">
        <f>IF(AND(OR(Dashboard!$C$6="All",E1692=Dashboard!$C$6),OR(Dashboard!$F$6="All",G1692=Dashboard!$F$6),OR(Dashboard!$I$6="All",H1692=Dashboard!$I$6)),1,0)</f>
        <v/>
      </c>
    </row>
    <row r="1693">
      <c r="A1693" t="inlineStr">
        <is>
          <t>PF101684</t>
        </is>
      </c>
      <c r="B1693" s="68" t="n">
        <v>45863</v>
      </c>
      <c r="C1693" s="69" t="n">
        <v>2025</v>
      </c>
      <c r="D1693" t="inlineStr">
        <is>
          <t>Jul</t>
        </is>
      </c>
      <c r="E1693" t="inlineStr">
        <is>
          <t>Europe</t>
        </is>
      </c>
      <c r="F1693" t="inlineStr">
        <is>
          <t>France</t>
        </is>
      </c>
      <c r="G1693" t="inlineStr">
        <is>
          <t>Abrysvo</t>
        </is>
      </c>
      <c r="H1693" t="inlineStr">
        <is>
          <t>Government / tender</t>
        </is>
      </c>
      <c r="I1693" t="inlineStr">
        <is>
          <t>Self-pay</t>
        </is>
      </c>
      <c r="J1693" t="inlineStr">
        <is>
          <t>Olivia Brown</t>
        </is>
      </c>
      <c r="K1693" s="70" t="n">
        <v>2515</v>
      </c>
      <c r="L1693" s="71" t="n">
        <v>279.42</v>
      </c>
      <c r="M1693" s="71" t="n">
        <v>702741.3</v>
      </c>
      <c r="N1693" s="71" t="n">
        <v>105411.2</v>
      </c>
      <c r="O1693" s="71" t="n">
        <v>597330.1</v>
      </c>
      <c r="P1693" s="71" t="n">
        <v>203749.51</v>
      </c>
      <c r="Q1693" s="71" t="n">
        <v>393580.59</v>
      </c>
      <c r="R1693" t="inlineStr">
        <is>
          <t>Vaccines</t>
        </is>
      </c>
      <c r="S1693" s="70" t="n">
        <v>1825</v>
      </c>
      <c r="T1693" s="71" t="n">
        <v>117872.59</v>
      </c>
      <c r="U1693" t="inlineStr">
        <is>
          <t>Low</t>
        </is>
      </c>
      <c r="V1693">
        <f>IF(AND(OR(Dashboard!$C$6="All",E1693=Dashboard!$C$6),OR(Dashboard!$F$6="All",G1693=Dashboard!$F$6),OR(Dashboard!$I$6="All",H1693=Dashboard!$I$6)),1,0)</f>
        <v/>
      </c>
    </row>
    <row r="1694">
      <c r="A1694" t="inlineStr">
        <is>
          <t>PF101685</t>
        </is>
      </c>
      <c r="B1694" s="68" t="n">
        <v>45863</v>
      </c>
      <c r="C1694" s="69" t="n">
        <v>2025</v>
      </c>
      <c r="D1694" t="inlineStr">
        <is>
          <t>Jul</t>
        </is>
      </c>
      <c r="E1694" t="inlineStr">
        <is>
          <t>Emerging markets</t>
        </is>
      </c>
      <c r="F1694" t="inlineStr">
        <is>
          <t>India</t>
        </is>
      </c>
      <c r="G1694" t="inlineStr">
        <is>
          <t>Comirnaty</t>
        </is>
      </c>
      <c r="H1694" t="inlineStr">
        <is>
          <t>Hospital</t>
        </is>
      </c>
      <c r="I1694" t="inlineStr">
        <is>
          <t>Public payer</t>
        </is>
      </c>
      <c r="J1694" t="inlineStr">
        <is>
          <t>Olivia Brown</t>
        </is>
      </c>
      <c r="K1694" s="70" t="n">
        <v>1094</v>
      </c>
      <c r="L1694" s="71" t="n">
        <v>108.06</v>
      </c>
      <c r="M1694" s="71" t="n">
        <v>118217.64</v>
      </c>
      <c r="N1694" s="71" t="n">
        <v>23643.53</v>
      </c>
      <c r="O1694" s="71" t="n">
        <v>94574.11</v>
      </c>
      <c r="P1694" s="71" t="n">
        <v>43784.84</v>
      </c>
      <c r="Q1694" s="71" t="n">
        <v>50789.27</v>
      </c>
      <c r="R1694" t="inlineStr">
        <is>
          <t>Vaccines</t>
        </is>
      </c>
      <c r="S1694" s="70" t="n">
        <v>954</v>
      </c>
      <c r="T1694" s="71" t="n">
        <v>19108.4</v>
      </c>
      <c r="U1694" t="inlineStr">
        <is>
          <t>Low</t>
        </is>
      </c>
      <c r="V1694">
        <f>IF(AND(OR(Dashboard!$C$6="All",E1694=Dashboard!$C$6),OR(Dashboard!$F$6="All",G1694=Dashboard!$F$6),OR(Dashboard!$I$6="All",H1694=Dashboard!$I$6)),1,0)</f>
        <v/>
      </c>
    </row>
    <row r="1695">
      <c r="A1695" t="inlineStr">
        <is>
          <t>PF101686</t>
        </is>
      </c>
      <c r="B1695" s="68" t="n">
        <v>45863</v>
      </c>
      <c r="C1695" s="69" t="n">
        <v>2025</v>
      </c>
      <c r="D1695" t="inlineStr">
        <is>
          <t>Jul</t>
        </is>
      </c>
      <c r="E1695" t="inlineStr">
        <is>
          <t>United States</t>
        </is>
      </c>
      <c r="F1695" t="inlineStr">
        <is>
          <t>USA</t>
        </is>
      </c>
      <c r="G1695" t="inlineStr">
        <is>
          <t>Abrysvo</t>
        </is>
      </c>
      <c r="H1695" t="inlineStr">
        <is>
          <t>Government / tender</t>
        </is>
      </c>
      <c r="I1695" t="inlineStr">
        <is>
          <t>Private insurer</t>
        </is>
      </c>
      <c r="J1695" t="inlineStr">
        <is>
          <t>Ravindra Patil</t>
        </is>
      </c>
      <c r="K1695" s="70" t="n">
        <v>644</v>
      </c>
      <c r="L1695" s="71" t="n">
        <v>422</v>
      </c>
      <c r="M1695" s="71" t="n">
        <v>271768</v>
      </c>
      <c r="N1695" s="71" t="n">
        <v>67942</v>
      </c>
      <c r="O1695" s="71" t="n">
        <v>203826</v>
      </c>
      <c r="P1695" s="71" t="n">
        <v>54832.37</v>
      </c>
      <c r="Q1695" s="71" t="n">
        <v>148993.63</v>
      </c>
      <c r="R1695" t="inlineStr">
        <is>
          <t>Vaccines</t>
        </is>
      </c>
      <c r="S1695" s="70" t="n">
        <v>552</v>
      </c>
      <c r="T1695" s="71" t="n">
        <v>35243.01</v>
      </c>
      <c r="U1695" t="inlineStr">
        <is>
          <t>Low</t>
        </is>
      </c>
      <c r="V1695">
        <f>IF(AND(OR(Dashboard!$C$6="All",E1695=Dashboard!$C$6),OR(Dashboard!$F$6="All",G1695=Dashboard!$F$6),OR(Dashboard!$I$6="All",H1695=Dashboard!$I$6)),1,0)</f>
        <v/>
      </c>
    </row>
    <row r="1696">
      <c r="A1696" t="inlineStr">
        <is>
          <t>PF101687</t>
        </is>
      </c>
      <c r="B1696" s="68" t="n">
        <v>45863</v>
      </c>
      <c r="C1696" s="69" t="n">
        <v>2025</v>
      </c>
      <c r="D1696" t="inlineStr">
        <is>
          <t>Jul</t>
        </is>
      </c>
      <c r="E1696" t="inlineStr">
        <is>
          <t>Europe</t>
        </is>
      </c>
      <c r="F1696" t="inlineStr">
        <is>
          <t>Spain</t>
        </is>
      </c>
      <c r="G1696" t="inlineStr">
        <is>
          <t>Xeljanz</t>
        </is>
      </c>
      <c r="H1696" t="inlineStr">
        <is>
          <t>Government / tender</t>
        </is>
      </c>
      <c r="I1696" t="inlineStr">
        <is>
          <t>Self-pay</t>
        </is>
      </c>
      <c r="J1696" t="inlineStr">
        <is>
          <t>Sophie Müller</t>
        </is>
      </c>
      <c r="K1696" s="70" t="n">
        <v>2146</v>
      </c>
      <c r="L1696" s="71" t="n">
        <v>1446.86</v>
      </c>
      <c r="M1696" s="71" t="n">
        <v>3104961.56</v>
      </c>
      <c r="N1696" s="71" t="n">
        <v>310496.16</v>
      </c>
      <c r="O1696" s="71" t="n">
        <v>2794465.4</v>
      </c>
      <c r="P1696" s="71" t="n">
        <v>537798.04</v>
      </c>
      <c r="Q1696" s="71" t="n">
        <v>2256667.36</v>
      </c>
      <c r="R1696" t="inlineStr">
        <is>
          <t>Inflammation</t>
        </is>
      </c>
      <c r="S1696" s="70" t="n">
        <v>1509</v>
      </c>
      <c r="T1696" s="71" t="n">
        <v>501368.26</v>
      </c>
      <c r="U1696" t="inlineStr">
        <is>
          <t>High</t>
        </is>
      </c>
      <c r="V1696">
        <f>IF(AND(OR(Dashboard!$C$6="All",E1696=Dashboard!$C$6),OR(Dashboard!$F$6="All",G1696=Dashboard!$F$6),OR(Dashboard!$I$6="All",H1696=Dashboard!$I$6)),1,0)</f>
        <v/>
      </c>
    </row>
    <row r="1697">
      <c r="A1697" t="inlineStr">
        <is>
          <t>PF101688</t>
        </is>
      </c>
      <c r="B1697" s="68" t="n">
        <v>45863</v>
      </c>
      <c r="C1697" s="69" t="n">
        <v>2025</v>
      </c>
      <c r="D1697" t="inlineStr">
        <is>
          <t>Jul</t>
        </is>
      </c>
      <c r="E1697" t="inlineStr">
        <is>
          <t>Emerging markets</t>
        </is>
      </c>
      <c r="F1697" t="inlineStr">
        <is>
          <t>Mexico</t>
        </is>
      </c>
      <c r="G1697" t="inlineStr">
        <is>
          <t>Ibrance</t>
        </is>
      </c>
      <c r="H1697" t="inlineStr">
        <is>
          <t>Hospital</t>
        </is>
      </c>
      <c r="I1697" t="inlineStr">
        <is>
          <t>Private insurer</t>
        </is>
      </c>
      <c r="J1697" t="inlineStr">
        <is>
          <t>Priya Nair</t>
        </is>
      </c>
      <c r="K1697" s="70" t="n">
        <v>1265</v>
      </c>
      <c r="L1697" s="71" t="n">
        <v>2872.28</v>
      </c>
      <c r="M1697" s="71" t="n">
        <v>3633434.2</v>
      </c>
      <c r="N1697" s="71" t="n">
        <v>181671.71</v>
      </c>
      <c r="O1697" s="71" t="n">
        <v>3451762.49</v>
      </c>
      <c r="P1697" s="71" t="n">
        <v>547833.8199999999</v>
      </c>
      <c r="Q1697" s="71" t="n">
        <v>2903928.67</v>
      </c>
      <c r="R1697" t="inlineStr">
        <is>
          <t>Oncology</t>
        </is>
      </c>
      <c r="S1697" s="70" t="n">
        <v>1175</v>
      </c>
      <c r="T1697" s="71" t="n">
        <v>557442.87</v>
      </c>
      <c r="U1697" t="inlineStr">
        <is>
          <t>High</t>
        </is>
      </c>
      <c r="V1697">
        <f>IF(AND(OR(Dashboard!$C$6="All",E1697=Dashboard!$C$6),OR(Dashboard!$F$6="All",G1697=Dashboard!$F$6),OR(Dashboard!$I$6="All",H1697=Dashboard!$I$6)),1,0)</f>
        <v/>
      </c>
    </row>
    <row r="1698">
      <c r="A1698" t="inlineStr">
        <is>
          <t>PF101689</t>
        </is>
      </c>
      <c r="B1698" s="68" t="n">
        <v>45863</v>
      </c>
      <c r="C1698" s="69" t="n">
        <v>2025</v>
      </c>
      <c r="D1698" t="inlineStr">
        <is>
          <t>Jul</t>
        </is>
      </c>
      <c r="E1698" t="inlineStr">
        <is>
          <t>Europe</t>
        </is>
      </c>
      <c r="F1698" t="inlineStr">
        <is>
          <t>Spain</t>
        </is>
      </c>
      <c r="G1698" t="inlineStr">
        <is>
          <t>Comirnaty</t>
        </is>
      </c>
      <c r="H1698" t="inlineStr">
        <is>
          <t>Retail pharmacy</t>
        </is>
      </c>
      <c r="I1698" t="inlineStr">
        <is>
          <t>Public payer</t>
        </is>
      </c>
      <c r="J1698" t="inlineStr">
        <is>
          <t>Carlos Silva</t>
        </is>
      </c>
      <c r="K1698" s="70" t="n">
        <v>2091</v>
      </c>
      <c r="L1698" s="71" t="n">
        <v>100.55</v>
      </c>
      <c r="M1698" s="71" t="n">
        <v>210250.05</v>
      </c>
      <c r="N1698" s="71" t="n">
        <v>31537.51</v>
      </c>
      <c r="O1698" s="71" t="n">
        <v>178712.54</v>
      </c>
      <c r="P1698" s="71" t="n">
        <v>79494.91</v>
      </c>
      <c r="Q1698" s="71" t="n">
        <v>99217.63</v>
      </c>
      <c r="R1698" t="inlineStr">
        <is>
          <t>Vaccines</t>
        </is>
      </c>
      <c r="S1698" s="70" t="n">
        <v>1768</v>
      </c>
      <c r="T1698" s="71" t="n">
        <v>32536.97</v>
      </c>
      <c r="U1698" t="inlineStr">
        <is>
          <t>Low</t>
        </is>
      </c>
      <c r="V1698">
        <f>IF(AND(OR(Dashboard!$C$6="All",E1698=Dashboard!$C$6),OR(Dashboard!$F$6="All",G1698=Dashboard!$F$6),OR(Dashboard!$I$6="All",H1698=Dashboard!$I$6)),1,0)</f>
        <v/>
      </c>
    </row>
    <row r="1699">
      <c r="A1699" t="inlineStr">
        <is>
          <t>PF101690</t>
        </is>
      </c>
      <c r="B1699" s="68" t="n">
        <v>45863</v>
      </c>
      <c r="C1699" s="69" t="n">
        <v>2025</v>
      </c>
      <c r="D1699" t="inlineStr">
        <is>
          <t>Jul</t>
        </is>
      </c>
      <c r="E1699" t="inlineStr">
        <is>
          <t>United States</t>
        </is>
      </c>
      <c r="F1699" t="inlineStr">
        <is>
          <t>USA</t>
        </is>
      </c>
      <c r="G1699" t="inlineStr">
        <is>
          <t>Prevnar 20</t>
        </is>
      </c>
      <c r="H1699" t="inlineStr">
        <is>
          <t>Retail pharmacy</t>
        </is>
      </c>
      <c r="I1699" t="inlineStr">
        <is>
          <t>Public payer</t>
        </is>
      </c>
      <c r="J1699" t="inlineStr">
        <is>
          <t>Wei Chen</t>
        </is>
      </c>
      <c r="K1699" s="70" t="n">
        <v>760</v>
      </c>
      <c r="L1699" s="71" t="n">
        <v>384.94</v>
      </c>
      <c r="M1699" s="71" t="n">
        <v>292554.4</v>
      </c>
      <c r="N1699" s="71" t="n">
        <v>87766.32000000001</v>
      </c>
      <c r="O1699" s="71" t="n">
        <v>204788.08</v>
      </c>
      <c r="P1699" s="71" t="n">
        <v>52927.77</v>
      </c>
      <c r="Q1699" s="71" t="n">
        <v>151860.31</v>
      </c>
      <c r="R1699" t="inlineStr">
        <is>
          <t>Vaccines</t>
        </is>
      </c>
      <c r="S1699" s="70" t="n">
        <v>700</v>
      </c>
      <c r="T1699" s="71" t="n">
        <v>45075.04</v>
      </c>
      <c r="U1699" t="inlineStr">
        <is>
          <t>Low</t>
        </is>
      </c>
      <c r="V1699">
        <f>IF(AND(OR(Dashboard!$C$6="All",E1699=Dashboard!$C$6),OR(Dashboard!$F$6="All",G1699=Dashboard!$F$6),OR(Dashboard!$I$6="All",H1699=Dashboard!$I$6)),1,0)</f>
        <v/>
      </c>
    </row>
    <row r="1700">
      <c r="A1700" t="inlineStr">
        <is>
          <t>PF101691</t>
        </is>
      </c>
      <c r="B1700" s="68" t="n">
        <v>45863</v>
      </c>
      <c r="C1700" s="69" t="n">
        <v>2025</v>
      </c>
      <c r="D1700" t="inlineStr">
        <is>
          <t>Jul</t>
        </is>
      </c>
      <c r="E1700" t="inlineStr">
        <is>
          <t>United States</t>
        </is>
      </c>
      <c r="F1700" t="inlineStr">
        <is>
          <t>USA</t>
        </is>
      </c>
      <c r="G1700" t="inlineStr">
        <is>
          <t>Vyndaqel</t>
        </is>
      </c>
      <c r="H1700" t="inlineStr">
        <is>
          <t>Government / tender</t>
        </is>
      </c>
      <c r="I1700" t="inlineStr">
        <is>
          <t>Private insurer</t>
        </is>
      </c>
      <c r="J1700" t="inlineStr">
        <is>
          <t>Lucas Martin</t>
        </is>
      </c>
      <c r="K1700" s="70" t="n">
        <v>117</v>
      </c>
      <c r="L1700" s="71" t="n">
        <v>7706.8</v>
      </c>
      <c r="M1700" s="71" t="n">
        <v>901695.6</v>
      </c>
      <c r="N1700" s="71" t="n">
        <v>315593.46</v>
      </c>
      <c r="O1700" s="71" t="n">
        <v>586102.14</v>
      </c>
      <c r="P1700" s="71" t="n">
        <v>75237.53</v>
      </c>
      <c r="Q1700" s="71" t="n">
        <v>510864.61</v>
      </c>
      <c r="R1700" t="inlineStr">
        <is>
          <t>Rare disease</t>
        </is>
      </c>
      <c r="S1700" s="70" t="n">
        <v>89</v>
      </c>
      <c r="T1700" s="71" t="n">
        <v>167328.9</v>
      </c>
      <c r="U1700" t="inlineStr">
        <is>
          <t>Medium</t>
        </is>
      </c>
      <c r="V1700">
        <f>IF(AND(OR(Dashboard!$C$6="All",E1700=Dashboard!$C$6),OR(Dashboard!$F$6="All",G1700=Dashboard!$F$6),OR(Dashboard!$I$6="All",H1700=Dashboard!$I$6)),1,0)</f>
        <v/>
      </c>
    </row>
    <row r="1701">
      <c r="A1701" t="inlineStr">
        <is>
          <t>PF101692</t>
        </is>
      </c>
      <c r="B1701" s="68" t="n">
        <v>45864</v>
      </c>
      <c r="C1701" s="69" t="n">
        <v>2025</v>
      </c>
      <c r="D1701" t="inlineStr">
        <is>
          <t>Jul</t>
        </is>
      </c>
      <c r="E1701" t="inlineStr">
        <is>
          <t>United States</t>
        </is>
      </c>
      <c r="F1701" t="inlineStr">
        <is>
          <t>USA</t>
        </is>
      </c>
      <c r="G1701" t="inlineStr">
        <is>
          <t>Ibrance</t>
        </is>
      </c>
      <c r="H1701" t="inlineStr">
        <is>
          <t>Retail pharmacy</t>
        </is>
      </c>
      <c r="I1701" t="inlineStr">
        <is>
          <t>Self-pay</t>
        </is>
      </c>
      <c r="J1701" t="inlineStr">
        <is>
          <t>Ravindra Patil</t>
        </is>
      </c>
      <c r="K1701" s="70" t="n">
        <v>632</v>
      </c>
      <c r="L1701" s="71" t="n">
        <v>5007.25</v>
      </c>
      <c r="M1701" s="71" t="n">
        <v>3164582</v>
      </c>
      <c r="N1701" s="71" t="n">
        <v>474687.3</v>
      </c>
      <c r="O1701" s="71" t="n">
        <v>2689894.7</v>
      </c>
      <c r="P1701" s="71" t="n">
        <v>272972.24</v>
      </c>
      <c r="Q1701" s="71" t="n">
        <v>2416922.46</v>
      </c>
      <c r="R1701" t="inlineStr">
        <is>
          <t>Oncology</t>
        </is>
      </c>
      <c r="S1701" s="70" t="n">
        <v>616</v>
      </c>
      <c r="T1701" s="71" t="n">
        <v>694007.76</v>
      </c>
      <c r="U1701" t="inlineStr">
        <is>
          <t>High</t>
        </is>
      </c>
      <c r="V1701">
        <f>IF(AND(OR(Dashboard!$C$6="All",E1701=Dashboard!$C$6),OR(Dashboard!$F$6="All",G1701=Dashboard!$F$6),OR(Dashboard!$I$6="All",H1701=Dashboard!$I$6)),1,0)</f>
        <v/>
      </c>
    </row>
    <row r="1702">
      <c r="A1702" t="inlineStr">
        <is>
          <t>PF101693</t>
        </is>
      </c>
      <c r="B1702" s="68" t="n">
        <v>45864</v>
      </c>
      <c r="C1702" s="69" t="n">
        <v>2025</v>
      </c>
      <c r="D1702" t="inlineStr">
        <is>
          <t>Jul</t>
        </is>
      </c>
      <c r="E1702" t="inlineStr">
        <is>
          <t>United States</t>
        </is>
      </c>
      <c r="F1702" t="inlineStr">
        <is>
          <t>USA</t>
        </is>
      </c>
      <c r="G1702" t="inlineStr">
        <is>
          <t>Paxlovid</t>
        </is>
      </c>
      <c r="H1702" t="inlineStr">
        <is>
          <t>Hospital</t>
        </is>
      </c>
      <c r="I1702" t="inlineStr">
        <is>
          <t>Public payer</t>
        </is>
      </c>
      <c r="J1702" t="inlineStr">
        <is>
          <t>Omar Haddad</t>
        </is>
      </c>
      <c r="K1702" s="70" t="n">
        <v>1970</v>
      </c>
      <c r="L1702" s="71" t="n">
        <v>1864.94</v>
      </c>
      <c r="M1702" s="71" t="n">
        <v>3673931.8</v>
      </c>
      <c r="N1702" s="71" t="n">
        <v>1102179.54</v>
      </c>
      <c r="O1702" s="71" t="n">
        <v>2571752.26</v>
      </c>
      <c r="P1702" s="71" t="n">
        <v>521072.11</v>
      </c>
      <c r="Q1702" s="71" t="n">
        <v>2050680.15</v>
      </c>
      <c r="R1702" t="inlineStr">
        <is>
          <t>Antiviral</t>
        </is>
      </c>
      <c r="S1702" s="70" t="n">
        <v>1581</v>
      </c>
      <c r="T1702" s="71" t="n">
        <v>458203.14</v>
      </c>
      <c r="U1702" t="inlineStr">
        <is>
          <t>Low</t>
        </is>
      </c>
      <c r="V1702">
        <f>IF(AND(OR(Dashboard!$C$6="All",E1702=Dashboard!$C$6),OR(Dashboard!$F$6="All",G1702=Dashboard!$F$6),OR(Dashboard!$I$6="All",H1702=Dashboard!$I$6)),1,0)</f>
        <v/>
      </c>
    </row>
    <row r="1703">
      <c r="A1703" t="inlineStr">
        <is>
          <t>PF101694</t>
        </is>
      </c>
      <c r="B1703" s="68" t="n">
        <v>45864</v>
      </c>
      <c r="C1703" s="69" t="n">
        <v>2025</v>
      </c>
      <c r="D1703" t="inlineStr">
        <is>
          <t>Jul</t>
        </is>
      </c>
      <c r="E1703" t="inlineStr">
        <is>
          <t>United States</t>
        </is>
      </c>
      <c r="F1703" t="inlineStr">
        <is>
          <t>USA</t>
        </is>
      </c>
      <c r="G1703" t="inlineStr">
        <is>
          <t>Paxlovid</t>
        </is>
      </c>
      <c r="H1703" t="inlineStr">
        <is>
          <t>Hospital</t>
        </is>
      </c>
      <c r="I1703" t="inlineStr">
        <is>
          <t>Self-pay</t>
        </is>
      </c>
      <c r="J1703" t="inlineStr">
        <is>
          <t>Liam O'Brien</t>
        </is>
      </c>
      <c r="K1703" s="70" t="n">
        <v>2837</v>
      </c>
      <c r="L1703" s="71" t="n">
        <v>1633.02</v>
      </c>
      <c r="M1703" s="71" t="n">
        <v>4632877.74</v>
      </c>
      <c r="N1703" s="71" t="n">
        <v>1389863.32</v>
      </c>
      <c r="O1703" s="71" t="n">
        <v>3243014.42</v>
      </c>
      <c r="P1703" s="71" t="n">
        <v>800919.1</v>
      </c>
      <c r="Q1703" s="71" t="n">
        <v>2442095.32</v>
      </c>
      <c r="R1703" t="inlineStr">
        <is>
          <t>Antiviral</t>
        </is>
      </c>
      <c r="S1703" s="70" t="n">
        <v>2365</v>
      </c>
      <c r="T1703" s="71" t="n">
        <v>717896.05</v>
      </c>
      <c r="U1703" t="inlineStr">
        <is>
          <t>Low</t>
        </is>
      </c>
      <c r="V1703">
        <f>IF(AND(OR(Dashboard!$C$6="All",E1703=Dashboard!$C$6),OR(Dashboard!$F$6="All",G1703=Dashboard!$F$6),OR(Dashboard!$I$6="All",H1703=Dashboard!$I$6)),1,0)</f>
        <v/>
      </c>
    </row>
    <row r="1704">
      <c r="A1704" t="inlineStr">
        <is>
          <t>PF101695</t>
        </is>
      </c>
      <c r="B1704" s="68" t="n">
        <v>45864</v>
      </c>
      <c r="C1704" s="69" t="n">
        <v>2025</v>
      </c>
      <c r="D1704" t="inlineStr">
        <is>
          <t>Jul</t>
        </is>
      </c>
      <c r="E1704" t="inlineStr">
        <is>
          <t>Europe</t>
        </is>
      </c>
      <c r="F1704" t="inlineStr">
        <is>
          <t>France</t>
        </is>
      </c>
      <c r="G1704" t="inlineStr">
        <is>
          <t>Eliquis</t>
        </is>
      </c>
      <c r="H1704" t="inlineStr">
        <is>
          <t>Retail pharmacy</t>
        </is>
      </c>
      <c r="I1704" t="inlineStr">
        <is>
          <t>Public payer</t>
        </is>
      </c>
      <c r="J1704" t="inlineStr">
        <is>
          <t>Wei Chen</t>
        </is>
      </c>
      <c r="K1704" s="70" t="n">
        <v>2806</v>
      </c>
      <c r="L1704" s="71" t="n">
        <v>456.21</v>
      </c>
      <c r="M1704" s="71" t="n">
        <v>1280125.26</v>
      </c>
      <c r="N1704" s="71" t="n">
        <v>320031.32</v>
      </c>
      <c r="O1704" s="71" t="n">
        <v>960093.9399999999</v>
      </c>
      <c r="P1704" s="71" t="n">
        <v>204566.59</v>
      </c>
      <c r="Q1704" s="71" t="n">
        <v>755527.35</v>
      </c>
      <c r="R1704" t="inlineStr">
        <is>
          <t>Cardiology</t>
        </is>
      </c>
      <c r="S1704" s="70" t="n">
        <v>2783</v>
      </c>
      <c r="T1704" s="71" t="n">
        <v>196550.02</v>
      </c>
      <c r="U1704" t="inlineStr">
        <is>
          <t>High</t>
        </is>
      </c>
      <c r="V1704">
        <f>IF(AND(OR(Dashboard!$C$6="All",E1704=Dashboard!$C$6),OR(Dashboard!$F$6="All",G1704=Dashboard!$F$6),OR(Dashboard!$I$6="All",H1704=Dashboard!$I$6)),1,0)</f>
        <v/>
      </c>
    </row>
    <row r="1705">
      <c r="A1705" t="inlineStr">
        <is>
          <t>PF101696</t>
        </is>
      </c>
      <c r="B1705" s="68" t="n">
        <v>45864</v>
      </c>
      <c r="C1705" s="69" t="n">
        <v>2025</v>
      </c>
      <c r="D1705" t="inlineStr">
        <is>
          <t>Jul</t>
        </is>
      </c>
      <c r="E1705" t="inlineStr">
        <is>
          <t>Europe</t>
        </is>
      </c>
      <c r="F1705" t="inlineStr">
        <is>
          <t>France</t>
        </is>
      </c>
      <c r="G1705" t="inlineStr">
        <is>
          <t>Prevnar 20</t>
        </is>
      </c>
      <c r="H1705" t="inlineStr">
        <is>
          <t>Hospital</t>
        </is>
      </c>
      <c r="I1705" t="inlineStr">
        <is>
          <t>Private insurer</t>
        </is>
      </c>
      <c r="J1705" t="inlineStr">
        <is>
          <t>Amir Khan</t>
        </is>
      </c>
      <c r="K1705" s="70" t="n">
        <v>396</v>
      </c>
      <c r="L1705" s="71" t="n">
        <v>231.58</v>
      </c>
      <c r="M1705" s="71" t="n">
        <v>91705.67999999999</v>
      </c>
      <c r="N1705" s="71" t="n">
        <v>4585.28</v>
      </c>
      <c r="O1705" s="71" t="n">
        <v>87120.39999999999</v>
      </c>
      <c r="P1705" s="71" t="n">
        <v>26675.64</v>
      </c>
      <c r="Q1705" s="71" t="n">
        <v>60444.76</v>
      </c>
      <c r="R1705" t="inlineStr">
        <is>
          <t>Vaccines</t>
        </is>
      </c>
      <c r="S1705" s="70" t="n">
        <v>394</v>
      </c>
      <c r="T1705" s="71" t="n">
        <v>11793.55</v>
      </c>
      <c r="U1705" t="inlineStr">
        <is>
          <t>Low</t>
        </is>
      </c>
      <c r="V1705">
        <f>IF(AND(OR(Dashboard!$C$6="All",E1705=Dashboard!$C$6),OR(Dashboard!$F$6="All",G1705=Dashboard!$F$6),OR(Dashboard!$I$6="All",H1705=Dashboard!$I$6)),1,0)</f>
        <v/>
      </c>
    </row>
    <row r="1706">
      <c r="A1706" t="inlineStr">
        <is>
          <t>PF101697</t>
        </is>
      </c>
      <c r="B1706" s="68" t="n">
        <v>45864</v>
      </c>
      <c r="C1706" s="69" t="n">
        <v>2025</v>
      </c>
      <c r="D1706" t="inlineStr">
        <is>
          <t>Jul</t>
        </is>
      </c>
      <c r="E1706" t="inlineStr">
        <is>
          <t>International developed</t>
        </is>
      </c>
      <c r="F1706" t="inlineStr">
        <is>
          <t>Canada</t>
        </is>
      </c>
      <c r="G1706" t="inlineStr">
        <is>
          <t>Comirnaty</t>
        </is>
      </c>
      <c r="H1706" t="inlineStr">
        <is>
          <t>Hospital</t>
        </is>
      </c>
      <c r="I1706" t="inlineStr">
        <is>
          <t>Self-pay</t>
        </is>
      </c>
      <c r="J1706" t="inlineStr">
        <is>
          <t>Mei Lin</t>
        </is>
      </c>
      <c r="K1706" s="70" t="n">
        <v>1857</v>
      </c>
      <c r="L1706" s="71" t="n">
        <v>103.19</v>
      </c>
      <c r="M1706" s="71" t="n">
        <v>191623.83</v>
      </c>
      <c r="N1706" s="71" t="n">
        <v>28743.57</v>
      </c>
      <c r="O1706" s="71" t="n">
        <v>162880.26</v>
      </c>
      <c r="P1706" s="71" t="n">
        <v>70533.95</v>
      </c>
      <c r="Q1706" s="71" t="n">
        <v>92346.31</v>
      </c>
      <c r="R1706" t="inlineStr">
        <is>
          <t>Vaccines</t>
        </is>
      </c>
      <c r="S1706" s="70" t="n">
        <v>1664</v>
      </c>
      <c r="T1706" s="71" t="n">
        <v>26971.91</v>
      </c>
      <c r="U1706" t="inlineStr">
        <is>
          <t>Low</t>
        </is>
      </c>
      <c r="V1706">
        <f>IF(AND(OR(Dashboard!$C$6="All",E1706=Dashboard!$C$6),OR(Dashboard!$F$6="All",G1706=Dashboard!$F$6),OR(Dashboard!$I$6="All",H1706=Dashboard!$I$6)),1,0)</f>
        <v/>
      </c>
    </row>
    <row r="1707">
      <c r="A1707" t="inlineStr">
        <is>
          <t>PF101698</t>
        </is>
      </c>
      <c r="B1707" s="68" t="n">
        <v>45864</v>
      </c>
      <c r="C1707" s="69" t="n">
        <v>2025</v>
      </c>
      <c r="D1707" t="inlineStr">
        <is>
          <t>Jul</t>
        </is>
      </c>
      <c r="E1707" t="inlineStr">
        <is>
          <t>United States</t>
        </is>
      </c>
      <c r="F1707" t="inlineStr">
        <is>
          <t>USA</t>
        </is>
      </c>
      <c r="G1707" t="inlineStr">
        <is>
          <t>Ibrance</t>
        </is>
      </c>
      <c r="H1707" t="inlineStr">
        <is>
          <t>Retail pharmacy</t>
        </is>
      </c>
      <c r="I1707" t="inlineStr">
        <is>
          <t>Public payer</t>
        </is>
      </c>
      <c r="J1707" t="inlineStr">
        <is>
          <t>Liam O'Brien</t>
        </is>
      </c>
      <c r="K1707" s="70" t="n">
        <v>1340</v>
      </c>
      <c r="L1707" s="71" t="n">
        <v>5073.01</v>
      </c>
      <c r="M1707" s="71" t="n">
        <v>6797833.4</v>
      </c>
      <c r="N1707" s="71" t="n">
        <v>1359566.68</v>
      </c>
      <c r="O1707" s="71" t="n">
        <v>5438266.72</v>
      </c>
      <c r="P1707" s="71" t="n">
        <v>601564.5600000001</v>
      </c>
      <c r="Q1707" s="71" t="n">
        <v>4836702.16</v>
      </c>
      <c r="R1707" t="inlineStr">
        <is>
          <t>Oncology</t>
        </is>
      </c>
      <c r="S1707" s="70" t="n">
        <v>1021</v>
      </c>
      <c r="T1707" s="71" t="n">
        <v>995419.23</v>
      </c>
      <c r="U1707" t="inlineStr">
        <is>
          <t>High</t>
        </is>
      </c>
      <c r="V1707">
        <f>IF(AND(OR(Dashboard!$C$6="All",E1707=Dashboard!$C$6),OR(Dashboard!$F$6="All",G1707=Dashboard!$F$6),OR(Dashboard!$I$6="All",H1707=Dashboard!$I$6)),1,0)</f>
        <v/>
      </c>
    </row>
    <row r="1708">
      <c r="A1708" t="inlineStr">
        <is>
          <t>PF101699</t>
        </is>
      </c>
      <c r="B1708" s="68" t="n">
        <v>45864</v>
      </c>
      <c r="C1708" s="69" t="n">
        <v>2025</v>
      </c>
      <c r="D1708" t="inlineStr">
        <is>
          <t>Jul</t>
        </is>
      </c>
      <c r="E1708" t="inlineStr">
        <is>
          <t>United States</t>
        </is>
      </c>
      <c r="F1708" t="inlineStr">
        <is>
          <t>USA</t>
        </is>
      </c>
      <c r="G1708" t="inlineStr">
        <is>
          <t>Xeljanz</t>
        </is>
      </c>
      <c r="H1708" t="inlineStr">
        <is>
          <t>Retail pharmacy</t>
        </is>
      </c>
      <c r="I1708" t="inlineStr">
        <is>
          <t>Public payer</t>
        </is>
      </c>
      <c r="J1708" t="inlineStr">
        <is>
          <t>Ravindra Patil</t>
        </is>
      </c>
      <c r="K1708" s="70" t="n">
        <v>989</v>
      </c>
      <c r="L1708" s="71" t="n">
        <v>2178.9</v>
      </c>
      <c r="M1708" s="71" t="n">
        <v>2154932.1</v>
      </c>
      <c r="N1708" s="71" t="n">
        <v>754226.23</v>
      </c>
      <c r="O1708" s="71" t="n">
        <v>1400705.87</v>
      </c>
      <c r="P1708" s="71" t="n">
        <v>256463.56</v>
      </c>
      <c r="Q1708" s="71" t="n">
        <v>1144242.31</v>
      </c>
      <c r="R1708" t="inlineStr">
        <is>
          <t>Inflammation</t>
        </is>
      </c>
      <c r="S1708" s="70" t="n">
        <v>671</v>
      </c>
      <c r="T1708" s="71" t="n">
        <v>461943.64</v>
      </c>
      <c r="U1708" t="inlineStr">
        <is>
          <t>High</t>
        </is>
      </c>
      <c r="V1708">
        <f>IF(AND(OR(Dashboard!$C$6="All",E1708=Dashboard!$C$6),OR(Dashboard!$F$6="All",G1708=Dashboard!$F$6),OR(Dashboard!$I$6="All",H1708=Dashboard!$I$6)),1,0)</f>
        <v/>
      </c>
    </row>
    <row r="1709">
      <c r="A1709" t="inlineStr">
        <is>
          <t>PF101700</t>
        </is>
      </c>
      <c r="B1709" s="68" t="n">
        <v>45864</v>
      </c>
      <c r="C1709" s="69" t="n">
        <v>2025</v>
      </c>
      <c r="D1709" t="inlineStr">
        <is>
          <t>Jul</t>
        </is>
      </c>
      <c r="E1709" t="inlineStr">
        <is>
          <t>United States</t>
        </is>
      </c>
      <c r="F1709" t="inlineStr">
        <is>
          <t>USA</t>
        </is>
      </c>
      <c r="G1709" t="inlineStr">
        <is>
          <t>Prevnar 20</t>
        </is>
      </c>
      <c r="H1709" t="inlineStr">
        <is>
          <t>Government / tender</t>
        </is>
      </c>
      <c r="I1709" t="inlineStr">
        <is>
          <t>Public payer</t>
        </is>
      </c>
      <c r="J1709" t="inlineStr">
        <is>
          <t>Noah Smith</t>
        </is>
      </c>
      <c r="K1709" s="70" t="n">
        <v>1099</v>
      </c>
      <c r="L1709" s="71" t="n">
        <v>376.18</v>
      </c>
      <c r="M1709" s="71" t="n">
        <v>413421.82</v>
      </c>
      <c r="N1709" s="71" t="n">
        <v>124026.55</v>
      </c>
      <c r="O1709" s="71" t="n">
        <v>289395.27</v>
      </c>
      <c r="P1709" s="71" t="n">
        <v>74890.13</v>
      </c>
      <c r="Q1709" s="71" t="n">
        <v>214505.14</v>
      </c>
      <c r="R1709" t="inlineStr">
        <is>
          <t>Vaccines</t>
        </is>
      </c>
      <c r="S1709" s="70" t="n">
        <v>762</v>
      </c>
      <c r="T1709" s="71" t="n">
        <v>78670.82000000001</v>
      </c>
      <c r="U1709" t="inlineStr">
        <is>
          <t>Low</t>
        </is>
      </c>
      <c r="V1709">
        <f>IF(AND(OR(Dashboard!$C$6="All",E1709=Dashboard!$C$6),OR(Dashboard!$F$6="All",G1709=Dashboard!$F$6),OR(Dashboard!$I$6="All",H1709=Dashboard!$I$6)),1,0)</f>
        <v/>
      </c>
    </row>
    <row r="1710">
      <c r="A1710" t="inlineStr">
        <is>
          <t>PF101701</t>
        </is>
      </c>
      <c r="B1710" s="68" t="n">
        <v>45864</v>
      </c>
      <c r="C1710" s="69" t="n">
        <v>2025</v>
      </c>
      <c r="D1710" t="inlineStr">
        <is>
          <t>Jul</t>
        </is>
      </c>
      <c r="E1710" t="inlineStr">
        <is>
          <t>United States</t>
        </is>
      </c>
      <c r="F1710" t="inlineStr">
        <is>
          <t>USA</t>
        </is>
      </c>
      <c r="G1710" t="inlineStr">
        <is>
          <t>Abrysvo</t>
        </is>
      </c>
      <c r="H1710" t="inlineStr">
        <is>
          <t>Government / tender</t>
        </is>
      </c>
      <c r="I1710" t="inlineStr">
        <is>
          <t>Public payer</t>
        </is>
      </c>
      <c r="J1710" t="inlineStr">
        <is>
          <t>Liam O'Brien</t>
        </is>
      </c>
      <c r="K1710" s="70" t="n">
        <v>967</v>
      </c>
      <c r="L1710" s="71" t="n">
        <v>452.91</v>
      </c>
      <c r="M1710" s="71" t="n">
        <v>437963.97</v>
      </c>
      <c r="N1710" s="71" t="n">
        <v>109490.99</v>
      </c>
      <c r="O1710" s="71" t="n">
        <v>328472.98</v>
      </c>
      <c r="P1710" s="71" t="n">
        <v>80712.11</v>
      </c>
      <c r="Q1710" s="71" t="n">
        <v>247760.87</v>
      </c>
      <c r="R1710" t="inlineStr">
        <is>
          <t>Vaccines</t>
        </is>
      </c>
      <c r="S1710" s="70" t="n">
        <v>827</v>
      </c>
      <c r="T1710" s="71" t="n">
        <v>64420.72</v>
      </c>
      <c r="U1710" t="inlineStr">
        <is>
          <t>Low</t>
        </is>
      </c>
      <c r="V1710">
        <f>IF(AND(OR(Dashboard!$C$6="All",E1710=Dashboard!$C$6),OR(Dashboard!$F$6="All",G1710=Dashboard!$F$6),OR(Dashboard!$I$6="All",H1710=Dashboard!$I$6)),1,0)</f>
        <v/>
      </c>
    </row>
    <row r="1711">
      <c r="A1711" t="inlineStr">
        <is>
          <t>PF101702</t>
        </is>
      </c>
      <c r="B1711" s="68" t="n">
        <v>45864</v>
      </c>
      <c r="C1711" s="69" t="n">
        <v>2025</v>
      </c>
      <c r="D1711" t="inlineStr">
        <is>
          <t>Jul</t>
        </is>
      </c>
      <c r="E1711" t="inlineStr">
        <is>
          <t>United States</t>
        </is>
      </c>
      <c r="F1711" t="inlineStr">
        <is>
          <t>USA</t>
        </is>
      </c>
      <c r="G1711" t="inlineStr">
        <is>
          <t>Eliquis</t>
        </is>
      </c>
      <c r="H1711" t="inlineStr">
        <is>
          <t>Retail pharmacy</t>
        </is>
      </c>
      <c r="I1711" t="inlineStr">
        <is>
          <t>Public payer</t>
        </is>
      </c>
      <c r="J1711" t="inlineStr">
        <is>
          <t>Arjun Mehta</t>
        </is>
      </c>
      <c r="K1711" s="70" t="n">
        <v>571</v>
      </c>
      <c r="L1711" s="71" t="n">
        <v>680.8200000000001</v>
      </c>
      <c r="M1711" s="71" t="n">
        <v>388748.22</v>
      </c>
      <c r="N1711" s="71" t="n">
        <v>77749.64</v>
      </c>
      <c r="O1711" s="71" t="n">
        <v>310998.58</v>
      </c>
      <c r="P1711" s="71" t="n">
        <v>42337.81</v>
      </c>
      <c r="Q1711" s="71" t="n">
        <v>268660.77</v>
      </c>
      <c r="R1711" t="inlineStr">
        <is>
          <t>Cardiology</t>
        </is>
      </c>
      <c r="S1711" s="70" t="n">
        <v>439</v>
      </c>
      <c r="T1711" s="71" t="n">
        <v>77108.17999999999</v>
      </c>
      <c r="U1711" t="inlineStr">
        <is>
          <t>High</t>
        </is>
      </c>
      <c r="V1711">
        <f>IF(AND(OR(Dashboard!$C$6="All",E1711=Dashboard!$C$6),OR(Dashboard!$F$6="All",G1711=Dashboard!$F$6),OR(Dashboard!$I$6="All",H1711=Dashboard!$I$6)),1,0)</f>
        <v/>
      </c>
    </row>
    <row r="1712">
      <c r="A1712" t="inlineStr">
        <is>
          <t>PF101703</t>
        </is>
      </c>
      <c r="B1712" s="68" t="n">
        <v>45864</v>
      </c>
      <c r="C1712" s="69" t="n">
        <v>2025</v>
      </c>
      <c r="D1712" t="inlineStr">
        <is>
          <t>Jul</t>
        </is>
      </c>
      <c r="E1712" t="inlineStr">
        <is>
          <t>United States</t>
        </is>
      </c>
      <c r="F1712" t="inlineStr">
        <is>
          <t>USA</t>
        </is>
      </c>
      <c r="G1712" t="inlineStr">
        <is>
          <t>Ibrance</t>
        </is>
      </c>
      <c r="H1712" t="inlineStr">
        <is>
          <t>Retail pharmacy</t>
        </is>
      </c>
      <c r="I1712" t="inlineStr">
        <is>
          <t>Private insurer</t>
        </is>
      </c>
      <c r="J1712" t="inlineStr">
        <is>
          <t>Ruhi Shaikh</t>
        </is>
      </c>
      <c r="K1712" s="70" t="n">
        <v>1602</v>
      </c>
      <c r="L1712" s="71" t="n">
        <v>4364.1</v>
      </c>
      <c r="M1712" s="71" t="n">
        <v>6991288.2</v>
      </c>
      <c r="N1712" s="71" t="n">
        <v>1048693.23</v>
      </c>
      <c r="O1712" s="71" t="n">
        <v>5942594.97</v>
      </c>
      <c r="P1712" s="71" t="n">
        <v>710375.33</v>
      </c>
      <c r="Q1712" s="71" t="n">
        <v>5232219.64</v>
      </c>
      <c r="R1712" t="inlineStr">
        <is>
          <t>Oncology</t>
        </is>
      </c>
      <c r="S1712" s="70" t="n">
        <v>1078</v>
      </c>
      <c r="T1712" s="71" t="n">
        <v>1225294.79</v>
      </c>
      <c r="U1712" t="inlineStr">
        <is>
          <t>High</t>
        </is>
      </c>
      <c r="V1712">
        <f>IF(AND(OR(Dashboard!$C$6="All",E1712=Dashboard!$C$6),OR(Dashboard!$F$6="All",G1712=Dashboard!$F$6),OR(Dashboard!$I$6="All",H1712=Dashboard!$I$6)),1,0)</f>
        <v/>
      </c>
    </row>
    <row r="1713">
      <c r="A1713" t="inlineStr">
        <is>
          <t>PF101704</t>
        </is>
      </c>
      <c r="B1713" s="68" t="n">
        <v>45864</v>
      </c>
      <c r="C1713" s="69" t="n">
        <v>2025</v>
      </c>
      <c r="D1713" t="inlineStr">
        <is>
          <t>Jul</t>
        </is>
      </c>
      <c r="E1713" t="inlineStr">
        <is>
          <t>United States</t>
        </is>
      </c>
      <c r="F1713" t="inlineStr">
        <is>
          <t>USA</t>
        </is>
      </c>
      <c r="G1713" t="inlineStr">
        <is>
          <t>Xeljanz</t>
        </is>
      </c>
      <c r="H1713" t="inlineStr">
        <is>
          <t>Hospital</t>
        </is>
      </c>
      <c r="I1713" t="inlineStr">
        <is>
          <t>Public payer</t>
        </is>
      </c>
      <c r="J1713" t="inlineStr">
        <is>
          <t>Noah Smith</t>
        </is>
      </c>
      <c r="K1713" s="70" t="n">
        <v>1889</v>
      </c>
      <c r="L1713" s="71" t="n">
        <v>2404.21</v>
      </c>
      <c r="M1713" s="71" t="n">
        <v>4541552.69</v>
      </c>
      <c r="N1713" s="71" t="n">
        <v>681232.9</v>
      </c>
      <c r="O1713" s="71" t="n">
        <v>3860319.79</v>
      </c>
      <c r="P1713" s="71" t="n">
        <v>487931.57</v>
      </c>
      <c r="Q1713" s="71" t="n">
        <v>3372388.22</v>
      </c>
      <c r="R1713" t="inlineStr">
        <is>
          <t>Inflammation</t>
        </is>
      </c>
      <c r="S1713" s="70" t="n">
        <v>1632</v>
      </c>
      <c r="T1713" s="71" t="n">
        <v>634261.46</v>
      </c>
      <c r="U1713" t="inlineStr">
        <is>
          <t>High</t>
        </is>
      </c>
      <c r="V1713">
        <f>IF(AND(OR(Dashboard!$C$6="All",E1713=Dashboard!$C$6),OR(Dashboard!$F$6="All",G1713=Dashboard!$F$6),OR(Dashboard!$I$6="All",H1713=Dashboard!$I$6)),1,0)</f>
        <v/>
      </c>
    </row>
    <row r="1714">
      <c r="A1714" t="inlineStr">
        <is>
          <t>PF101705</t>
        </is>
      </c>
      <c r="B1714" s="68" t="n">
        <v>45865</v>
      </c>
      <c r="C1714" s="69" t="n">
        <v>2025</v>
      </c>
      <c r="D1714" t="inlineStr">
        <is>
          <t>Jul</t>
        </is>
      </c>
      <c r="E1714" t="inlineStr">
        <is>
          <t>Europe</t>
        </is>
      </c>
      <c r="F1714" t="inlineStr">
        <is>
          <t>Germany</t>
        </is>
      </c>
      <c r="G1714" t="inlineStr">
        <is>
          <t>Xeljanz</t>
        </is>
      </c>
      <c r="H1714" t="inlineStr">
        <is>
          <t>Retail pharmacy</t>
        </is>
      </c>
      <c r="I1714" t="inlineStr">
        <is>
          <t>Public payer</t>
        </is>
      </c>
      <c r="J1714" t="inlineStr">
        <is>
          <t>Ruhi Shaikh</t>
        </is>
      </c>
      <c r="K1714" s="70" t="n">
        <v>1551</v>
      </c>
      <c r="L1714" s="71" t="n">
        <v>1364.18</v>
      </c>
      <c r="M1714" s="71" t="n">
        <v>2115843.18</v>
      </c>
      <c r="N1714" s="71" t="n">
        <v>211584.32</v>
      </c>
      <c r="O1714" s="71" t="n">
        <v>1904258.86</v>
      </c>
      <c r="P1714" s="71" t="n">
        <v>398880.94</v>
      </c>
      <c r="Q1714" s="71" t="n">
        <v>1505377.92</v>
      </c>
      <c r="R1714" t="inlineStr">
        <is>
          <t>Inflammation</t>
        </is>
      </c>
      <c r="S1714" s="70" t="n">
        <v>1132</v>
      </c>
      <c r="T1714" s="71" t="n">
        <v>285218.6</v>
      </c>
      <c r="U1714" t="inlineStr">
        <is>
          <t>High</t>
        </is>
      </c>
      <c r="V1714">
        <f>IF(AND(OR(Dashboard!$C$6="All",E1714=Dashboard!$C$6),OR(Dashboard!$F$6="All",G1714=Dashboard!$F$6),OR(Dashboard!$I$6="All",H1714=Dashboard!$I$6)),1,0)</f>
        <v/>
      </c>
    </row>
    <row r="1715">
      <c r="A1715" t="inlineStr">
        <is>
          <t>PF101706</t>
        </is>
      </c>
      <c r="B1715" s="68" t="n">
        <v>45865</v>
      </c>
      <c r="C1715" s="69" t="n">
        <v>2025</v>
      </c>
      <c r="D1715" t="inlineStr">
        <is>
          <t>Jul</t>
        </is>
      </c>
      <c r="E1715" t="inlineStr">
        <is>
          <t>United States</t>
        </is>
      </c>
      <c r="F1715" t="inlineStr">
        <is>
          <t>USA</t>
        </is>
      </c>
      <c r="G1715" t="inlineStr">
        <is>
          <t>Prevnar 20</t>
        </is>
      </c>
      <c r="H1715" t="inlineStr">
        <is>
          <t>Retail pharmacy</t>
        </is>
      </c>
      <c r="I1715" t="inlineStr">
        <is>
          <t>Private insurer</t>
        </is>
      </c>
      <c r="J1715" t="inlineStr">
        <is>
          <t>Wei Chen</t>
        </is>
      </c>
      <c r="K1715" s="70" t="n">
        <v>2784</v>
      </c>
      <c r="L1715" s="71" t="n">
        <v>354.14</v>
      </c>
      <c r="M1715" s="71" t="n">
        <v>985925.76</v>
      </c>
      <c r="N1715" s="71" t="n">
        <v>197185.15</v>
      </c>
      <c r="O1715" s="71" t="n">
        <v>788740.61</v>
      </c>
      <c r="P1715" s="71" t="n">
        <v>189040.89</v>
      </c>
      <c r="Q1715" s="71" t="n">
        <v>599699.72</v>
      </c>
      <c r="R1715" t="inlineStr">
        <is>
          <t>Vaccines</t>
        </is>
      </c>
      <c r="S1715" s="70" t="n">
        <v>2117</v>
      </c>
      <c r="T1715" s="71" t="n">
        <v>148358.38</v>
      </c>
      <c r="U1715" t="inlineStr">
        <is>
          <t>Low</t>
        </is>
      </c>
      <c r="V1715">
        <f>IF(AND(OR(Dashboard!$C$6="All",E1715=Dashboard!$C$6),OR(Dashboard!$F$6="All",G1715=Dashboard!$F$6),OR(Dashboard!$I$6="All",H1715=Dashboard!$I$6)),1,0)</f>
        <v/>
      </c>
    </row>
    <row r="1716">
      <c r="A1716" t="inlineStr">
        <is>
          <t>PF101707</t>
        </is>
      </c>
      <c r="B1716" s="68" t="n">
        <v>45865</v>
      </c>
      <c r="C1716" s="69" t="n">
        <v>2025</v>
      </c>
      <c r="D1716" t="inlineStr">
        <is>
          <t>Jul</t>
        </is>
      </c>
      <c r="E1716" t="inlineStr">
        <is>
          <t>International developed</t>
        </is>
      </c>
      <c r="F1716" t="inlineStr">
        <is>
          <t>Australia</t>
        </is>
      </c>
      <c r="G1716" t="inlineStr">
        <is>
          <t>Comirnaty</t>
        </is>
      </c>
      <c r="H1716" t="inlineStr">
        <is>
          <t>Government / tender</t>
        </is>
      </c>
      <c r="I1716" t="inlineStr">
        <is>
          <t>Public payer</t>
        </is>
      </c>
      <c r="J1716" t="inlineStr">
        <is>
          <t>Shraddha Kulkarni</t>
        </is>
      </c>
      <c r="K1716" s="70" t="n">
        <v>1661</v>
      </c>
      <c r="L1716" s="71" t="n">
        <v>101.24</v>
      </c>
      <c r="M1716" s="71" t="n">
        <v>168159.64</v>
      </c>
      <c r="N1716" s="71" t="n">
        <v>8407.98</v>
      </c>
      <c r="O1716" s="71" t="n">
        <v>159751.66</v>
      </c>
      <c r="P1716" s="71" t="n">
        <v>62441.17</v>
      </c>
      <c r="Q1716" s="71" t="n">
        <v>97310.49000000001</v>
      </c>
      <c r="R1716" t="inlineStr">
        <is>
          <t>Vaccines</t>
        </is>
      </c>
      <c r="S1716" s="70" t="n">
        <v>1230</v>
      </c>
      <c r="T1716" s="71" t="n">
        <v>23037.42</v>
      </c>
      <c r="U1716" t="inlineStr">
        <is>
          <t>Low</t>
        </is>
      </c>
      <c r="V1716">
        <f>IF(AND(OR(Dashboard!$C$6="All",E1716=Dashboard!$C$6),OR(Dashboard!$F$6="All",G1716=Dashboard!$F$6),OR(Dashboard!$I$6="All",H1716=Dashboard!$I$6)),1,0)</f>
        <v/>
      </c>
    </row>
    <row r="1717">
      <c r="A1717" t="inlineStr">
        <is>
          <t>PF101708</t>
        </is>
      </c>
      <c r="B1717" s="68" t="n">
        <v>45865</v>
      </c>
      <c r="C1717" s="69" t="n">
        <v>2025</v>
      </c>
      <c r="D1717" t="inlineStr">
        <is>
          <t>Jul</t>
        </is>
      </c>
      <c r="E1717" t="inlineStr">
        <is>
          <t>International developed</t>
        </is>
      </c>
      <c r="F1717" t="inlineStr">
        <is>
          <t>Canada</t>
        </is>
      </c>
      <c r="G1717" t="inlineStr">
        <is>
          <t>Xeljanz</t>
        </is>
      </c>
      <c r="H1717" t="inlineStr">
        <is>
          <t>Retail pharmacy</t>
        </is>
      </c>
      <c r="I1717" t="inlineStr">
        <is>
          <t>Public payer</t>
        </is>
      </c>
      <c r="J1717" t="inlineStr">
        <is>
          <t>Zoya Ahmed</t>
        </is>
      </c>
      <c r="K1717" s="70" t="n">
        <v>1830</v>
      </c>
      <c r="L1717" s="71" t="n">
        <v>1303.98</v>
      </c>
      <c r="M1717" s="71" t="n">
        <v>2386283.4</v>
      </c>
      <c r="N1717" s="71" t="n">
        <v>477256.68</v>
      </c>
      <c r="O1717" s="71" t="n">
        <v>1909026.72</v>
      </c>
      <c r="P1717" s="71" t="n">
        <v>449640.27</v>
      </c>
      <c r="Q1717" s="71" t="n">
        <v>1459386.45</v>
      </c>
      <c r="R1717" t="inlineStr">
        <is>
          <t>Inflammation</t>
        </is>
      </c>
      <c r="S1717" s="70" t="n">
        <v>1740</v>
      </c>
      <c r="T1717" s="71" t="n">
        <v>376341.64</v>
      </c>
      <c r="U1717" t="inlineStr">
        <is>
          <t>High</t>
        </is>
      </c>
      <c r="V1717">
        <f>IF(AND(OR(Dashboard!$C$6="All",E1717=Dashboard!$C$6),OR(Dashboard!$F$6="All",G1717=Dashboard!$F$6),OR(Dashboard!$I$6="All",H1717=Dashboard!$I$6)),1,0)</f>
        <v/>
      </c>
    </row>
    <row r="1718">
      <c r="A1718" t="inlineStr">
        <is>
          <t>PF101709</t>
        </is>
      </c>
      <c r="B1718" s="68" t="n">
        <v>45865</v>
      </c>
      <c r="C1718" s="69" t="n">
        <v>2025</v>
      </c>
      <c r="D1718" t="inlineStr">
        <is>
          <t>Jul</t>
        </is>
      </c>
      <c r="E1718" t="inlineStr">
        <is>
          <t>United States</t>
        </is>
      </c>
      <c r="F1718" t="inlineStr">
        <is>
          <t>USA</t>
        </is>
      </c>
      <c r="G1718" t="inlineStr">
        <is>
          <t>Abrysvo</t>
        </is>
      </c>
      <c r="H1718" t="inlineStr">
        <is>
          <t>Hospital</t>
        </is>
      </c>
      <c r="I1718" t="inlineStr">
        <is>
          <t>Public payer</t>
        </is>
      </c>
      <c r="J1718" t="inlineStr">
        <is>
          <t>Lucas Martin</t>
        </is>
      </c>
      <c r="K1718" s="70" t="n">
        <v>2436</v>
      </c>
      <c r="L1718" s="71" t="n">
        <v>447.39</v>
      </c>
      <c r="M1718" s="71" t="n">
        <v>1089842.04</v>
      </c>
      <c r="N1718" s="71" t="n">
        <v>381444.71</v>
      </c>
      <c r="O1718" s="71" t="n">
        <v>708397.33</v>
      </c>
      <c r="P1718" s="71" t="n">
        <v>210271.25</v>
      </c>
      <c r="Q1718" s="71" t="n">
        <v>498126.08</v>
      </c>
      <c r="R1718" t="inlineStr">
        <is>
          <t>Vaccines</t>
        </is>
      </c>
      <c r="S1718" s="70" t="n">
        <v>1968</v>
      </c>
      <c r="T1718" s="71" t="n">
        <v>143018</v>
      </c>
      <c r="U1718" t="inlineStr">
        <is>
          <t>Low</t>
        </is>
      </c>
      <c r="V1718">
        <f>IF(AND(OR(Dashboard!$C$6="All",E1718=Dashboard!$C$6),OR(Dashboard!$F$6="All",G1718=Dashboard!$F$6),OR(Dashboard!$I$6="All",H1718=Dashboard!$I$6)),1,0)</f>
        <v/>
      </c>
    </row>
    <row r="1719">
      <c r="A1719" t="inlineStr">
        <is>
          <t>PF101710</t>
        </is>
      </c>
      <c r="B1719" s="68" t="n">
        <v>45865</v>
      </c>
      <c r="C1719" s="69" t="n">
        <v>2025</v>
      </c>
      <c r="D1719" t="inlineStr">
        <is>
          <t>Jul</t>
        </is>
      </c>
      <c r="E1719" t="inlineStr">
        <is>
          <t>United States</t>
        </is>
      </c>
      <c r="F1719" t="inlineStr">
        <is>
          <t>USA</t>
        </is>
      </c>
      <c r="G1719" t="inlineStr">
        <is>
          <t>Prevnar 20</t>
        </is>
      </c>
      <c r="H1719" t="inlineStr">
        <is>
          <t>Retail pharmacy</t>
        </is>
      </c>
      <c r="I1719" t="inlineStr">
        <is>
          <t>Public payer</t>
        </is>
      </c>
      <c r="J1719" t="inlineStr">
        <is>
          <t>Noah Smith</t>
        </is>
      </c>
      <c r="K1719" s="70" t="n">
        <v>186</v>
      </c>
      <c r="L1719" s="71" t="n">
        <v>351.01</v>
      </c>
      <c r="M1719" s="71" t="n">
        <v>65287.86</v>
      </c>
      <c r="N1719" s="71" t="n">
        <v>22850.75</v>
      </c>
      <c r="O1719" s="71" t="n">
        <v>42437.11</v>
      </c>
      <c r="P1719" s="71" t="n">
        <v>12337.12</v>
      </c>
      <c r="Q1719" s="71" t="n">
        <v>30099.99</v>
      </c>
      <c r="R1719" t="inlineStr">
        <is>
          <t>Vaccines</t>
        </is>
      </c>
      <c r="S1719" s="70" t="n">
        <v>161</v>
      </c>
      <c r="T1719" s="71" t="n">
        <v>10810.61</v>
      </c>
      <c r="U1719" t="inlineStr">
        <is>
          <t>Low</t>
        </is>
      </c>
      <c r="V1719">
        <f>IF(AND(OR(Dashboard!$C$6="All",E1719=Dashboard!$C$6),OR(Dashboard!$F$6="All",G1719=Dashboard!$F$6),OR(Dashboard!$I$6="All",H1719=Dashboard!$I$6)),1,0)</f>
        <v/>
      </c>
    </row>
    <row r="1720">
      <c r="A1720" t="inlineStr">
        <is>
          <t>PF101711</t>
        </is>
      </c>
      <c r="B1720" s="68" t="n">
        <v>45865</v>
      </c>
      <c r="C1720" s="69" t="n">
        <v>2025</v>
      </c>
      <c r="D1720" t="inlineStr">
        <is>
          <t>Jul</t>
        </is>
      </c>
      <c r="E1720" t="inlineStr">
        <is>
          <t>Emerging markets</t>
        </is>
      </c>
      <c r="F1720" t="inlineStr">
        <is>
          <t>China</t>
        </is>
      </c>
      <c r="G1720" t="inlineStr">
        <is>
          <t>Comirnaty</t>
        </is>
      </c>
      <c r="H1720" t="inlineStr">
        <is>
          <t>Government / tender</t>
        </is>
      </c>
      <c r="I1720" t="inlineStr">
        <is>
          <t>Private insurer</t>
        </is>
      </c>
      <c r="J1720" t="inlineStr">
        <is>
          <t>Ravindra Patil</t>
        </is>
      </c>
      <c r="K1720" s="70" t="n">
        <v>1654</v>
      </c>
      <c r="L1720" s="71" t="n">
        <v>110.9</v>
      </c>
      <c r="M1720" s="71" t="n">
        <v>183428.6</v>
      </c>
      <c r="N1720" s="71" t="n">
        <v>18342.86</v>
      </c>
      <c r="O1720" s="71" t="n">
        <v>165085.74</v>
      </c>
      <c r="P1720" s="71" t="n">
        <v>65736.52</v>
      </c>
      <c r="Q1720" s="71" t="n">
        <v>99349.22</v>
      </c>
      <c r="R1720" t="inlineStr">
        <is>
          <t>Vaccines</t>
        </is>
      </c>
      <c r="S1720" s="70" t="n">
        <v>1531</v>
      </c>
      <c r="T1720" s="71" t="n">
        <v>27479.27</v>
      </c>
      <c r="U1720" t="inlineStr">
        <is>
          <t>Low</t>
        </is>
      </c>
      <c r="V1720">
        <f>IF(AND(OR(Dashboard!$C$6="All",E1720=Dashboard!$C$6),OR(Dashboard!$F$6="All",G1720=Dashboard!$F$6),OR(Dashboard!$I$6="All",H1720=Dashboard!$I$6)),1,0)</f>
        <v/>
      </c>
    </row>
    <row r="1721">
      <c r="A1721" t="inlineStr">
        <is>
          <t>PF101712</t>
        </is>
      </c>
      <c r="B1721" s="68" t="n">
        <v>45866</v>
      </c>
      <c r="C1721" s="69" t="n">
        <v>2025</v>
      </c>
      <c r="D1721" t="inlineStr">
        <is>
          <t>Jul</t>
        </is>
      </c>
      <c r="E1721" t="inlineStr">
        <is>
          <t>United States</t>
        </is>
      </c>
      <c r="F1721" t="inlineStr">
        <is>
          <t>USA</t>
        </is>
      </c>
      <c r="G1721" t="inlineStr">
        <is>
          <t>Eliquis</t>
        </is>
      </c>
      <c r="H1721" t="inlineStr">
        <is>
          <t>Retail pharmacy</t>
        </is>
      </c>
      <c r="I1721" t="inlineStr">
        <is>
          <t>Private insurer</t>
        </is>
      </c>
      <c r="J1721" t="inlineStr">
        <is>
          <t>Omar Haddad</t>
        </is>
      </c>
      <c r="K1721" s="70" t="n">
        <v>1321</v>
      </c>
      <c r="L1721" s="71" t="n">
        <v>675.01</v>
      </c>
      <c r="M1721" s="71" t="n">
        <v>891688.21</v>
      </c>
      <c r="N1721" s="71" t="n">
        <v>222922.05</v>
      </c>
      <c r="O1721" s="71" t="n">
        <v>668766.16</v>
      </c>
      <c r="P1721" s="71" t="n">
        <v>96436.7</v>
      </c>
      <c r="Q1721" s="71" t="n">
        <v>572329.46</v>
      </c>
      <c r="R1721" t="inlineStr">
        <is>
          <t>Cardiology</t>
        </is>
      </c>
      <c r="S1721" s="70" t="n">
        <v>1120</v>
      </c>
      <c r="T1721" s="71" t="n">
        <v>178703.38</v>
      </c>
      <c r="U1721" t="inlineStr">
        <is>
          <t>High</t>
        </is>
      </c>
      <c r="V1721">
        <f>IF(AND(OR(Dashboard!$C$6="All",E1721=Dashboard!$C$6),OR(Dashboard!$F$6="All",G1721=Dashboard!$F$6),OR(Dashboard!$I$6="All",H1721=Dashboard!$I$6)),1,0)</f>
        <v/>
      </c>
    </row>
    <row r="1722">
      <c r="A1722" t="inlineStr">
        <is>
          <t>PF101713</t>
        </is>
      </c>
      <c r="B1722" s="68" t="n">
        <v>45866</v>
      </c>
      <c r="C1722" s="69" t="n">
        <v>2025</v>
      </c>
      <c r="D1722" t="inlineStr">
        <is>
          <t>Jul</t>
        </is>
      </c>
      <c r="E1722" t="inlineStr">
        <is>
          <t>United States</t>
        </is>
      </c>
      <c r="F1722" t="inlineStr">
        <is>
          <t>USA</t>
        </is>
      </c>
      <c r="G1722" t="inlineStr">
        <is>
          <t>Abrysvo</t>
        </is>
      </c>
      <c r="H1722" t="inlineStr">
        <is>
          <t>Retail pharmacy</t>
        </is>
      </c>
      <c r="I1722" t="inlineStr">
        <is>
          <t>Private insurer</t>
        </is>
      </c>
      <c r="J1722" t="inlineStr">
        <is>
          <t>Carlos Silva</t>
        </is>
      </c>
      <c r="K1722" s="70" t="n">
        <v>1888</v>
      </c>
      <c r="L1722" s="71" t="n">
        <v>412.7</v>
      </c>
      <c r="M1722" s="71" t="n">
        <v>779177.6</v>
      </c>
      <c r="N1722" s="71" t="n">
        <v>233753.28</v>
      </c>
      <c r="O1722" s="71" t="n">
        <v>545424.3199999999</v>
      </c>
      <c r="P1722" s="71" t="n">
        <v>160518.52</v>
      </c>
      <c r="Q1722" s="71" t="n">
        <v>384905.8</v>
      </c>
      <c r="R1722" t="inlineStr">
        <is>
          <t>Vaccines</t>
        </is>
      </c>
      <c r="S1722" s="70" t="n">
        <v>1211</v>
      </c>
      <c r="T1722" s="71" t="n">
        <v>120529.81</v>
      </c>
      <c r="U1722" t="inlineStr">
        <is>
          <t>Low</t>
        </is>
      </c>
      <c r="V1722">
        <f>IF(AND(OR(Dashboard!$C$6="All",E1722=Dashboard!$C$6),OR(Dashboard!$F$6="All",G1722=Dashboard!$F$6),OR(Dashboard!$I$6="All",H1722=Dashboard!$I$6)),1,0)</f>
        <v/>
      </c>
    </row>
    <row r="1723">
      <c r="A1723" t="inlineStr">
        <is>
          <t>PF101714</t>
        </is>
      </c>
      <c r="B1723" s="68" t="n">
        <v>45866</v>
      </c>
      <c r="C1723" s="69" t="n">
        <v>2025</v>
      </c>
      <c r="D1723" t="inlineStr">
        <is>
          <t>Jul</t>
        </is>
      </c>
      <c r="E1723" t="inlineStr">
        <is>
          <t>United States</t>
        </is>
      </c>
      <c r="F1723" t="inlineStr">
        <is>
          <t>USA</t>
        </is>
      </c>
      <c r="G1723" t="inlineStr">
        <is>
          <t>Eliquis</t>
        </is>
      </c>
      <c r="H1723" t="inlineStr">
        <is>
          <t>Retail pharmacy</t>
        </is>
      </c>
      <c r="I1723" t="inlineStr">
        <is>
          <t>Public payer</t>
        </is>
      </c>
      <c r="J1723" t="inlineStr">
        <is>
          <t>Yuki Sato</t>
        </is>
      </c>
      <c r="K1723" s="70" t="n">
        <v>3013</v>
      </c>
      <c r="L1723" s="71" t="n">
        <v>621.58</v>
      </c>
      <c r="M1723" s="71" t="n">
        <v>1872820.54</v>
      </c>
      <c r="N1723" s="71" t="n">
        <v>561846.16</v>
      </c>
      <c r="O1723" s="71" t="n">
        <v>1310974.38</v>
      </c>
      <c r="P1723" s="71" t="n">
        <v>232011.21</v>
      </c>
      <c r="Q1723" s="71" t="n">
        <v>1078963.17</v>
      </c>
      <c r="R1723" t="inlineStr">
        <is>
          <t>Cardiology</t>
        </is>
      </c>
      <c r="S1723" s="70" t="n">
        <v>2782</v>
      </c>
      <c r="T1723" s="71" t="n">
        <v>240456.6</v>
      </c>
      <c r="U1723" t="inlineStr">
        <is>
          <t>High</t>
        </is>
      </c>
      <c r="V1723">
        <f>IF(AND(OR(Dashboard!$C$6="All",E1723=Dashboard!$C$6),OR(Dashboard!$F$6="All",G1723=Dashboard!$F$6),OR(Dashboard!$I$6="All",H1723=Dashboard!$I$6)),1,0)</f>
        <v/>
      </c>
    </row>
    <row r="1724">
      <c r="A1724" t="inlineStr">
        <is>
          <t>PF101715</t>
        </is>
      </c>
      <c r="B1724" s="68" t="n">
        <v>45866</v>
      </c>
      <c r="C1724" s="69" t="n">
        <v>2025</v>
      </c>
      <c r="D1724" t="inlineStr">
        <is>
          <t>Jul</t>
        </is>
      </c>
      <c r="E1724" t="inlineStr">
        <is>
          <t>Emerging markets</t>
        </is>
      </c>
      <c r="F1724" t="inlineStr">
        <is>
          <t>Mexico</t>
        </is>
      </c>
      <c r="G1724" t="inlineStr">
        <is>
          <t>Vyndaqel</t>
        </is>
      </c>
      <c r="H1724" t="inlineStr">
        <is>
          <t>Retail pharmacy</t>
        </is>
      </c>
      <c r="I1724" t="inlineStr">
        <is>
          <t>Private insurer</t>
        </is>
      </c>
      <c r="J1724" t="inlineStr">
        <is>
          <t>Noah Smith</t>
        </is>
      </c>
      <c r="K1724" s="70" t="n">
        <v>159</v>
      </c>
      <c r="L1724" s="71" t="n">
        <v>5576.59</v>
      </c>
      <c r="M1724" s="71" t="n">
        <v>886677.8100000001</v>
      </c>
      <c r="N1724" s="71" t="n">
        <v>177335.56</v>
      </c>
      <c r="O1724" s="71" t="n">
        <v>709342.25</v>
      </c>
      <c r="P1724" s="71" t="n">
        <v>97711.67999999999</v>
      </c>
      <c r="Q1724" s="71" t="n">
        <v>611630.5699999999</v>
      </c>
      <c r="R1724" t="inlineStr">
        <is>
          <t>Rare disease</t>
        </is>
      </c>
      <c r="S1724" s="70" t="n">
        <v>150</v>
      </c>
      <c r="T1724" s="71" t="n">
        <v>156128.62</v>
      </c>
      <c r="U1724" t="inlineStr">
        <is>
          <t>Medium</t>
        </is>
      </c>
      <c r="V1724">
        <f>IF(AND(OR(Dashboard!$C$6="All",E1724=Dashboard!$C$6),OR(Dashboard!$F$6="All",G1724=Dashboard!$F$6),OR(Dashboard!$I$6="All",H1724=Dashboard!$I$6)),1,0)</f>
        <v/>
      </c>
    </row>
    <row r="1725">
      <c r="A1725" t="inlineStr">
        <is>
          <t>PF101716</t>
        </is>
      </c>
      <c r="B1725" s="68" t="n">
        <v>45866</v>
      </c>
      <c r="C1725" s="69" t="n">
        <v>2025</v>
      </c>
      <c r="D1725" t="inlineStr">
        <is>
          <t>Jul</t>
        </is>
      </c>
      <c r="E1725" t="inlineStr">
        <is>
          <t>United States</t>
        </is>
      </c>
      <c r="F1725" t="inlineStr">
        <is>
          <t>USA</t>
        </is>
      </c>
      <c r="G1725" t="inlineStr">
        <is>
          <t>Eliquis</t>
        </is>
      </c>
      <c r="H1725" t="inlineStr">
        <is>
          <t>Hospital</t>
        </is>
      </c>
      <c r="I1725" t="inlineStr">
        <is>
          <t>Public payer</t>
        </is>
      </c>
      <c r="J1725" t="inlineStr">
        <is>
          <t>Kofi Mensah</t>
        </is>
      </c>
      <c r="K1725" s="70" t="n">
        <v>566</v>
      </c>
      <c r="L1725" s="71" t="n">
        <v>684.38</v>
      </c>
      <c r="M1725" s="71" t="n">
        <v>387359.08</v>
      </c>
      <c r="N1725" s="71" t="n">
        <v>77471.82000000001</v>
      </c>
      <c r="O1725" s="71" t="n">
        <v>309887.26</v>
      </c>
      <c r="P1725" s="71" t="n">
        <v>42248.17</v>
      </c>
      <c r="Q1725" s="71" t="n">
        <v>267639.09</v>
      </c>
      <c r="R1725" t="inlineStr">
        <is>
          <t>Cardiology</t>
        </is>
      </c>
      <c r="S1725" s="70" t="n">
        <v>534</v>
      </c>
      <c r="T1725" s="71" t="n">
        <v>57004.62</v>
      </c>
      <c r="U1725" t="inlineStr">
        <is>
          <t>High</t>
        </is>
      </c>
      <c r="V1725">
        <f>IF(AND(OR(Dashboard!$C$6="All",E1725=Dashboard!$C$6),OR(Dashboard!$F$6="All",G1725=Dashboard!$F$6),OR(Dashboard!$I$6="All",H1725=Dashboard!$I$6)),1,0)</f>
        <v/>
      </c>
    </row>
    <row r="1726">
      <c r="A1726" t="inlineStr">
        <is>
          <t>PF101717</t>
        </is>
      </c>
      <c r="B1726" s="68" t="n">
        <v>45866</v>
      </c>
      <c r="C1726" s="69" t="n">
        <v>2025</v>
      </c>
      <c r="D1726" t="inlineStr">
        <is>
          <t>Jul</t>
        </is>
      </c>
      <c r="E1726" t="inlineStr">
        <is>
          <t>United States</t>
        </is>
      </c>
      <c r="F1726" t="inlineStr">
        <is>
          <t>USA</t>
        </is>
      </c>
      <c r="G1726" t="inlineStr">
        <is>
          <t>Eliquis</t>
        </is>
      </c>
      <c r="H1726" t="inlineStr">
        <is>
          <t>Hospital</t>
        </is>
      </c>
      <c r="I1726" t="inlineStr">
        <is>
          <t>Self-pay</t>
        </is>
      </c>
      <c r="J1726" t="inlineStr">
        <is>
          <t>Wei Chen</t>
        </is>
      </c>
      <c r="K1726" s="70" t="n">
        <v>2247</v>
      </c>
      <c r="L1726" s="71" t="n">
        <v>716.1799999999999</v>
      </c>
      <c r="M1726" s="71" t="n">
        <v>1609256.46</v>
      </c>
      <c r="N1726" s="71" t="n">
        <v>241388.47</v>
      </c>
      <c r="O1726" s="71" t="n">
        <v>1367867.99</v>
      </c>
      <c r="P1726" s="71" t="n">
        <v>171213.32</v>
      </c>
      <c r="Q1726" s="71" t="n">
        <v>1196654.67</v>
      </c>
      <c r="R1726" t="inlineStr">
        <is>
          <t>Cardiology</t>
        </is>
      </c>
      <c r="S1726" s="70" t="n">
        <v>1572</v>
      </c>
      <c r="T1726" s="71" t="n">
        <v>325346.58</v>
      </c>
      <c r="U1726" t="inlineStr">
        <is>
          <t>High</t>
        </is>
      </c>
      <c r="V1726">
        <f>IF(AND(OR(Dashboard!$C$6="All",E1726=Dashboard!$C$6),OR(Dashboard!$F$6="All",G1726=Dashboard!$F$6),OR(Dashboard!$I$6="All",H1726=Dashboard!$I$6)),1,0)</f>
        <v/>
      </c>
    </row>
    <row r="1727">
      <c r="A1727" t="inlineStr">
        <is>
          <t>PF101718</t>
        </is>
      </c>
      <c r="B1727" s="68" t="n">
        <v>45866</v>
      </c>
      <c r="C1727" s="69" t="n">
        <v>2025</v>
      </c>
      <c r="D1727" t="inlineStr">
        <is>
          <t>Jul</t>
        </is>
      </c>
      <c r="E1727" t="inlineStr">
        <is>
          <t>United States</t>
        </is>
      </c>
      <c r="F1727" t="inlineStr">
        <is>
          <t>USA</t>
        </is>
      </c>
      <c r="G1727" t="inlineStr">
        <is>
          <t>Ibrance</t>
        </is>
      </c>
      <c r="H1727" t="inlineStr">
        <is>
          <t>Hospital</t>
        </is>
      </c>
      <c r="I1727" t="inlineStr">
        <is>
          <t>Private insurer</t>
        </is>
      </c>
      <c r="J1727" t="inlineStr">
        <is>
          <t>Liam O'Brien</t>
        </is>
      </c>
      <c r="K1727" s="70" t="n">
        <v>691</v>
      </c>
      <c r="L1727" s="71" t="n">
        <v>4284.64</v>
      </c>
      <c r="M1727" s="71" t="n">
        <v>2960686.24</v>
      </c>
      <c r="N1727" s="71" t="n">
        <v>592137.25</v>
      </c>
      <c r="O1727" s="71" t="n">
        <v>2368548.99</v>
      </c>
      <c r="P1727" s="71" t="n">
        <v>304848.52</v>
      </c>
      <c r="Q1727" s="71" t="n">
        <v>2063700.47</v>
      </c>
      <c r="R1727" t="inlineStr">
        <is>
          <t>Oncology</t>
        </is>
      </c>
      <c r="S1727" s="70" t="n">
        <v>460</v>
      </c>
      <c r="T1727" s="71" t="n">
        <v>516103.57</v>
      </c>
      <c r="U1727" t="inlineStr">
        <is>
          <t>High</t>
        </is>
      </c>
      <c r="V1727">
        <f>IF(AND(OR(Dashboard!$C$6="All",E1727=Dashboard!$C$6),OR(Dashboard!$F$6="All",G1727=Dashboard!$F$6),OR(Dashboard!$I$6="All",H1727=Dashboard!$I$6)),1,0)</f>
        <v/>
      </c>
    </row>
    <row r="1728">
      <c r="A1728" t="inlineStr">
        <is>
          <t>PF101719</t>
        </is>
      </c>
      <c r="B1728" s="68" t="n">
        <v>45866</v>
      </c>
      <c r="C1728" s="69" t="n">
        <v>2025</v>
      </c>
      <c r="D1728" t="inlineStr">
        <is>
          <t>Jul</t>
        </is>
      </c>
      <c r="E1728" t="inlineStr">
        <is>
          <t>Emerging markets</t>
        </is>
      </c>
      <c r="F1728" t="inlineStr">
        <is>
          <t>Mexico</t>
        </is>
      </c>
      <c r="G1728" t="inlineStr">
        <is>
          <t>Ibrance</t>
        </is>
      </c>
      <c r="H1728" t="inlineStr">
        <is>
          <t>Hospital</t>
        </is>
      </c>
      <c r="I1728" t="inlineStr">
        <is>
          <t>Private insurer</t>
        </is>
      </c>
      <c r="J1728" t="inlineStr">
        <is>
          <t>Carlos Silva</t>
        </is>
      </c>
      <c r="K1728" s="70" t="n">
        <v>927</v>
      </c>
      <c r="L1728" s="71" t="n">
        <v>3130.43</v>
      </c>
      <c r="M1728" s="71" t="n">
        <v>2901908.61</v>
      </c>
      <c r="N1728" s="71" t="n">
        <v>435286.29</v>
      </c>
      <c r="O1728" s="71" t="n">
        <v>2466622.32</v>
      </c>
      <c r="P1728" s="71" t="n">
        <v>396564.8</v>
      </c>
      <c r="Q1728" s="71" t="n">
        <v>2070057.52</v>
      </c>
      <c r="R1728" t="inlineStr">
        <is>
          <t>Oncology</t>
        </is>
      </c>
      <c r="S1728" s="70" t="n">
        <v>707</v>
      </c>
      <c r="T1728" s="71" t="n">
        <v>597058.22</v>
      </c>
      <c r="U1728" t="inlineStr">
        <is>
          <t>High</t>
        </is>
      </c>
      <c r="V1728">
        <f>IF(AND(OR(Dashboard!$C$6="All",E1728=Dashboard!$C$6),OR(Dashboard!$F$6="All",G1728=Dashboard!$F$6),OR(Dashboard!$I$6="All",H1728=Dashboard!$I$6)),1,0)</f>
        <v/>
      </c>
    </row>
    <row r="1729">
      <c r="A1729" t="inlineStr">
        <is>
          <t>PF101720</t>
        </is>
      </c>
      <c r="B1729" s="68" t="n">
        <v>45866</v>
      </c>
      <c r="C1729" s="69" t="n">
        <v>2025</v>
      </c>
      <c r="D1729" t="inlineStr">
        <is>
          <t>Jul</t>
        </is>
      </c>
      <c r="E1729" t="inlineStr">
        <is>
          <t>Europe</t>
        </is>
      </c>
      <c r="F1729" t="inlineStr">
        <is>
          <t>UK</t>
        </is>
      </c>
      <c r="G1729" t="inlineStr">
        <is>
          <t>Vyndaqel</t>
        </is>
      </c>
      <c r="H1729" t="inlineStr">
        <is>
          <t>Retail pharmacy</t>
        </is>
      </c>
      <c r="I1729" t="inlineStr">
        <is>
          <t>Self-pay</t>
        </is>
      </c>
      <c r="J1729" t="inlineStr">
        <is>
          <t>Noah Smith</t>
        </is>
      </c>
      <c r="K1729" s="70" t="n">
        <v>1544</v>
      </c>
      <c r="L1729" s="71" t="n">
        <v>4703</v>
      </c>
      <c r="M1729" s="71" t="n">
        <v>7261432</v>
      </c>
      <c r="N1729" s="71" t="n">
        <v>1815358</v>
      </c>
      <c r="O1729" s="71" t="n">
        <v>5446074</v>
      </c>
      <c r="P1729" s="71" t="n">
        <v>938709.98</v>
      </c>
      <c r="Q1729" s="71" t="n">
        <v>4507364.02</v>
      </c>
      <c r="R1729" t="inlineStr">
        <is>
          <t>Rare disease</t>
        </is>
      </c>
      <c r="S1729" s="70" t="n">
        <v>1500</v>
      </c>
      <c r="T1729" s="71" t="n">
        <v>1350486.99</v>
      </c>
      <c r="U1729" t="inlineStr">
        <is>
          <t>Medium</t>
        </is>
      </c>
      <c r="V1729">
        <f>IF(AND(OR(Dashboard!$C$6="All",E1729=Dashboard!$C$6),OR(Dashboard!$F$6="All",G1729=Dashboard!$F$6),OR(Dashboard!$I$6="All",H1729=Dashboard!$I$6)),1,0)</f>
        <v/>
      </c>
    </row>
    <row r="1730">
      <c r="A1730" t="inlineStr">
        <is>
          <t>PF101721</t>
        </is>
      </c>
      <c r="B1730" s="68" t="n">
        <v>45866</v>
      </c>
      <c r="C1730" s="69" t="n">
        <v>2025</v>
      </c>
      <c r="D1730" t="inlineStr">
        <is>
          <t>Jul</t>
        </is>
      </c>
      <c r="E1730" t="inlineStr">
        <is>
          <t>United States</t>
        </is>
      </c>
      <c r="F1730" t="inlineStr">
        <is>
          <t>USA</t>
        </is>
      </c>
      <c r="G1730" t="inlineStr">
        <is>
          <t>Ibrance</t>
        </is>
      </c>
      <c r="H1730" t="inlineStr">
        <is>
          <t>Hospital</t>
        </is>
      </c>
      <c r="I1730" t="inlineStr">
        <is>
          <t>Private insurer</t>
        </is>
      </c>
      <c r="J1730" t="inlineStr">
        <is>
          <t>Liam O'Brien</t>
        </is>
      </c>
      <c r="K1730" s="70" t="n">
        <v>810</v>
      </c>
      <c r="L1730" s="71" t="n">
        <v>5002.27</v>
      </c>
      <c r="M1730" s="71" t="n">
        <v>4051838.7</v>
      </c>
      <c r="N1730" s="71" t="n">
        <v>1012959.68</v>
      </c>
      <c r="O1730" s="71" t="n">
        <v>3038879.02</v>
      </c>
      <c r="P1730" s="71" t="n">
        <v>356710.23</v>
      </c>
      <c r="Q1730" s="71" t="n">
        <v>2682168.79</v>
      </c>
      <c r="R1730" t="inlineStr">
        <is>
          <t>Oncology</t>
        </is>
      </c>
      <c r="S1730" s="70" t="n">
        <v>717</v>
      </c>
      <c r="T1730" s="71" t="n">
        <v>823696.67</v>
      </c>
      <c r="U1730" t="inlineStr">
        <is>
          <t>High</t>
        </is>
      </c>
      <c r="V1730">
        <f>IF(AND(OR(Dashboard!$C$6="All",E1730=Dashboard!$C$6),OR(Dashboard!$F$6="All",G1730=Dashboard!$F$6),OR(Dashboard!$I$6="All",H1730=Dashboard!$I$6)),1,0)</f>
        <v/>
      </c>
    </row>
    <row r="1731">
      <c r="A1731" t="inlineStr">
        <is>
          <t>PF101722</t>
        </is>
      </c>
      <c r="B1731" s="68" t="n">
        <v>45866</v>
      </c>
      <c r="C1731" s="69" t="n">
        <v>2025</v>
      </c>
      <c r="D1731" t="inlineStr">
        <is>
          <t>Jul</t>
        </is>
      </c>
      <c r="E1731" t="inlineStr">
        <is>
          <t>Europe</t>
        </is>
      </c>
      <c r="F1731" t="inlineStr">
        <is>
          <t>Spain</t>
        </is>
      </c>
      <c r="G1731" t="inlineStr">
        <is>
          <t>Xeljanz</t>
        </is>
      </c>
      <c r="H1731" t="inlineStr">
        <is>
          <t>Retail pharmacy</t>
        </is>
      </c>
      <c r="I1731" t="inlineStr">
        <is>
          <t>Public payer</t>
        </is>
      </c>
      <c r="J1731" t="inlineStr">
        <is>
          <t>Arjun Mehta</t>
        </is>
      </c>
      <c r="K1731" s="70" t="n">
        <v>864</v>
      </c>
      <c r="L1731" s="71" t="n">
        <v>1471.14</v>
      </c>
      <c r="M1731" s="71" t="n">
        <v>1271064.96</v>
      </c>
      <c r="N1731" s="71" t="n">
        <v>190659.74</v>
      </c>
      <c r="O1731" s="71" t="n">
        <v>1080405.22</v>
      </c>
      <c r="P1731" s="71" t="n">
        <v>209056.22</v>
      </c>
      <c r="Q1731" s="71" t="n">
        <v>871349</v>
      </c>
      <c r="R1731" t="inlineStr">
        <is>
          <t>Inflammation</t>
        </is>
      </c>
      <c r="S1731" s="70" t="n">
        <v>746</v>
      </c>
      <c r="T1731" s="71" t="n">
        <v>279353.8</v>
      </c>
      <c r="U1731" t="inlineStr">
        <is>
          <t>High</t>
        </is>
      </c>
      <c r="V1731">
        <f>IF(AND(OR(Dashboard!$C$6="All",E1731=Dashboard!$C$6),OR(Dashboard!$F$6="All",G1731=Dashboard!$F$6),OR(Dashboard!$I$6="All",H1731=Dashboard!$I$6)),1,0)</f>
        <v/>
      </c>
    </row>
    <row r="1732">
      <c r="A1732" t="inlineStr">
        <is>
          <t>PF101723</t>
        </is>
      </c>
      <c r="B1732" s="68" t="n">
        <v>45866</v>
      </c>
      <c r="C1732" s="69" t="n">
        <v>2025</v>
      </c>
      <c r="D1732" t="inlineStr">
        <is>
          <t>Jul</t>
        </is>
      </c>
      <c r="E1732" t="inlineStr">
        <is>
          <t>Europe</t>
        </is>
      </c>
      <c r="F1732" t="inlineStr">
        <is>
          <t>Germany</t>
        </is>
      </c>
      <c r="G1732" t="inlineStr">
        <is>
          <t>Vyndaqel</t>
        </is>
      </c>
      <c r="H1732" t="inlineStr">
        <is>
          <t>Government / tender</t>
        </is>
      </c>
      <c r="I1732" t="inlineStr">
        <is>
          <t>Private insurer</t>
        </is>
      </c>
      <c r="J1732" t="inlineStr">
        <is>
          <t>Aisha Bello</t>
        </is>
      </c>
      <c r="K1732" s="70" t="n">
        <v>64</v>
      </c>
      <c r="L1732" s="71" t="n">
        <v>4683.32</v>
      </c>
      <c r="M1732" s="71" t="n">
        <v>299732.48</v>
      </c>
      <c r="N1732" s="71" t="n">
        <v>44959.87</v>
      </c>
      <c r="O1732" s="71" t="n">
        <v>254772.61</v>
      </c>
      <c r="P1732" s="71" t="n">
        <v>39673.71</v>
      </c>
      <c r="Q1732" s="71" t="n">
        <v>215098.9</v>
      </c>
      <c r="R1732" t="inlineStr">
        <is>
          <t>Rare disease</t>
        </is>
      </c>
      <c r="S1732" s="70" t="n">
        <v>41</v>
      </c>
      <c r="T1732" s="71" t="n">
        <v>50218.36</v>
      </c>
      <c r="U1732" t="inlineStr">
        <is>
          <t>Medium</t>
        </is>
      </c>
      <c r="V1732">
        <f>IF(AND(OR(Dashboard!$C$6="All",E1732=Dashboard!$C$6),OR(Dashboard!$F$6="All",G1732=Dashboard!$F$6),OR(Dashboard!$I$6="All",H1732=Dashboard!$I$6)),1,0)</f>
        <v/>
      </c>
    </row>
    <row r="1733">
      <c r="A1733" t="inlineStr">
        <is>
          <t>PF101724</t>
        </is>
      </c>
      <c r="B1733" s="68" t="n">
        <v>45866</v>
      </c>
      <c r="C1733" s="69" t="n">
        <v>2025</v>
      </c>
      <c r="D1733" t="inlineStr">
        <is>
          <t>Jul</t>
        </is>
      </c>
      <c r="E1733" t="inlineStr">
        <is>
          <t>Emerging markets</t>
        </is>
      </c>
      <c r="F1733" t="inlineStr">
        <is>
          <t>India</t>
        </is>
      </c>
      <c r="G1733" t="inlineStr">
        <is>
          <t>Xeljanz</t>
        </is>
      </c>
      <c r="H1733" t="inlineStr">
        <is>
          <t>Hospital</t>
        </is>
      </c>
      <c r="I1733" t="inlineStr">
        <is>
          <t>Public payer</t>
        </is>
      </c>
      <c r="J1733" t="inlineStr">
        <is>
          <t>Shraddha Kulkarni</t>
        </is>
      </c>
      <c r="K1733" s="70" t="n">
        <v>446</v>
      </c>
      <c r="L1733" s="71" t="n">
        <v>1307.24</v>
      </c>
      <c r="M1733" s="71" t="n">
        <v>583029.04</v>
      </c>
      <c r="N1733" s="71" t="n">
        <v>29151.45</v>
      </c>
      <c r="O1733" s="71" t="n">
        <v>553877.59</v>
      </c>
      <c r="P1733" s="71" t="n">
        <v>109819.87</v>
      </c>
      <c r="Q1733" s="71" t="n">
        <v>444057.72</v>
      </c>
      <c r="R1733" t="inlineStr">
        <is>
          <t>Inflammation</t>
        </is>
      </c>
      <c r="S1733" s="70" t="n">
        <v>371</v>
      </c>
      <c r="T1733" s="71" t="n">
        <v>94974.00999999999</v>
      </c>
      <c r="U1733" t="inlineStr">
        <is>
          <t>High</t>
        </is>
      </c>
      <c r="V1733">
        <f>IF(AND(OR(Dashboard!$C$6="All",E1733=Dashboard!$C$6),OR(Dashboard!$F$6="All",G1733=Dashboard!$F$6),OR(Dashboard!$I$6="All",H1733=Dashboard!$I$6)),1,0)</f>
        <v/>
      </c>
    </row>
    <row r="1734">
      <c r="A1734" t="inlineStr">
        <is>
          <t>PF101725</t>
        </is>
      </c>
      <c r="B1734" s="68" t="n">
        <v>45866</v>
      </c>
      <c r="C1734" s="69" t="n">
        <v>2025</v>
      </c>
      <c r="D1734" t="inlineStr">
        <is>
          <t>Jul</t>
        </is>
      </c>
      <c r="E1734" t="inlineStr">
        <is>
          <t>Emerging markets</t>
        </is>
      </c>
      <c r="F1734" t="inlineStr">
        <is>
          <t>Mexico</t>
        </is>
      </c>
      <c r="G1734" t="inlineStr">
        <is>
          <t>Paxlovid</t>
        </is>
      </c>
      <c r="H1734" t="inlineStr">
        <is>
          <t>Hospital</t>
        </is>
      </c>
      <c r="I1734" t="inlineStr">
        <is>
          <t>Self-pay</t>
        </is>
      </c>
      <c r="J1734" t="inlineStr">
        <is>
          <t>Liam O'Brien</t>
        </is>
      </c>
      <c r="K1734" s="70" t="n">
        <v>2728</v>
      </c>
      <c r="L1734" s="71" t="n">
        <v>1139.65</v>
      </c>
      <c r="M1734" s="71" t="n">
        <v>3108965.2</v>
      </c>
      <c r="N1734" s="71" t="n">
        <v>310896.52</v>
      </c>
      <c r="O1734" s="71" t="n">
        <v>2798068.68</v>
      </c>
      <c r="P1734" s="71" t="n">
        <v>722427.76</v>
      </c>
      <c r="Q1734" s="71" t="n">
        <v>2075640.92</v>
      </c>
      <c r="R1734" t="inlineStr">
        <is>
          <t>Antiviral</t>
        </is>
      </c>
      <c r="S1734" s="70" t="n">
        <v>1943</v>
      </c>
      <c r="T1734" s="71" t="n">
        <v>505221.94</v>
      </c>
      <c r="U1734" t="inlineStr">
        <is>
          <t>Low</t>
        </is>
      </c>
      <c r="V1734">
        <f>IF(AND(OR(Dashboard!$C$6="All",E1734=Dashboard!$C$6),OR(Dashboard!$F$6="All",G1734=Dashboard!$F$6),OR(Dashboard!$I$6="All",H1734=Dashboard!$I$6)),1,0)</f>
        <v/>
      </c>
    </row>
    <row r="1735">
      <c r="A1735" t="inlineStr">
        <is>
          <t>PF101726</t>
        </is>
      </c>
      <c r="B1735" s="68" t="n">
        <v>45866</v>
      </c>
      <c r="C1735" s="69" t="n">
        <v>2025</v>
      </c>
      <c r="D1735" t="inlineStr">
        <is>
          <t>Jul</t>
        </is>
      </c>
      <c r="E1735" t="inlineStr">
        <is>
          <t>Europe</t>
        </is>
      </c>
      <c r="F1735" t="inlineStr">
        <is>
          <t>Spain</t>
        </is>
      </c>
      <c r="G1735" t="inlineStr">
        <is>
          <t>Eliquis</t>
        </is>
      </c>
      <c r="H1735" t="inlineStr">
        <is>
          <t>Hospital</t>
        </is>
      </c>
      <c r="I1735" t="inlineStr">
        <is>
          <t>Private insurer</t>
        </is>
      </c>
      <c r="J1735" t="inlineStr">
        <is>
          <t>Lucas Martin</t>
        </is>
      </c>
      <c r="K1735" s="70" t="n">
        <v>2351</v>
      </c>
      <c r="L1735" s="71" t="n">
        <v>443.66</v>
      </c>
      <c r="M1735" s="71" t="n">
        <v>1043044.66</v>
      </c>
      <c r="N1735" s="71" t="n">
        <v>208608.93</v>
      </c>
      <c r="O1735" s="71" t="n">
        <v>834435.73</v>
      </c>
      <c r="P1735" s="71" t="n">
        <v>172209.73</v>
      </c>
      <c r="Q1735" s="71" t="n">
        <v>662226</v>
      </c>
      <c r="R1735" t="inlineStr">
        <is>
          <t>Cardiology</t>
        </is>
      </c>
      <c r="S1735" s="70" t="n">
        <v>2097</v>
      </c>
      <c r="T1735" s="71" t="n">
        <v>176919.8</v>
      </c>
      <c r="U1735" t="inlineStr">
        <is>
          <t>High</t>
        </is>
      </c>
      <c r="V1735">
        <f>IF(AND(OR(Dashboard!$C$6="All",E1735=Dashboard!$C$6),OR(Dashboard!$F$6="All",G1735=Dashboard!$F$6),OR(Dashboard!$I$6="All",H1735=Dashboard!$I$6)),1,0)</f>
        <v/>
      </c>
    </row>
    <row r="1736">
      <c r="A1736" t="inlineStr">
        <is>
          <t>PF101727</t>
        </is>
      </c>
      <c r="B1736" s="68" t="n">
        <v>45866</v>
      </c>
      <c r="C1736" s="69" t="n">
        <v>2025</v>
      </c>
      <c r="D1736" t="inlineStr">
        <is>
          <t>Jul</t>
        </is>
      </c>
      <c r="E1736" t="inlineStr">
        <is>
          <t>International developed</t>
        </is>
      </c>
      <c r="F1736" t="inlineStr">
        <is>
          <t>Japan</t>
        </is>
      </c>
      <c r="G1736" t="inlineStr">
        <is>
          <t>Paxlovid</t>
        </is>
      </c>
      <c r="H1736" t="inlineStr">
        <is>
          <t>Retail pharmacy</t>
        </is>
      </c>
      <c r="I1736" t="inlineStr">
        <is>
          <t>Public payer</t>
        </is>
      </c>
      <c r="J1736" t="inlineStr">
        <is>
          <t>Ruhi Shaikh</t>
        </is>
      </c>
      <c r="K1736" s="70" t="n">
        <v>2330</v>
      </c>
      <c r="L1736" s="71" t="n">
        <v>1113.06</v>
      </c>
      <c r="M1736" s="71" t="n">
        <v>2593429.8</v>
      </c>
      <c r="N1736" s="71" t="n">
        <v>389014.47</v>
      </c>
      <c r="O1736" s="71" t="n">
        <v>2204415.33</v>
      </c>
      <c r="P1736" s="71" t="n">
        <v>616018.5</v>
      </c>
      <c r="Q1736" s="71" t="n">
        <v>1588396.83</v>
      </c>
      <c r="R1736" t="inlineStr">
        <is>
          <t>Antiviral</t>
        </is>
      </c>
      <c r="S1736" s="70" t="n">
        <v>1469</v>
      </c>
      <c r="T1736" s="71" t="n">
        <v>365189.61</v>
      </c>
      <c r="U1736" t="inlineStr">
        <is>
          <t>Low</t>
        </is>
      </c>
      <c r="V1736">
        <f>IF(AND(OR(Dashboard!$C$6="All",E1736=Dashboard!$C$6),OR(Dashboard!$F$6="All",G1736=Dashboard!$F$6),OR(Dashboard!$I$6="All",H1736=Dashboard!$I$6)),1,0)</f>
        <v/>
      </c>
    </row>
    <row r="1737">
      <c r="A1737" t="inlineStr">
        <is>
          <t>PF101728</t>
        </is>
      </c>
      <c r="B1737" s="68" t="n">
        <v>45866</v>
      </c>
      <c r="C1737" s="69" t="n">
        <v>2025</v>
      </c>
      <c r="D1737" t="inlineStr">
        <is>
          <t>Jul</t>
        </is>
      </c>
      <c r="E1737" t="inlineStr">
        <is>
          <t>United States</t>
        </is>
      </c>
      <c r="F1737" t="inlineStr">
        <is>
          <t>USA</t>
        </is>
      </c>
      <c r="G1737" t="inlineStr">
        <is>
          <t>Ibrance</t>
        </is>
      </c>
      <c r="H1737" t="inlineStr">
        <is>
          <t>Hospital</t>
        </is>
      </c>
      <c r="I1737" t="inlineStr">
        <is>
          <t>Private insurer</t>
        </is>
      </c>
      <c r="J1737" t="inlineStr">
        <is>
          <t>Shraddha Kulkarni</t>
        </is>
      </c>
      <c r="K1737" s="70" t="n">
        <v>1568</v>
      </c>
      <c r="L1737" s="71" t="n">
        <v>4360.16</v>
      </c>
      <c r="M1737" s="71" t="n">
        <v>6836730.88</v>
      </c>
      <c r="N1737" s="71" t="n">
        <v>1709182.72</v>
      </c>
      <c r="O1737" s="71" t="n">
        <v>5127548.16</v>
      </c>
      <c r="P1737" s="71" t="n">
        <v>689918.76</v>
      </c>
      <c r="Q1737" s="71" t="n">
        <v>4437629.4</v>
      </c>
      <c r="R1737" t="inlineStr">
        <is>
          <t>Oncology</t>
        </is>
      </c>
      <c r="S1737" s="70" t="n">
        <v>1550</v>
      </c>
      <c r="T1737" s="71" t="n">
        <v>905763.95</v>
      </c>
      <c r="U1737" t="inlineStr">
        <is>
          <t>High</t>
        </is>
      </c>
      <c r="V1737">
        <f>IF(AND(OR(Dashboard!$C$6="All",E1737=Dashboard!$C$6),OR(Dashboard!$F$6="All",G1737=Dashboard!$F$6),OR(Dashboard!$I$6="All",H1737=Dashboard!$I$6)),1,0)</f>
        <v/>
      </c>
    </row>
    <row r="1738">
      <c r="A1738" t="inlineStr">
        <is>
          <t>PF101729</t>
        </is>
      </c>
      <c r="B1738" s="68" t="n">
        <v>45870</v>
      </c>
      <c r="C1738" s="69" t="n">
        <v>2025</v>
      </c>
      <c r="D1738" t="inlineStr">
        <is>
          <t>Aug</t>
        </is>
      </c>
      <c r="E1738" t="inlineStr">
        <is>
          <t>United States</t>
        </is>
      </c>
      <c r="F1738" t="inlineStr">
        <is>
          <t>USA</t>
        </is>
      </c>
      <c r="G1738" t="inlineStr">
        <is>
          <t>Ibrance</t>
        </is>
      </c>
      <c r="H1738" t="inlineStr">
        <is>
          <t>Retail pharmacy</t>
        </is>
      </c>
      <c r="I1738" t="inlineStr">
        <is>
          <t>Private insurer</t>
        </is>
      </c>
      <c r="J1738" t="inlineStr">
        <is>
          <t>Hiroshi Tanaka</t>
        </is>
      </c>
      <c r="K1738" s="70" t="n">
        <v>831</v>
      </c>
      <c r="L1738" s="71" t="n">
        <v>4339.41</v>
      </c>
      <c r="M1738" s="71" t="n">
        <v>3606049.71</v>
      </c>
      <c r="N1738" s="71" t="n">
        <v>1262117.4</v>
      </c>
      <c r="O1738" s="71" t="n">
        <v>2343932.31</v>
      </c>
      <c r="P1738" s="71" t="n">
        <v>349802.58</v>
      </c>
      <c r="Q1738" s="71" t="n">
        <v>1994129.73</v>
      </c>
      <c r="R1738" t="inlineStr">
        <is>
          <t>Oncology</t>
        </is>
      </c>
      <c r="S1738" s="70" t="n">
        <v>592</v>
      </c>
      <c r="T1738" s="71" t="n">
        <v>700737.25</v>
      </c>
      <c r="U1738" t="inlineStr">
        <is>
          <t>High</t>
        </is>
      </c>
      <c r="V1738">
        <f>IF(AND(OR(Dashboard!$C$6="All",E1738=Dashboard!$C$6),OR(Dashboard!$F$6="All",G1738=Dashboard!$F$6),OR(Dashboard!$I$6="All",H1738=Dashboard!$I$6)),1,0)</f>
        <v/>
      </c>
    </row>
    <row r="1739">
      <c r="A1739" t="inlineStr">
        <is>
          <t>PF101730</t>
        </is>
      </c>
      <c r="B1739" s="68" t="n">
        <v>45870</v>
      </c>
      <c r="C1739" s="69" t="n">
        <v>2025</v>
      </c>
      <c r="D1739" t="inlineStr">
        <is>
          <t>Aug</t>
        </is>
      </c>
      <c r="E1739" t="inlineStr">
        <is>
          <t>Emerging markets</t>
        </is>
      </c>
      <c r="F1739" t="inlineStr">
        <is>
          <t>Mexico</t>
        </is>
      </c>
      <c r="G1739" t="inlineStr">
        <is>
          <t>Xeljanz</t>
        </is>
      </c>
      <c r="H1739" t="inlineStr">
        <is>
          <t>Hospital</t>
        </is>
      </c>
      <c r="I1739" t="inlineStr">
        <is>
          <t>Private insurer</t>
        </is>
      </c>
      <c r="J1739" t="inlineStr">
        <is>
          <t>Ravindra Patil</t>
        </is>
      </c>
      <c r="K1739" s="70" t="n">
        <v>1967</v>
      </c>
      <c r="L1739" s="71" t="n">
        <v>1364.54</v>
      </c>
      <c r="M1739" s="71" t="n">
        <v>2684050.18</v>
      </c>
      <c r="N1739" s="71" t="n">
        <v>268405.02</v>
      </c>
      <c r="O1739" s="71" t="n">
        <v>2415645.16</v>
      </c>
      <c r="P1739" s="71" t="n">
        <v>504617.35</v>
      </c>
      <c r="Q1739" s="71" t="n">
        <v>1911027.81</v>
      </c>
      <c r="R1739" t="inlineStr">
        <is>
          <t>Inflammation</t>
        </is>
      </c>
      <c r="S1739" s="70" t="n">
        <v>1326</v>
      </c>
      <c r="T1739" s="71" t="n">
        <v>404494.52</v>
      </c>
      <c r="U1739" t="inlineStr">
        <is>
          <t>High</t>
        </is>
      </c>
      <c r="V1739">
        <f>IF(AND(OR(Dashboard!$C$6="All",E1739=Dashboard!$C$6),OR(Dashboard!$F$6="All",G1739=Dashboard!$F$6),OR(Dashboard!$I$6="All",H1739=Dashboard!$I$6)),1,0)</f>
        <v/>
      </c>
    </row>
    <row r="1740">
      <c r="A1740" t="inlineStr">
        <is>
          <t>PF101731</t>
        </is>
      </c>
      <c r="B1740" s="68" t="n">
        <v>45870</v>
      </c>
      <c r="C1740" s="69" t="n">
        <v>2025</v>
      </c>
      <c r="D1740" t="inlineStr">
        <is>
          <t>Aug</t>
        </is>
      </c>
      <c r="E1740" t="inlineStr">
        <is>
          <t>United States</t>
        </is>
      </c>
      <c r="F1740" t="inlineStr">
        <is>
          <t>USA</t>
        </is>
      </c>
      <c r="G1740" t="inlineStr">
        <is>
          <t>Eliquis</t>
        </is>
      </c>
      <c r="H1740" t="inlineStr">
        <is>
          <t>Hospital</t>
        </is>
      </c>
      <c r="I1740" t="inlineStr">
        <is>
          <t>Private insurer</t>
        </is>
      </c>
      <c r="J1740" t="inlineStr">
        <is>
          <t>Amir Khan</t>
        </is>
      </c>
      <c r="K1740" s="70" t="n">
        <v>878</v>
      </c>
      <c r="L1740" s="71" t="n">
        <v>609.22</v>
      </c>
      <c r="M1740" s="71" t="n">
        <v>534895.16</v>
      </c>
      <c r="N1740" s="71" t="n">
        <v>80234.27</v>
      </c>
      <c r="O1740" s="71" t="n">
        <v>454660.89</v>
      </c>
      <c r="P1740" s="71" t="n">
        <v>68301.94</v>
      </c>
      <c r="Q1740" s="71" t="n">
        <v>386358.95</v>
      </c>
      <c r="R1740" t="inlineStr">
        <is>
          <t>Cardiology</t>
        </is>
      </c>
      <c r="S1740" s="70" t="n">
        <v>703</v>
      </c>
      <c r="T1740" s="71" t="n">
        <v>102926.2</v>
      </c>
      <c r="U1740" t="inlineStr">
        <is>
          <t>High</t>
        </is>
      </c>
      <c r="V1740">
        <f>IF(AND(OR(Dashboard!$C$6="All",E1740=Dashboard!$C$6),OR(Dashboard!$F$6="All",G1740=Dashboard!$F$6),OR(Dashboard!$I$6="All",H1740=Dashboard!$I$6)),1,0)</f>
        <v/>
      </c>
    </row>
    <row r="1741">
      <c r="A1741" t="inlineStr">
        <is>
          <t>PF101732</t>
        </is>
      </c>
      <c r="B1741" s="68" t="n">
        <v>45870</v>
      </c>
      <c r="C1741" s="69" t="n">
        <v>2025</v>
      </c>
      <c r="D1741" t="inlineStr">
        <is>
          <t>Aug</t>
        </is>
      </c>
      <c r="E1741" t="inlineStr">
        <is>
          <t>United States</t>
        </is>
      </c>
      <c r="F1741" t="inlineStr">
        <is>
          <t>USA</t>
        </is>
      </c>
      <c r="G1741" t="inlineStr">
        <is>
          <t>Xeljanz</t>
        </is>
      </c>
      <c r="H1741" t="inlineStr">
        <is>
          <t>Government / tender</t>
        </is>
      </c>
      <c r="I1741" t="inlineStr">
        <is>
          <t>Private insurer</t>
        </is>
      </c>
      <c r="J1741" t="inlineStr">
        <is>
          <t>Sophie Müller</t>
        </is>
      </c>
      <c r="K1741" s="70" t="n">
        <v>2250</v>
      </c>
      <c r="L1741" s="71" t="n">
        <v>2434.4</v>
      </c>
      <c r="M1741" s="71" t="n">
        <v>5477400</v>
      </c>
      <c r="N1741" s="71" t="n">
        <v>1095480</v>
      </c>
      <c r="O1741" s="71" t="n">
        <v>4381920</v>
      </c>
      <c r="P1741" s="71" t="n">
        <v>585562.7</v>
      </c>
      <c r="Q1741" s="71" t="n">
        <v>3796357.3</v>
      </c>
      <c r="R1741" t="inlineStr">
        <is>
          <t>Inflammation</t>
        </is>
      </c>
      <c r="S1741" s="70" t="n">
        <v>1651</v>
      </c>
      <c r="T1741" s="71" t="n">
        <v>984646.98</v>
      </c>
      <c r="U1741" t="inlineStr">
        <is>
          <t>High</t>
        </is>
      </c>
      <c r="V1741">
        <f>IF(AND(OR(Dashboard!$C$6="All",E1741=Dashboard!$C$6),OR(Dashboard!$F$6="All",G1741=Dashboard!$F$6),OR(Dashboard!$I$6="All",H1741=Dashboard!$I$6)),1,0)</f>
        <v/>
      </c>
    </row>
    <row r="1742">
      <c r="A1742" t="inlineStr">
        <is>
          <t>PF101733</t>
        </is>
      </c>
      <c r="B1742" s="68" t="n">
        <v>45870</v>
      </c>
      <c r="C1742" s="69" t="n">
        <v>2025</v>
      </c>
      <c r="D1742" t="inlineStr">
        <is>
          <t>Aug</t>
        </is>
      </c>
      <c r="E1742" t="inlineStr">
        <is>
          <t>United States</t>
        </is>
      </c>
      <c r="F1742" t="inlineStr">
        <is>
          <t>USA</t>
        </is>
      </c>
      <c r="G1742" t="inlineStr">
        <is>
          <t>Eliquis</t>
        </is>
      </c>
      <c r="H1742" t="inlineStr">
        <is>
          <t>Government / tender</t>
        </is>
      </c>
      <c r="I1742" t="inlineStr">
        <is>
          <t>Private insurer</t>
        </is>
      </c>
      <c r="J1742" t="inlineStr">
        <is>
          <t>Amir Khan</t>
        </is>
      </c>
      <c r="K1742" s="70" t="n">
        <v>2100</v>
      </c>
      <c r="L1742" s="71" t="n">
        <v>686.11</v>
      </c>
      <c r="M1742" s="71" t="n">
        <v>1440831</v>
      </c>
      <c r="N1742" s="71" t="n">
        <v>432249.3</v>
      </c>
      <c r="O1742" s="71" t="n">
        <v>1008581.7</v>
      </c>
      <c r="P1742" s="71" t="n">
        <v>159805.64</v>
      </c>
      <c r="Q1742" s="71" t="n">
        <v>848776.0600000001</v>
      </c>
      <c r="R1742" t="inlineStr">
        <is>
          <t>Cardiology</t>
        </is>
      </c>
      <c r="S1742" s="70" t="n">
        <v>1348</v>
      </c>
      <c r="T1742" s="71" t="n">
        <v>232021.29</v>
      </c>
      <c r="U1742" t="inlineStr">
        <is>
          <t>High</t>
        </is>
      </c>
      <c r="V1742">
        <f>IF(AND(OR(Dashboard!$C$6="All",E1742=Dashboard!$C$6),OR(Dashboard!$F$6="All",G1742=Dashboard!$F$6),OR(Dashboard!$I$6="All",H1742=Dashboard!$I$6)),1,0)</f>
        <v/>
      </c>
    </row>
    <row r="1743">
      <c r="A1743" t="inlineStr">
        <is>
          <t>PF101734</t>
        </is>
      </c>
      <c r="B1743" s="68" t="n">
        <v>45870</v>
      </c>
      <c r="C1743" s="69" t="n">
        <v>2025</v>
      </c>
      <c r="D1743" t="inlineStr">
        <is>
          <t>Aug</t>
        </is>
      </c>
      <c r="E1743" t="inlineStr">
        <is>
          <t>International developed</t>
        </is>
      </c>
      <c r="F1743" t="inlineStr">
        <is>
          <t>Japan</t>
        </is>
      </c>
      <c r="G1743" t="inlineStr">
        <is>
          <t>Paxlovid</t>
        </is>
      </c>
      <c r="H1743" t="inlineStr">
        <is>
          <t>Retail pharmacy</t>
        </is>
      </c>
      <c r="I1743" t="inlineStr">
        <is>
          <t>Private insurer</t>
        </is>
      </c>
      <c r="J1743" t="inlineStr">
        <is>
          <t>Noah Smith</t>
        </is>
      </c>
      <c r="K1743" s="70" t="n">
        <v>2969</v>
      </c>
      <c r="L1743" s="71" t="n">
        <v>1140.39</v>
      </c>
      <c r="M1743" s="71" t="n">
        <v>3385817.91</v>
      </c>
      <c r="N1743" s="71" t="n">
        <v>169290.9</v>
      </c>
      <c r="O1743" s="71" t="n">
        <v>3216527.01</v>
      </c>
      <c r="P1743" s="71" t="n">
        <v>837062.46</v>
      </c>
      <c r="Q1743" s="71" t="n">
        <v>2379464.55</v>
      </c>
      <c r="R1743" t="inlineStr">
        <is>
          <t>Antiviral</t>
        </is>
      </c>
      <c r="S1743" s="70" t="n">
        <v>2638</v>
      </c>
      <c r="T1743" s="71" t="n">
        <v>603178.3</v>
      </c>
      <c r="U1743" t="inlineStr">
        <is>
          <t>Low</t>
        </is>
      </c>
      <c r="V1743">
        <f>IF(AND(OR(Dashboard!$C$6="All",E1743=Dashboard!$C$6),OR(Dashboard!$F$6="All",G1743=Dashboard!$F$6),OR(Dashboard!$I$6="All",H1743=Dashboard!$I$6)),1,0)</f>
        <v/>
      </c>
    </row>
    <row r="1744">
      <c r="A1744" t="inlineStr">
        <is>
          <t>PF101735</t>
        </is>
      </c>
      <c r="B1744" s="68" t="n">
        <v>45871</v>
      </c>
      <c r="C1744" s="69" t="n">
        <v>2025</v>
      </c>
      <c r="D1744" t="inlineStr">
        <is>
          <t>Aug</t>
        </is>
      </c>
      <c r="E1744" t="inlineStr">
        <is>
          <t>International developed</t>
        </is>
      </c>
      <c r="F1744" t="inlineStr">
        <is>
          <t>Japan</t>
        </is>
      </c>
      <c r="G1744" t="inlineStr">
        <is>
          <t>Ibrance</t>
        </is>
      </c>
      <c r="H1744" t="inlineStr">
        <is>
          <t>Government / tender</t>
        </is>
      </c>
      <c r="I1744" t="inlineStr">
        <is>
          <t>Public payer</t>
        </is>
      </c>
      <c r="J1744" t="inlineStr">
        <is>
          <t>Aisha Bello</t>
        </is>
      </c>
      <c r="K1744" s="70" t="n">
        <v>1000</v>
      </c>
      <c r="L1744" s="71" t="n">
        <v>2689.64</v>
      </c>
      <c r="M1744" s="71" t="n">
        <v>2689640</v>
      </c>
      <c r="N1744" s="71" t="n">
        <v>268964</v>
      </c>
      <c r="O1744" s="71" t="n">
        <v>2420676</v>
      </c>
      <c r="P1744" s="71" t="n">
        <v>450735.53</v>
      </c>
      <c r="Q1744" s="71" t="n">
        <v>1969940.47</v>
      </c>
      <c r="R1744" t="inlineStr">
        <is>
          <t>Oncology</t>
        </is>
      </c>
      <c r="S1744" s="70" t="n">
        <v>789</v>
      </c>
      <c r="T1744" s="71" t="n">
        <v>495065.72</v>
      </c>
      <c r="U1744" t="inlineStr">
        <is>
          <t>High</t>
        </is>
      </c>
      <c r="V1744">
        <f>IF(AND(OR(Dashboard!$C$6="All",E1744=Dashboard!$C$6),OR(Dashboard!$F$6="All",G1744=Dashboard!$F$6),OR(Dashboard!$I$6="All",H1744=Dashboard!$I$6)),1,0)</f>
        <v/>
      </c>
    </row>
    <row r="1745">
      <c r="A1745" t="inlineStr">
        <is>
          <t>PF101736</t>
        </is>
      </c>
      <c r="B1745" s="68" t="n">
        <v>45871</v>
      </c>
      <c r="C1745" s="69" t="n">
        <v>2025</v>
      </c>
      <c r="D1745" t="inlineStr">
        <is>
          <t>Aug</t>
        </is>
      </c>
      <c r="E1745" t="inlineStr">
        <is>
          <t>United States</t>
        </is>
      </c>
      <c r="F1745" t="inlineStr">
        <is>
          <t>USA</t>
        </is>
      </c>
      <c r="G1745" t="inlineStr">
        <is>
          <t>Comirnaty</t>
        </is>
      </c>
      <c r="H1745" t="inlineStr">
        <is>
          <t>Government / tender</t>
        </is>
      </c>
      <c r="I1745" t="inlineStr">
        <is>
          <t>Public payer</t>
        </is>
      </c>
      <c r="J1745" t="inlineStr">
        <is>
          <t>Ruhi Shaikh</t>
        </is>
      </c>
      <c r="K1745" s="70" t="n">
        <v>1831</v>
      </c>
      <c r="L1745" s="71" t="n">
        <v>175.2</v>
      </c>
      <c r="M1745" s="71" t="n">
        <v>320791.2</v>
      </c>
      <c r="N1745" s="71" t="n">
        <v>80197.8</v>
      </c>
      <c r="O1745" s="71" t="n">
        <v>240593.4</v>
      </c>
      <c r="P1745" s="71" t="n">
        <v>71901.07000000001</v>
      </c>
      <c r="Q1745" s="71" t="n">
        <v>168692.33</v>
      </c>
      <c r="R1745" t="inlineStr">
        <is>
          <t>Vaccines</t>
        </is>
      </c>
      <c r="S1745" s="70" t="n">
        <v>1468</v>
      </c>
      <c r="T1745" s="71" t="n">
        <v>39102.96</v>
      </c>
      <c r="U1745" t="inlineStr">
        <is>
          <t>Low</t>
        </is>
      </c>
      <c r="V1745">
        <f>IF(AND(OR(Dashboard!$C$6="All",E1745=Dashboard!$C$6),OR(Dashboard!$F$6="All",G1745=Dashboard!$F$6),OR(Dashboard!$I$6="All",H1745=Dashboard!$I$6)),1,0)</f>
        <v/>
      </c>
    </row>
    <row r="1746">
      <c r="A1746" t="inlineStr">
        <is>
          <t>PF101737</t>
        </is>
      </c>
      <c r="B1746" s="68" t="n">
        <v>45871</v>
      </c>
      <c r="C1746" s="69" t="n">
        <v>2025</v>
      </c>
      <c r="D1746" t="inlineStr">
        <is>
          <t>Aug</t>
        </is>
      </c>
      <c r="E1746" t="inlineStr">
        <is>
          <t>United States</t>
        </is>
      </c>
      <c r="F1746" t="inlineStr">
        <is>
          <t>USA</t>
        </is>
      </c>
      <c r="G1746" t="inlineStr">
        <is>
          <t>Xeljanz</t>
        </is>
      </c>
      <c r="H1746" t="inlineStr">
        <is>
          <t>Retail pharmacy</t>
        </is>
      </c>
      <c r="I1746" t="inlineStr">
        <is>
          <t>Public payer</t>
        </is>
      </c>
      <c r="J1746" t="inlineStr">
        <is>
          <t>Fatima Al-Saud</t>
        </is>
      </c>
      <c r="K1746" s="70" t="n">
        <v>3040</v>
      </c>
      <c r="L1746" s="71" t="n">
        <v>2017.7</v>
      </c>
      <c r="M1746" s="71" t="n">
        <v>6133808</v>
      </c>
      <c r="N1746" s="71" t="n">
        <v>1533452</v>
      </c>
      <c r="O1746" s="71" t="n">
        <v>4600356</v>
      </c>
      <c r="P1746" s="71" t="n">
        <v>750650.13</v>
      </c>
      <c r="Q1746" s="71" t="n">
        <v>3849705.87</v>
      </c>
      <c r="R1746" t="inlineStr">
        <is>
          <t>Inflammation</t>
        </is>
      </c>
      <c r="S1746" s="70" t="n">
        <v>2223</v>
      </c>
      <c r="T1746" s="71" t="n">
        <v>1238741.64</v>
      </c>
      <c r="U1746" t="inlineStr">
        <is>
          <t>High</t>
        </is>
      </c>
      <c r="V1746">
        <f>IF(AND(OR(Dashboard!$C$6="All",E1746=Dashboard!$C$6),OR(Dashboard!$F$6="All",G1746=Dashboard!$F$6),OR(Dashboard!$I$6="All",H1746=Dashboard!$I$6)),1,0)</f>
        <v/>
      </c>
    </row>
    <row r="1747">
      <c r="A1747" t="inlineStr">
        <is>
          <t>PF101738</t>
        </is>
      </c>
      <c r="B1747" s="68" t="n">
        <v>45871</v>
      </c>
      <c r="C1747" s="69" t="n">
        <v>2025</v>
      </c>
      <c r="D1747" t="inlineStr">
        <is>
          <t>Aug</t>
        </is>
      </c>
      <c r="E1747" t="inlineStr">
        <is>
          <t>Emerging markets</t>
        </is>
      </c>
      <c r="F1747" t="inlineStr">
        <is>
          <t>China</t>
        </is>
      </c>
      <c r="G1747" t="inlineStr">
        <is>
          <t>Comirnaty</t>
        </is>
      </c>
      <c r="H1747" t="inlineStr">
        <is>
          <t>Retail pharmacy</t>
        </is>
      </c>
      <c r="I1747" t="inlineStr">
        <is>
          <t>Private insurer</t>
        </is>
      </c>
      <c r="J1747" t="inlineStr">
        <is>
          <t>Ruhi Shaikh</t>
        </is>
      </c>
      <c r="K1747" s="70" t="n">
        <v>2308</v>
      </c>
      <c r="L1747" s="71" t="n">
        <v>104.15</v>
      </c>
      <c r="M1747" s="71" t="n">
        <v>240378.2</v>
      </c>
      <c r="N1747" s="71" t="n">
        <v>60094.55</v>
      </c>
      <c r="O1747" s="71" t="n">
        <v>180283.65</v>
      </c>
      <c r="P1747" s="71" t="n">
        <v>89513.41</v>
      </c>
      <c r="Q1747" s="71" t="n">
        <v>90770.24000000001</v>
      </c>
      <c r="R1747" t="inlineStr">
        <is>
          <t>Vaccines</t>
        </is>
      </c>
      <c r="S1747" s="70" t="n">
        <v>2110</v>
      </c>
      <c r="T1747" s="71" t="n">
        <v>49042.55</v>
      </c>
      <c r="U1747" t="inlineStr">
        <is>
          <t>Low</t>
        </is>
      </c>
      <c r="V1747">
        <f>IF(AND(OR(Dashboard!$C$6="All",E1747=Dashboard!$C$6),OR(Dashboard!$F$6="All",G1747=Dashboard!$F$6),OR(Dashboard!$I$6="All",H1747=Dashboard!$I$6)),1,0)</f>
        <v/>
      </c>
    </row>
    <row r="1748">
      <c r="A1748" t="inlineStr">
        <is>
          <t>PF101739</t>
        </is>
      </c>
      <c r="B1748" s="68" t="n">
        <v>45871</v>
      </c>
      <c r="C1748" s="69" t="n">
        <v>2025</v>
      </c>
      <c r="D1748" t="inlineStr">
        <is>
          <t>Aug</t>
        </is>
      </c>
      <c r="E1748" t="inlineStr">
        <is>
          <t>Europe</t>
        </is>
      </c>
      <c r="F1748" t="inlineStr">
        <is>
          <t>UK</t>
        </is>
      </c>
      <c r="G1748" t="inlineStr">
        <is>
          <t>Eliquis</t>
        </is>
      </c>
      <c r="H1748" t="inlineStr">
        <is>
          <t>Government / tender</t>
        </is>
      </c>
      <c r="I1748" t="inlineStr">
        <is>
          <t>Public payer</t>
        </is>
      </c>
      <c r="J1748" t="inlineStr">
        <is>
          <t>Yuki Sato</t>
        </is>
      </c>
      <c r="K1748" s="70" t="n">
        <v>1465</v>
      </c>
      <c r="L1748" s="71" t="n">
        <v>398.41</v>
      </c>
      <c r="M1748" s="71" t="n">
        <v>583670.65</v>
      </c>
      <c r="N1748" s="71" t="n">
        <v>29183.53</v>
      </c>
      <c r="O1748" s="71" t="n">
        <v>554487.12</v>
      </c>
      <c r="P1748" s="71" t="n">
        <v>110245.03</v>
      </c>
      <c r="Q1748" s="71" t="n">
        <v>444242.09</v>
      </c>
      <c r="R1748" t="inlineStr">
        <is>
          <t>Cardiology</t>
        </is>
      </c>
      <c r="S1748" s="70" t="n">
        <v>1222</v>
      </c>
      <c r="T1748" s="71" t="n">
        <v>96324.94</v>
      </c>
      <c r="U1748" t="inlineStr">
        <is>
          <t>High</t>
        </is>
      </c>
      <c r="V1748">
        <f>IF(AND(OR(Dashboard!$C$6="All",E1748=Dashboard!$C$6),OR(Dashboard!$F$6="All",G1748=Dashboard!$F$6),OR(Dashboard!$I$6="All",H1748=Dashboard!$I$6)),1,0)</f>
        <v/>
      </c>
    </row>
    <row r="1749">
      <c r="A1749" t="inlineStr">
        <is>
          <t>PF101740</t>
        </is>
      </c>
      <c r="B1749" s="68" t="n">
        <v>45871</v>
      </c>
      <c r="C1749" s="69" t="n">
        <v>2025</v>
      </c>
      <c r="D1749" t="inlineStr">
        <is>
          <t>Aug</t>
        </is>
      </c>
      <c r="E1749" t="inlineStr">
        <is>
          <t>United States</t>
        </is>
      </c>
      <c r="F1749" t="inlineStr">
        <is>
          <t>USA</t>
        </is>
      </c>
      <c r="G1749" t="inlineStr">
        <is>
          <t>Vyndaqel</t>
        </is>
      </c>
      <c r="H1749" t="inlineStr">
        <is>
          <t>Hospital</t>
        </is>
      </c>
      <c r="I1749" t="inlineStr">
        <is>
          <t>Public payer</t>
        </is>
      </c>
      <c r="J1749" t="inlineStr">
        <is>
          <t>Wei Chen</t>
        </is>
      </c>
      <c r="K1749" s="70" t="n">
        <v>1942</v>
      </c>
      <c r="L1749" s="71" t="n">
        <v>7894.94</v>
      </c>
      <c r="M1749" s="71" t="n">
        <v>15331973.48</v>
      </c>
      <c r="N1749" s="71" t="n">
        <v>5366190.72</v>
      </c>
      <c r="O1749" s="71" t="n">
        <v>9965782.76</v>
      </c>
      <c r="P1749" s="71" t="n">
        <v>1180809.63</v>
      </c>
      <c r="Q1749" s="71" t="n">
        <v>8784973.130000001</v>
      </c>
      <c r="R1749" t="inlineStr">
        <is>
          <t>Rare disease</t>
        </is>
      </c>
      <c r="S1749" s="70" t="n">
        <v>1431</v>
      </c>
      <c r="T1749" s="71" t="n">
        <v>2914834.49</v>
      </c>
      <c r="U1749" t="inlineStr">
        <is>
          <t>Medium</t>
        </is>
      </c>
      <c r="V1749">
        <f>IF(AND(OR(Dashboard!$C$6="All",E1749=Dashboard!$C$6),OR(Dashboard!$F$6="All",G1749=Dashboard!$F$6),OR(Dashboard!$I$6="All",H1749=Dashboard!$I$6)),1,0)</f>
        <v/>
      </c>
    </row>
    <row r="1750">
      <c r="A1750" t="inlineStr">
        <is>
          <t>PF101741</t>
        </is>
      </c>
      <c r="B1750" s="68" t="n">
        <v>45871</v>
      </c>
      <c r="C1750" s="69" t="n">
        <v>2025</v>
      </c>
      <c r="D1750" t="inlineStr">
        <is>
          <t>Aug</t>
        </is>
      </c>
      <c r="E1750" t="inlineStr">
        <is>
          <t>Emerging markets</t>
        </is>
      </c>
      <c r="F1750" t="inlineStr">
        <is>
          <t>Brazil</t>
        </is>
      </c>
      <c r="G1750" t="inlineStr">
        <is>
          <t>Xeljanz</t>
        </is>
      </c>
      <c r="H1750" t="inlineStr">
        <is>
          <t>Retail pharmacy</t>
        </is>
      </c>
      <c r="I1750" t="inlineStr">
        <is>
          <t>Private insurer</t>
        </is>
      </c>
      <c r="J1750" t="inlineStr">
        <is>
          <t>Omar Haddad</t>
        </is>
      </c>
      <c r="K1750" s="70" t="n">
        <v>2484</v>
      </c>
      <c r="L1750" s="71" t="n">
        <v>1442.01</v>
      </c>
      <c r="M1750" s="71" t="n">
        <v>3581952.84</v>
      </c>
      <c r="N1750" s="71" t="n">
        <v>537292.9300000001</v>
      </c>
      <c r="O1750" s="71" t="n">
        <v>3044659.91</v>
      </c>
      <c r="P1750" s="71" t="n">
        <v>634810.88</v>
      </c>
      <c r="Q1750" s="71" t="n">
        <v>2409849.03</v>
      </c>
      <c r="R1750" t="inlineStr">
        <is>
          <t>Inflammation</t>
        </is>
      </c>
      <c r="S1750" s="70" t="n">
        <v>1562</v>
      </c>
      <c r="T1750" s="71" t="n">
        <v>531166.77</v>
      </c>
      <c r="U1750" t="inlineStr">
        <is>
          <t>High</t>
        </is>
      </c>
      <c r="V1750">
        <f>IF(AND(OR(Dashboard!$C$6="All",E1750=Dashboard!$C$6),OR(Dashboard!$F$6="All",G1750=Dashboard!$F$6),OR(Dashboard!$I$6="All",H1750=Dashboard!$I$6)),1,0)</f>
        <v/>
      </c>
    </row>
    <row r="1751">
      <c r="A1751" t="inlineStr">
        <is>
          <t>PF101742</t>
        </is>
      </c>
      <c r="B1751" s="68" t="n">
        <v>45871</v>
      </c>
      <c r="C1751" s="69" t="n">
        <v>2025</v>
      </c>
      <c r="D1751" t="inlineStr">
        <is>
          <t>Aug</t>
        </is>
      </c>
      <c r="E1751" t="inlineStr">
        <is>
          <t>United States</t>
        </is>
      </c>
      <c r="F1751" t="inlineStr">
        <is>
          <t>USA</t>
        </is>
      </c>
      <c r="G1751" t="inlineStr">
        <is>
          <t>Eliquis</t>
        </is>
      </c>
      <c r="H1751" t="inlineStr">
        <is>
          <t>Retail pharmacy</t>
        </is>
      </c>
      <c r="I1751" t="inlineStr">
        <is>
          <t>Private insurer</t>
        </is>
      </c>
      <c r="J1751" t="inlineStr">
        <is>
          <t>Omar Haddad</t>
        </is>
      </c>
      <c r="K1751" s="70" t="n">
        <v>1311</v>
      </c>
      <c r="L1751" s="71" t="n">
        <v>634.9400000000001</v>
      </c>
      <c r="M1751" s="71" t="n">
        <v>832406.34</v>
      </c>
      <c r="N1751" s="71" t="n">
        <v>124860.95</v>
      </c>
      <c r="O1751" s="71" t="n">
        <v>707545.39</v>
      </c>
      <c r="P1751" s="71" t="n">
        <v>102358.96</v>
      </c>
      <c r="Q1751" s="71" t="n">
        <v>605186.4300000001</v>
      </c>
      <c r="R1751" t="inlineStr">
        <is>
          <t>Cardiology</t>
        </is>
      </c>
      <c r="S1751" s="70" t="n">
        <v>822</v>
      </c>
      <c r="T1751" s="71" t="n">
        <v>153503.43</v>
      </c>
      <c r="U1751" t="inlineStr">
        <is>
          <t>High</t>
        </is>
      </c>
      <c r="V1751">
        <f>IF(AND(OR(Dashboard!$C$6="All",E1751=Dashboard!$C$6),OR(Dashboard!$F$6="All",G1751=Dashboard!$F$6),OR(Dashboard!$I$6="All",H1751=Dashboard!$I$6)),1,0)</f>
        <v/>
      </c>
    </row>
    <row r="1752">
      <c r="A1752" t="inlineStr">
        <is>
          <t>PF101743</t>
        </is>
      </c>
      <c r="B1752" s="68" t="n">
        <v>45871</v>
      </c>
      <c r="C1752" s="69" t="n">
        <v>2025</v>
      </c>
      <c r="D1752" t="inlineStr">
        <is>
          <t>Aug</t>
        </is>
      </c>
      <c r="E1752" t="inlineStr">
        <is>
          <t>United States</t>
        </is>
      </c>
      <c r="F1752" t="inlineStr">
        <is>
          <t>USA</t>
        </is>
      </c>
      <c r="G1752" t="inlineStr">
        <is>
          <t>Paxlovid</t>
        </is>
      </c>
      <c r="H1752" t="inlineStr">
        <is>
          <t>Hospital</t>
        </is>
      </c>
      <c r="I1752" t="inlineStr">
        <is>
          <t>Private insurer</t>
        </is>
      </c>
      <c r="J1752" t="inlineStr">
        <is>
          <t>Yuki Sato</t>
        </is>
      </c>
      <c r="K1752" s="70" t="n">
        <v>1518</v>
      </c>
      <c r="L1752" s="71" t="n">
        <v>1732.35</v>
      </c>
      <c r="M1752" s="71" t="n">
        <v>2629707.3</v>
      </c>
      <c r="N1752" s="71" t="n">
        <v>788912.1899999999</v>
      </c>
      <c r="O1752" s="71" t="n">
        <v>1840795.11</v>
      </c>
      <c r="P1752" s="71" t="n">
        <v>406783.93</v>
      </c>
      <c r="Q1752" s="71" t="n">
        <v>1434011.18</v>
      </c>
      <c r="R1752" t="inlineStr">
        <is>
          <t>Antiviral</t>
        </is>
      </c>
      <c r="S1752" s="70" t="n">
        <v>1422</v>
      </c>
      <c r="T1752" s="71" t="n">
        <v>366837.69</v>
      </c>
      <c r="U1752" t="inlineStr">
        <is>
          <t>Low</t>
        </is>
      </c>
      <c r="V1752">
        <f>IF(AND(OR(Dashboard!$C$6="All",E1752=Dashboard!$C$6),OR(Dashboard!$F$6="All",G1752=Dashboard!$F$6),OR(Dashboard!$I$6="All",H1752=Dashboard!$I$6)),1,0)</f>
        <v/>
      </c>
    </row>
    <row r="1753">
      <c r="A1753" t="inlineStr">
        <is>
          <t>PF101744</t>
        </is>
      </c>
      <c r="B1753" s="68" t="n">
        <v>45871</v>
      </c>
      <c r="C1753" s="69" t="n">
        <v>2025</v>
      </c>
      <c r="D1753" t="inlineStr">
        <is>
          <t>Aug</t>
        </is>
      </c>
      <c r="E1753" t="inlineStr">
        <is>
          <t>Europe</t>
        </is>
      </c>
      <c r="F1753" t="inlineStr">
        <is>
          <t>France</t>
        </is>
      </c>
      <c r="G1753" t="inlineStr">
        <is>
          <t>Vyndaqel</t>
        </is>
      </c>
      <c r="H1753" t="inlineStr">
        <is>
          <t>Retail pharmacy</t>
        </is>
      </c>
      <c r="I1753" t="inlineStr">
        <is>
          <t>Public payer</t>
        </is>
      </c>
      <c r="J1753" t="inlineStr">
        <is>
          <t>Aisha Bello</t>
        </is>
      </c>
      <c r="K1753" s="70" t="n">
        <v>277</v>
      </c>
      <c r="L1753" s="71" t="n">
        <v>5288.52</v>
      </c>
      <c r="M1753" s="71" t="n">
        <v>1464920.04</v>
      </c>
      <c r="N1753" s="71" t="n">
        <v>292984.01</v>
      </c>
      <c r="O1753" s="71" t="n">
        <v>1171936.03</v>
      </c>
      <c r="P1753" s="71" t="n">
        <v>179129.54</v>
      </c>
      <c r="Q1753" s="71" t="n">
        <v>992806.49</v>
      </c>
      <c r="R1753" t="inlineStr">
        <is>
          <t>Rare disease</t>
        </is>
      </c>
      <c r="S1753" s="70" t="n">
        <v>262</v>
      </c>
      <c r="T1753" s="71" t="n">
        <v>195007.2</v>
      </c>
      <c r="U1753" t="inlineStr">
        <is>
          <t>Medium</t>
        </is>
      </c>
      <c r="V1753">
        <f>IF(AND(OR(Dashboard!$C$6="All",E1753=Dashboard!$C$6),OR(Dashboard!$F$6="All",G1753=Dashboard!$F$6),OR(Dashboard!$I$6="All",H1753=Dashboard!$I$6)),1,0)</f>
        <v/>
      </c>
    </row>
    <row r="1754">
      <c r="A1754" t="inlineStr">
        <is>
          <t>PF101745</t>
        </is>
      </c>
      <c r="B1754" s="68" t="n">
        <v>45872</v>
      </c>
      <c r="C1754" s="69" t="n">
        <v>2025</v>
      </c>
      <c r="D1754" t="inlineStr">
        <is>
          <t>Aug</t>
        </is>
      </c>
      <c r="E1754" t="inlineStr">
        <is>
          <t>Emerging markets</t>
        </is>
      </c>
      <c r="F1754" t="inlineStr">
        <is>
          <t>India</t>
        </is>
      </c>
      <c r="G1754" t="inlineStr">
        <is>
          <t>Vyndaqel</t>
        </is>
      </c>
      <c r="H1754" t="inlineStr">
        <is>
          <t>Hospital</t>
        </is>
      </c>
      <c r="I1754" t="inlineStr">
        <is>
          <t>Private insurer</t>
        </is>
      </c>
      <c r="J1754" t="inlineStr">
        <is>
          <t>Sara Rossi</t>
        </is>
      </c>
      <c r="K1754" s="70" t="n">
        <v>249</v>
      </c>
      <c r="L1754" s="71" t="n">
        <v>5609.77</v>
      </c>
      <c r="M1754" s="71" t="n">
        <v>1396832.73</v>
      </c>
      <c r="N1754" s="71" t="n">
        <v>279366.55</v>
      </c>
      <c r="O1754" s="71" t="n">
        <v>1117466.18</v>
      </c>
      <c r="P1754" s="71" t="n">
        <v>157514.1</v>
      </c>
      <c r="Q1754" s="71" t="n">
        <v>959952.08</v>
      </c>
      <c r="R1754" t="inlineStr">
        <is>
          <t>Rare disease</t>
        </is>
      </c>
      <c r="S1754" s="70" t="n">
        <v>184</v>
      </c>
      <c r="T1754" s="71" t="n">
        <v>285645.64</v>
      </c>
      <c r="U1754" t="inlineStr">
        <is>
          <t>Medium</t>
        </is>
      </c>
      <c r="V1754">
        <f>IF(AND(OR(Dashboard!$C$6="All",E1754=Dashboard!$C$6),OR(Dashboard!$F$6="All",G1754=Dashboard!$F$6),OR(Dashboard!$I$6="All",H1754=Dashboard!$I$6)),1,0)</f>
        <v/>
      </c>
    </row>
    <row r="1755">
      <c r="A1755" t="inlineStr">
        <is>
          <t>PF101746</t>
        </is>
      </c>
      <c r="B1755" s="68" t="n">
        <v>45872</v>
      </c>
      <c r="C1755" s="69" t="n">
        <v>2025</v>
      </c>
      <c r="D1755" t="inlineStr">
        <is>
          <t>Aug</t>
        </is>
      </c>
      <c r="E1755" t="inlineStr">
        <is>
          <t>United States</t>
        </is>
      </c>
      <c r="F1755" t="inlineStr">
        <is>
          <t>USA</t>
        </is>
      </c>
      <c r="G1755" t="inlineStr">
        <is>
          <t>Prevnar 20</t>
        </is>
      </c>
      <c r="H1755" t="inlineStr">
        <is>
          <t>Retail pharmacy</t>
        </is>
      </c>
      <c r="I1755" t="inlineStr">
        <is>
          <t>Private insurer</t>
        </is>
      </c>
      <c r="J1755" t="inlineStr">
        <is>
          <t>Carlos Silva</t>
        </is>
      </c>
      <c r="K1755" s="70" t="n">
        <v>958</v>
      </c>
      <c r="L1755" s="71" t="n">
        <v>378.64</v>
      </c>
      <c r="M1755" s="71" t="n">
        <v>362737.12</v>
      </c>
      <c r="N1755" s="71" t="n">
        <v>108821.14</v>
      </c>
      <c r="O1755" s="71" t="n">
        <v>253915.98</v>
      </c>
      <c r="P1755" s="71" t="n">
        <v>67486.34</v>
      </c>
      <c r="Q1755" s="71" t="n">
        <v>186429.64</v>
      </c>
      <c r="R1755" t="inlineStr">
        <is>
          <t>Vaccines</t>
        </is>
      </c>
      <c r="S1755" s="70" t="n">
        <v>809</v>
      </c>
      <c r="T1755" s="71" t="n">
        <v>53453.24</v>
      </c>
      <c r="U1755" t="inlineStr">
        <is>
          <t>Low</t>
        </is>
      </c>
      <c r="V1755">
        <f>IF(AND(OR(Dashboard!$C$6="All",E1755=Dashboard!$C$6),OR(Dashboard!$F$6="All",G1755=Dashboard!$F$6),OR(Dashboard!$I$6="All",H1755=Dashboard!$I$6)),1,0)</f>
        <v/>
      </c>
    </row>
    <row r="1756">
      <c r="A1756" t="inlineStr">
        <is>
          <t>PF101747</t>
        </is>
      </c>
      <c r="B1756" s="68" t="n">
        <v>45872</v>
      </c>
      <c r="C1756" s="69" t="n">
        <v>2025</v>
      </c>
      <c r="D1756" t="inlineStr">
        <is>
          <t>Aug</t>
        </is>
      </c>
      <c r="E1756" t="inlineStr">
        <is>
          <t>Emerging markets</t>
        </is>
      </c>
      <c r="F1756" t="inlineStr">
        <is>
          <t>China</t>
        </is>
      </c>
      <c r="G1756" t="inlineStr">
        <is>
          <t>Comirnaty</t>
        </is>
      </c>
      <c r="H1756" t="inlineStr">
        <is>
          <t>Government / tender</t>
        </is>
      </c>
      <c r="I1756" t="inlineStr">
        <is>
          <t>Public payer</t>
        </is>
      </c>
      <c r="J1756" t="inlineStr">
        <is>
          <t>Zoya Ahmed</t>
        </is>
      </c>
      <c r="K1756" s="70" t="n">
        <v>1425</v>
      </c>
      <c r="L1756" s="71" t="n">
        <v>104.32</v>
      </c>
      <c r="M1756" s="71" t="n">
        <v>148656</v>
      </c>
      <c r="N1756" s="71" t="n">
        <v>29731.2</v>
      </c>
      <c r="O1756" s="71" t="n">
        <v>118924.8</v>
      </c>
      <c r="P1756" s="71" t="n">
        <v>52915.33</v>
      </c>
      <c r="Q1756" s="71" t="n">
        <v>66009.47</v>
      </c>
      <c r="R1756" t="inlineStr">
        <is>
          <t>Vaccines</t>
        </is>
      </c>
      <c r="S1756" s="70" t="n">
        <v>1196</v>
      </c>
      <c r="T1756" s="71" t="n">
        <v>18067.89</v>
      </c>
      <c r="U1756" t="inlineStr">
        <is>
          <t>Low</t>
        </is>
      </c>
      <c r="V1756">
        <f>IF(AND(OR(Dashboard!$C$6="All",E1756=Dashboard!$C$6),OR(Dashboard!$F$6="All",G1756=Dashboard!$F$6),OR(Dashboard!$I$6="All",H1756=Dashboard!$I$6)),1,0)</f>
        <v/>
      </c>
    </row>
    <row r="1757">
      <c r="A1757" t="inlineStr">
        <is>
          <t>PF101748</t>
        </is>
      </c>
      <c r="B1757" s="68" t="n">
        <v>45872</v>
      </c>
      <c r="C1757" s="69" t="n">
        <v>2025</v>
      </c>
      <c r="D1757" t="inlineStr">
        <is>
          <t>Aug</t>
        </is>
      </c>
      <c r="E1757" t="inlineStr">
        <is>
          <t>United States</t>
        </is>
      </c>
      <c r="F1757" t="inlineStr">
        <is>
          <t>USA</t>
        </is>
      </c>
      <c r="G1757" t="inlineStr">
        <is>
          <t>Prevnar 20</t>
        </is>
      </c>
      <c r="H1757" t="inlineStr">
        <is>
          <t>Hospital</t>
        </is>
      </c>
      <c r="I1757" t="inlineStr">
        <is>
          <t>Private insurer</t>
        </is>
      </c>
      <c r="J1757" t="inlineStr">
        <is>
          <t>Omar Haddad</t>
        </is>
      </c>
      <c r="K1757" s="70" t="n">
        <v>1860</v>
      </c>
      <c r="L1757" s="71" t="n">
        <v>331.79</v>
      </c>
      <c r="M1757" s="71" t="n">
        <v>617129.4</v>
      </c>
      <c r="N1757" s="71" t="n">
        <v>215995.29</v>
      </c>
      <c r="O1757" s="71" t="n">
        <v>401134.11</v>
      </c>
      <c r="P1757" s="71" t="n">
        <v>130729.28</v>
      </c>
      <c r="Q1757" s="71" t="n">
        <v>270404.83</v>
      </c>
      <c r="R1757" t="inlineStr">
        <is>
          <t>Vaccines</t>
        </is>
      </c>
      <c r="S1757" s="70" t="n">
        <v>1444</v>
      </c>
      <c r="T1757" s="71" t="n">
        <v>89688.84</v>
      </c>
      <c r="U1757" t="inlineStr">
        <is>
          <t>Low</t>
        </is>
      </c>
      <c r="V1757">
        <f>IF(AND(OR(Dashboard!$C$6="All",E1757=Dashboard!$C$6),OR(Dashboard!$F$6="All",G1757=Dashboard!$F$6),OR(Dashboard!$I$6="All",H1757=Dashboard!$I$6)),1,0)</f>
        <v/>
      </c>
    </row>
    <row r="1758">
      <c r="A1758" t="inlineStr">
        <is>
          <t>PF101749</t>
        </is>
      </c>
      <c r="B1758" s="68" t="n">
        <v>45872</v>
      </c>
      <c r="C1758" s="69" t="n">
        <v>2025</v>
      </c>
      <c r="D1758" t="inlineStr">
        <is>
          <t>Aug</t>
        </is>
      </c>
      <c r="E1758" t="inlineStr">
        <is>
          <t>United States</t>
        </is>
      </c>
      <c r="F1758" t="inlineStr">
        <is>
          <t>USA</t>
        </is>
      </c>
      <c r="G1758" t="inlineStr">
        <is>
          <t>Ibrance</t>
        </is>
      </c>
      <c r="H1758" t="inlineStr">
        <is>
          <t>Retail pharmacy</t>
        </is>
      </c>
      <c r="I1758" t="inlineStr">
        <is>
          <t>Private insurer</t>
        </is>
      </c>
      <c r="J1758" t="inlineStr">
        <is>
          <t>Wei Chen</t>
        </is>
      </c>
      <c r="K1758" s="70" t="n">
        <v>2991</v>
      </c>
      <c r="L1758" s="71" t="n">
        <v>4451.84</v>
      </c>
      <c r="M1758" s="71" t="n">
        <v>13315453.44</v>
      </c>
      <c r="N1758" s="71" t="n">
        <v>3994636.03</v>
      </c>
      <c r="O1758" s="71" t="n">
        <v>9320817.41</v>
      </c>
      <c r="P1758" s="71" t="n">
        <v>1323509.93</v>
      </c>
      <c r="Q1758" s="71" t="n">
        <v>7997307.48</v>
      </c>
      <c r="R1758" t="inlineStr">
        <is>
          <t>Oncology</t>
        </is>
      </c>
      <c r="S1758" s="70" t="n">
        <v>1931</v>
      </c>
      <c r="T1758" s="71" t="n">
        <v>2869864.24</v>
      </c>
      <c r="U1758" t="inlineStr">
        <is>
          <t>High</t>
        </is>
      </c>
      <c r="V1758">
        <f>IF(AND(OR(Dashboard!$C$6="All",E1758=Dashboard!$C$6),OR(Dashboard!$F$6="All",G1758=Dashboard!$F$6),OR(Dashboard!$I$6="All",H1758=Dashboard!$I$6)),1,0)</f>
        <v/>
      </c>
    </row>
    <row r="1759">
      <c r="A1759" t="inlineStr">
        <is>
          <t>PF101750</t>
        </is>
      </c>
      <c r="B1759" s="68" t="n">
        <v>45872</v>
      </c>
      <c r="C1759" s="69" t="n">
        <v>2025</v>
      </c>
      <c r="D1759" t="inlineStr">
        <is>
          <t>Aug</t>
        </is>
      </c>
      <c r="E1759" t="inlineStr">
        <is>
          <t>Europe</t>
        </is>
      </c>
      <c r="F1759" t="inlineStr">
        <is>
          <t>France</t>
        </is>
      </c>
      <c r="G1759" t="inlineStr">
        <is>
          <t>Eliquis</t>
        </is>
      </c>
      <c r="H1759" t="inlineStr">
        <is>
          <t>Hospital</t>
        </is>
      </c>
      <c r="I1759" t="inlineStr">
        <is>
          <t>Self-pay</t>
        </is>
      </c>
      <c r="J1759" t="inlineStr">
        <is>
          <t>Olivia Brown</t>
        </is>
      </c>
      <c r="K1759" s="70" t="n">
        <v>197</v>
      </c>
      <c r="L1759" s="71" t="n">
        <v>381.8</v>
      </c>
      <c r="M1759" s="71" t="n">
        <v>75214.60000000001</v>
      </c>
      <c r="N1759" s="71" t="n">
        <v>15042.92</v>
      </c>
      <c r="O1759" s="71" t="n">
        <v>60171.68</v>
      </c>
      <c r="P1759" s="71" t="n">
        <v>14515.39</v>
      </c>
      <c r="Q1759" s="71" t="n">
        <v>45656.29</v>
      </c>
      <c r="R1759" t="inlineStr">
        <is>
          <t>Cardiology</t>
        </is>
      </c>
      <c r="S1759" s="70" t="n">
        <v>153</v>
      </c>
      <c r="T1759" s="71" t="n">
        <v>16319.82</v>
      </c>
      <c r="U1759" t="inlineStr">
        <is>
          <t>High</t>
        </is>
      </c>
      <c r="V1759">
        <f>IF(AND(OR(Dashboard!$C$6="All",E1759=Dashboard!$C$6),OR(Dashboard!$F$6="All",G1759=Dashboard!$F$6),OR(Dashboard!$I$6="All",H1759=Dashboard!$I$6)),1,0)</f>
        <v/>
      </c>
    </row>
    <row r="1760">
      <c r="A1760" t="inlineStr">
        <is>
          <t>PF101751</t>
        </is>
      </c>
      <c r="B1760" s="68" t="n">
        <v>45872</v>
      </c>
      <c r="C1760" s="69" t="n">
        <v>2025</v>
      </c>
      <c r="D1760" t="inlineStr">
        <is>
          <t>Aug</t>
        </is>
      </c>
      <c r="E1760" t="inlineStr">
        <is>
          <t>Europe</t>
        </is>
      </c>
      <c r="F1760" t="inlineStr">
        <is>
          <t>Italy</t>
        </is>
      </c>
      <c r="G1760" t="inlineStr">
        <is>
          <t>Vyndaqel</t>
        </is>
      </c>
      <c r="H1760" t="inlineStr">
        <is>
          <t>Hospital</t>
        </is>
      </c>
      <c r="I1760" t="inlineStr">
        <is>
          <t>Public payer</t>
        </is>
      </c>
      <c r="J1760" t="inlineStr">
        <is>
          <t>Sophie Müller</t>
        </is>
      </c>
      <c r="K1760" s="70" t="n">
        <v>1108</v>
      </c>
      <c r="L1760" s="71" t="n">
        <v>5574.88</v>
      </c>
      <c r="M1760" s="71" t="n">
        <v>6176967.04</v>
      </c>
      <c r="N1760" s="71" t="n">
        <v>926545.0600000001</v>
      </c>
      <c r="O1760" s="71" t="n">
        <v>5250421.98</v>
      </c>
      <c r="P1760" s="71" t="n">
        <v>707757.34</v>
      </c>
      <c r="Q1760" s="71" t="n">
        <v>4542664.64</v>
      </c>
      <c r="R1760" t="inlineStr">
        <is>
          <t>Rare disease</t>
        </is>
      </c>
      <c r="S1760" s="70" t="n">
        <v>844</v>
      </c>
      <c r="T1760" s="71" t="n">
        <v>1354350.74</v>
      </c>
      <c r="U1760" t="inlineStr">
        <is>
          <t>Medium</t>
        </is>
      </c>
      <c r="V1760">
        <f>IF(AND(OR(Dashboard!$C$6="All",E1760=Dashboard!$C$6),OR(Dashboard!$F$6="All",G1760=Dashboard!$F$6),OR(Dashboard!$I$6="All",H1760=Dashboard!$I$6)),1,0)</f>
        <v/>
      </c>
    </row>
    <row r="1761">
      <c r="A1761" t="inlineStr">
        <is>
          <t>PF101752</t>
        </is>
      </c>
      <c r="B1761" s="68" t="n">
        <v>45872</v>
      </c>
      <c r="C1761" s="69" t="n">
        <v>2025</v>
      </c>
      <c r="D1761" t="inlineStr">
        <is>
          <t>Aug</t>
        </is>
      </c>
      <c r="E1761" t="inlineStr">
        <is>
          <t>International developed</t>
        </is>
      </c>
      <c r="F1761" t="inlineStr">
        <is>
          <t>Japan</t>
        </is>
      </c>
      <c r="G1761" t="inlineStr">
        <is>
          <t>Eliquis</t>
        </is>
      </c>
      <c r="H1761" t="inlineStr">
        <is>
          <t>Government / tender</t>
        </is>
      </c>
      <c r="I1761" t="inlineStr">
        <is>
          <t>Private insurer</t>
        </is>
      </c>
      <c r="J1761" t="inlineStr">
        <is>
          <t>Noah Smith</t>
        </is>
      </c>
      <c r="K1761" s="70" t="n">
        <v>1340</v>
      </c>
      <c r="L1761" s="71" t="n">
        <v>448.2</v>
      </c>
      <c r="M1761" s="71" t="n">
        <v>600588</v>
      </c>
      <c r="N1761" s="71" t="n">
        <v>150147</v>
      </c>
      <c r="O1761" s="71" t="n">
        <v>450441</v>
      </c>
      <c r="P1761" s="71" t="n">
        <v>98505.06</v>
      </c>
      <c r="Q1761" s="71" t="n">
        <v>351935.94</v>
      </c>
      <c r="R1761" t="inlineStr">
        <is>
          <t>Cardiology</t>
        </is>
      </c>
      <c r="S1761" s="70" t="n">
        <v>1117</v>
      </c>
      <c r="T1761" s="71" t="n">
        <v>111053.2</v>
      </c>
      <c r="U1761" t="inlineStr">
        <is>
          <t>High</t>
        </is>
      </c>
      <c r="V1761">
        <f>IF(AND(OR(Dashboard!$C$6="All",E1761=Dashboard!$C$6),OR(Dashboard!$F$6="All",G1761=Dashboard!$F$6),OR(Dashboard!$I$6="All",H1761=Dashboard!$I$6)),1,0)</f>
        <v/>
      </c>
    </row>
    <row r="1762">
      <c r="A1762" t="inlineStr">
        <is>
          <t>PF101753</t>
        </is>
      </c>
      <c r="B1762" s="68" t="n">
        <v>45872</v>
      </c>
      <c r="C1762" s="69" t="n">
        <v>2025</v>
      </c>
      <c r="D1762" t="inlineStr">
        <is>
          <t>Aug</t>
        </is>
      </c>
      <c r="E1762" t="inlineStr">
        <is>
          <t>United States</t>
        </is>
      </c>
      <c r="F1762" t="inlineStr">
        <is>
          <t>USA</t>
        </is>
      </c>
      <c r="G1762" t="inlineStr">
        <is>
          <t>Vyndaqel</t>
        </is>
      </c>
      <c r="H1762" t="inlineStr">
        <is>
          <t>Hospital</t>
        </is>
      </c>
      <c r="I1762" t="inlineStr">
        <is>
          <t>Public payer</t>
        </is>
      </c>
      <c r="J1762" t="inlineStr">
        <is>
          <t>Ana Costa</t>
        </is>
      </c>
      <c r="K1762" s="70" t="n">
        <v>1820</v>
      </c>
      <c r="L1762" s="71" t="n">
        <v>7878.1</v>
      </c>
      <c r="M1762" s="71" t="n">
        <v>14338142</v>
      </c>
      <c r="N1762" s="71" t="n">
        <v>4301442.6</v>
      </c>
      <c r="O1762" s="71" t="n">
        <v>10036699.4</v>
      </c>
      <c r="P1762" s="71" t="n">
        <v>1153888.01</v>
      </c>
      <c r="Q1762" s="71" t="n">
        <v>8882811.390000001</v>
      </c>
      <c r="R1762" t="inlineStr">
        <is>
          <t>Rare disease</t>
        </is>
      </c>
      <c r="S1762" s="70" t="n">
        <v>1374</v>
      </c>
      <c r="T1762" s="71" t="n">
        <v>2142711.16</v>
      </c>
      <c r="U1762" t="inlineStr">
        <is>
          <t>Medium</t>
        </is>
      </c>
      <c r="V1762">
        <f>IF(AND(OR(Dashboard!$C$6="All",E1762=Dashboard!$C$6),OR(Dashboard!$F$6="All",G1762=Dashboard!$F$6),OR(Dashboard!$I$6="All",H1762=Dashboard!$I$6)),1,0)</f>
        <v/>
      </c>
    </row>
    <row r="1763">
      <c r="A1763" t="inlineStr">
        <is>
          <t>PF101754</t>
        </is>
      </c>
      <c r="B1763" s="68" t="n">
        <v>45872</v>
      </c>
      <c r="C1763" s="69" t="n">
        <v>2025</v>
      </c>
      <c r="D1763" t="inlineStr">
        <is>
          <t>Aug</t>
        </is>
      </c>
      <c r="E1763" t="inlineStr">
        <is>
          <t>United States</t>
        </is>
      </c>
      <c r="F1763" t="inlineStr">
        <is>
          <t>USA</t>
        </is>
      </c>
      <c r="G1763" t="inlineStr">
        <is>
          <t>Paxlovid</t>
        </is>
      </c>
      <c r="H1763" t="inlineStr">
        <is>
          <t>Retail pharmacy</t>
        </is>
      </c>
      <c r="I1763" t="inlineStr">
        <is>
          <t>Public payer</t>
        </is>
      </c>
      <c r="J1763" t="inlineStr">
        <is>
          <t>Ravindra Patil</t>
        </is>
      </c>
      <c r="K1763" s="70" t="n">
        <v>2116</v>
      </c>
      <c r="L1763" s="71" t="n">
        <v>1815.02</v>
      </c>
      <c r="M1763" s="71" t="n">
        <v>3840582.32</v>
      </c>
      <c r="N1763" s="71" t="n">
        <v>1344203.81</v>
      </c>
      <c r="O1763" s="71" t="n">
        <v>2496378.51</v>
      </c>
      <c r="P1763" s="71" t="n">
        <v>571944.61</v>
      </c>
      <c r="Q1763" s="71" t="n">
        <v>1924433.9</v>
      </c>
      <c r="R1763" t="inlineStr">
        <is>
          <t>Antiviral</t>
        </is>
      </c>
      <c r="S1763" s="70" t="n">
        <v>2061</v>
      </c>
      <c r="T1763" s="71" t="n">
        <v>793730.47</v>
      </c>
      <c r="U1763" t="inlineStr">
        <is>
          <t>Low</t>
        </is>
      </c>
      <c r="V1763">
        <f>IF(AND(OR(Dashboard!$C$6="All",E1763=Dashboard!$C$6),OR(Dashboard!$F$6="All",G1763=Dashboard!$F$6),OR(Dashboard!$I$6="All",H1763=Dashboard!$I$6)),1,0)</f>
        <v/>
      </c>
    </row>
    <row r="1764">
      <c r="A1764" t="inlineStr">
        <is>
          <t>PF101755</t>
        </is>
      </c>
      <c r="B1764" s="68" t="n">
        <v>45872</v>
      </c>
      <c r="C1764" s="69" t="n">
        <v>2025</v>
      </c>
      <c r="D1764" t="inlineStr">
        <is>
          <t>Aug</t>
        </is>
      </c>
      <c r="E1764" t="inlineStr">
        <is>
          <t>Emerging markets</t>
        </is>
      </c>
      <c r="F1764" t="inlineStr">
        <is>
          <t>Brazil</t>
        </is>
      </c>
      <c r="G1764" t="inlineStr">
        <is>
          <t>Xeljanz</t>
        </is>
      </c>
      <c r="H1764" t="inlineStr">
        <is>
          <t>Retail pharmacy</t>
        </is>
      </c>
      <c r="I1764" t="inlineStr">
        <is>
          <t>Private insurer</t>
        </is>
      </c>
      <c r="J1764" t="inlineStr">
        <is>
          <t>Yuki Sato</t>
        </is>
      </c>
      <c r="K1764" s="70" t="n">
        <v>2917</v>
      </c>
      <c r="L1764" s="71" t="n">
        <v>1376.59</v>
      </c>
      <c r="M1764" s="71" t="n">
        <v>4015513.03</v>
      </c>
      <c r="N1764" s="71" t="n">
        <v>401551.3</v>
      </c>
      <c r="O1764" s="71" t="n">
        <v>3613961.73</v>
      </c>
      <c r="P1764" s="71" t="n">
        <v>763547.24</v>
      </c>
      <c r="Q1764" s="71" t="n">
        <v>2850414.49</v>
      </c>
      <c r="R1764" t="inlineStr">
        <is>
          <t>Inflammation</t>
        </is>
      </c>
      <c r="S1764" s="70" t="n">
        <v>2619</v>
      </c>
      <c r="T1764" s="71" t="n">
        <v>640453.7</v>
      </c>
      <c r="U1764" t="inlineStr">
        <is>
          <t>High</t>
        </is>
      </c>
      <c r="V1764">
        <f>IF(AND(OR(Dashboard!$C$6="All",E1764=Dashboard!$C$6),OR(Dashboard!$F$6="All",G1764=Dashboard!$F$6),OR(Dashboard!$I$6="All",H1764=Dashboard!$I$6)),1,0)</f>
        <v/>
      </c>
    </row>
    <row r="1765">
      <c r="A1765" t="inlineStr">
        <is>
          <t>PF101756</t>
        </is>
      </c>
      <c r="B1765" s="68" t="n">
        <v>45873</v>
      </c>
      <c r="C1765" s="69" t="n">
        <v>2025</v>
      </c>
      <c r="D1765" t="inlineStr">
        <is>
          <t>Aug</t>
        </is>
      </c>
      <c r="E1765" t="inlineStr">
        <is>
          <t>United States</t>
        </is>
      </c>
      <c r="F1765" t="inlineStr">
        <is>
          <t>USA</t>
        </is>
      </c>
      <c r="G1765" t="inlineStr">
        <is>
          <t>Paxlovid</t>
        </is>
      </c>
      <c r="H1765" t="inlineStr">
        <is>
          <t>Government / tender</t>
        </is>
      </c>
      <c r="I1765" t="inlineStr">
        <is>
          <t>Public payer</t>
        </is>
      </c>
      <c r="J1765" t="inlineStr">
        <is>
          <t>Arjun Mehta</t>
        </is>
      </c>
      <c r="K1765" s="70" t="n">
        <v>1960</v>
      </c>
      <c r="L1765" s="71" t="n">
        <v>1867.65</v>
      </c>
      <c r="M1765" s="71" t="n">
        <v>3660594</v>
      </c>
      <c r="N1765" s="71" t="n">
        <v>1281207.9</v>
      </c>
      <c r="O1765" s="71" t="n">
        <v>2379386.1</v>
      </c>
      <c r="P1765" s="71" t="n">
        <v>552476.14</v>
      </c>
      <c r="Q1765" s="71" t="n">
        <v>1826909.96</v>
      </c>
      <c r="R1765" t="inlineStr">
        <is>
          <t>Antiviral</t>
        </is>
      </c>
      <c r="S1765" s="70" t="n">
        <v>1273</v>
      </c>
      <c r="T1765" s="71" t="n">
        <v>607396.7</v>
      </c>
      <c r="U1765" t="inlineStr">
        <is>
          <t>Low</t>
        </is>
      </c>
      <c r="V1765">
        <f>IF(AND(OR(Dashboard!$C$6="All",E1765=Dashboard!$C$6),OR(Dashboard!$F$6="All",G1765=Dashboard!$F$6),OR(Dashboard!$I$6="All",H1765=Dashboard!$I$6)),1,0)</f>
        <v/>
      </c>
    </row>
    <row r="1766">
      <c r="A1766" t="inlineStr">
        <is>
          <t>PF101757</t>
        </is>
      </c>
      <c r="B1766" s="68" t="n">
        <v>45873</v>
      </c>
      <c r="C1766" s="69" t="n">
        <v>2025</v>
      </c>
      <c r="D1766" t="inlineStr">
        <is>
          <t>Aug</t>
        </is>
      </c>
      <c r="E1766" t="inlineStr">
        <is>
          <t>United States</t>
        </is>
      </c>
      <c r="F1766" t="inlineStr">
        <is>
          <t>USA</t>
        </is>
      </c>
      <c r="G1766" t="inlineStr">
        <is>
          <t>Prevnar 20</t>
        </is>
      </c>
      <c r="H1766" t="inlineStr">
        <is>
          <t>Retail pharmacy</t>
        </is>
      </c>
      <c r="I1766" t="inlineStr">
        <is>
          <t>Private insurer</t>
        </is>
      </c>
      <c r="J1766" t="inlineStr">
        <is>
          <t>Ana Costa</t>
        </is>
      </c>
      <c r="K1766" s="70" t="n">
        <v>100</v>
      </c>
      <c r="L1766" s="71" t="n">
        <v>384</v>
      </c>
      <c r="M1766" s="71" t="n">
        <v>38400</v>
      </c>
      <c r="N1766" s="71" t="n">
        <v>7680</v>
      </c>
      <c r="O1766" s="71" t="n">
        <v>30720</v>
      </c>
      <c r="P1766" s="71" t="n">
        <v>7134.16</v>
      </c>
      <c r="Q1766" s="71" t="n">
        <v>23585.84</v>
      </c>
      <c r="R1766" t="inlineStr">
        <is>
          <t>Vaccines</t>
        </is>
      </c>
      <c r="S1766" s="70" t="n">
        <v>82</v>
      </c>
      <c r="T1766" s="71" t="n">
        <v>5738.55</v>
      </c>
      <c r="U1766" t="inlineStr">
        <is>
          <t>Low</t>
        </is>
      </c>
      <c r="V1766">
        <f>IF(AND(OR(Dashboard!$C$6="All",E1766=Dashboard!$C$6),OR(Dashboard!$F$6="All",G1766=Dashboard!$F$6),OR(Dashboard!$I$6="All",H1766=Dashboard!$I$6)),1,0)</f>
        <v/>
      </c>
    </row>
    <row r="1767">
      <c r="A1767" t="inlineStr">
        <is>
          <t>PF101758</t>
        </is>
      </c>
      <c r="B1767" s="68" t="n">
        <v>45873</v>
      </c>
      <c r="C1767" s="69" t="n">
        <v>2025</v>
      </c>
      <c r="D1767" t="inlineStr">
        <is>
          <t>Aug</t>
        </is>
      </c>
      <c r="E1767" t="inlineStr">
        <is>
          <t>United States</t>
        </is>
      </c>
      <c r="F1767" t="inlineStr">
        <is>
          <t>USA</t>
        </is>
      </c>
      <c r="G1767" t="inlineStr">
        <is>
          <t>Comirnaty</t>
        </is>
      </c>
      <c r="H1767" t="inlineStr">
        <is>
          <t>Government / tender</t>
        </is>
      </c>
      <c r="I1767" t="inlineStr">
        <is>
          <t>Public payer</t>
        </is>
      </c>
      <c r="J1767" t="inlineStr">
        <is>
          <t>Ruhi Shaikh</t>
        </is>
      </c>
      <c r="K1767" s="70" t="n">
        <v>2513</v>
      </c>
      <c r="L1767" s="71" t="n">
        <v>176.24</v>
      </c>
      <c r="M1767" s="71" t="n">
        <v>442891.12</v>
      </c>
      <c r="N1767" s="71" t="n">
        <v>66433.67</v>
      </c>
      <c r="O1767" s="71" t="n">
        <v>376457.45</v>
      </c>
      <c r="P1767" s="71" t="n">
        <v>94205.47</v>
      </c>
      <c r="Q1767" s="71" t="n">
        <v>282251.98</v>
      </c>
      <c r="R1767" t="inlineStr">
        <is>
          <t>Vaccines</t>
        </is>
      </c>
      <c r="S1767" s="70" t="n">
        <v>2161</v>
      </c>
      <c r="T1767" s="71" t="n">
        <v>62808.91</v>
      </c>
      <c r="U1767" t="inlineStr">
        <is>
          <t>Low</t>
        </is>
      </c>
      <c r="V1767">
        <f>IF(AND(OR(Dashboard!$C$6="All",E1767=Dashboard!$C$6),OR(Dashboard!$F$6="All",G1767=Dashboard!$F$6),OR(Dashboard!$I$6="All",H1767=Dashboard!$I$6)),1,0)</f>
        <v/>
      </c>
    </row>
    <row r="1768">
      <c r="A1768" t="inlineStr">
        <is>
          <t>PF101759</t>
        </is>
      </c>
      <c r="B1768" s="68" t="n">
        <v>45873</v>
      </c>
      <c r="C1768" s="69" t="n">
        <v>2025</v>
      </c>
      <c r="D1768" t="inlineStr">
        <is>
          <t>Aug</t>
        </is>
      </c>
      <c r="E1768" t="inlineStr">
        <is>
          <t>United States</t>
        </is>
      </c>
      <c r="F1768" t="inlineStr">
        <is>
          <t>USA</t>
        </is>
      </c>
      <c r="G1768" t="inlineStr">
        <is>
          <t>Paxlovid</t>
        </is>
      </c>
      <c r="H1768" t="inlineStr">
        <is>
          <t>Retail pharmacy</t>
        </is>
      </c>
      <c r="I1768" t="inlineStr">
        <is>
          <t>Public payer</t>
        </is>
      </c>
      <c r="J1768" t="inlineStr">
        <is>
          <t>Fatima Al-Saud</t>
        </is>
      </c>
      <c r="K1768" s="70" t="n">
        <v>408</v>
      </c>
      <c r="L1768" s="71" t="n">
        <v>1909.76</v>
      </c>
      <c r="M1768" s="71" t="n">
        <v>779182.08</v>
      </c>
      <c r="N1768" s="71" t="n">
        <v>116877.31</v>
      </c>
      <c r="O1768" s="71" t="n">
        <v>662304.77</v>
      </c>
      <c r="P1768" s="71" t="n">
        <v>115632.12</v>
      </c>
      <c r="Q1768" s="71" t="n">
        <v>546672.65</v>
      </c>
      <c r="R1768" t="inlineStr">
        <is>
          <t>Antiviral</t>
        </is>
      </c>
      <c r="S1768" s="70" t="n">
        <v>289</v>
      </c>
      <c r="T1768" s="71" t="n">
        <v>145247.18</v>
      </c>
      <c r="U1768" t="inlineStr">
        <is>
          <t>Low</t>
        </is>
      </c>
      <c r="V1768">
        <f>IF(AND(OR(Dashboard!$C$6="All",E1768=Dashboard!$C$6),OR(Dashboard!$F$6="All",G1768=Dashboard!$F$6),OR(Dashboard!$I$6="All",H1768=Dashboard!$I$6)),1,0)</f>
        <v/>
      </c>
    </row>
    <row r="1769">
      <c r="A1769" t="inlineStr">
        <is>
          <t>PF101760</t>
        </is>
      </c>
      <c r="B1769" s="68" t="n">
        <v>45873</v>
      </c>
      <c r="C1769" s="69" t="n">
        <v>2025</v>
      </c>
      <c r="D1769" t="inlineStr">
        <is>
          <t>Aug</t>
        </is>
      </c>
      <c r="E1769" t="inlineStr">
        <is>
          <t>International developed</t>
        </is>
      </c>
      <c r="F1769" t="inlineStr">
        <is>
          <t>Japan</t>
        </is>
      </c>
      <c r="G1769" t="inlineStr">
        <is>
          <t>Eliquis</t>
        </is>
      </c>
      <c r="H1769" t="inlineStr">
        <is>
          <t>Retail pharmacy</t>
        </is>
      </c>
      <c r="I1769" t="inlineStr">
        <is>
          <t>Private insurer</t>
        </is>
      </c>
      <c r="J1769" t="inlineStr">
        <is>
          <t>Fatima Al-Saud</t>
        </is>
      </c>
      <c r="K1769" s="70" t="n">
        <v>1167</v>
      </c>
      <c r="L1769" s="71" t="n">
        <v>417.93</v>
      </c>
      <c r="M1769" s="71" t="n">
        <v>487724.31</v>
      </c>
      <c r="N1769" s="71" t="n">
        <v>121931.08</v>
      </c>
      <c r="O1769" s="71" t="n">
        <v>365793.23</v>
      </c>
      <c r="P1769" s="71" t="n">
        <v>90547.58</v>
      </c>
      <c r="Q1769" s="71" t="n">
        <v>275245.65</v>
      </c>
      <c r="R1769" t="inlineStr">
        <is>
          <t>Cardiology</t>
        </is>
      </c>
      <c r="S1769" s="70" t="n">
        <v>1033</v>
      </c>
      <c r="T1769" s="71" t="n">
        <v>63408</v>
      </c>
      <c r="U1769" t="inlineStr">
        <is>
          <t>High</t>
        </is>
      </c>
      <c r="V1769">
        <f>IF(AND(OR(Dashboard!$C$6="All",E1769=Dashboard!$C$6),OR(Dashboard!$F$6="All",G1769=Dashboard!$F$6),OR(Dashboard!$I$6="All",H1769=Dashboard!$I$6)),1,0)</f>
        <v/>
      </c>
    </row>
    <row r="1770">
      <c r="A1770" t="inlineStr">
        <is>
          <t>PF101761</t>
        </is>
      </c>
      <c r="B1770" s="68" t="n">
        <v>45873</v>
      </c>
      <c r="C1770" s="69" t="n">
        <v>2025</v>
      </c>
      <c r="D1770" t="inlineStr">
        <is>
          <t>Aug</t>
        </is>
      </c>
      <c r="E1770" t="inlineStr">
        <is>
          <t>United States</t>
        </is>
      </c>
      <c r="F1770" t="inlineStr">
        <is>
          <t>USA</t>
        </is>
      </c>
      <c r="G1770" t="inlineStr">
        <is>
          <t>Abrysvo</t>
        </is>
      </c>
      <c r="H1770" t="inlineStr">
        <is>
          <t>Retail pharmacy</t>
        </is>
      </c>
      <c r="I1770" t="inlineStr">
        <is>
          <t>Private insurer</t>
        </is>
      </c>
      <c r="J1770" t="inlineStr">
        <is>
          <t>Olivia Brown</t>
        </is>
      </c>
      <c r="K1770" s="70" t="n">
        <v>160</v>
      </c>
      <c r="L1770" s="71" t="n">
        <v>437.7</v>
      </c>
      <c r="M1770" s="71" t="n">
        <v>70032</v>
      </c>
      <c r="N1770" s="71" t="n">
        <v>17508</v>
      </c>
      <c r="O1770" s="71" t="n">
        <v>52524</v>
      </c>
      <c r="P1770" s="71" t="n">
        <v>13694.45</v>
      </c>
      <c r="Q1770" s="71" t="n">
        <v>38829.55</v>
      </c>
      <c r="R1770" t="inlineStr">
        <is>
          <t>Vaccines</t>
        </is>
      </c>
      <c r="S1770" s="70" t="n">
        <v>111</v>
      </c>
      <c r="T1770" s="71" t="n">
        <v>10764.79</v>
      </c>
      <c r="U1770" t="inlineStr">
        <is>
          <t>Low</t>
        </is>
      </c>
      <c r="V1770">
        <f>IF(AND(OR(Dashboard!$C$6="All",E1770=Dashboard!$C$6),OR(Dashboard!$F$6="All",G1770=Dashboard!$F$6),OR(Dashboard!$I$6="All",H1770=Dashboard!$I$6)),1,0)</f>
        <v/>
      </c>
    </row>
    <row r="1771">
      <c r="A1771" t="inlineStr">
        <is>
          <t>PF101762</t>
        </is>
      </c>
      <c r="B1771" s="68" t="n">
        <v>45873</v>
      </c>
      <c r="C1771" s="69" t="n">
        <v>2025</v>
      </c>
      <c r="D1771" t="inlineStr">
        <is>
          <t>Aug</t>
        </is>
      </c>
      <c r="E1771" t="inlineStr">
        <is>
          <t>United States</t>
        </is>
      </c>
      <c r="F1771" t="inlineStr">
        <is>
          <t>USA</t>
        </is>
      </c>
      <c r="G1771" t="inlineStr">
        <is>
          <t>Comirnaty</t>
        </is>
      </c>
      <c r="H1771" t="inlineStr">
        <is>
          <t>Hospital</t>
        </is>
      </c>
      <c r="I1771" t="inlineStr">
        <is>
          <t>Public payer</t>
        </is>
      </c>
      <c r="J1771" t="inlineStr">
        <is>
          <t>Lucas Martin</t>
        </is>
      </c>
      <c r="K1771" s="70" t="n">
        <v>1059</v>
      </c>
      <c r="L1771" s="71" t="n">
        <v>180.62</v>
      </c>
      <c r="M1771" s="71" t="n">
        <v>191276.58</v>
      </c>
      <c r="N1771" s="71" t="n">
        <v>66946.8</v>
      </c>
      <c r="O1771" s="71" t="n">
        <v>124329.78</v>
      </c>
      <c r="P1771" s="71" t="n">
        <v>41178.51</v>
      </c>
      <c r="Q1771" s="71" t="n">
        <v>83151.27</v>
      </c>
      <c r="R1771" t="inlineStr">
        <is>
          <t>Vaccines</t>
        </is>
      </c>
      <c r="S1771" s="70" t="n">
        <v>962</v>
      </c>
      <c r="T1771" s="71" t="n">
        <v>24464.08</v>
      </c>
      <c r="U1771" t="inlineStr">
        <is>
          <t>Low</t>
        </is>
      </c>
      <c r="V1771">
        <f>IF(AND(OR(Dashboard!$C$6="All",E1771=Dashboard!$C$6),OR(Dashboard!$F$6="All",G1771=Dashboard!$F$6),OR(Dashboard!$I$6="All",H1771=Dashboard!$I$6)),1,0)</f>
        <v/>
      </c>
    </row>
    <row r="1772">
      <c r="A1772" t="inlineStr">
        <is>
          <t>PF101763</t>
        </is>
      </c>
      <c r="B1772" s="68" t="n">
        <v>45873</v>
      </c>
      <c r="C1772" s="69" t="n">
        <v>2025</v>
      </c>
      <c r="D1772" t="inlineStr">
        <is>
          <t>Aug</t>
        </is>
      </c>
      <c r="E1772" t="inlineStr">
        <is>
          <t>Emerging markets</t>
        </is>
      </c>
      <c r="F1772" t="inlineStr">
        <is>
          <t>Mexico</t>
        </is>
      </c>
      <c r="G1772" t="inlineStr">
        <is>
          <t>Eliquis</t>
        </is>
      </c>
      <c r="H1772" t="inlineStr">
        <is>
          <t>Government / tender</t>
        </is>
      </c>
      <c r="I1772" t="inlineStr">
        <is>
          <t>Public payer</t>
        </is>
      </c>
      <c r="J1772" t="inlineStr">
        <is>
          <t>Emma Clarke</t>
        </is>
      </c>
      <c r="K1772" s="70" t="n">
        <v>1578</v>
      </c>
      <c r="L1772" s="71" t="n">
        <v>454.59</v>
      </c>
      <c r="M1772" s="71" t="n">
        <v>717343.02</v>
      </c>
      <c r="N1772" s="71" t="n">
        <v>35867.15</v>
      </c>
      <c r="O1772" s="71" t="n">
        <v>681475.87</v>
      </c>
      <c r="P1772" s="71" t="n">
        <v>118931.25</v>
      </c>
      <c r="Q1772" s="71" t="n">
        <v>562544.62</v>
      </c>
      <c r="R1772" t="inlineStr">
        <is>
          <t>Cardiology</t>
        </is>
      </c>
      <c r="S1772" s="70" t="n">
        <v>1062</v>
      </c>
      <c r="T1772" s="71" t="n">
        <v>132237.71</v>
      </c>
      <c r="U1772" t="inlineStr">
        <is>
          <t>High</t>
        </is>
      </c>
      <c r="V1772">
        <f>IF(AND(OR(Dashboard!$C$6="All",E1772=Dashboard!$C$6),OR(Dashboard!$F$6="All",G1772=Dashboard!$F$6),OR(Dashboard!$I$6="All",H1772=Dashboard!$I$6)),1,0)</f>
        <v/>
      </c>
    </row>
    <row r="1773">
      <c r="A1773" t="inlineStr">
        <is>
          <t>PF101764</t>
        </is>
      </c>
      <c r="B1773" s="68" t="n">
        <v>45874</v>
      </c>
      <c r="C1773" s="69" t="n">
        <v>2025</v>
      </c>
      <c r="D1773" t="inlineStr">
        <is>
          <t>Aug</t>
        </is>
      </c>
      <c r="E1773" t="inlineStr">
        <is>
          <t>United States</t>
        </is>
      </c>
      <c r="F1773" t="inlineStr">
        <is>
          <t>USA</t>
        </is>
      </c>
      <c r="G1773" t="inlineStr">
        <is>
          <t>Comirnaty</t>
        </is>
      </c>
      <c r="H1773" t="inlineStr">
        <is>
          <t>Hospital</t>
        </is>
      </c>
      <c r="I1773" t="inlineStr">
        <is>
          <t>Private insurer</t>
        </is>
      </c>
      <c r="J1773" t="inlineStr">
        <is>
          <t>Noah Smith</t>
        </is>
      </c>
      <c r="K1773" s="70" t="n">
        <v>506</v>
      </c>
      <c r="L1773" s="71" t="n">
        <v>184.7</v>
      </c>
      <c r="M1773" s="71" t="n">
        <v>93458.2</v>
      </c>
      <c r="N1773" s="71" t="n">
        <v>18691.64</v>
      </c>
      <c r="O1773" s="71" t="n">
        <v>74766.56</v>
      </c>
      <c r="P1773" s="71" t="n">
        <v>20189.04</v>
      </c>
      <c r="Q1773" s="71" t="n">
        <v>54577.52</v>
      </c>
      <c r="R1773" t="inlineStr">
        <is>
          <t>Vaccines</t>
        </is>
      </c>
      <c r="S1773" s="70" t="n">
        <v>399</v>
      </c>
      <c r="T1773" s="71" t="n">
        <v>20523.03</v>
      </c>
      <c r="U1773" t="inlineStr">
        <is>
          <t>Low</t>
        </is>
      </c>
      <c r="V1773">
        <f>IF(AND(OR(Dashboard!$C$6="All",E1773=Dashboard!$C$6),OR(Dashboard!$F$6="All",G1773=Dashboard!$F$6),OR(Dashboard!$I$6="All",H1773=Dashboard!$I$6)),1,0)</f>
        <v/>
      </c>
    </row>
    <row r="1774">
      <c r="A1774" t="inlineStr">
        <is>
          <t>PF101765</t>
        </is>
      </c>
      <c r="B1774" s="68" t="n">
        <v>45874</v>
      </c>
      <c r="C1774" s="69" t="n">
        <v>2025</v>
      </c>
      <c r="D1774" t="inlineStr">
        <is>
          <t>Aug</t>
        </is>
      </c>
      <c r="E1774" t="inlineStr">
        <is>
          <t>International developed</t>
        </is>
      </c>
      <c r="F1774" t="inlineStr">
        <is>
          <t>Australia</t>
        </is>
      </c>
      <c r="G1774" t="inlineStr">
        <is>
          <t>Prevnar 20</t>
        </is>
      </c>
      <c r="H1774" t="inlineStr">
        <is>
          <t>Hospital</t>
        </is>
      </c>
      <c r="I1774" t="inlineStr">
        <is>
          <t>Private insurer</t>
        </is>
      </c>
      <c r="J1774" t="inlineStr">
        <is>
          <t>Zoya Ahmed</t>
        </is>
      </c>
      <c r="K1774" s="70" t="n">
        <v>899</v>
      </c>
      <c r="L1774" s="71" t="n">
        <v>240.04</v>
      </c>
      <c r="M1774" s="71" t="n">
        <v>215795.96</v>
      </c>
      <c r="N1774" s="71" t="n">
        <v>53948.99</v>
      </c>
      <c r="O1774" s="71" t="n">
        <v>161846.97</v>
      </c>
      <c r="P1774" s="71" t="n">
        <v>62969.33</v>
      </c>
      <c r="Q1774" s="71" t="n">
        <v>98877.64</v>
      </c>
      <c r="R1774" t="inlineStr">
        <is>
          <t>Vaccines</t>
        </is>
      </c>
      <c r="S1774" s="70" t="n">
        <v>599</v>
      </c>
      <c r="T1774" s="71" t="n">
        <v>36950.96</v>
      </c>
      <c r="U1774" t="inlineStr">
        <is>
          <t>Low</t>
        </is>
      </c>
      <c r="V1774">
        <f>IF(AND(OR(Dashboard!$C$6="All",E1774=Dashboard!$C$6),OR(Dashboard!$F$6="All",G1774=Dashboard!$F$6),OR(Dashboard!$I$6="All",H1774=Dashboard!$I$6)),1,0)</f>
        <v/>
      </c>
    </row>
    <row r="1775">
      <c r="A1775" t="inlineStr">
        <is>
          <t>PF101766</t>
        </is>
      </c>
      <c r="B1775" s="68" t="n">
        <v>45874</v>
      </c>
      <c r="C1775" s="69" t="n">
        <v>2025</v>
      </c>
      <c r="D1775" t="inlineStr">
        <is>
          <t>Aug</t>
        </is>
      </c>
      <c r="E1775" t="inlineStr">
        <is>
          <t>Emerging markets</t>
        </is>
      </c>
      <c r="F1775" t="inlineStr">
        <is>
          <t>China</t>
        </is>
      </c>
      <c r="G1775" t="inlineStr">
        <is>
          <t>Prevnar 20</t>
        </is>
      </c>
      <c r="H1775" t="inlineStr">
        <is>
          <t>Government / tender</t>
        </is>
      </c>
      <c r="I1775" t="inlineStr">
        <is>
          <t>Self-pay</t>
        </is>
      </c>
      <c r="J1775" t="inlineStr">
        <is>
          <t>Arjun Mehta</t>
        </is>
      </c>
      <c r="K1775" s="70" t="n">
        <v>368</v>
      </c>
      <c r="L1775" s="71" t="n">
        <v>238.19</v>
      </c>
      <c r="M1775" s="71" t="n">
        <v>87653.92</v>
      </c>
      <c r="N1775" s="71" t="n">
        <v>4382.7</v>
      </c>
      <c r="O1775" s="71" t="n">
        <v>83271.22</v>
      </c>
      <c r="P1775" s="71" t="n">
        <v>24590.76</v>
      </c>
      <c r="Q1775" s="71" t="n">
        <v>58680.46</v>
      </c>
      <c r="R1775" t="inlineStr">
        <is>
          <t>Vaccines</t>
        </is>
      </c>
      <c r="S1775" s="70" t="n">
        <v>337</v>
      </c>
      <c r="T1775" s="71" t="n">
        <v>12596.1</v>
      </c>
      <c r="U1775" t="inlineStr">
        <is>
          <t>Low</t>
        </is>
      </c>
      <c r="V1775">
        <f>IF(AND(OR(Dashboard!$C$6="All",E1775=Dashboard!$C$6),OR(Dashboard!$F$6="All",G1775=Dashboard!$F$6),OR(Dashboard!$I$6="All",H1775=Dashboard!$I$6)),1,0)</f>
        <v/>
      </c>
    </row>
    <row r="1776">
      <c r="A1776" t="inlineStr">
        <is>
          <t>PF101767</t>
        </is>
      </c>
      <c r="B1776" s="68" t="n">
        <v>45874</v>
      </c>
      <c r="C1776" s="69" t="n">
        <v>2025</v>
      </c>
      <c r="D1776" t="inlineStr">
        <is>
          <t>Aug</t>
        </is>
      </c>
      <c r="E1776" t="inlineStr">
        <is>
          <t>International developed</t>
        </is>
      </c>
      <c r="F1776" t="inlineStr">
        <is>
          <t>Japan</t>
        </is>
      </c>
      <c r="G1776" t="inlineStr">
        <is>
          <t>Eliquis</t>
        </is>
      </c>
      <c r="H1776" t="inlineStr">
        <is>
          <t>Retail pharmacy</t>
        </is>
      </c>
      <c r="I1776" t="inlineStr">
        <is>
          <t>Public payer</t>
        </is>
      </c>
      <c r="J1776" t="inlineStr">
        <is>
          <t>Lucas Martin</t>
        </is>
      </c>
      <c r="K1776" s="70" t="n">
        <v>2387</v>
      </c>
      <c r="L1776" s="71" t="n">
        <v>436.09</v>
      </c>
      <c r="M1776" s="71" t="n">
        <v>1040946.83</v>
      </c>
      <c r="N1776" s="71" t="n">
        <v>208189.37</v>
      </c>
      <c r="O1776" s="71" t="n">
        <v>832757.46</v>
      </c>
      <c r="P1776" s="71" t="n">
        <v>176491.89</v>
      </c>
      <c r="Q1776" s="71" t="n">
        <v>656265.5699999999</v>
      </c>
      <c r="R1776" t="inlineStr">
        <is>
          <t>Cardiology</t>
        </is>
      </c>
      <c r="S1776" s="70" t="n">
        <v>1526</v>
      </c>
      <c r="T1776" s="71" t="n">
        <v>199098.23</v>
      </c>
      <c r="U1776" t="inlineStr">
        <is>
          <t>High</t>
        </is>
      </c>
      <c r="V1776">
        <f>IF(AND(OR(Dashboard!$C$6="All",E1776=Dashboard!$C$6),OR(Dashboard!$F$6="All",G1776=Dashboard!$F$6),OR(Dashboard!$I$6="All",H1776=Dashboard!$I$6)),1,0)</f>
        <v/>
      </c>
    </row>
    <row r="1777">
      <c r="A1777" t="inlineStr">
        <is>
          <t>PF101768</t>
        </is>
      </c>
      <c r="B1777" s="68" t="n">
        <v>45874</v>
      </c>
      <c r="C1777" s="69" t="n">
        <v>2025</v>
      </c>
      <c r="D1777" t="inlineStr">
        <is>
          <t>Aug</t>
        </is>
      </c>
      <c r="E1777" t="inlineStr">
        <is>
          <t>International developed</t>
        </is>
      </c>
      <c r="F1777" t="inlineStr">
        <is>
          <t>Australia</t>
        </is>
      </c>
      <c r="G1777" t="inlineStr">
        <is>
          <t>Paxlovid</t>
        </is>
      </c>
      <c r="H1777" t="inlineStr">
        <is>
          <t>Retail pharmacy</t>
        </is>
      </c>
      <c r="I1777" t="inlineStr">
        <is>
          <t>Self-pay</t>
        </is>
      </c>
      <c r="J1777" t="inlineStr">
        <is>
          <t>Olivia Brown</t>
        </is>
      </c>
      <c r="K1777" s="70" t="n">
        <v>505</v>
      </c>
      <c r="L1777" s="71" t="n">
        <v>1070.79</v>
      </c>
      <c r="M1777" s="71" t="n">
        <v>540748.95</v>
      </c>
      <c r="N1777" s="71" t="n">
        <v>27037.45</v>
      </c>
      <c r="O1777" s="71" t="n">
        <v>513711.5</v>
      </c>
      <c r="P1777" s="71" t="n">
        <v>144162.01</v>
      </c>
      <c r="Q1777" s="71" t="n">
        <v>369549.49</v>
      </c>
      <c r="R1777" t="inlineStr">
        <is>
          <t>Antiviral</t>
        </is>
      </c>
      <c r="S1777" s="70" t="n">
        <v>348</v>
      </c>
      <c r="T1777" s="71" t="n">
        <v>89008.85000000001</v>
      </c>
      <c r="U1777" t="inlineStr">
        <is>
          <t>Low</t>
        </is>
      </c>
      <c r="V1777">
        <f>IF(AND(OR(Dashboard!$C$6="All",E1777=Dashboard!$C$6),OR(Dashboard!$F$6="All",G1777=Dashboard!$F$6),OR(Dashboard!$I$6="All",H1777=Dashboard!$I$6)),1,0)</f>
        <v/>
      </c>
    </row>
    <row r="1778">
      <c r="A1778" t="inlineStr">
        <is>
          <t>PF101769</t>
        </is>
      </c>
      <c r="B1778" s="68" t="n">
        <v>45874</v>
      </c>
      <c r="C1778" s="69" t="n">
        <v>2025</v>
      </c>
      <c r="D1778" t="inlineStr">
        <is>
          <t>Aug</t>
        </is>
      </c>
      <c r="E1778" t="inlineStr">
        <is>
          <t>Europe</t>
        </is>
      </c>
      <c r="F1778" t="inlineStr">
        <is>
          <t>Germany</t>
        </is>
      </c>
      <c r="G1778" t="inlineStr">
        <is>
          <t>Ibrance</t>
        </is>
      </c>
      <c r="H1778" t="inlineStr">
        <is>
          <t>Retail pharmacy</t>
        </is>
      </c>
      <c r="I1778" t="inlineStr">
        <is>
          <t>Private insurer</t>
        </is>
      </c>
      <c r="J1778" t="inlineStr">
        <is>
          <t>Zoya Ahmed</t>
        </is>
      </c>
      <c r="K1778" s="70" t="n">
        <v>3099</v>
      </c>
      <c r="L1778" s="71" t="n">
        <v>3017.86</v>
      </c>
      <c r="M1778" s="71" t="n">
        <v>9352348.140000001</v>
      </c>
      <c r="N1778" s="71" t="n">
        <v>1402852.22</v>
      </c>
      <c r="O1778" s="71" t="n">
        <v>7949495.92</v>
      </c>
      <c r="P1778" s="71" t="n">
        <v>1320874.45</v>
      </c>
      <c r="Q1778" s="71" t="n">
        <v>6628621.47</v>
      </c>
      <c r="R1778" t="inlineStr">
        <is>
          <t>Oncology</t>
        </is>
      </c>
      <c r="S1778" s="70" t="n">
        <v>2032</v>
      </c>
      <c r="T1778" s="71" t="n">
        <v>1982383.24</v>
      </c>
      <c r="U1778" t="inlineStr">
        <is>
          <t>High</t>
        </is>
      </c>
      <c r="V1778">
        <f>IF(AND(OR(Dashboard!$C$6="All",E1778=Dashboard!$C$6),OR(Dashboard!$F$6="All",G1778=Dashboard!$F$6),OR(Dashboard!$I$6="All",H1778=Dashboard!$I$6)),1,0)</f>
        <v/>
      </c>
    </row>
    <row r="1779">
      <c r="A1779" t="inlineStr">
        <is>
          <t>PF101770</t>
        </is>
      </c>
      <c r="B1779" s="68" t="n">
        <v>45874</v>
      </c>
      <c r="C1779" s="69" t="n">
        <v>2025</v>
      </c>
      <c r="D1779" t="inlineStr">
        <is>
          <t>Aug</t>
        </is>
      </c>
      <c r="E1779" t="inlineStr">
        <is>
          <t>International developed</t>
        </is>
      </c>
      <c r="F1779" t="inlineStr">
        <is>
          <t>Canada</t>
        </is>
      </c>
      <c r="G1779" t="inlineStr">
        <is>
          <t>Eliquis</t>
        </is>
      </c>
      <c r="H1779" t="inlineStr">
        <is>
          <t>Hospital</t>
        </is>
      </c>
      <c r="I1779" t="inlineStr">
        <is>
          <t>Public payer</t>
        </is>
      </c>
      <c r="J1779" t="inlineStr">
        <is>
          <t>Sara Rossi</t>
        </is>
      </c>
      <c r="K1779" s="70" t="n">
        <v>160</v>
      </c>
      <c r="L1779" s="71" t="n">
        <v>393.41</v>
      </c>
      <c r="M1779" s="71" t="n">
        <v>62945.6</v>
      </c>
      <c r="N1779" s="71" t="n">
        <v>12589.12</v>
      </c>
      <c r="O1779" s="71" t="n">
        <v>50356.48</v>
      </c>
      <c r="P1779" s="71" t="n">
        <v>12322.79</v>
      </c>
      <c r="Q1779" s="71" t="n">
        <v>38033.69</v>
      </c>
      <c r="R1779" t="inlineStr">
        <is>
          <t>Cardiology</t>
        </is>
      </c>
      <c r="S1779" s="70" t="n">
        <v>121</v>
      </c>
      <c r="T1779" s="71" t="n">
        <v>12576.02</v>
      </c>
      <c r="U1779" t="inlineStr">
        <is>
          <t>High</t>
        </is>
      </c>
      <c r="V1779">
        <f>IF(AND(OR(Dashboard!$C$6="All",E1779=Dashboard!$C$6),OR(Dashboard!$F$6="All",G1779=Dashboard!$F$6),OR(Dashboard!$I$6="All",H1779=Dashboard!$I$6)),1,0)</f>
        <v/>
      </c>
    </row>
    <row r="1780">
      <c r="A1780" t="inlineStr">
        <is>
          <t>PF101771</t>
        </is>
      </c>
      <c r="B1780" s="68" t="n">
        <v>45874</v>
      </c>
      <c r="C1780" s="69" t="n">
        <v>2025</v>
      </c>
      <c r="D1780" t="inlineStr">
        <is>
          <t>Aug</t>
        </is>
      </c>
      <c r="E1780" t="inlineStr">
        <is>
          <t>United States</t>
        </is>
      </c>
      <c r="F1780" t="inlineStr">
        <is>
          <t>USA</t>
        </is>
      </c>
      <c r="G1780" t="inlineStr">
        <is>
          <t>Prevnar 20</t>
        </is>
      </c>
      <c r="H1780" t="inlineStr">
        <is>
          <t>Retail pharmacy</t>
        </is>
      </c>
      <c r="I1780" t="inlineStr">
        <is>
          <t>Public payer</t>
        </is>
      </c>
      <c r="J1780" t="inlineStr">
        <is>
          <t>Yuki Sato</t>
        </is>
      </c>
      <c r="K1780" s="70" t="n">
        <v>1996</v>
      </c>
      <c r="L1780" s="71" t="n">
        <v>333.18</v>
      </c>
      <c r="M1780" s="71" t="n">
        <v>665027.28</v>
      </c>
      <c r="N1780" s="71" t="n">
        <v>133005.46</v>
      </c>
      <c r="O1780" s="71" t="n">
        <v>532021.8199999999</v>
      </c>
      <c r="P1780" s="71" t="n">
        <v>142565.24</v>
      </c>
      <c r="Q1780" s="71" t="n">
        <v>389456.58</v>
      </c>
      <c r="R1780" t="inlineStr">
        <is>
          <t>Vaccines</t>
        </is>
      </c>
      <c r="S1780" s="70" t="n">
        <v>1515</v>
      </c>
      <c r="T1780" s="71" t="n">
        <v>93430.50999999999</v>
      </c>
      <c r="U1780" t="inlineStr">
        <is>
          <t>Low</t>
        </is>
      </c>
      <c r="V1780">
        <f>IF(AND(OR(Dashboard!$C$6="All",E1780=Dashboard!$C$6),OR(Dashboard!$F$6="All",G1780=Dashboard!$F$6),OR(Dashboard!$I$6="All",H1780=Dashboard!$I$6)),1,0)</f>
        <v/>
      </c>
    </row>
    <row r="1781">
      <c r="A1781" t="inlineStr">
        <is>
          <t>PF101772</t>
        </is>
      </c>
      <c r="B1781" s="68" t="n">
        <v>45874</v>
      </c>
      <c r="C1781" s="69" t="n">
        <v>2025</v>
      </c>
      <c r="D1781" t="inlineStr">
        <is>
          <t>Aug</t>
        </is>
      </c>
      <c r="E1781" t="inlineStr">
        <is>
          <t>Emerging markets</t>
        </is>
      </c>
      <c r="F1781" t="inlineStr">
        <is>
          <t>India</t>
        </is>
      </c>
      <c r="G1781" t="inlineStr">
        <is>
          <t>Ibrance</t>
        </is>
      </c>
      <c r="H1781" t="inlineStr">
        <is>
          <t>Government / tender</t>
        </is>
      </c>
      <c r="I1781" t="inlineStr">
        <is>
          <t>Private insurer</t>
        </is>
      </c>
      <c r="J1781" t="inlineStr">
        <is>
          <t>Lucas Martin</t>
        </is>
      </c>
      <c r="K1781" s="70" t="n">
        <v>805</v>
      </c>
      <c r="L1781" s="71" t="n">
        <v>3040.35</v>
      </c>
      <c r="M1781" s="71" t="n">
        <v>2447481.75</v>
      </c>
      <c r="N1781" s="71" t="n">
        <v>367122.26</v>
      </c>
      <c r="O1781" s="71" t="n">
        <v>2080359.49</v>
      </c>
      <c r="P1781" s="71" t="n">
        <v>355656.22</v>
      </c>
      <c r="Q1781" s="71" t="n">
        <v>1724703.27</v>
      </c>
      <c r="R1781" t="inlineStr">
        <is>
          <t>Oncology</t>
        </is>
      </c>
      <c r="S1781" s="70" t="n">
        <v>536</v>
      </c>
      <c r="T1781" s="71" t="n">
        <v>463871.33</v>
      </c>
      <c r="U1781" t="inlineStr">
        <is>
          <t>High</t>
        </is>
      </c>
      <c r="V1781">
        <f>IF(AND(OR(Dashboard!$C$6="All",E1781=Dashboard!$C$6),OR(Dashboard!$F$6="All",G1781=Dashboard!$F$6),OR(Dashboard!$I$6="All",H1781=Dashboard!$I$6)),1,0)</f>
        <v/>
      </c>
    </row>
    <row r="1782">
      <c r="A1782" t="inlineStr">
        <is>
          <t>PF101773</t>
        </is>
      </c>
      <c r="B1782" s="68" t="n">
        <v>45874</v>
      </c>
      <c r="C1782" s="69" t="n">
        <v>2025</v>
      </c>
      <c r="D1782" t="inlineStr">
        <is>
          <t>Aug</t>
        </is>
      </c>
      <c r="E1782" t="inlineStr">
        <is>
          <t>Europe</t>
        </is>
      </c>
      <c r="F1782" t="inlineStr">
        <is>
          <t>France</t>
        </is>
      </c>
      <c r="G1782" t="inlineStr">
        <is>
          <t>Comirnaty</t>
        </is>
      </c>
      <c r="H1782" t="inlineStr">
        <is>
          <t>Retail pharmacy</t>
        </is>
      </c>
      <c r="I1782" t="inlineStr">
        <is>
          <t>Self-pay</t>
        </is>
      </c>
      <c r="J1782" t="inlineStr">
        <is>
          <t>Ana Costa</t>
        </is>
      </c>
      <c r="K1782" s="70" t="n">
        <v>1816</v>
      </c>
      <c r="L1782" s="71" t="n">
        <v>120.03</v>
      </c>
      <c r="M1782" s="71" t="n">
        <v>217974.48</v>
      </c>
      <c r="N1782" s="71" t="n">
        <v>54493.62</v>
      </c>
      <c r="O1782" s="71" t="n">
        <v>163480.86</v>
      </c>
      <c r="P1782" s="71" t="n">
        <v>72605.45</v>
      </c>
      <c r="Q1782" s="71" t="n">
        <v>90875.41</v>
      </c>
      <c r="R1782" t="inlineStr">
        <is>
          <t>Vaccines</t>
        </is>
      </c>
      <c r="S1782" s="70" t="n">
        <v>1287</v>
      </c>
      <c r="T1782" s="71" t="n">
        <v>31103.52</v>
      </c>
      <c r="U1782" t="inlineStr">
        <is>
          <t>Low</t>
        </is>
      </c>
      <c r="V1782">
        <f>IF(AND(OR(Dashboard!$C$6="All",E1782=Dashboard!$C$6),OR(Dashboard!$F$6="All",G1782=Dashboard!$F$6),OR(Dashboard!$I$6="All",H1782=Dashboard!$I$6)),1,0)</f>
        <v/>
      </c>
    </row>
    <row r="1783">
      <c r="A1783" t="inlineStr">
        <is>
          <t>PF101774</t>
        </is>
      </c>
      <c r="B1783" s="68" t="n">
        <v>45874</v>
      </c>
      <c r="C1783" s="69" t="n">
        <v>2025</v>
      </c>
      <c r="D1783" t="inlineStr">
        <is>
          <t>Aug</t>
        </is>
      </c>
      <c r="E1783" t="inlineStr">
        <is>
          <t>Europe</t>
        </is>
      </c>
      <c r="F1783" t="inlineStr">
        <is>
          <t>Italy</t>
        </is>
      </c>
      <c r="G1783" t="inlineStr">
        <is>
          <t>Eliquis</t>
        </is>
      </c>
      <c r="H1783" t="inlineStr">
        <is>
          <t>Hospital</t>
        </is>
      </c>
      <c r="I1783" t="inlineStr">
        <is>
          <t>Private insurer</t>
        </is>
      </c>
      <c r="J1783" t="inlineStr">
        <is>
          <t>Shraddha Kulkarni</t>
        </is>
      </c>
      <c r="K1783" s="70" t="n">
        <v>1695</v>
      </c>
      <c r="L1783" s="71" t="n">
        <v>392.17</v>
      </c>
      <c r="M1783" s="71" t="n">
        <v>664728.15</v>
      </c>
      <c r="N1783" s="71" t="n">
        <v>33236.41</v>
      </c>
      <c r="O1783" s="71" t="n">
        <v>631491.74</v>
      </c>
      <c r="P1783" s="71" t="n">
        <v>131338.3</v>
      </c>
      <c r="Q1783" s="71" t="n">
        <v>500153.44</v>
      </c>
      <c r="R1783" t="inlineStr">
        <is>
          <t>Cardiology</t>
        </is>
      </c>
      <c r="S1783" s="70" t="n">
        <v>1177</v>
      </c>
      <c r="T1783" s="71" t="n">
        <v>110326.32</v>
      </c>
      <c r="U1783" t="inlineStr">
        <is>
          <t>High</t>
        </is>
      </c>
      <c r="V1783">
        <f>IF(AND(OR(Dashboard!$C$6="All",E1783=Dashboard!$C$6),OR(Dashboard!$F$6="All",G1783=Dashboard!$F$6),OR(Dashboard!$I$6="All",H1783=Dashboard!$I$6)),1,0)</f>
        <v/>
      </c>
    </row>
    <row r="1784">
      <c r="A1784" t="inlineStr">
        <is>
          <t>PF101775</t>
        </is>
      </c>
      <c r="B1784" s="68" t="n">
        <v>45874</v>
      </c>
      <c r="C1784" s="69" t="n">
        <v>2025</v>
      </c>
      <c r="D1784" t="inlineStr">
        <is>
          <t>Aug</t>
        </is>
      </c>
      <c r="E1784" t="inlineStr">
        <is>
          <t>United States</t>
        </is>
      </c>
      <c r="F1784" t="inlineStr">
        <is>
          <t>USA</t>
        </is>
      </c>
      <c r="G1784" t="inlineStr">
        <is>
          <t>Prevnar 20</t>
        </is>
      </c>
      <c r="H1784" t="inlineStr">
        <is>
          <t>Hospital</t>
        </is>
      </c>
      <c r="I1784" t="inlineStr">
        <is>
          <t>Public payer</t>
        </is>
      </c>
      <c r="J1784" t="inlineStr">
        <is>
          <t>Sara Rossi</t>
        </is>
      </c>
      <c r="K1784" s="70" t="n">
        <v>3109</v>
      </c>
      <c r="L1784" s="71" t="n">
        <v>345.26</v>
      </c>
      <c r="M1784" s="71" t="n">
        <v>1073413.34</v>
      </c>
      <c r="N1784" s="71" t="n">
        <v>268353.34</v>
      </c>
      <c r="O1784" s="71" t="n">
        <v>805060</v>
      </c>
      <c r="P1784" s="71" t="n">
        <v>208493.66</v>
      </c>
      <c r="Q1784" s="71" t="n">
        <v>596566.34</v>
      </c>
      <c r="R1784" t="inlineStr">
        <is>
          <t>Vaccines</t>
        </is>
      </c>
      <c r="S1784" s="70" t="n">
        <v>2123</v>
      </c>
      <c r="T1784" s="71" t="n">
        <v>190507.26</v>
      </c>
      <c r="U1784" t="inlineStr">
        <is>
          <t>Low</t>
        </is>
      </c>
      <c r="V1784">
        <f>IF(AND(OR(Dashboard!$C$6="All",E1784=Dashboard!$C$6),OR(Dashboard!$F$6="All",G1784=Dashboard!$F$6),OR(Dashboard!$I$6="All",H1784=Dashboard!$I$6)),1,0)</f>
        <v/>
      </c>
    </row>
    <row r="1785">
      <c r="A1785" t="inlineStr">
        <is>
          <t>PF101776</t>
        </is>
      </c>
      <c r="B1785" s="68" t="n">
        <v>45875</v>
      </c>
      <c r="C1785" s="69" t="n">
        <v>2025</v>
      </c>
      <c r="D1785" t="inlineStr">
        <is>
          <t>Aug</t>
        </is>
      </c>
      <c r="E1785" t="inlineStr">
        <is>
          <t>United States</t>
        </is>
      </c>
      <c r="F1785" t="inlineStr">
        <is>
          <t>USA</t>
        </is>
      </c>
      <c r="G1785" t="inlineStr">
        <is>
          <t>Eliquis</t>
        </is>
      </c>
      <c r="H1785" t="inlineStr">
        <is>
          <t>Government / tender</t>
        </is>
      </c>
      <c r="I1785" t="inlineStr">
        <is>
          <t>Self-pay</t>
        </is>
      </c>
      <c r="J1785" t="inlineStr">
        <is>
          <t>Sophie Müller</t>
        </is>
      </c>
      <c r="K1785" s="70" t="n">
        <v>995</v>
      </c>
      <c r="L1785" s="71" t="n">
        <v>679.3099999999999</v>
      </c>
      <c r="M1785" s="71" t="n">
        <v>675913.45</v>
      </c>
      <c r="N1785" s="71" t="n">
        <v>236569.71</v>
      </c>
      <c r="O1785" s="71" t="n">
        <v>439343.74</v>
      </c>
      <c r="P1785" s="71" t="n">
        <v>78217.78999999999</v>
      </c>
      <c r="Q1785" s="71" t="n">
        <v>361125.95</v>
      </c>
      <c r="R1785" t="inlineStr">
        <is>
          <t>Cardiology</t>
        </is>
      </c>
      <c r="S1785" s="70" t="n">
        <v>721</v>
      </c>
      <c r="T1785" s="71" t="n">
        <v>119379.76</v>
      </c>
      <c r="U1785" t="inlineStr">
        <is>
          <t>High</t>
        </is>
      </c>
      <c r="V1785">
        <f>IF(AND(OR(Dashboard!$C$6="All",E1785=Dashboard!$C$6),OR(Dashboard!$F$6="All",G1785=Dashboard!$F$6),OR(Dashboard!$I$6="All",H1785=Dashboard!$I$6)),1,0)</f>
        <v/>
      </c>
    </row>
    <row r="1786">
      <c r="A1786" t="inlineStr">
        <is>
          <t>PF101777</t>
        </is>
      </c>
      <c r="B1786" s="68" t="n">
        <v>45875</v>
      </c>
      <c r="C1786" s="69" t="n">
        <v>2025</v>
      </c>
      <c r="D1786" t="inlineStr">
        <is>
          <t>Aug</t>
        </is>
      </c>
      <c r="E1786" t="inlineStr">
        <is>
          <t>Europe</t>
        </is>
      </c>
      <c r="F1786" t="inlineStr">
        <is>
          <t>Spain</t>
        </is>
      </c>
      <c r="G1786" t="inlineStr">
        <is>
          <t>Eliquis</t>
        </is>
      </c>
      <c r="H1786" t="inlineStr">
        <is>
          <t>Hospital</t>
        </is>
      </c>
      <c r="I1786" t="inlineStr">
        <is>
          <t>Public payer</t>
        </is>
      </c>
      <c r="J1786" t="inlineStr">
        <is>
          <t>Aisha Bello</t>
        </is>
      </c>
      <c r="K1786" s="70" t="n">
        <v>237</v>
      </c>
      <c r="L1786" s="71" t="n">
        <v>392.12</v>
      </c>
      <c r="M1786" s="71" t="n">
        <v>92932.44</v>
      </c>
      <c r="N1786" s="71" t="n">
        <v>18586.49</v>
      </c>
      <c r="O1786" s="71" t="n">
        <v>74345.95</v>
      </c>
      <c r="P1786" s="71" t="n">
        <v>18093.08</v>
      </c>
      <c r="Q1786" s="71" t="n">
        <v>56252.87</v>
      </c>
      <c r="R1786" t="inlineStr">
        <is>
          <t>Cardiology</t>
        </is>
      </c>
      <c r="S1786" s="70" t="n">
        <v>155</v>
      </c>
      <c r="T1786" s="71" t="n">
        <v>19092.13</v>
      </c>
      <c r="U1786" t="inlineStr">
        <is>
          <t>High</t>
        </is>
      </c>
      <c r="V1786">
        <f>IF(AND(OR(Dashboard!$C$6="All",E1786=Dashboard!$C$6),OR(Dashboard!$F$6="All",G1786=Dashboard!$F$6),OR(Dashboard!$I$6="All",H1786=Dashboard!$I$6)),1,0)</f>
        <v/>
      </c>
    </row>
    <row r="1787">
      <c r="A1787" t="inlineStr">
        <is>
          <t>PF101778</t>
        </is>
      </c>
      <c r="B1787" s="68" t="n">
        <v>45875</v>
      </c>
      <c r="C1787" s="69" t="n">
        <v>2025</v>
      </c>
      <c r="D1787" t="inlineStr">
        <is>
          <t>Aug</t>
        </is>
      </c>
      <c r="E1787" t="inlineStr">
        <is>
          <t>United States</t>
        </is>
      </c>
      <c r="F1787" t="inlineStr">
        <is>
          <t>USA</t>
        </is>
      </c>
      <c r="G1787" t="inlineStr">
        <is>
          <t>Comirnaty</t>
        </is>
      </c>
      <c r="H1787" t="inlineStr">
        <is>
          <t>Government / tender</t>
        </is>
      </c>
      <c r="I1787" t="inlineStr">
        <is>
          <t>Private insurer</t>
        </is>
      </c>
      <c r="J1787" t="inlineStr">
        <is>
          <t>Mei Lin</t>
        </is>
      </c>
      <c r="K1787" s="70" t="n">
        <v>1074</v>
      </c>
      <c r="L1787" s="71" t="n">
        <v>178.77</v>
      </c>
      <c r="M1787" s="71" t="n">
        <v>191998.98</v>
      </c>
      <c r="N1787" s="71" t="n">
        <v>38399.8</v>
      </c>
      <c r="O1787" s="71" t="n">
        <v>153599.18</v>
      </c>
      <c r="P1787" s="71" t="n">
        <v>42586.47</v>
      </c>
      <c r="Q1787" s="71" t="n">
        <v>111012.71</v>
      </c>
      <c r="R1787" t="inlineStr">
        <is>
          <t>Vaccines</t>
        </is>
      </c>
      <c r="S1787" s="70" t="n">
        <v>676</v>
      </c>
      <c r="T1787" s="71" t="n">
        <v>25645.6</v>
      </c>
      <c r="U1787" t="inlineStr">
        <is>
          <t>Low</t>
        </is>
      </c>
      <c r="V1787">
        <f>IF(AND(OR(Dashboard!$C$6="All",E1787=Dashboard!$C$6),OR(Dashboard!$F$6="All",G1787=Dashboard!$F$6),OR(Dashboard!$I$6="All",H1787=Dashboard!$I$6)),1,0)</f>
        <v/>
      </c>
    </row>
    <row r="1788">
      <c r="A1788" t="inlineStr">
        <is>
          <t>PF101779</t>
        </is>
      </c>
      <c r="B1788" s="68" t="n">
        <v>45875</v>
      </c>
      <c r="C1788" s="69" t="n">
        <v>2025</v>
      </c>
      <c r="D1788" t="inlineStr">
        <is>
          <t>Aug</t>
        </is>
      </c>
      <c r="E1788" t="inlineStr">
        <is>
          <t>United States</t>
        </is>
      </c>
      <c r="F1788" t="inlineStr">
        <is>
          <t>USA</t>
        </is>
      </c>
      <c r="G1788" t="inlineStr">
        <is>
          <t>Ibrance</t>
        </is>
      </c>
      <c r="H1788" t="inlineStr">
        <is>
          <t>Hospital</t>
        </is>
      </c>
      <c r="I1788" t="inlineStr">
        <is>
          <t>Private insurer</t>
        </is>
      </c>
      <c r="J1788" t="inlineStr">
        <is>
          <t>Fatima Al-Saud</t>
        </is>
      </c>
      <c r="K1788" s="70" t="n">
        <v>2695</v>
      </c>
      <c r="L1788" s="71" t="n">
        <v>4197.15</v>
      </c>
      <c r="M1788" s="71" t="n">
        <v>11311319.25</v>
      </c>
      <c r="N1788" s="71" t="n">
        <v>2827829.81</v>
      </c>
      <c r="O1788" s="71" t="n">
        <v>8483489.439999999</v>
      </c>
      <c r="P1788" s="71" t="n">
        <v>1128849.67</v>
      </c>
      <c r="Q1788" s="71" t="n">
        <v>7354639.77</v>
      </c>
      <c r="R1788" t="inlineStr">
        <is>
          <t>Oncology</t>
        </is>
      </c>
      <c r="S1788" s="70" t="n">
        <v>1819</v>
      </c>
      <c r="T1788" s="71" t="n">
        <v>1517005.2</v>
      </c>
      <c r="U1788" t="inlineStr">
        <is>
          <t>High</t>
        </is>
      </c>
      <c r="V1788">
        <f>IF(AND(OR(Dashboard!$C$6="All",E1788=Dashboard!$C$6),OR(Dashboard!$F$6="All",G1788=Dashboard!$F$6),OR(Dashboard!$I$6="All",H1788=Dashboard!$I$6)),1,0)</f>
        <v/>
      </c>
    </row>
    <row r="1789">
      <c r="A1789" t="inlineStr">
        <is>
          <t>PF101780</t>
        </is>
      </c>
      <c r="B1789" s="68" t="n">
        <v>45875</v>
      </c>
      <c r="C1789" s="69" t="n">
        <v>2025</v>
      </c>
      <c r="D1789" t="inlineStr">
        <is>
          <t>Aug</t>
        </is>
      </c>
      <c r="E1789" t="inlineStr">
        <is>
          <t>Europe</t>
        </is>
      </c>
      <c r="F1789" t="inlineStr">
        <is>
          <t>Spain</t>
        </is>
      </c>
      <c r="G1789" t="inlineStr">
        <is>
          <t>Abrysvo</t>
        </is>
      </c>
      <c r="H1789" t="inlineStr">
        <is>
          <t>Retail pharmacy</t>
        </is>
      </c>
      <c r="I1789" t="inlineStr">
        <is>
          <t>Public payer</t>
        </is>
      </c>
      <c r="J1789" t="inlineStr">
        <is>
          <t>Aisha Bello</t>
        </is>
      </c>
      <c r="K1789" s="70" t="n">
        <v>1283</v>
      </c>
      <c r="L1789" s="71" t="n">
        <v>291.37</v>
      </c>
      <c r="M1789" s="71" t="n">
        <v>373827.71</v>
      </c>
      <c r="N1789" s="71" t="n">
        <v>56074.16</v>
      </c>
      <c r="O1789" s="71" t="n">
        <v>317753.55</v>
      </c>
      <c r="P1789" s="71" t="n">
        <v>106350.54</v>
      </c>
      <c r="Q1789" s="71" t="n">
        <v>211403.01</v>
      </c>
      <c r="R1789" t="inlineStr">
        <is>
          <t>Vaccines</t>
        </is>
      </c>
      <c r="S1789" s="70" t="n">
        <v>804</v>
      </c>
      <c r="T1789" s="71" t="n">
        <v>46550.49</v>
      </c>
      <c r="U1789" t="inlineStr">
        <is>
          <t>Low</t>
        </is>
      </c>
      <c r="V1789">
        <f>IF(AND(OR(Dashboard!$C$6="All",E1789=Dashboard!$C$6),OR(Dashboard!$F$6="All",G1789=Dashboard!$F$6),OR(Dashboard!$I$6="All",H1789=Dashboard!$I$6)),1,0)</f>
        <v/>
      </c>
    </row>
    <row r="1790">
      <c r="A1790" t="inlineStr">
        <is>
          <t>PF101781</t>
        </is>
      </c>
      <c r="B1790" s="68" t="n">
        <v>45876</v>
      </c>
      <c r="C1790" s="69" t="n">
        <v>2025</v>
      </c>
      <c r="D1790" t="inlineStr">
        <is>
          <t>Aug</t>
        </is>
      </c>
      <c r="E1790" t="inlineStr">
        <is>
          <t>United States</t>
        </is>
      </c>
      <c r="F1790" t="inlineStr">
        <is>
          <t>USA</t>
        </is>
      </c>
      <c r="G1790" t="inlineStr">
        <is>
          <t>Eliquis</t>
        </is>
      </c>
      <c r="H1790" t="inlineStr">
        <is>
          <t>Retail pharmacy</t>
        </is>
      </c>
      <c r="I1790" t="inlineStr">
        <is>
          <t>Private insurer</t>
        </is>
      </c>
      <c r="J1790" t="inlineStr">
        <is>
          <t>Zoya Ahmed</t>
        </is>
      </c>
      <c r="K1790" s="70" t="n">
        <v>2618</v>
      </c>
      <c r="L1790" s="71" t="n">
        <v>702.46</v>
      </c>
      <c r="M1790" s="71" t="n">
        <v>1839040.28</v>
      </c>
      <c r="N1790" s="71" t="n">
        <v>551712.08</v>
      </c>
      <c r="O1790" s="71" t="n">
        <v>1287328.2</v>
      </c>
      <c r="P1790" s="71" t="n">
        <v>200055.37</v>
      </c>
      <c r="Q1790" s="71" t="n">
        <v>1087272.83</v>
      </c>
      <c r="R1790" t="inlineStr">
        <is>
          <t>Cardiology</t>
        </is>
      </c>
      <c r="S1790" s="70" t="n">
        <v>2586</v>
      </c>
      <c r="T1790" s="71" t="n">
        <v>260866.18</v>
      </c>
      <c r="U1790" t="inlineStr">
        <is>
          <t>High</t>
        </is>
      </c>
      <c r="V1790">
        <f>IF(AND(OR(Dashboard!$C$6="All",E1790=Dashboard!$C$6),OR(Dashboard!$F$6="All",G1790=Dashboard!$F$6),OR(Dashboard!$I$6="All",H1790=Dashboard!$I$6)),1,0)</f>
        <v/>
      </c>
    </row>
    <row r="1791">
      <c r="A1791" t="inlineStr">
        <is>
          <t>PF101782</t>
        </is>
      </c>
      <c r="B1791" s="68" t="n">
        <v>45876</v>
      </c>
      <c r="C1791" s="69" t="n">
        <v>2025</v>
      </c>
      <c r="D1791" t="inlineStr">
        <is>
          <t>Aug</t>
        </is>
      </c>
      <c r="E1791" t="inlineStr">
        <is>
          <t>Europe</t>
        </is>
      </c>
      <c r="F1791" t="inlineStr">
        <is>
          <t>UK</t>
        </is>
      </c>
      <c r="G1791" t="inlineStr">
        <is>
          <t>Prevnar 20</t>
        </is>
      </c>
      <c r="H1791" t="inlineStr">
        <is>
          <t>Retail pharmacy</t>
        </is>
      </c>
      <c r="I1791" t="inlineStr">
        <is>
          <t>Private insurer</t>
        </is>
      </c>
      <c r="J1791" t="inlineStr">
        <is>
          <t>Mei Lin</t>
        </is>
      </c>
      <c r="K1791" s="70" t="n">
        <v>966</v>
      </c>
      <c r="L1791" s="71" t="n">
        <v>232.68</v>
      </c>
      <c r="M1791" s="71" t="n">
        <v>224768.88</v>
      </c>
      <c r="N1791" s="71" t="n">
        <v>44953.78</v>
      </c>
      <c r="O1791" s="71" t="n">
        <v>179815.1</v>
      </c>
      <c r="P1791" s="71" t="n">
        <v>68017.37</v>
      </c>
      <c r="Q1791" s="71" t="n">
        <v>111797.73</v>
      </c>
      <c r="R1791" t="inlineStr">
        <is>
          <t>Vaccines</t>
        </is>
      </c>
      <c r="S1791" s="70" t="n">
        <v>733</v>
      </c>
      <c r="T1791" s="71" t="n">
        <v>33375.55</v>
      </c>
      <c r="U1791" t="inlineStr">
        <is>
          <t>Low</t>
        </is>
      </c>
      <c r="V1791">
        <f>IF(AND(OR(Dashboard!$C$6="All",E1791=Dashboard!$C$6),OR(Dashboard!$F$6="All",G1791=Dashboard!$F$6),OR(Dashboard!$I$6="All",H1791=Dashboard!$I$6)),1,0)</f>
        <v/>
      </c>
    </row>
    <row r="1792">
      <c r="A1792" t="inlineStr">
        <is>
          <t>PF101783</t>
        </is>
      </c>
      <c r="B1792" s="68" t="n">
        <v>45876</v>
      </c>
      <c r="C1792" s="69" t="n">
        <v>2025</v>
      </c>
      <c r="D1792" t="inlineStr">
        <is>
          <t>Aug</t>
        </is>
      </c>
      <c r="E1792" t="inlineStr">
        <is>
          <t>International developed</t>
        </is>
      </c>
      <c r="F1792" t="inlineStr">
        <is>
          <t>Canada</t>
        </is>
      </c>
      <c r="G1792" t="inlineStr">
        <is>
          <t>Abrysvo</t>
        </is>
      </c>
      <c r="H1792" t="inlineStr">
        <is>
          <t>Retail pharmacy</t>
        </is>
      </c>
      <c r="I1792" t="inlineStr">
        <is>
          <t>Private insurer</t>
        </is>
      </c>
      <c r="J1792" t="inlineStr">
        <is>
          <t>Lucas Martin</t>
        </is>
      </c>
      <c r="K1792" s="70" t="n">
        <v>466</v>
      </c>
      <c r="L1792" s="71" t="n">
        <v>287.38</v>
      </c>
      <c r="M1792" s="71" t="n">
        <v>133919.08</v>
      </c>
      <c r="N1792" s="71" t="n">
        <v>13391.91</v>
      </c>
      <c r="O1792" s="71" t="n">
        <v>120527.17</v>
      </c>
      <c r="P1792" s="71" t="n">
        <v>38426.64</v>
      </c>
      <c r="Q1792" s="71" t="n">
        <v>82100.53</v>
      </c>
      <c r="R1792" t="inlineStr">
        <is>
          <t>Vaccines</t>
        </is>
      </c>
      <c r="S1792" s="70" t="n">
        <v>306</v>
      </c>
      <c r="T1792" s="71" t="n">
        <v>18028.66</v>
      </c>
      <c r="U1792" t="inlineStr">
        <is>
          <t>Low</t>
        </is>
      </c>
      <c r="V1792">
        <f>IF(AND(OR(Dashboard!$C$6="All",E1792=Dashboard!$C$6),OR(Dashboard!$F$6="All",G1792=Dashboard!$F$6),OR(Dashboard!$I$6="All",H1792=Dashboard!$I$6)),1,0)</f>
        <v/>
      </c>
    </row>
    <row r="1793">
      <c r="A1793" t="inlineStr">
        <is>
          <t>PF101784</t>
        </is>
      </c>
      <c r="B1793" s="68" t="n">
        <v>45876</v>
      </c>
      <c r="C1793" s="69" t="n">
        <v>2025</v>
      </c>
      <c r="D1793" t="inlineStr">
        <is>
          <t>Aug</t>
        </is>
      </c>
      <c r="E1793" t="inlineStr">
        <is>
          <t>United States</t>
        </is>
      </c>
      <c r="F1793" t="inlineStr">
        <is>
          <t>USA</t>
        </is>
      </c>
      <c r="G1793" t="inlineStr">
        <is>
          <t>Xeljanz</t>
        </is>
      </c>
      <c r="H1793" t="inlineStr">
        <is>
          <t>Government / tender</t>
        </is>
      </c>
      <c r="I1793" t="inlineStr">
        <is>
          <t>Public payer</t>
        </is>
      </c>
      <c r="J1793" t="inlineStr">
        <is>
          <t>Hiroshi Tanaka</t>
        </is>
      </c>
      <c r="K1793" s="70" t="n">
        <v>1660</v>
      </c>
      <c r="L1793" s="71" t="n">
        <v>2360.32</v>
      </c>
      <c r="M1793" s="71" t="n">
        <v>3918131.2</v>
      </c>
      <c r="N1793" s="71" t="n">
        <v>1371345.92</v>
      </c>
      <c r="O1793" s="71" t="n">
        <v>2546785.28</v>
      </c>
      <c r="P1793" s="71" t="n">
        <v>410422.16</v>
      </c>
      <c r="Q1793" s="71" t="n">
        <v>2136363.12</v>
      </c>
      <c r="R1793" t="inlineStr">
        <is>
          <t>Inflammation</t>
        </is>
      </c>
      <c r="S1793" s="70" t="n">
        <v>1649</v>
      </c>
      <c r="T1793" s="71" t="n">
        <v>795438.78</v>
      </c>
      <c r="U1793" t="inlineStr">
        <is>
          <t>High</t>
        </is>
      </c>
      <c r="V1793">
        <f>IF(AND(OR(Dashboard!$C$6="All",E1793=Dashboard!$C$6),OR(Dashboard!$F$6="All",G1793=Dashboard!$F$6),OR(Dashboard!$I$6="All",H1793=Dashboard!$I$6)),1,0)</f>
        <v/>
      </c>
    </row>
    <row r="1794">
      <c r="A1794" t="inlineStr">
        <is>
          <t>PF101785</t>
        </is>
      </c>
      <c r="B1794" s="68" t="n">
        <v>45876</v>
      </c>
      <c r="C1794" s="69" t="n">
        <v>2025</v>
      </c>
      <c r="D1794" t="inlineStr">
        <is>
          <t>Aug</t>
        </is>
      </c>
      <c r="E1794" t="inlineStr">
        <is>
          <t>United States</t>
        </is>
      </c>
      <c r="F1794" t="inlineStr">
        <is>
          <t>USA</t>
        </is>
      </c>
      <c r="G1794" t="inlineStr">
        <is>
          <t>Vyndaqel</t>
        </is>
      </c>
      <c r="H1794" t="inlineStr">
        <is>
          <t>Hospital</t>
        </is>
      </c>
      <c r="I1794" t="inlineStr">
        <is>
          <t>Private insurer</t>
        </is>
      </c>
      <c r="J1794" t="inlineStr">
        <is>
          <t>Sophie Müller</t>
        </is>
      </c>
      <c r="K1794" s="70" t="n">
        <v>905</v>
      </c>
      <c r="L1794" s="71" t="n">
        <v>7678.06</v>
      </c>
      <c r="M1794" s="71" t="n">
        <v>6948644.3</v>
      </c>
      <c r="N1794" s="71" t="n">
        <v>1042296.65</v>
      </c>
      <c r="O1794" s="71" t="n">
        <v>5906347.65</v>
      </c>
      <c r="P1794" s="71" t="n">
        <v>557202.33</v>
      </c>
      <c r="Q1794" s="71" t="n">
        <v>5349145.32</v>
      </c>
      <c r="R1794" t="inlineStr">
        <is>
          <t>Rare disease</t>
        </is>
      </c>
      <c r="S1794" s="70" t="n">
        <v>607</v>
      </c>
      <c r="T1794" s="71" t="n">
        <v>1081315.21</v>
      </c>
      <c r="U1794" t="inlineStr">
        <is>
          <t>Medium</t>
        </is>
      </c>
      <c r="V1794">
        <f>IF(AND(OR(Dashboard!$C$6="All",E1794=Dashboard!$C$6),OR(Dashboard!$F$6="All",G1794=Dashboard!$F$6),OR(Dashboard!$I$6="All",H1794=Dashboard!$I$6)),1,0)</f>
        <v/>
      </c>
    </row>
    <row r="1795">
      <c r="A1795" t="inlineStr">
        <is>
          <t>PF101786</t>
        </is>
      </c>
      <c r="B1795" s="68" t="n">
        <v>45876</v>
      </c>
      <c r="C1795" s="69" t="n">
        <v>2025</v>
      </c>
      <c r="D1795" t="inlineStr">
        <is>
          <t>Aug</t>
        </is>
      </c>
      <c r="E1795" t="inlineStr">
        <is>
          <t>United States</t>
        </is>
      </c>
      <c r="F1795" t="inlineStr">
        <is>
          <t>USA</t>
        </is>
      </c>
      <c r="G1795" t="inlineStr">
        <is>
          <t>Prevnar 20</t>
        </is>
      </c>
      <c r="H1795" t="inlineStr">
        <is>
          <t>Government / tender</t>
        </is>
      </c>
      <c r="I1795" t="inlineStr">
        <is>
          <t>Private insurer</t>
        </is>
      </c>
      <c r="J1795" t="inlineStr">
        <is>
          <t>Amir Khan</t>
        </is>
      </c>
      <c r="K1795" s="70" t="n">
        <v>2625</v>
      </c>
      <c r="L1795" s="71" t="n">
        <v>348.62</v>
      </c>
      <c r="M1795" s="71" t="n">
        <v>915127.5</v>
      </c>
      <c r="N1795" s="71" t="n">
        <v>320294.62</v>
      </c>
      <c r="O1795" s="71" t="n">
        <v>594832.88</v>
      </c>
      <c r="P1795" s="71" t="n">
        <v>175336.64</v>
      </c>
      <c r="Q1795" s="71" t="n">
        <v>419496.24</v>
      </c>
      <c r="R1795" t="inlineStr">
        <is>
          <t>Vaccines</t>
        </is>
      </c>
      <c r="S1795" s="70" t="n">
        <v>2446</v>
      </c>
      <c r="T1795" s="71" t="n">
        <v>115385.22</v>
      </c>
      <c r="U1795" t="inlineStr">
        <is>
          <t>Low</t>
        </is>
      </c>
      <c r="V1795">
        <f>IF(AND(OR(Dashboard!$C$6="All",E1795=Dashboard!$C$6),OR(Dashboard!$F$6="All",G1795=Dashboard!$F$6),OR(Dashboard!$I$6="All",H1795=Dashboard!$I$6)),1,0)</f>
        <v/>
      </c>
    </row>
    <row r="1796">
      <c r="A1796" t="inlineStr">
        <is>
          <t>PF101787</t>
        </is>
      </c>
      <c r="B1796" s="68" t="n">
        <v>45876</v>
      </c>
      <c r="C1796" s="69" t="n">
        <v>2025</v>
      </c>
      <c r="D1796" t="inlineStr">
        <is>
          <t>Aug</t>
        </is>
      </c>
      <c r="E1796" t="inlineStr">
        <is>
          <t>United States</t>
        </is>
      </c>
      <c r="F1796" t="inlineStr">
        <is>
          <t>USA</t>
        </is>
      </c>
      <c r="G1796" t="inlineStr">
        <is>
          <t>Comirnaty</t>
        </is>
      </c>
      <c r="H1796" t="inlineStr">
        <is>
          <t>Hospital</t>
        </is>
      </c>
      <c r="I1796" t="inlineStr">
        <is>
          <t>Public payer</t>
        </is>
      </c>
      <c r="J1796" t="inlineStr">
        <is>
          <t>Liam O'Brien</t>
        </is>
      </c>
      <c r="K1796" s="70" t="n">
        <v>2452</v>
      </c>
      <c r="L1796" s="71" t="n">
        <v>165.28</v>
      </c>
      <c r="M1796" s="71" t="n">
        <v>405266.56</v>
      </c>
      <c r="N1796" s="71" t="n">
        <v>121579.97</v>
      </c>
      <c r="O1796" s="71" t="n">
        <v>283686.59</v>
      </c>
      <c r="P1796" s="71" t="n">
        <v>96612.7</v>
      </c>
      <c r="Q1796" s="71" t="n">
        <v>187073.89</v>
      </c>
      <c r="R1796" t="inlineStr">
        <is>
          <t>Vaccines</t>
        </is>
      </c>
      <c r="S1796" s="70" t="n">
        <v>2396</v>
      </c>
      <c r="T1796" s="71" t="n">
        <v>63689.84</v>
      </c>
      <c r="U1796" t="inlineStr">
        <is>
          <t>Low</t>
        </is>
      </c>
      <c r="V1796">
        <f>IF(AND(OR(Dashboard!$C$6="All",E1796=Dashboard!$C$6),OR(Dashboard!$F$6="All",G1796=Dashboard!$F$6),OR(Dashboard!$I$6="All",H1796=Dashboard!$I$6)),1,0)</f>
        <v/>
      </c>
    </row>
    <row r="1797">
      <c r="A1797" t="inlineStr">
        <is>
          <t>PF101788</t>
        </is>
      </c>
      <c r="B1797" s="68" t="n">
        <v>45876</v>
      </c>
      <c r="C1797" s="69" t="n">
        <v>2025</v>
      </c>
      <c r="D1797" t="inlineStr">
        <is>
          <t>Aug</t>
        </is>
      </c>
      <c r="E1797" t="inlineStr">
        <is>
          <t>Emerging markets</t>
        </is>
      </c>
      <c r="F1797" t="inlineStr">
        <is>
          <t>Brazil</t>
        </is>
      </c>
      <c r="G1797" t="inlineStr">
        <is>
          <t>Ibrance</t>
        </is>
      </c>
      <c r="H1797" t="inlineStr">
        <is>
          <t>Retail pharmacy</t>
        </is>
      </c>
      <c r="I1797" t="inlineStr">
        <is>
          <t>Self-pay</t>
        </is>
      </c>
      <c r="J1797" t="inlineStr">
        <is>
          <t>Omar Haddad</t>
        </is>
      </c>
      <c r="K1797" s="70" t="n">
        <v>777</v>
      </c>
      <c r="L1797" s="71" t="n">
        <v>3028.05</v>
      </c>
      <c r="M1797" s="71" t="n">
        <v>2352794.85</v>
      </c>
      <c r="N1797" s="71" t="n">
        <v>470558.97</v>
      </c>
      <c r="O1797" s="71" t="n">
        <v>1882235.88</v>
      </c>
      <c r="P1797" s="71" t="n">
        <v>337092.46</v>
      </c>
      <c r="Q1797" s="71" t="n">
        <v>1545143.42</v>
      </c>
      <c r="R1797" t="inlineStr">
        <is>
          <t>Oncology</t>
        </is>
      </c>
      <c r="S1797" s="70" t="n">
        <v>770</v>
      </c>
      <c r="T1797" s="71" t="n">
        <v>351372.2</v>
      </c>
      <c r="U1797" t="inlineStr">
        <is>
          <t>High</t>
        </is>
      </c>
      <c r="V1797">
        <f>IF(AND(OR(Dashboard!$C$6="All",E1797=Dashboard!$C$6),OR(Dashboard!$F$6="All",G1797=Dashboard!$F$6),OR(Dashboard!$I$6="All",H1797=Dashboard!$I$6)),1,0)</f>
        <v/>
      </c>
    </row>
    <row r="1798">
      <c r="A1798" t="inlineStr">
        <is>
          <t>PF101789</t>
        </is>
      </c>
      <c r="B1798" s="68" t="n">
        <v>45876</v>
      </c>
      <c r="C1798" s="69" t="n">
        <v>2025</v>
      </c>
      <c r="D1798" t="inlineStr">
        <is>
          <t>Aug</t>
        </is>
      </c>
      <c r="E1798" t="inlineStr">
        <is>
          <t>United States</t>
        </is>
      </c>
      <c r="F1798" t="inlineStr">
        <is>
          <t>USA</t>
        </is>
      </c>
      <c r="G1798" t="inlineStr">
        <is>
          <t>Eliquis</t>
        </is>
      </c>
      <c r="H1798" t="inlineStr">
        <is>
          <t>Retail pharmacy</t>
        </is>
      </c>
      <c r="I1798" t="inlineStr">
        <is>
          <t>Private insurer</t>
        </is>
      </c>
      <c r="J1798" t="inlineStr">
        <is>
          <t>Kofi Mensah</t>
        </is>
      </c>
      <c r="K1798" s="70" t="n">
        <v>1150</v>
      </c>
      <c r="L1798" s="71" t="n">
        <v>649.47</v>
      </c>
      <c r="M1798" s="71" t="n">
        <v>746890.5</v>
      </c>
      <c r="N1798" s="71" t="n">
        <v>112033.58</v>
      </c>
      <c r="O1798" s="71" t="n">
        <v>634856.92</v>
      </c>
      <c r="P1798" s="71" t="n">
        <v>85016.96000000001</v>
      </c>
      <c r="Q1798" s="71" t="n">
        <v>549839.96</v>
      </c>
      <c r="R1798" t="inlineStr">
        <is>
          <t>Cardiology</t>
        </is>
      </c>
      <c r="S1798" s="70" t="n">
        <v>863</v>
      </c>
      <c r="T1798" s="71" t="n">
        <v>92224.44</v>
      </c>
      <c r="U1798" t="inlineStr">
        <is>
          <t>High</t>
        </is>
      </c>
      <c r="V1798">
        <f>IF(AND(OR(Dashboard!$C$6="All",E1798=Dashboard!$C$6),OR(Dashboard!$F$6="All",G1798=Dashboard!$F$6),OR(Dashboard!$I$6="All",H1798=Dashboard!$I$6)),1,0)</f>
        <v/>
      </c>
    </row>
    <row r="1799">
      <c r="A1799" t="inlineStr">
        <is>
          <t>PF101790</t>
        </is>
      </c>
      <c r="B1799" s="68" t="n">
        <v>45876</v>
      </c>
      <c r="C1799" s="69" t="n">
        <v>2025</v>
      </c>
      <c r="D1799" t="inlineStr">
        <is>
          <t>Aug</t>
        </is>
      </c>
      <c r="E1799" t="inlineStr">
        <is>
          <t>Europe</t>
        </is>
      </c>
      <c r="F1799" t="inlineStr">
        <is>
          <t>Germany</t>
        </is>
      </c>
      <c r="G1799" t="inlineStr">
        <is>
          <t>Comirnaty</t>
        </is>
      </c>
      <c r="H1799" t="inlineStr">
        <is>
          <t>Retail pharmacy</t>
        </is>
      </c>
      <c r="I1799" t="inlineStr">
        <is>
          <t>Public payer</t>
        </is>
      </c>
      <c r="J1799" t="inlineStr">
        <is>
          <t>Kofi Mensah</t>
        </is>
      </c>
      <c r="K1799" s="70" t="n">
        <v>2308</v>
      </c>
      <c r="L1799" s="71" t="n">
        <v>110.76</v>
      </c>
      <c r="M1799" s="71" t="n">
        <v>255634.08</v>
      </c>
      <c r="N1799" s="71" t="n">
        <v>25563.41</v>
      </c>
      <c r="O1799" s="71" t="n">
        <v>230070.67</v>
      </c>
      <c r="P1799" s="71" t="n">
        <v>87824.09</v>
      </c>
      <c r="Q1799" s="71" t="n">
        <v>142246.58</v>
      </c>
      <c r="R1799" t="inlineStr">
        <is>
          <t>Vaccines</t>
        </is>
      </c>
      <c r="S1799" s="70" t="n">
        <v>1463</v>
      </c>
      <c r="T1799" s="71" t="n">
        <v>48695.78</v>
      </c>
      <c r="U1799" t="inlineStr">
        <is>
          <t>Low</t>
        </is>
      </c>
      <c r="V1799">
        <f>IF(AND(OR(Dashboard!$C$6="All",E1799=Dashboard!$C$6),OR(Dashboard!$F$6="All",G1799=Dashboard!$F$6),OR(Dashboard!$I$6="All",H1799=Dashboard!$I$6)),1,0)</f>
        <v/>
      </c>
    </row>
    <row r="1800">
      <c r="A1800" t="inlineStr">
        <is>
          <t>PF101791</t>
        </is>
      </c>
      <c r="B1800" s="68" t="n">
        <v>45876</v>
      </c>
      <c r="C1800" s="69" t="n">
        <v>2025</v>
      </c>
      <c r="D1800" t="inlineStr">
        <is>
          <t>Aug</t>
        </is>
      </c>
      <c r="E1800" t="inlineStr">
        <is>
          <t>International developed</t>
        </is>
      </c>
      <c r="F1800" t="inlineStr">
        <is>
          <t>Canada</t>
        </is>
      </c>
      <c r="G1800" t="inlineStr">
        <is>
          <t>Abrysvo</t>
        </is>
      </c>
      <c r="H1800" t="inlineStr">
        <is>
          <t>Hospital</t>
        </is>
      </c>
      <c r="I1800" t="inlineStr">
        <is>
          <t>Private insurer</t>
        </is>
      </c>
      <c r="J1800" t="inlineStr">
        <is>
          <t>Emma Clarke</t>
        </is>
      </c>
      <c r="K1800" s="70" t="n">
        <v>468</v>
      </c>
      <c r="L1800" s="71" t="n">
        <v>255.98</v>
      </c>
      <c r="M1800" s="71" t="n">
        <v>119798.64</v>
      </c>
      <c r="N1800" s="71" t="n">
        <v>29949.66</v>
      </c>
      <c r="O1800" s="71" t="n">
        <v>89848.98</v>
      </c>
      <c r="P1800" s="71" t="n">
        <v>39174.33</v>
      </c>
      <c r="Q1800" s="71" t="n">
        <v>50674.65</v>
      </c>
      <c r="R1800" t="inlineStr">
        <is>
          <t>Vaccines</t>
        </is>
      </c>
      <c r="S1800" s="70" t="n">
        <v>357</v>
      </c>
      <c r="T1800" s="71" t="n">
        <v>24483.23</v>
      </c>
      <c r="U1800" t="inlineStr">
        <is>
          <t>Low</t>
        </is>
      </c>
      <c r="V1800">
        <f>IF(AND(OR(Dashboard!$C$6="All",E1800=Dashboard!$C$6),OR(Dashboard!$F$6="All",G1800=Dashboard!$F$6),OR(Dashboard!$I$6="All",H1800=Dashboard!$I$6)),1,0)</f>
        <v/>
      </c>
    </row>
    <row r="1801">
      <c r="A1801" t="inlineStr">
        <is>
          <t>PF101792</t>
        </is>
      </c>
      <c r="B1801" s="68" t="n">
        <v>45877</v>
      </c>
      <c r="C1801" s="69" t="n">
        <v>2025</v>
      </c>
      <c r="D1801" t="inlineStr">
        <is>
          <t>Aug</t>
        </is>
      </c>
      <c r="E1801" t="inlineStr">
        <is>
          <t>United States</t>
        </is>
      </c>
      <c r="F1801" t="inlineStr">
        <is>
          <t>USA</t>
        </is>
      </c>
      <c r="G1801" t="inlineStr">
        <is>
          <t>Xeljanz</t>
        </is>
      </c>
      <c r="H1801" t="inlineStr">
        <is>
          <t>Government / tender</t>
        </is>
      </c>
      <c r="I1801" t="inlineStr">
        <is>
          <t>Private insurer</t>
        </is>
      </c>
      <c r="J1801" t="inlineStr">
        <is>
          <t>Ruhi Shaikh</t>
        </is>
      </c>
      <c r="K1801" s="70" t="n">
        <v>2598</v>
      </c>
      <c r="L1801" s="71" t="n">
        <v>2117.09</v>
      </c>
      <c r="M1801" s="71" t="n">
        <v>5500199.82</v>
      </c>
      <c r="N1801" s="71" t="n">
        <v>1100039.96</v>
      </c>
      <c r="O1801" s="71" t="n">
        <v>4400159.86</v>
      </c>
      <c r="P1801" s="71" t="n">
        <v>633293.13</v>
      </c>
      <c r="Q1801" s="71" t="n">
        <v>3766866.73</v>
      </c>
      <c r="R1801" t="inlineStr">
        <is>
          <t>Inflammation</t>
        </is>
      </c>
      <c r="S1801" s="70" t="n">
        <v>2318</v>
      </c>
      <c r="T1801" s="71" t="n">
        <v>921419.92</v>
      </c>
      <c r="U1801" t="inlineStr">
        <is>
          <t>High</t>
        </is>
      </c>
      <c r="V1801">
        <f>IF(AND(OR(Dashboard!$C$6="All",E1801=Dashboard!$C$6),OR(Dashboard!$F$6="All",G1801=Dashboard!$F$6),OR(Dashboard!$I$6="All",H1801=Dashboard!$I$6)),1,0)</f>
        <v/>
      </c>
    </row>
    <row r="1802">
      <c r="A1802" t="inlineStr">
        <is>
          <t>PF101793</t>
        </is>
      </c>
      <c r="B1802" s="68" t="n">
        <v>45877</v>
      </c>
      <c r="C1802" s="69" t="n">
        <v>2025</v>
      </c>
      <c r="D1802" t="inlineStr">
        <is>
          <t>Aug</t>
        </is>
      </c>
      <c r="E1802" t="inlineStr">
        <is>
          <t>United States</t>
        </is>
      </c>
      <c r="F1802" t="inlineStr">
        <is>
          <t>USA</t>
        </is>
      </c>
      <c r="G1802" t="inlineStr">
        <is>
          <t>Ibrance</t>
        </is>
      </c>
      <c r="H1802" t="inlineStr">
        <is>
          <t>Retail pharmacy</t>
        </is>
      </c>
      <c r="I1802" t="inlineStr">
        <is>
          <t>Public payer</t>
        </is>
      </c>
      <c r="J1802" t="inlineStr">
        <is>
          <t>Wei Chen</t>
        </is>
      </c>
      <c r="K1802" s="70" t="n">
        <v>210</v>
      </c>
      <c r="L1802" s="71" t="n">
        <v>4659.15</v>
      </c>
      <c r="M1802" s="71" t="n">
        <v>978421.5</v>
      </c>
      <c r="N1802" s="71" t="n">
        <v>293526.45</v>
      </c>
      <c r="O1802" s="71" t="n">
        <v>684895.05</v>
      </c>
      <c r="P1802" s="71" t="n">
        <v>91075.86</v>
      </c>
      <c r="Q1802" s="71" t="n">
        <v>593819.1899999999</v>
      </c>
      <c r="R1802" t="inlineStr">
        <is>
          <t>Oncology</t>
        </is>
      </c>
      <c r="S1802" s="70" t="n">
        <v>141</v>
      </c>
      <c r="T1802" s="71" t="n">
        <v>190698.66</v>
      </c>
      <c r="U1802" t="inlineStr">
        <is>
          <t>High</t>
        </is>
      </c>
      <c r="V1802">
        <f>IF(AND(OR(Dashboard!$C$6="All",E1802=Dashboard!$C$6),OR(Dashboard!$F$6="All",G1802=Dashboard!$F$6),OR(Dashboard!$I$6="All",H1802=Dashboard!$I$6)),1,0)</f>
        <v/>
      </c>
    </row>
    <row r="1803">
      <c r="A1803" t="inlineStr">
        <is>
          <t>PF101794</t>
        </is>
      </c>
      <c r="B1803" s="68" t="n">
        <v>45877</v>
      </c>
      <c r="C1803" s="69" t="n">
        <v>2025</v>
      </c>
      <c r="D1803" t="inlineStr">
        <is>
          <t>Aug</t>
        </is>
      </c>
      <c r="E1803" t="inlineStr">
        <is>
          <t>United States</t>
        </is>
      </c>
      <c r="F1803" t="inlineStr">
        <is>
          <t>USA</t>
        </is>
      </c>
      <c r="G1803" t="inlineStr">
        <is>
          <t>Eliquis</t>
        </is>
      </c>
      <c r="H1803" t="inlineStr">
        <is>
          <t>Hospital</t>
        </is>
      </c>
      <c r="I1803" t="inlineStr">
        <is>
          <t>Public payer</t>
        </is>
      </c>
      <c r="J1803" t="inlineStr">
        <is>
          <t>Liam O'Brien</t>
        </is>
      </c>
      <c r="K1803" s="70" t="n">
        <v>967</v>
      </c>
      <c r="L1803" s="71" t="n">
        <v>635.7</v>
      </c>
      <c r="M1803" s="71" t="n">
        <v>614721.9</v>
      </c>
      <c r="N1803" s="71" t="n">
        <v>153680.48</v>
      </c>
      <c r="O1803" s="71" t="n">
        <v>461041.42</v>
      </c>
      <c r="P1803" s="71" t="n">
        <v>74543.10000000001</v>
      </c>
      <c r="Q1803" s="71" t="n">
        <v>386498.32</v>
      </c>
      <c r="R1803" t="inlineStr">
        <is>
          <t>Cardiology</t>
        </is>
      </c>
      <c r="S1803" s="70" t="n">
        <v>951</v>
      </c>
      <c r="T1803" s="71" t="n">
        <v>108426.04</v>
      </c>
      <c r="U1803" t="inlineStr">
        <is>
          <t>High</t>
        </is>
      </c>
      <c r="V1803">
        <f>IF(AND(OR(Dashboard!$C$6="All",E1803=Dashboard!$C$6),OR(Dashboard!$F$6="All",G1803=Dashboard!$F$6),OR(Dashboard!$I$6="All",H1803=Dashboard!$I$6)),1,0)</f>
        <v/>
      </c>
    </row>
    <row r="1804">
      <c r="A1804" t="inlineStr">
        <is>
          <t>PF101795</t>
        </is>
      </c>
      <c r="B1804" s="68" t="n">
        <v>45877</v>
      </c>
      <c r="C1804" s="69" t="n">
        <v>2025</v>
      </c>
      <c r="D1804" t="inlineStr">
        <is>
          <t>Aug</t>
        </is>
      </c>
      <c r="E1804" t="inlineStr">
        <is>
          <t>Europe</t>
        </is>
      </c>
      <c r="F1804" t="inlineStr">
        <is>
          <t>Spain</t>
        </is>
      </c>
      <c r="G1804" t="inlineStr">
        <is>
          <t>Prevnar 20</t>
        </is>
      </c>
      <c r="H1804" t="inlineStr">
        <is>
          <t>Government / tender</t>
        </is>
      </c>
      <c r="I1804" t="inlineStr">
        <is>
          <t>Private insurer</t>
        </is>
      </c>
      <c r="J1804" t="inlineStr">
        <is>
          <t>Hiroshi Tanaka</t>
        </is>
      </c>
      <c r="K1804" s="70" t="n">
        <v>2293</v>
      </c>
      <c r="L1804" s="71" t="n">
        <v>217.61</v>
      </c>
      <c r="M1804" s="71" t="n">
        <v>498979.73</v>
      </c>
      <c r="N1804" s="71" t="n">
        <v>49897.97</v>
      </c>
      <c r="O1804" s="71" t="n">
        <v>449081.76</v>
      </c>
      <c r="P1804" s="71" t="n">
        <v>164221.07</v>
      </c>
      <c r="Q1804" s="71" t="n">
        <v>284860.69</v>
      </c>
      <c r="R1804" t="inlineStr">
        <is>
          <t>Vaccines</t>
        </is>
      </c>
      <c r="S1804" s="70" t="n">
        <v>2243</v>
      </c>
      <c r="T1804" s="71" t="n">
        <v>101480.32</v>
      </c>
      <c r="U1804" t="inlineStr">
        <is>
          <t>Low</t>
        </is>
      </c>
      <c r="V1804">
        <f>IF(AND(OR(Dashboard!$C$6="All",E1804=Dashboard!$C$6),OR(Dashboard!$F$6="All",G1804=Dashboard!$F$6),OR(Dashboard!$I$6="All",H1804=Dashboard!$I$6)),1,0)</f>
        <v/>
      </c>
    </row>
    <row r="1805">
      <c r="A1805" t="inlineStr">
        <is>
          <t>PF101796</t>
        </is>
      </c>
      <c r="B1805" s="68" t="n">
        <v>45877</v>
      </c>
      <c r="C1805" s="69" t="n">
        <v>2025</v>
      </c>
      <c r="D1805" t="inlineStr">
        <is>
          <t>Aug</t>
        </is>
      </c>
      <c r="E1805" t="inlineStr">
        <is>
          <t>United States</t>
        </is>
      </c>
      <c r="F1805" t="inlineStr">
        <is>
          <t>USA</t>
        </is>
      </c>
      <c r="G1805" t="inlineStr">
        <is>
          <t>Abrysvo</t>
        </is>
      </c>
      <c r="H1805" t="inlineStr">
        <is>
          <t>Retail pharmacy</t>
        </is>
      </c>
      <c r="I1805" t="inlineStr">
        <is>
          <t>Private insurer</t>
        </is>
      </c>
      <c r="J1805" t="inlineStr">
        <is>
          <t>Aisha Bello</t>
        </is>
      </c>
      <c r="K1805" s="70" t="n">
        <v>753</v>
      </c>
      <c r="L1805" s="71" t="n">
        <v>406.03</v>
      </c>
      <c r="M1805" s="71" t="n">
        <v>305740.59</v>
      </c>
      <c r="N1805" s="71" t="n">
        <v>61148.12</v>
      </c>
      <c r="O1805" s="71" t="n">
        <v>244592.47</v>
      </c>
      <c r="P1805" s="71" t="n">
        <v>65024.65</v>
      </c>
      <c r="Q1805" s="71" t="n">
        <v>179567.82</v>
      </c>
      <c r="R1805" t="inlineStr">
        <is>
          <t>Vaccines</t>
        </is>
      </c>
      <c r="S1805" s="70" t="n">
        <v>670</v>
      </c>
      <c r="T1805" s="71" t="n">
        <v>41994.78</v>
      </c>
      <c r="U1805" t="inlineStr">
        <is>
          <t>Low</t>
        </is>
      </c>
      <c r="V1805">
        <f>IF(AND(OR(Dashboard!$C$6="All",E1805=Dashboard!$C$6),OR(Dashboard!$F$6="All",G1805=Dashboard!$F$6),OR(Dashboard!$I$6="All",H1805=Dashboard!$I$6)),1,0)</f>
        <v/>
      </c>
    </row>
    <row r="1806">
      <c r="A1806" t="inlineStr">
        <is>
          <t>PF101797</t>
        </is>
      </c>
      <c r="B1806" s="68" t="n">
        <v>45877</v>
      </c>
      <c r="C1806" s="69" t="n">
        <v>2025</v>
      </c>
      <c r="D1806" t="inlineStr">
        <is>
          <t>Aug</t>
        </is>
      </c>
      <c r="E1806" t="inlineStr">
        <is>
          <t>Europe</t>
        </is>
      </c>
      <c r="F1806" t="inlineStr">
        <is>
          <t>Italy</t>
        </is>
      </c>
      <c r="G1806" t="inlineStr">
        <is>
          <t>Comirnaty</t>
        </is>
      </c>
      <c r="H1806" t="inlineStr">
        <is>
          <t>Retail pharmacy</t>
        </is>
      </c>
      <c r="I1806" t="inlineStr">
        <is>
          <t>Public payer</t>
        </is>
      </c>
      <c r="J1806" t="inlineStr">
        <is>
          <t>Kofi Mensah</t>
        </is>
      </c>
      <c r="K1806" s="70" t="n">
        <v>2310</v>
      </c>
      <c r="L1806" s="71" t="n">
        <v>99.38</v>
      </c>
      <c r="M1806" s="71" t="n">
        <v>229567.8</v>
      </c>
      <c r="N1806" s="71" t="n">
        <v>11478.39</v>
      </c>
      <c r="O1806" s="71" t="n">
        <v>218089.41</v>
      </c>
      <c r="P1806" s="71" t="n">
        <v>89257.62</v>
      </c>
      <c r="Q1806" s="71" t="n">
        <v>128831.79</v>
      </c>
      <c r="R1806" t="inlineStr">
        <is>
          <t>Vaccines</t>
        </is>
      </c>
      <c r="S1806" s="70" t="n">
        <v>1448</v>
      </c>
      <c r="T1806" s="71" t="n">
        <v>45139.49</v>
      </c>
      <c r="U1806" t="inlineStr">
        <is>
          <t>Low</t>
        </is>
      </c>
      <c r="V1806">
        <f>IF(AND(OR(Dashboard!$C$6="All",E1806=Dashboard!$C$6),OR(Dashboard!$F$6="All",G1806=Dashboard!$F$6),OR(Dashboard!$I$6="All",H1806=Dashboard!$I$6)),1,0)</f>
        <v/>
      </c>
    </row>
    <row r="1807">
      <c r="A1807" t="inlineStr">
        <is>
          <t>PF101798</t>
        </is>
      </c>
      <c r="B1807" s="68" t="n">
        <v>45877</v>
      </c>
      <c r="C1807" s="69" t="n">
        <v>2025</v>
      </c>
      <c r="D1807" t="inlineStr">
        <is>
          <t>Aug</t>
        </is>
      </c>
      <c r="E1807" t="inlineStr">
        <is>
          <t>Europe</t>
        </is>
      </c>
      <c r="F1807" t="inlineStr">
        <is>
          <t>France</t>
        </is>
      </c>
      <c r="G1807" t="inlineStr">
        <is>
          <t>Eliquis</t>
        </is>
      </c>
      <c r="H1807" t="inlineStr">
        <is>
          <t>Hospital</t>
        </is>
      </c>
      <c r="I1807" t="inlineStr">
        <is>
          <t>Public payer</t>
        </is>
      </c>
      <c r="J1807" t="inlineStr">
        <is>
          <t>Emma Clarke</t>
        </is>
      </c>
      <c r="K1807" s="70" t="n">
        <v>2903</v>
      </c>
      <c r="L1807" s="71" t="n">
        <v>378.37</v>
      </c>
      <c r="M1807" s="71" t="n">
        <v>1098408.11</v>
      </c>
      <c r="N1807" s="71" t="n">
        <v>219681.62</v>
      </c>
      <c r="O1807" s="71" t="n">
        <v>878726.49</v>
      </c>
      <c r="P1807" s="71" t="n">
        <v>220404.17</v>
      </c>
      <c r="Q1807" s="71" t="n">
        <v>658322.3199999999</v>
      </c>
      <c r="R1807" t="inlineStr">
        <is>
          <t>Cardiology</t>
        </is>
      </c>
      <c r="S1807" s="70" t="n">
        <v>2438</v>
      </c>
      <c r="T1807" s="71" t="n">
        <v>198280.14</v>
      </c>
      <c r="U1807" t="inlineStr">
        <is>
          <t>High</t>
        </is>
      </c>
      <c r="V1807">
        <f>IF(AND(OR(Dashboard!$C$6="All",E1807=Dashboard!$C$6),OR(Dashboard!$F$6="All",G1807=Dashboard!$F$6),OR(Dashboard!$I$6="All",H1807=Dashboard!$I$6)),1,0)</f>
        <v/>
      </c>
    </row>
    <row r="1808">
      <c r="A1808" t="inlineStr">
        <is>
          <t>PF101799</t>
        </is>
      </c>
      <c r="B1808" s="68" t="n">
        <v>45877</v>
      </c>
      <c r="C1808" s="69" t="n">
        <v>2025</v>
      </c>
      <c r="D1808" t="inlineStr">
        <is>
          <t>Aug</t>
        </is>
      </c>
      <c r="E1808" t="inlineStr">
        <is>
          <t>United States</t>
        </is>
      </c>
      <c r="F1808" t="inlineStr">
        <is>
          <t>USA</t>
        </is>
      </c>
      <c r="G1808" t="inlineStr">
        <is>
          <t>Eliquis</t>
        </is>
      </c>
      <c r="H1808" t="inlineStr">
        <is>
          <t>Government / tender</t>
        </is>
      </c>
      <c r="I1808" t="inlineStr">
        <is>
          <t>Private insurer</t>
        </is>
      </c>
      <c r="J1808" t="inlineStr">
        <is>
          <t>Sara Rossi</t>
        </is>
      </c>
      <c r="K1808" s="70" t="n">
        <v>1691</v>
      </c>
      <c r="L1808" s="71" t="n">
        <v>678.7</v>
      </c>
      <c r="M1808" s="71" t="n">
        <v>1147681.7</v>
      </c>
      <c r="N1808" s="71" t="n">
        <v>286920.42</v>
      </c>
      <c r="O1808" s="71" t="n">
        <v>860761.28</v>
      </c>
      <c r="P1808" s="71" t="n">
        <v>126983.05</v>
      </c>
      <c r="Q1808" s="71" t="n">
        <v>733778.23</v>
      </c>
      <c r="R1808" t="inlineStr">
        <is>
          <t>Cardiology</t>
        </is>
      </c>
      <c r="S1808" s="70" t="n">
        <v>1332</v>
      </c>
      <c r="T1808" s="71" t="n">
        <v>159822.29</v>
      </c>
      <c r="U1808" t="inlineStr">
        <is>
          <t>High</t>
        </is>
      </c>
      <c r="V1808">
        <f>IF(AND(OR(Dashboard!$C$6="All",E1808=Dashboard!$C$6),OR(Dashboard!$F$6="All",G1808=Dashboard!$F$6),OR(Dashboard!$I$6="All",H1808=Dashboard!$I$6)),1,0)</f>
        <v/>
      </c>
    </row>
    <row r="1809">
      <c r="A1809" t="inlineStr">
        <is>
          <t>PF101800</t>
        </is>
      </c>
      <c r="B1809" s="68" t="n">
        <v>45878</v>
      </c>
      <c r="C1809" s="69" t="n">
        <v>2025</v>
      </c>
      <c r="D1809" t="inlineStr">
        <is>
          <t>Aug</t>
        </is>
      </c>
      <c r="E1809" t="inlineStr">
        <is>
          <t>United States</t>
        </is>
      </c>
      <c r="F1809" t="inlineStr">
        <is>
          <t>USA</t>
        </is>
      </c>
      <c r="G1809" t="inlineStr">
        <is>
          <t>Prevnar 20</t>
        </is>
      </c>
      <c r="H1809" t="inlineStr">
        <is>
          <t>Hospital</t>
        </is>
      </c>
      <c r="I1809" t="inlineStr">
        <is>
          <t>Public payer</t>
        </is>
      </c>
      <c r="J1809" t="inlineStr">
        <is>
          <t>Wei Chen</t>
        </is>
      </c>
      <c r="K1809" s="70" t="n">
        <v>1756</v>
      </c>
      <c r="L1809" s="71" t="n">
        <v>346.82</v>
      </c>
      <c r="M1809" s="71" t="n">
        <v>609015.92</v>
      </c>
      <c r="N1809" s="71" t="n">
        <v>213155.57</v>
      </c>
      <c r="O1809" s="71" t="n">
        <v>395860.35</v>
      </c>
      <c r="P1809" s="71" t="n">
        <v>116563.06</v>
      </c>
      <c r="Q1809" s="71" t="n">
        <v>279297.29</v>
      </c>
      <c r="R1809" t="inlineStr">
        <is>
          <t>Vaccines</t>
        </is>
      </c>
      <c r="S1809" s="70" t="n">
        <v>1165</v>
      </c>
      <c r="T1809" s="71" t="n">
        <v>82749.17</v>
      </c>
      <c r="U1809" t="inlineStr">
        <is>
          <t>Low</t>
        </is>
      </c>
      <c r="V1809">
        <f>IF(AND(OR(Dashboard!$C$6="All",E1809=Dashboard!$C$6),OR(Dashboard!$F$6="All",G1809=Dashboard!$F$6),OR(Dashboard!$I$6="All",H1809=Dashboard!$I$6)),1,0)</f>
        <v/>
      </c>
    </row>
    <row r="1810">
      <c r="A1810" t="inlineStr">
        <is>
          <t>PF101801</t>
        </is>
      </c>
      <c r="B1810" s="68" t="n">
        <v>45878</v>
      </c>
      <c r="C1810" s="69" t="n">
        <v>2025</v>
      </c>
      <c r="D1810" t="inlineStr">
        <is>
          <t>Aug</t>
        </is>
      </c>
      <c r="E1810" t="inlineStr">
        <is>
          <t>United States</t>
        </is>
      </c>
      <c r="F1810" t="inlineStr">
        <is>
          <t>USA</t>
        </is>
      </c>
      <c r="G1810" t="inlineStr">
        <is>
          <t>Eliquis</t>
        </is>
      </c>
      <c r="H1810" t="inlineStr">
        <is>
          <t>Hospital</t>
        </is>
      </c>
      <c r="I1810" t="inlineStr">
        <is>
          <t>Public payer</t>
        </is>
      </c>
      <c r="J1810" t="inlineStr">
        <is>
          <t>Sara Rossi</t>
        </is>
      </c>
      <c r="K1810" s="70" t="n">
        <v>1724</v>
      </c>
      <c r="L1810" s="71" t="n">
        <v>717.97</v>
      </c>
      <c r="M1810" s="71" t="n">
        <v>1237780.28</v>
      </c>
      <c r="N1810" s="71" t="n">
        <v>433223.1</v>
      </c>
      <c r="O1810" s="71" t="n">
        <v>804557.1800000001</v>
      </c>
      <c r="P1810" s="71" t="n">
        <v>125297.46</v>
      </c>
      <c r="Q1810" s="71" t="n">
        <v>679259.72</v>
      </c>
      <c r="R1810" t="inlineStr">
        <is>
          <t>Cardiology</t>
        </is>
      </c>
      <c r="S1810" s="70" t="n">
        <v>1112</v>
      </c>
      <c r="T1810" s="71" t="n">
        <v>260803.23</v>
      </c>
      <c r="U1810" t="inlineStr">
        <is>
          <t>High</t>
        </is>
      </c>
      <c r="V1810">
        <f>IF(AND(OR(Dashboard!$C$6="All",E1810=Dashboard!$C$6),OR(Dashboard!$F$6="All",G1810=Dashboard!$F$6),OR(Dashboard!$I$6="All",H1810=Dashboard!$I$6)),1,0)</f>
        <v/>
      </c>
    </row>
    <row r="1811">
      <c r="A1811" t="inlineStr">
        <is>
          <t>PF101802</t>
        </is>
      </c>
      <c r="B1811" s="68" t="n">
        <v>45878</v>
      </c>
      <c r="C1811" s="69" t="n">
        <v>2025</v>
      </c>
      <c r="D1811" t="inlineStr">
        <is>
          <t>Aug</t>
        </is>
      </c>
      <c r="E1811" t="inlineStr">
        <is>
          <t>Europe</t>
        </is>
      </c>
      <c r="F1811" t="inlineStr">
        <is>
          <t>UK</t>
        </is>
      </c>
      <c r="G1811" t="inlineStr">
        <is>
          <t>Eliquis</t>
        </is>
      </c>
      <c r="H1811" t="inlineStr">
        <is>
          <t>Hospital</t>
        </is>
      </c>
      <c r="I1811" t="inlineStr">
        <is>
          <t>Private insurer</t>
        </is>
      </c>
      <c r="J1811" t="inlineStr">
        <is>
          <t>Lucas Martin</t>
        </is>
      </c>
      <c r="K1811" s="70" t="n">
        <v>718</v>
      </c>
      <c r="L1811" s="71" t="n">
        <v>389.61</v>
      </c>
      <c r="M1811" s="71" t="n">
        <v>279739.98</v>
      </c>
      <c r="N1811" s="71" t="n">
        <v>55948</v>
      </c>
      <c r="O1811" s="71" t="n">
        <v>223791.98</v>
      </c>
      <c r="P1811" s="71" t="n">
        <v>56322.24</v>
      </c>
      <c r="Q1811" s="71" t="n">
        <v>167469.74</v>
      </c>
      <c r="R1811" t="inlineStr">
        <is>
          <t>Cardiology</t>
        </is>
      </c>
      <c r="S1811" s="70" t="n">
        <v>489</v>
      </c>
      <c r="T1811" s="71" t="n">
        <v>49136.36</v>
      </c>
      <c r="U1811" t="inlineStr">
        <is>
          <t>High</t>
        </is>
      </c>
      <c r="V1811">
        <f>IF(AND(OR(Dashboard!$C$6="All",E1811=Dashboard!$C$6),OR(Dashboard!$F$6="All",G1811=Dashboard!$F$6),OR(Dashboard!$I$6="All",H1811=Dashboard!$I$6)),1,0)</f>
        <v/>
      </c>
    </row>
    <row r="1812">
      <c r="A1812" t="inlineStr">
        <is>
          <t>PF101803</t>
        </is>
      </c>
      <c r="B1812" s="68" t="n">
        <v>45878</v>
      </c>
      <c r="C1812" s="69" t="n">
        <v>2025</v>
      </c>
      <c r="D1812" t="inlineStr">
        <is>
          <t>Aug</t>
        </is>
      </c>
      <c r="E1812" t="inlineStr">
        <is>
          <t>United States</t>
        </is>
      </c>
      <c r="F1812" t="inlineStr">
        <is>
          <t>USA</t>
        </is>
      </c>
      <c r="G1812" t="inlineStr">
        <is>
          <t>Vyndaqel</t>
        </is>
      </c>
      <c r="H1812" t="inlineStr">
        <is>
          <t>Government / tender</t>
        </is>
      </c>
      <c r="I1812" t="inlineStr">
        <is>
          <t>Public payer</t>
        </is>
      </c>
      <c r="J1812" t="inlineStr">
        <is>
          <t>Olivia Brown</t>
        </is>
      </c>
      <c r="K1812" s="70" t="n">
        <v>1534</v>
      </c>
      <c r="L1812" s="71" t="n">
        <v>8488.98</v>
      </c>
      <c r="M1812" s="71" t="n">
        <v>13022095.32</v>
      </c>
      <c r="N1812" s="71" t="n">
        <v>3255523.83</v>
      </c>
      <c r="O1812" s="71" t="n">
        <v>9766571.49</v>
      </c>
      <c r="P1812" s="71" t="n">
        <v>941199.0600000001</v>
      </c>
      <c r="Q1812" s="71" t="n">
        <v>8825372.43</v>
      </c>
      <c r="R1812" t="inlineStr">
        <is>
          <t>Rare disease</t>
        </is>
      </c>
      <c r="S1812" s="70" t="n">
        <v>1040</v>
      </c>
      <c r="T1812" s="71" t="n">
        <v>1659539.59</v>
      </c>
      <c r="U1812" t="inlineStr">
        <is>
          <t>Medium</t>
        </is>
      </c>
      <c r="V1812">
        <f>IF(AND(OR(Dashboard!$C$6="All",E1812=Dashboard!$C$6),OR(Dashboard!$F$6="All",G1812=Dashboard!$F$6),OR(Dashboard!$I$6="All",H1812=Dashboard!$I$6)),1,0)</f>
        <v/>
      </c>
    </row>
    <row r="1813">
      <c r="A1813" t="inlineStr">
        <is>
          <t>PF101804</t>
        </is>
      </c>
      <c r="B1813" s="68" t="n">
        <v>45878</v>
      </c>
      <c r="C1813" s="69" t="n">
        <v>2025</v>
      </c>
      <c r="D1813" t="inlineStr">
        <is>
          <t>Aug</t>
        </is>
      </c>
      <c r="E1813" t="inlineStr">
        <is>
          <t>Europe</t>
        </is>
      </c>
      <c r="F1813" t="inlineStr">
        <is>
          <t>Italy</t>
        </is>
      </c>
      <c r="G1813" t="inlineStr">
        <is>
          <t>Ibrance</t>
        </is>
      </c>
      <c r="H1813" t="inlineStr">
        <is>
          <t>Government / tender</t>
        </is>
      </c>
      <c r="I1813" t="inlineStr">
        <is>
          <t>Private insurer</t>
        </is>
      </c>
      <c r="J1813" t="inlineStr">
        <is>
          <t>Amir Khan</t>
        </is>
      </c>
      <c r="K1813" s="70" t="n">
        <v>2745</v>
      </c>
      <c r="L1813" s="71" t="n">
        <v>2887.9</v>
      </c>
      <c r="M1813" s="71" t="n">
        <v>7927285.5</v>
      </c>
      <c r="N1813" s="71" t="n">
        <v>1189092.82</v>
      </c>
      <c r="O1813" s="71" t="n">
        <v>6738192.68</v>
      </c>
      <c r="P1813" s="71" t="n">
        <v>1226937.07</v>
      </c>
      <c r="Q1813" s="71" t="n">
        <v>5511255.61</v>
      </c>
      <c r="R1813" t="inlineStr">
        <is>
          <t>Oncology</t>
        </is>
      </c>
      <c r="S1813" s="70" t="n">
        <v>2427</v>
      </c>
      <c r="T1813" s="71" t="n">
        <v>1611939.11</v>
      </c>
      <c r="U1813" t="inlineStr">
        <is>
          <t>High</t>
        </is>
      </c>
      <c r="V1813">
        <f>IF(AND(OR(Dashboard!$C$6="All",E1813=Dashboard!$C$6),OR(Dashboard!$F$6="All",G1813=Dashboard!$F$6),OR(Dashboard!$I$6="All",H1813=Dashboard!$I$6)),1,0)</f>
        <v/>
      </c>
    </row>
    <row r="1814">
      <c r="A1814" t="inlineStr">
        <is>
          <t>PF101805</t>
        </is>
      </c>
      <c r="B1814" s="68" t="n">
        <v>45878</v>
      </c>
      <c r="C1814" s="69" t="n">
        <v>2025</v>
      </c>
      <c r="D1814" t="inlineStr">
        <is>
          <t>Aug</t>
        </is>
      </c>
      <c r="E1814" t="inlineStr">
        <is>
          <t>Europe</t>
        </is>
      </c>
      <c r="F1814" t="inlineStr">
        <is>
          <t>Germany</t>
        </is>
      </c>
      <c r="G1814" t="inlineStr">
        <is>
          <t>Eliquis</t>
        </is>
      </c>
      <c r="H1814" t="inlineStr">
        <is>
          <t>Government / tender</t>
        </is>
      </c>
      <c r="I1814" t="inlineStr">
        <is>
          <t>Private insurer</t>
        </is>
      </c>
      <c r="J1814" t="inlineStr">
        <is>
          <t>Ravindra Patil</t>
        </is>
      </c>
      <c r="K1814" s="70" t="n">
        <v>2127</v>
      </c>
      <c r="L1814" s="71" t="n">
        <v>410.17</v>
      </c>
      <c r="M1814" s="71" t="n">
        <v>872431.59</v>
      </c>
      <c r="N1814" s="71" t="n">
        <v>174486.32</v>
      </c>
      <c r="O1814" s="71" t="n">
        <v>697945.27</v>
      </c>
      <c r="P1814" s="71" t="n">
        <v>166529.51</v>
      </c>
      <c r="Q1814" s="71" t="n">
        <v>531415.76</v>
      </c>
      <c r="R1814" t="inlineStr">
        <is>
          <t>Cardiology</t>
        </is>
      </c>
      <c r="S1814" s="70" t="n">
        <v>1890</v>
      </c>
      <c r="T1814" s="71" t="n">
        <v>120461.91</v>
      </c>
      <c r="U1814" t="inlineStr">
        <is>
          <t>High</t>
        </is>
      </c>
      <c r="V1814">
        <f>IF(AND(OR(Dashboard!$C$6="All",E1814=Dashboard!$C$6),OR(Dashboard!$F$6="All",G1814=Dashboard!$F$6),OR(Dashboard!$I$6="All",H1814=Dashboard!$I$6)),1,0)</f>
        <v/>
      </c>
    </row>
    <row r="1815">
      <c r="A1815" t="inlineStr">
        <is>
          <t>PF101806</t>
        </is>
      </c>
      <c r="B1815" s="68" t="n">
        <v>45878</v>
      </c>
      <c r="C1815" s="69" t="n">
        <v>2025</v>
      </c>
      <c r="D1815" t="inlineStr">
        <is>
          <t>Aug</t>
        </is>
      </c>
      <c r="E1815" t="inlineStr">
        <is>
          <t>Emerging markets</t>
        </is>
      </c>
      <c r="F1815" t="inlineStr">
        <is>
          <t>India</t>
        </is>
      </c>
      <c r="G1815" t="inlineStr">
        <is>
          <t>Paxlovid</t>
        </is>
      </c>
      <c r="H1815" t="inlineStr">
        <is>
          <t>Retail pharmacy</t>
        </is>
      </c>
      <c r="I1815" t="inlineStr">
        <is>
          <t>Self-pay</t>
        </is>
      </c>
      <c r="J1815" t="inlineStr">
        <is>
          <t>Ravindra Patil</t>
        </is>
      </c>
      <c r="K1815" s="70" t="n">
        <v>1054</v>
      </c>
      <c r="L1815" s="71" t="n">
        <v>1170.85</v>
      </c>
      <c r="M1815" s="71" t="n">
        <v>1234075.9</v>
      </c>
      <c r="N1815" s="71" t="n">
        <v>123407.59</v>
      </c>
      <c r="O1815" s="71" t="n">
        <v>1110668.31</v>
      </c>
      <c r="P1815" s="71" t="n">
        <v>287781.39</v>
      </c>
      <c r="Q1815" s="71" t="n">
        <v>822886.92</v>
      </c>
      <c r="R1815" t="inlineStr">
        <is>
          <t>Antiviral</t>
        </is>
      </c>
      <c r="S1815" s="70" t="n">
        <v>919</v>
      </c>
      <c r="T1815" s="71" t="n">
        <v>189570.47</v>
      </c>
      <c r="U1815" t="inlineStr">
        <is>
          <t>Low</t>
        </is>
      </c>
      <c r="V1815">
        <f>IF(AND(OR(Dashboard!$C$6="All",E1815=Dashboard!$C$6),OR(Dashboard!$F$6="All",G1815=Dashboard!$F$6),OR(Dashboard!$I$6="All",H1815=Dashboard!$I$6)),1,0)</f>
        <v/>
      </c>
    </row>
    <row r="1816">
      <c r="A1816" t="inlineStr">
        <is>
          <t>PF101807</t>
        </is>
      </c>
      <c r="B1816" s="68" t="n">
        <v>45878</v>
      </c>
      <c r="C1816" s="69" t="n">
        <v>2025</v>
      </c>
      <c r="D1816" t="inlineStr">
        <is>
          <t>Aug</t>
        </is>
      </c>
      <c r="E1816" t="inlineStr">
        <is>
          <t>United States</t>
        </is>
      </c>
      <c r="F1816" t="inlineStr">
        <is>
          <t>USA</t>
        </is>
      </c>
      <c r="G1816" t="inlineStr">
        <is>
          <t>Xeljanz</t>
        </is>
      </c>
      <c r="H1816" t="inlineStr">
        <is>
          <t>Hospital</t>
        </is>
      </c>
      <c r="I1816" t="inlineStr">
        <is>
          <t>Private insurer</t>
        </is>
      </c>
      <c r="J1816" t="inlineStr">
        <is>
          <t>Wei Chen</t>
        </is>
      </c>
      <c r="K1816" s="70" t="n">
        <v>1425</v>
      </c>
      <c r="L1816" s="71" t="n">
        <v>2054.37</v>
      </c>
      <c r="M1816" s="71" t="n">
        <v>2927477.25</v>
      </c>
      <c r="N1816" s="71" t="n">
        <v>878243.1800000001</v>
      </c>
      <c r="O1816" s="71" t="n">
        <v>2049234.07</v>
      </c>
      <c r="P1816" s="71" t="n">
        <v>357498.46</v>
      </c>
      <c r="Q1816" s="71" t="n">
        <v>1691735.61</v>
      </c>
      <c r="R1816" t="inlineStr">
        <is>
          <t>Inflammation</t>
        </is>
      </c>
      <c r="S1816" s="70" t="n">
        <v>969</v>
      </c>
      <c r="T1816" s="71" t="n">
        <v>358230.87</v>
      </c>
      <c r="U1816" t="inlineStr">
        <is>
          <t>High</t>
        </is>
      </c>
      <c r="V1816">
        <f>IF(AND(OR(Dashboard!$C$6="All",E1816=Dashboard!$C$6),OR(Dashboard!$F$6="All",G1816=Dashboard!$F$6),OR(Dashboard!$I$6="All",H1816=Dashboard!$I$6)),1,0)</f>
        <v/>
      </c>
    </row>
    <row r="1817">
      <c r="A1817" t="inlineStr">
        <is>
          <t>PF101808</t>
        </is>
      </c>
      <c r="B1817" s="68" t="n">
        <v>45879</v>
      </c>
      <c r="C1817" s="69" t="n">
        <v>2025</v>
      </c>
      <c r="D1817" t="inlineStr">
        <is>
          <t>Aug</t>
        </is>
      </c>
      <c r="E1817" t="inlineStr">
        <is>
          <t>Emerging markets</t>
        </is>
      </c>
      <c r="F1817" t="inlineStr">
        <is>
          <t>China</t>
        </is>
      </c>
      <c r="G1817" t="inlineStr">
        <is>
          <t>Comirnaty</t>
        </is>
      </c>
      <c r="H1817" t="inlineStr">
        <is>
          <t>Hospital</t>
        </is>
      </c>
      <c r="I1817" t="inlineStr">
        <is>
          <t>Private insurer</t>
        </is>
      </c>
      <c r="J1817" t="inlineStr">
        <is>
          <t>Yuki Sato</t>
        </is>
      </c>
      <c r="K1817" s="70" t="n">
        <v>2798</v>
      </c>
      <c r="L1817" s="71" t="n">
        <v>113.24</v>
      </c>
      <c r="M1817" s="71" t="n">
        <v>316845.52</v>
      </c>
      <c r="N1817" s="71" t="n">
        <v>31684.55</v>
      </c>
      <c r="O1817" s="71" t="n">
        <v>285160.97</v>
      </c>
      <c r="P1817" s="71" t="n">
        <v>104682.62</v>
      </c>
      <c r="Q1817" s="71" t="n">
        <v>180478.35</v>
      </c>
      <c r="R1817" t="inlineStr">
        <is>
          <t>Vaccines</t>
        </is>
      </c>
      <c r="S1817" s="70" t="n">
        <v>2051</v>
      </c>
      <c r="T1817" s="71" t="n">
        <v>57251.93</v>
      </c>
      <c r="U1817" t="inlineStr">
        <is>
          <t>Low</t>
        </is>
      </c>
      <c r="V1817">
        <f>IF(AND(OR(Dashboard!$C$6="All",E1817=Dashboard!$C$6),OR(Dashboard!$F$6="All",G1817=Dashboard!$F$6),OR(Dashboard!$I$6="All",H1817=Dashboard!$I$6)),1,0)</f>
        <v/>
      </c>
    </row>
    <row r="1818">
      <c r="A1818" t="inlineStr">
        <is>
          <t>PF101809</t>
        </is>
      </c>
      <c r="B1818" s="68" t="n">
        <v>45879</v>
      </c>
      <c r="C1818" s="69" t="n">
        <v>2025</v>
      </c>
      <c r="D1818" t="inlineStr">
        <is>
          <t>Aug</t>
        </is>
      </c>
      <c r="E1818" t="inlineStr">
        <is>
          <t>United States</t>
        </is>
      </c>
      <c r="F1818" t="inlineStr">
        <is>
          <t>USA</t>
        </is>
      </c>
      <c r="G1818" t="inlineStr">
        <is>
          <t>Ibrance</t>
        </is>
      </c>
      <c r="H1818" t="inlineStr">
        <is>
          <t>Retail pharmacy</t>
        </is>
      </c>
      <c r="I1818" t="inlineStr">
        <is>
          <t>Self-pay</t>
        </is>
      </c>
      <c r="J1818" t="inlineStr">
        <is>
          <t>Hiroshi Tanaka</t>
        </is>
      </c>
      <c r="K1818" s="70" t="n">
        <v>1663</v>
      </c>
      <c r="L1818" s="71" t="n">
        <v>4346.18</v>
      </c>
      <c r="M1818" s="71" t="n">
        <v>7227697.34</v>
      </c>
      <c r="N1818" s="71" t="n">
        <v>1806924.33</v>
      </c>
      <c r="O1818" s="71" t="n">
        <v>5420773.01</v>
      </c>
      <c r="P1818" s="71" t="n">
        <v>720100.78</v>
      </c>
      <c r="Q1818" s="71" t="n">
        <v>4700672.23</v>
      </c>
      <c r="R1818" t="inlineStr">
        <is>
          <t>Oncology</t>
        </is>
      </c>
      <c r="S1818" s="70" t="n">
        <v>1241</v>
      </c>
      <c r="T1818" s="71" t="n">
        <v>926181.5699999999</v>
      </c>
      <c r="U1818" t="inlineStr">
        <is>
          <t>High</t>
        </is>
      </c>
      <c r="V1818">
        <f>IF(AND(OR(Dashboard!$C$6="All",E1818=Dashboard!$C$6),OR(Dashboard!$F$6="All",G1818=Dashboard!$F$6),OR(Dashboard!$I$6="All",H1818=Dashboard!$I$6)),1,0)</f>
        <v/>
      </c>
    </row>
    <row r="1819">
      <c r="A1819" t="inlineStr">
        <is>
          <t>PF101810</t>
        </is>
      </c>
      <c r="B1819" s="68" t="n">
        <v>45879</v>
      </c>
      <c r="C1819" s="69" t="n">
        <v>2025</v>
      </c>
      <c r="D1819" t="inlineStr">
        <is>
          <t>Aug</t>
        </is>
      </c>
      <c r="E1819" t="inlineStr">
        <is>
          <t>United States</t>
        </is>
      </c>
      <c r="F1819" t="inlineStr">
        <is>
          <t>USA</t>
        </is>
      </c>
      <c r="G1819" t="inlineStr">
        <is>
          <t>Prevnar 20</t>
        </is>
      </c>
      <c r="H1819" t="inlineStr">
        <is>
          <t>Retail pharmacy</t>
        </is>
      </c>
      <c r="I1819" t="inlineStr">
        <is>
          <t>Private insurer</t>
        </is>
      </c>
      <c r="J1819" t="inlineStr">
        <is>
          <t>Kofi Mensah</t>
        </is>
      </c>
      <c r="K1819" s="70" t="n">
        <v>945</v>
      </c>
      <c r="L1819" s="71" t="n">
        <v>342.86</v>
      </c>
      <c r="M1819" s="71" t="n">
        <v>324002.7</v>
      </c>
      <c r="N1819" s="71" t="n">
        <v>81000.67999999999</v>
      </c>
      <c r="O1819" s="71" t="n">
        <v>243002.02</v>
      </c>
      <c r="P1819" s="71" t="n">
        <v>67053.25999999999</v>
      </c>
      <c r="Q1819" s="71" t="n">
        <v>175948.76</v>
      </c>
      <c r="R1819" t="inlineStr">
        <is>
          <t>Vaccines</t>
        </is>
      </c>
      <c r="S1819" s="70" t="n">
        <v>666</v>
      </c>
      <c r="T1819" s="71" t="n">
        <v>55952.75</v>
      </c>
      <c r="U1819" t="inlineStr">
        <is>
          <t>Low</t>
        </is>
      </c>
      <c r="V1819">
        <f>IF(AND(OR(Dashboard!$C$6="All",E1819=Dashboard!$C$6),OR(Dashboard!$F$6="All",G1819=Dashboard!$F$6),OR(Dashboard!$I$6="All",H1819=Dashboard!$I$6)),1,0)</f>
        <v/>
      </c>
    </row>
    <row r="1820">
      <c r="A1820" t="inlineStr">
        <is>
          <t>PF101811</t>
        </is>
      </c>
      <c r="B1820" s="68" t="n">
        <v>45879</v>
      </c>
      <c r="C1820" s="69" t="n">
        <v>2025</v>
      </c>
      <c r="D1820" t="inlineStr">
        <is>
          <t>Aug</t>
        </is>
      </c>
      <c r="E1820" t="inlineStr">
        <is>
          <t>United States</t>
        </is>
      </c>
      <c r="F1820" t="inlineStr">
        <is>
          <t>USA</t>
        </is>
      </c>
      <c r="G1820" t="inlineStr">
        <is>
          <t>Prevnar 20</t>
        </is>
      </c>
      <c r="H1820" t="inlineStr">
        <is>
          <t>Hospital</t>
        </is>
      </c>
      <c r="I1820" t="inlineStr">
        <is>
          <t>Private insurer</t>
        </is>
      </c>
      <c r="J1820" t="inlineStr">
        <is>
          <t>Sophie Müller</t>
        </is>
      </c>
      <c r="K1820" s="70" t="n">
        <v>2354</v>
      </c>
      <c r="L1820" s="71" t="n">
        <v>377.68</v>
      </c>
      <c r="M1820" s="71" t="n">
        <v>889058.72</v>
      </c>
      <c r="N1820" s="71" t="n">
        <v>311170.55</v>
      </c>
      <c r="O1820" s="71" t="n">
        <v>577888.17</v>
      </c>
      <c r="P1820" s="71" t="n">
        <v>164201.69</v>
      </c>
      <c r="Q1820" s="71" t="n">
        <v>413686.48</v>
      </c>
      <c r="R1820" t="inlineStr">
        <is>
          <t>Vaccines</t>
        </is>
      </c>
      <c r="S1820" s="70" t="n">
        <v>1645</v>
      </c>
      <c r="T1820" s="71" t="n">
        <v>147437.48</v>
      </c>
      <c r="U1820" t="inlineStr">
        <is>
          <t>Low</t>
        </is>
      </c>
      <c r="V1820">
        <f>IF(AND(OR(Dashboard!$C$6="All",E1820=Dashboard!$C$6),OR(Dashboard!$F$6="All",G1820=Dashboard!$F$6),OR(Dashboard!$I$6="All",H1820=Dashboard!$I$6)),1,0)</f>
        <v/>
      </c>
    </row>
    <row r="1821">
      <c r="A1821" t="inlineStr">
        <is>
          <t>PF101812</t>
        </is>
      </c>
      <c r="B1821" s="68" t="n">
        <v>45879</v>
      </c>
      <c r="C1821" s="69" t="n">
        <v>2025</v>
      </c>
      <c r="D1821" t="inlineStr">
        <is>
          <t>Aug</t>
        </is>
      </c>
      <c r="E1821" t="inlineStr">
        <is>
          <t>Europe</t>
        </is>
      </c>
      <c r="F1821" t="inlineStr">
        <is>
          <t>UK</t>
        </is>
      </c>
      <c r="G1821" t="inlineStr">
        <is>
          <t>Eliquis</t>
        </is>
      </c>
      <c r="H1821" t="inlineStr">
        <is>
          <t>Retail pharmacy</t>
        </is>
      </c>
      <c r="I1821" t="inlineStr">
        <is>
          <t>Public payer</t>
        </is>
      </c>
      <c r="J1821" t="inlineStr">
        <is>
          <t>Priya Nair</t>
        </is>
      </c>
      <c r="K1821" s="70" t="n">
        <v>475</v>
      </c>
      <c r="L1821" s="71" t="n">
        <v>378.82</v>
      </c>
      <c r="M1821" s="71" t="n">
        <v>179939.5</v>
      </c>
      <c r="N1821" s="71" t="n">
        <v>26990.92</v>
      </c>
      <c r="O1821" s="71" t="n">
        <v>152948.58</v>
      </c>
      <c r="P1821" s="71" t="n">
        <v>36556.04</v>
      </c>
      <c r="Q1821" s="71" t="n">
        <v>116392.54</v>
      </c>
      <c r="R1821" t="inlineStr">
        <is>
          <t>Cardiology</t>
        </is>
      </c>
      <c r="S1821" s="70" t="n">
        <v>335</v>
      </c>
      <c r="T1821" s="71" t="n">
        <v>39200.74</v>
      </c>
      <c r="U1821" t="inlineStr">
        <is>
          <t>High</t>
        </is>
      </c>
      <c r="V1821">
        <f>IF(AND(OR(Dashboard!$C$6="All",E1821=Dashboard!$C$6),OR(Dashboard!$F$6="All",G1821=Dashboard!$F$6),OR(Dashboard!$I$6="All",H1821=Dashboard!$I$6)),1,0)</f>
        <v/>
      </c>
    </row>
    <row r="1822">
      <c r="A1822" t="inlineStr">
        <is>
          <t>PF101813</t>
        </is>
      </c>
      <c r="B1822" s="68" t="n">
        <v>45879</v>
      </c>
      <c r="C1822" s="69" t="n">
        <v>2025</v>
      </c>
      <c r="D1822" t="inlineStr">
        <is>
          <t>Aug</t>
        </is>
      </c>
      <c r="E1822" t="inlineStr">
        <is>
          <t>United States</t>
        </is>
      </c>
      <c r="F1822" t="inlineStr">
        <is>
          <t>USA</t>
        </is>
      </c>
      <c r="G1822" t="inlineStr">
        <is>
          <t>Abrysvo</t>
        </is>
      </c>
      <c r="H1822" t="inlineStr">
        <is>
          <t>Retail pharmacy</t>
        </is>
      </c>
      <c r="I1822" t="inlineStr">
        <is>
          <t>Public payer</t>
        </is>
      </c>
      <c r="J1822" t="inlineStr">
        <is>
          <t>Arjun Mehta</t>
        </is>
      </c>
      <c r="K1822" s="70" t="n">
        <v>108</v>
      </c>
      <c r="L1822" s="71" t="n">
        <v>466.88</v>
      </c>
      <c r="M1822" s="71" t="n">
        <v>50423.04</v>
      </c>
      <c r="N1822" s="71" t="n">
        <v>12605.76</v>
      </c>
      <c r="O1822" s="71" t="n">
        <v>37817.28</v>
      </c>
      <c r="P1822" s="71" t="n">
        <v>9206.92</v>
      </c>
      <c r="Q1822" s="71" t="n">
        <v>28610.36</v>
      </c>
      <c r="R1822" t="inlineStr">
        <is>
          <t>Vaccines</t>
        </is>
      </c>
      <c r="S1822" s="70" t="n">
        <v>72</v>
      </c>
      <c r="T1822" s="71" t="n">
        <v>8118.46</v>
      </c>
      <c r="U1822" t="inlineStr">
        <is>
          <t>Low</t>
        </is>
      </c>
      <c r="V1822">
        <f>IF(AND(OR(Dashboard!$C$6="All",E1822=Dashboard!$C$6),OR(Dashboard!$F$6="All",G1822=Dashboard!$F$6),OR(Dashboard!$I$6="All",H1822=Dashboard!$I$6)),1,0)</f>
        <v/>
      </c>
    </row>
    <row r="1823">
      <c r="A1823" t="inlineStr">
        <is>
          <t>PF101814</t>
        </is>
      </c>
      <c r="B1823" s="68" t="n">
        <v>45879</v>
      </c>
      <c r="C1823" s="69" t="n">
        <v>2025</v>
      </c>
      <c r="D1823" t="inlineStr">
        <is>
          <t>Aug</t>
        </is>
      </c>
      <c r="E1823" t="inlineStr">
        <is>
          <t>Europe</t>
        </is>
      </c>
      <c r="F1823" t="inlineStr">
        <is>
          <t>France</t>
        </is>
      </c>
      <c r="G1823" t="inlineStr">
        <is>
          <t>Ibrance</t>
        </is>
      </c>
      <c r="H1823" t="inlineStr">
        <is>
          <t>Hospital</t>
        </is>
      </c>
      <c r="I1823" t="inlineStr">
        <is>
          <t>Private insurer</t>
        </is>
      </c>
      <c r="J1823" t="inlineStr">
        <is>
          <t>Shraddha Kulkarni</t>
        </is>
      </c>
      <c r="K1823" s="70" t="n">
        <v>913</v>
      </c>
      <c r="L1823" s="71" t="n">
        <v>2945.49</v>
      </c>
      <c r="M1823" s="71" t="n">
        <v>2689232.37</v>
      </c>
      <c r="N1823" s="71" t="n">
        <v>268923.24</v>
      </c>
      <c r="O1823" s="71" t="n">
        <v>2420309.13</v>
      </c>
      <c r="P1823" s="71" t="n">
        <v>391433.74</v>
      </c>
      <c r="Q1823" s="71" t="n">
        <v>2028875.39</v>
      </c>
      <c r="R1823" t="inlineStr">
        <is>
          <t>Oncology</t>
        </is>
      </c>
      <c r="S1823" s="70" t="n">
        <v>690</v>
      </c>
      <c r="T1823" s="71" t="n">
        <v>436821.16</v>
      </c>
      <c r="U1823" t="inlineStr">
        <is>
          <t>High</t>
        </is>
      </c>
      <c r="V1823">
        <f>IF(AND(OR(Dashboard!$C$6="All",E1823=Dashboard!$C$6),OR(Dashboard!$F$6="All",G1823=Dashboard!$F$6),OR(Dashboard!$I$6="All",H1823=Dashboard!$I$6)),1,0)</f>
        <v/>
      </c>
    </row>
    <row r="1824">
      <c r="A1824" t="inlineStr">
        <is>
          <t>PF101815</t>
        </is>
      </c>
      <c r="B1824" s="68" t="n">
        <v>45879</v>
      </c>
      <c r="C1824" s="69" t="n">
        <v>2025</v>
      </c>
      <c r="D1824" t="inlineStr">
        <is>
          <t>Aug</t>
        </is>
      </c>
      <c r="E1824" t="inlineStr">
        <is>
          <t>United States</t>
        </is>
      </c>
      <c r="F1824" t="inlineStr">
        <is>
          <t>USA</t>
        </is>
      </c>
      <c r="G1824" t="inlineStr">
        <is>
          <t>Prevnar 20</t>
        </is>
      </c>
      <c r="H1824" t="inlineStr">
        <is>
          <t>Government / tender</t>
        </is>
      </c>
      <c r="I1824" t="inlineStr">
        <is>
          <t>Public payer</t>
        </is>
      </c>
      <c r="J1824" t="inlineStr">
        <is>
          <t>Mei Lin</t>
        </is>
      </c>
      <c r="K1824" s="70" t="n">
        <v>440</v>
      </c>
      <c r="L1824" s="71" t="n">
        <v>380.35</v>
      </c>
      <c r="M1824" s="71" t="n">
        <v>167354</v>
      </c>
      <c r="N1824" s="71" t="n">
        <v>33470.8</v>
      </c>
      <c r="O1824" s="71" t="n">
        <v>133883.2</v>
      </c>
      <c r="P1824" s="71" t="n">
        <v>31166.57</v>
      </c>
      <c r="Q1824" s="71" t="n">
        <v>102716.63</v>
      </c>
      <c r="R1824" t="inlineStr">
        <is>
          <t>Vaccines</t>
        </is>
      </c>
      <c r="S1824" s="70" t="n">
        <v>408</v>
      </c>
      <c r="T1824" s="71" t="n">
        <v>31674.01</v>
      </c>
      <c r="U1824" t="inlineStr">
        <is>
          <t>Low</t>
        </is>
      </c>
      <c r="V1824">
        <f>IF(AND(OR(Dashboard!$C$6="All",E1824=Dashboard!$C$6),OR(Dashboard!$F$6="All",G1824=Dashboard!$F$6),OR(Dashboard!$I$6="All",H1824=Dashboard!$I$6)),1,0)</f>
        <v/>
      </c>
    </row>
    <row r="1825">
      <c r="A1825" t="inlineStr">
        <is>
          <t>PF101816</t>
        </is>
      </c>
      <c r="B1825" s="68" t="n">
        <v>45879</v>
      </c>
      <c r="C1825" s="69" t="n">
        <v>2025</v>
      </c>
      <c r="D1825" t="inlineStr">
        <is>
          <t>Aug</t>
        </is>
      </c>
      <c r="E1825" t="inlineStr">
        <is>
          <t>Emerging markets</t>
        </is>
      </c>
      <c r="F1825" t="inlineStr">
        <is>
          <t>India</t>
        </is>
      </c>
      <c r="G1825" t="inlineStr">
        <is>
          <t>Abrysvo</t>
        </is>
      </c>
      <c r="H1825" t="inlineStr">
        <is>
          <t>Retail pharmacy</t>
        </is>
      </c>
      <c r="I1825" t="inlineStr">
        <is>
          <t>Public payer</t>
        </is>
      </c>
      <c r="J1825" t="inlineStr">
        <is>
          <t>Ruhi Shaikh</t>
        </is>
      </c>
      <c r="K1825" s="70" t="n">
        <v>3078</v>
      </c>
      <c r="L1825" s="71" t="n">
        <v>282.68</v>
      </c>
      <c r="M1825" s="71" t="n">
        <v>870089.04</v>
      </c>
      <c r="N1825" s="71" t="n">
        <v>174017.81</v>
      </c>
      <c r="O1825" s="71" t="n">
        <v>696071.23</v>
      </c>
      <c r="P1825" s="71" t="n">
        <v>250324.05</v>
      </c>
      <c r="Q1825" s="71" t="n">
        <v>445747.18</v>
      </c>
      <c r="R1825" t="inlineStr">
        <is>
          <t>Vaccines</t>
        </is>
      </c>
      <c r="S1825" s="70" t="n">
        <v>2307</v>
      </c>
      <c r="T1825" s="71" t="n">
        <v>130827.89</v>
      </c>
      <c r="U1825" t="inlineStr">
        <is>
          <t>Low</t>
        </is>
      </c>
      <c r="V1825">
        <f>IF(AND(OR(Dashboard!$C$6="All",E1825=Dashboard!$C$6),OR(Dashboard!$F$6="All",G1825=Dashboard!$F$6),OR(Dashboard!$I$6="All",H1825=Dashboard!$I$6)),1,0)</f>
        <v/>
      </c>
    </row>
    <row r="1826">
      <c r="A1826" t="inlineStr">
        <is>
          <t>PF101817</t>
        </is>
      </c>
      <c r="B1826" s="68" t="n">
        <v>45880</v>
      </c>
      <c r="C1826" s="69" t="n">
        <v>2025</v>
      </c>
      <c r="D1826" t="inlineStr">
        <is>
          <t>Aug</t>
        </is>
      </c>
      <c r="E1826" t="inlineStr">
        <is>
          <t>United States</t>
        </is>
      </c>
      <c r="F1826" t="inlineStr">
        <is>
          <t>USA</t>
        </is>
      </c>
      <c r="G1826" t="inlineStr">
        <is>
          <t>Ibrance</t>
        </is>
      </c>
      <c r="H1826" t="inlineStr">
        <is>
          <t>Retail pharmacy</t>
        </is>
      </c>
      <c r="I1826" t="inlineStr">
        <is>
          <t>Private insurer</t>
        </is>
      </c>
      <c r="J1826" t="inlineStr">
        <is>
          <t>Aisha Bello</t>
        </is>
      </c>
      <c r="K1826" s="70" t="n">
        <v>1303</v>
      </c>
      <c r="L1826" s="71" t="n">
        <v>4341.95</v>
      </c>
      <c r="M1826" s="71" t="n">
        <v>5657560.85</v>
      </c>
      <c r="N1826" s="71" t="n">
        <v>1131512.17</v>
      </c>
      <c r="O1826" s="71" t="n">
        <v>4526048.68</v>
      </c>
      <c r="P1826" s="71" t="n">
        <v>568720.8100000001</v>
      </c>
      <c r="Q1826" s="71" t="n">
        <v>3957327.87</v>
      </c>
      <c r="R1826" t="inlineStr">
        <is>
          <t>Oncology</t>
        </is>
      </c>
      <c r="S1826" s="70" t="n">
        <v>1056</v>
      </c>
      <c r="T1826" s="71" t="n">
        <v>775527.77</v>
      </c>
      <c r="U1826" t="inlineStr">
        <is>
          <t>High</t>
        </is>
      </c>
      <c r="V1826">
        <f>IF(AND(OR(Dashboard!$C$6="All",E1826=Dashboard!$C$6),OR(Dashboard!$F$6="All",G1826=Dashboard!$F$6),OR(Dashboard!$I$6="All",H1826=Dashboard!$I$6)),1,0)</f>
        <v/>
      </c>
    </row>
    <row r="1827">
      <c r="A1827" t="inlineStr">
        <is>
          <t>PF101818</t>
        </is>
      </c>
      <c r="B1827" s="68" t="n">
        <v>45880</v>
      </c>
      <c r="C1827" s="69" t="n">
        <v>2025</v>
      </c>
      <c r="D1827" t="inlineStr">
        <is>
          <t>Aug</t>
        </is>
      </c>
      <c r="E1827" t="inlineStr">
        <is>
          <t>Emerging markets</t>
        </is>
      </c>
      <c r="F1827" t="inlineStr">
        <is>
          <t>India</t>
        </is>
      </c>
      <c r="G1827" t="inlineStr">
        <is>
          <t>Abrysvo</t>
        </is>
      </c>
      <c r="H1827" t="inlineStr">
        <is>
          <t>Retail pharmacy</t>
        </is>
      </c>
      <c r="I1827" t="inlineStr">
        <is>
          <t>Private insurer</t>
        </is>
      </c>
      <c r="J1827" t="inlineStr">
        <is>
          <t>Shraddha Kulkarni</t>
        </is>
      </c>
      <c r="K1827" s="70" t="n">
        <v>2910</v>
      </c>
      <c r="L1827" s="71" t="n">
        <v>254.4</v>
      </c>
      <c r="M1827" s="71" t="n">
        <v>740304</v>
      </c>
      <c r="N1827" s="71" t="n">
        <v>185076</v>
      </c>
      <c r="O1827" s="71" t="n">
        <v>555228</v>
      </c>
      <c r="P1827" s="71" t="n">
        <v>244835.5</v>
      </c>
      <c r="Q1827" s="71" t="n">
        <v>310392.5</v>
      </c>
      <c r="R1827" t="inlineStr">
        <is>
          <t>Vaccines</t>
        </is>
      </c>
      <c r="S1827" s="70" t="n">
        <v>1896</v>
      </c>
      <c r="T1827" s="71" t="n">
        <v>159332.1</v>
      </c>
      <c r="U1827" t="inlineStr">
        <is>
          <t>Low</t>
        </is>
      </c>
      <c r="V1827">
        <f>IF(AND(OR(Dashboard!$C$6="All",E1827=Dashboard!$C$6),OR(Dashboard!$F$6="All",G1827=Dashboard!$F$6),OR(Dashboard!$I$6="All",H1827=Dashboard!$I$6)),1,0)</f>
        <v/>
      </c>
    </row>
    <row r="1828">
      <c r="A1828" t="inlineStr">
        <is>
          <t>PF101819</t>
        </is>
      </c>
      <c r="B1828" s="68" t="n">
        <v>45880</v>
      </c>
      <c r="C1828" s="69" t="n">
        <v>2025</v>
      </c>
      <c r="D1828" t="inlineStr">
        <is>
          <t>Aug</t>
        </is>
      </c>
      <c r="E1828" t="inlineStr">
        <is>
          <t>Emerging markets</t>
        </is>
      </c>
      <c r="F1828" t="inlineStr">
        <is>
          <t>India</t>
        </is>
      </c>
      <c r="G1828" t="inlineStr">
        <is>
          <t>Abrysvo</t>
        </is>
      </c>
      <c r="H1828" t="inlineStr">
        <is>
          <t>Government / tender</t>
        </is>
      </c>
      <c r="I1828" t="inlineStr">
        <is>
          <t>Private insurer</t>
        </is>
      </c>
      <c r="J1828" t="inlineStr">
        <is>
          <t>Sophie Müller</t>
        </is>
      </c>
      <c r="K1828" s="70" t="n">
        <v>111</v>
      </c>
      <c r="L1828" s="71" t="n">
        <v>289.35</v>
      </c>
      <c r="M1828" s="71" t="n">
        <v>32117.85</v>
      </c>
      <c r="N1828" s="71" t="n">
        <v>6423.57</v>
      </c>
      <c r="O1828" s="71" t="n">
        <v>25694.28</v>
      </c>
      <c r="P1828" s="71" t="n">
        <v>9220.690000000001</v>
      </c>
      <c r="Q1828" s="71" t="n">
        <v>16473.59</v>
      </c>
      <c r="R1828" t="inlineStr">
        <is>
          <t>Vaccines</t>
        </is>
      </c>
      <c r="S1828" s="70" t="n">
        <v>86</v>
      </c>
      <c r="T1828" s="71" t="n">
        <v>5821.09</v>
      </c>
      <c r="U1828" t="inlineStr">
        <is>
          <t>Low</t>
        </is>
      </c>
      <c r="V1828">
        <f>IF(AND(OR(Dashboard!$C$6="All",E1828=Dashboard!$C$6),OR(Dashboard!$F$6="All",G1828=Dashboard!$F$6),OR(Dashboard!$I$6="All",H1828=Dashboard!$I$6)),1,0)</f>
        <v/>
      </c>
    </row>
    <row r="1829">
      <c r="A1829" t="inlineStr">
        <is>
          <t>PF101820</t>
        </is>
      </c>
      <c r="B1829" s="68" t="n">
        <v>45880</v>
      </c>
      <c r="C1829" s="69" t="n">
        <v>2025</v>
      </c>
      <c r="D1829" t="inlineStr">
        <is>
          <t>Aug</t>
        </is>
      </c>
      <c r="E1829" t="inlineStr">
        <is>
          <t>United States</t>
        </is>
      </c>
      <c r="F1829" t="inlineStr">
        <is>
          <t>USA</t>
        </is>
      </c>
      <c r="G1829" t="inlineStr">
        <is>
          <t>Eliquis</t>
        </is>
      </c>
      <c r="H1829" t="inlineStr">
        <is>
          <t>Retail pharmacy</t>
        </is>
      </c>
      <c r="I1829" t="inlineStr">
        <is>
          <t>Self-pay</t>
        </is>
      </c>
      <c r="J1829" t="inlineStr">
        <is>
          <t>Lucas Martin</t>
        </is>
      </c>
      <c r="K1829" s="70" t="n">
        <v>2970</v>
      </c>
      <c r="L1829" s="71" t="n">
        <v>689.28</v>
      </c>
      <c r="M1829" s="71" t="n">
        <v>2047161.6</v>
      </c>
      <c r="N1829" s="71" t="n">
        <v>716506.5600000001</v>
      </c>
      <c r="O1829" s="71" t="n">
        <v>1330655.04</v>
      </c>
      <c r="P1829" s="71" t="n">
        <v>216763.91</v>
      </c>
      <c r="Q1829" s="71" t="n">
        <v>1113891.13</v>
      </c>
      <c r="R1829" t="inlineStr">
        <is>
          <t>Cardiology</t>
        </is>
      </c>
      <c r="S1829" s="70" t="n">
        <v>1871</v>
      </c>
      <c r="T1829" s="71" t="n">
        <v>383348.02</v>
      </c>
      <c r="U1829" t="inlineStr">
        <is>
          <t>High</t>
        </is>
      </c>
      <c r="V1829">
        <f>IF(AND(OR(Dashboard!$C$6="All",E1829=Dashboard!$C$6),OR(Dashboard!$F$6="All",G1829=Dashboard!$F$6),OR(Dashboard!$I$6="All",H1829=Dashboard!$I$6)),1,0)</f>
        <v/>
      </c>
    </row>
    <row r="1830">
      <c r="A1830" t="inlineStr">
        <is>
          <t>PF101821</t>
        </is>
      </c>
      <c r="B1830" s="68" t="n">
        <v>45880</v>
      </c>
      <c r="C1830" s="69" t="n">
        <v>2025</v>
      </c>
      <c r="D1830" t="inlineStr">
        <is>
          <t>Aug</t>
        </is>
      </c>
      <c r="E1830" t="inlineStr">
        <is>
          <t>Emerging markets</t>
        </is>
      </c>
      <c r="F1830" t="inlineStr">
        <is>
          <t>Brazil</t>
        </is>
      </c>
      <c r="G1830" t="inlineStr">
        <is>
          <t>Paxlovid</t>
        </is>
      </c>
      <c r="H1830" t="inlineStr">
        <is>
          <t>Retail pharmacy</t>
        </is>
      </c>
      <c r="I1830" t="inlineStr">
        <is>
          <t>Public payer</t>
        </is>
      </c>
      <c r="J1830" t="inlineStr">
        <is>
          <t>Emma Clarke</t>
        </is>
      </c>
      <c r="K1830" s="70" t="n">
        <v>1148</v>
      </c>
      <c r="L1830" s="71" t="n">
        <v>1178.72</v>
      </c>
      <c r="M1830" s="71" t="n">
        <v>1353170.56</v>
      </c>
      <c r="N1830" s="71" t="n">
        <v>135317.06</v>
      </c>
      <c r="O1830" s="71" t="n">
        <v>1217853.5</v>
      </c>
      <c r="P1830" s="71" t="n">
        <v>321007.89</v>
      </c>
      <c r="Q1830" s="71" t="n">
        <v>896845.61</v>
      </c>
      <c r="R1830" t="inlineStr">
        <is>
          <t>Antiviral</t>
        </is>
      </c>
      <c r="S1830" s="70" t="n">
        <v>737</v>
      </c>
      <c r="T1830" s="71" t="n">
        <v>285746.66</v>
      </c>
      <c r="U1830" t="inlineStr">
        <is>
          <t>Low</t>
        </is>
      </c>
      <c r="V1830">
        <f>IF(AND(OR(Dashboard!$C$6="All",E1830=Dashboard!$C$6),OR(Dashboard!$F$6="All",G1830=Dashboard!$F$6),OR(Dashboard!$I$6="All",H1830=Dashboard!$I$6)),1,0)</f>
        <v/>
      </c>
    </row>
    <row r="1831">
      <c r="A1831" t="inlineStr">
        <is>
          <t>PF101822</t>
        </is>
      </c>
      <c r="B1831" s="68" t="n">
        <v>45880</v>
      </c>
      <c r="C1831" s="69" t="n">
        <v>2025</v>
      </c>
      <c r="D1831" t="inlineStr">
        <is>
          <t>Aug</t>
        </is>
      </c>
      <c r="E1831" t="inlineStr">
        <is>
          <t>United States</t>
        </is>
      </c>
      <c r="F1831" t="inlineStr">
        <is>
          <t>USA</t>
        </is>
      </c>
      <c r="G1831" t="inlineStr">
        <is>
          <t>Vyndaqel</t>
        </is>
      </c>
      <c r="H1831" t="inlineStr">
        <is>
          <t>Government / tender</t>
        </is>
      </c>
      <c r="I1831" t="inlineStr">
        <is>
          <t>Private insurer</t>
        </is>
      </c>
      <c r="J1831" t="inlineStr">
        <is>
          <t>Arjun Mehta</t>
        </is>
      </c>
      <c r="K1831" s="70" t="n">
        <v>1092</v>
      </c>
      <c r="L1831" s="71" t="n">
        <v>8849.6</v>
      </c>
      <c r="M1831" s="71" t="n">
        <v>9663763.199999999</v>
      </c>
      <c r="N1831" s="71" t="n">
        <v>3382317.12</v>
      </c>
      <c r="O1831" s="71" t="n">
        <v>6281446.08</v>
      </c>
      <c r="P1831" s="71" t="n">
        <v>683549.41</v>
      </c>
      <c r="Q1831" s="71" t="n">
        <v>5597896.67</v>
      </c>
      <c r="R1831" t="inlineStr">
        <is>
          <t>Rare disease</t>
        </is>
      </c>
      <c r="S1831" s="70" t="n">
        <v>802</v>
      </c>
      <c r="T1831" s="71" t="n">
        <v>1941340.52</v>
      </c>
      <c r="U1831" t="inlineStr">
        <is>
          <t>Medium</t>
        </is>
      </c>
      <c r="V1831">
        <f>IF(AND(OR(Dashboard!$C$6="All",E1831=Dashboard!$C$6),OR(Dashboard!$F$6="All",G1831=Dashboard!$F$6),OR(Dashboard!$I$6="All",H1831=Dashboard!$I$6)),1,0)</f>
        <v/>
      </c>
    </row>
    <row r="1832">
      <c r="A1832" t="inlineStr">
        <is>
          <t>PF101823</t>
        </is>
      </c>
      <c r="B1832" s="68" t="n">
        <v>45880</v>
      </c>
      <c r="C1832" s="69" t="n">
        <v>2025</v>
      </c>
      <c r="D1832" t="inlineStr">
        <is>
          <t>Aug</t>
        </is>
      </c>
      <c r="E1832" t="inlineStr">
        <is>
          <t>Europe</t>
        </is>
      </c>
      <c r="F1832" t="inlineStr">
        <is>
          <t>Italy</t>
        </is>
      </c>
      <c r="G1832" t="inlineStr">
        <is>
          <t>Eliquis</t>
        </is>
      </c>
      <c r="H1832" t="inlineStr">
        <is>
          <t>Government / tender</t>
        </is>
      </c>
      <c r="I1832" t="inlineStr">
        <is>
          <t>Public payer</t>
        </is>
      </c>
      <c r="J1832" t="inlineStr">
        <is>
          <t>Zoya Ahmed</t>
        </is>
      </c>
      <c r="K1832" s="70" t="n">
        <v>1480</v>
      </c>
      <c r="L1832" s="71" t="n">
        <v>416.95</v>
      </c>
      <c r="M1832" s="71" t="n">
        <v>617086</v>
      </c>
      <c r="N1832" s="71" t="n">
        <v>61708.6</v>
      </c>
      <c r="O1832" s="71" t="n">
        <v>555377.4</v>
      </c>
      <c r="P1832" s="71" t="n">
        <v>111504.94</v>
      </c>
      <c r="Q1832" s="71" t="n">
        <v>443872.46</v>
      </c>
      <c r="R1832" t="inlineStr">
        <is>
          <t>Cardiology</t>
        </is>
      </c>
      <c r="S1832" s="70" t="n">
        <v>1149</v>
      </c>
      <c r="T1832" s="71" t="n">
        <v>102754.28</v>
      </c>
      <c r="U1832" t="inlineStr">
        <is>
          <t>High</t>
        </is>
      </c>
      <c r="V1832">
        <f>IF(AND(OR(Dashboard!$C$6="All",E1832=Dashboard!$C$6),OR(Dashboard!$F$6="All",G1832=Dashboard!$F$6),OR(Dashboard!$I$6="All",H1832=Dashboard!$I$6)),1,0)</f>
        <v/>
      </c>
    </row>
    <row r="1833">
      <c r="A1833" t="inlineStr">
        <is>
          <t>PF101824</t>
        </is>
      </c>
      <c r="B1833" s="68" t="n">
        <v>45880</v>
      </c>
      <c r="C1833" s="69" t="n">
        <v>2025</v>
      </c>
      <c r="D1833" t="inlineStr">
        <is>
          <t>Aug</t>
        </is>
      </c>
      <c r="E1833" t="inlineStr">
        <is>
          <t>United States</t>
        </is>
      </c>
      <c r="F1833" t="inlineStr">
        <is>
          <t>USA</t>
        </is>
      </c>
      <c r="G1833" t="inlineStr">
        <is>
          <t>Paxlovid</t>
        </is>
      </c>
      <c r="H1833" t="inlineStr">
        <is>
          <t>Hospital</t>
        </is>
      </c>
      <c r="I1833" t="inlineStr">
        <is>
          <t>Private insurer</t>
        </is>
      </c>
      <c r="J1833" t="inlineStr">
        <is>
          <t>Noah Smith</t>
        </is>
      </c>
      <c r="K1833" s="70" t="n">
        <v>2888</v>
      </c>
      <c r="L1833" s="71" t="n">
        <v>1669.5</v>
      </c>
      <c r="M1833" s="71" t="n">
        <v>4821516</v>
      </c>
      <c r="N1833" s="71" t="n">
        <v>1446454.8</v>
      </c>
      <c r="O1833" s="71" t="n">
        <v>3375061.2</v>
      </c>
      <c r="P1833" s="71" t="n">
        <v>784955.13</v>
      </c>
      <c r="Q1833" s="71" t="n">
        <v>2590106.07</v>
      </c>
      <c r="R1833" t="inlineStr">
        <is>
          <t>Antiviral</t>
        </is>
      </c>
      <c r="S1833" s="70" t="n">
        <v>2050</v>
      </c>
      <c r="T1833" s="71" t="n">
        <v>923284.59</v>
      </c>
      <c r="U1833" t="inlineStr">
        <is>
          <t>Low</t>
        </is>
      </c>
      <c r="V1833">
        <f>IF(AND(OR(Dashboard!$C$6="All",E1833=Dashboard!$C$6),OR(Dashboard!$F$6="All",G1833=Dashboard!$F$6),OR(Dashboard!$I$6="All",H1833=Dashboard!$I$6)),1,0)</f>
        <v/>
      </c>
    </row>
    <row r="1834">
      <c r="A1834" t="inlineStr">
        <is>
          <t>PF101825</t>
        </is>
      </c>
      <c r="B1834" s="68" t="n">
        <v>45881</v>
      </c>
      <c r="C1834" s="69" t="n">
        <v>2025</v>
      </c>
      <c r="D1834" t="inlineStr">
        <is>
          <t>Aug</t>
        </is>
      </c>
      <c r="E1834" t="inlineStr">
        <is>
          <t>United States</t>
        </is>
      </c>
      <c r="F1834" t="inlineStr">
        <is>
          <t>USA</t>
        </is>
      </c>
      <c r="G1834" t="inlineStr">
        <is>
          <t>Paxlovid</t>
        </is>
      </c>
      <c r="H1834" t="inlineStr">
        <is>
          <t>Hospital</t>
        </is>
      </c>
      <c r="I1834" t="inlineStr">
        <is>
          <t>Private insurer</t>
        </is>
      </c>
      <c r="J1834" t="inlineStr">
        <is>
          <t>Fatima Al-Saud</t>
        </is>
      </c>
      <c r="K1834" s="70" t="n">
        <v>1515</v>
      </c>
      <c r="L1834" s="71" t="n">
        <v>1813.76</v>
      </c>
      <c r="M1834" s="71" t="n">
        <v>2747846.4</v>
      </c>
      <c r="N1834" s="71" t="n">
        <v>412176.96</v>
      </c>
      <c r="O1834" s="71" t="n">
        <v>2335669.44</v>
      </c>
      <c r="P1834" s="71" t="n">
        <v>402144.63</v>
      </c>
      <c r="Q1834" s="71" t="n">
        <v>1933524.81</v>
      </c>
      <c r="R1834" t="inlineStr">
        <is>
          <t>Antiviral</t>
        </is>
      </c>
      <c r="S1834" s="70" t="n">
        <v>1432</v>
      </c>
      <c r="T1834" s="71" t="n">
        <v>359270.28</v>
      </c>
      <c r="U1834" t="inlineStr">
        <is>
          <t>Low</t>
        </is>
      </c>
      <c r="V1834">
        <f>IF(AND(OR(Dashboard!$C$6="All",E1834=Dashboard!$C$6),OR(Dashboard!$F$6="All",G1834=Dashboard!$F$6),OR(Dashboard!$I$6="All",H1834=Dashboard!$I$6)),1,0)</f>
        <v/>
      </c>
    </row>
    <row r="1835">
      <c r="A1835" t="inlineStr">
        <is>
          <t>PF101826</t>
        </is>
      </c>
      <c r="B1835" s="68" t="n">
        <v>45881</v>
      </c>
      <c r="C1835" s="69" t="n">
        <v>2025</v>
      </c>
      <c r="D1835" t="inlineStr">
        <is>
          <t>Aug</t>
        </is>
      </c>
      <c r="E1835" t="inlineStr">
        <is>
          <t>Europe</t>
        </is>
      </c>
      <c r="F1835" t="inlineStr">
        <is>
          <t>Spain</t>
        </is>
      </c>
      <c r="G1835" t="inlineStr">
        <is>
          <t>Comirnaty</t>
        </is>
      </c>
      <c r="H1835" t="inlineStr">
        <is>
          <t>Retail pharmacy</t>
        </is>
      </c>
      <c r="I1835" t="inlineStr">
        <is>
          <t>Public payer</t>
        </is>
      </c>
      <c r="J1835" t="inlineStr">
        <is>
          <t>Kofi Mensah</t>
        </is>
      </c>
      <c r="K1835" s="70" t="n">
        <v>1867</v>
      </c>
      <c r="L1835" s="71" t="n">
        <v>110.01</v>
      </c>
      <c r="M1835" s="71" t="n">
        <v>205388.67</v>
      </c>
      <c r="N1835" s="71" t="n">
        <v>10269.43</v>
      </c>
      <c r="O1835" s="71" t="n">
        <v>195119.24</v>
      </c>
      <c r="P1835" s="71" t="n">
        <v>70784.14</v>
      </c>
      <c r="Q1835" s="71" t="n">
        <v>124335.1</v>
      </c>
      <c r="R1835" t="inlineStr">
        <is>
          <t>Vaccines</t>
        </is>
      </c>
      <c r="S1835" s="70" t="n">
        <v>1547</v>
      </c>
      <c r="T1835" s="71" t="n">
        <v>39623.78</v>
      </c>
      <c r="U1835" t="inlineStr">
        <is>
          <t>Low</t>
        </is>
      </c>
      <c r="V1835">
        <f>IF(AND(OR(Dashboard!$C$6="All",E1835=Dashboard!$C$6),OR(Dashboard!$F$6="All",G1835=Dashboard!$F$6),OR(Dashboard!$I$6="All",H1835=Dashboard!$I$6)),1,0)</f>
        <v/>
      </c>
    </row>
    <row r="1836">
      <c r="A1836" t="inlineStr">
        <is>
          <t>PF101827</t>
        </is>
      </c>
      <c r="B1836" s="68" t="n">
        <v>45881</v>
      </c>
      <c r="C1836" s="69" t="n">
        <v>2025</v>
      </c>
      <c r="D1836" t="inlineStr">
        <is>
          <t>Aug</t>
        </is>
      </c>
      <c r="E1836" t="inlineStr">
        <is>
          <t>United States</t>
        </is>
      </c>
      <c r="F1836" t="inlineStr">
        <is>
          <t>USA</t>
        </is>
      </c>
      <c r="G1836" t="inlineStr">
        <is>
          <t>Prevnar 20</t>
        </is>
      </c>
      <c r="H1836" t="inlineStr">
        <is>
          <t>Retail pharmacy</t>
        </is>
      </c>
      <c r="I1836" t="inlineStr">
        <is>
          <t>Private insurer</t>
        </is>
      </c>
      <c r="J1836" t="inlineStr">
        <is>
          <t>Amir Khan</t>
        </is>
      </c>
      <c r="K1836" s="70" t="n">
        <v>372</v>
      </c>
      <c r="L1836" s="71" t="n">
        <v>362.11</v>
      </c>
      <c r="M1836" s="71" t="n">
        <v>134704.92</v>
      </c>
      <c r="N1836" s="71" t="n">
        <v>26940.98</v>
      </c>
      <c r="O1836" s="71" t="n">
        <v>107763.94</v>
      </c>
      <c r="P1836" s="71" t="n">
        <v>26444.61</v>
      </c>
      <c r="Q1836" s="71" t="n">
        <v>81319.33</v>
      </c>
      <c r="R1836" t="inlineStr">
        <is>
          <t>Vaccines</t>
        </is>
      </c>
      <c r="S1836" s="70" t="n">
        <v>293</v>
      </c>
      <c r="T1836" s="71" t="n">
        <v>19352.39</v>
      </c>
      <c r="U1836" t="inlineStr">
        <is>
          <t>Low</t>
        </is>
      </c>
      <c r="V1836">
        <f>IF(AND(OR(Dashboard!$C$6="All",E1836=Dashboard!$C$6),OR(Dashboard!$F$6="All",G1836=Dashboard!$F$6),OR(Dashboard!$I$6="All",H1836=Dashboard!$I$6)),1,0)</f>
        <v/>
      </c>
    </row>
    <row r="1837">
      <c r="A1837" t="inlineStr">
        <is>
          <t>PF101828</t>
        </is>
      </c>
      <c r="B1837" s="68" t="n">
        <v>45882</v>
      </c>
      <c r="C1837" s="69" t="n">
        <v>2025</v>
      </c>
      <c r="D1837" t="inlineStr">
        <is>
          <t>Aug</t>
        </is>
      </c>
      <c r="E1837" t="inlineStr">
        <is>
          <t>United States</t>
        </is>
      </c>
      <c r="F1837" t="inlineStr">
        <is>
          <t>USA</t>
        </is>
      </c>
      <c r="G1837" t="inlineStr">
        <is>
          <t>Prevnar 20</t>
        </is>
      </c>
      <c r="H1837" t="inlineStr">
        <is>
          <t>Retail pharmacy</t>
        </is>
      </c>
      <c r="I1837" t="inlineStr">
        <is>
          <t>Private insurer</t>
        </is>
      </c>
      <c r="J1837" t="inlineStr">
        <is>
          <t>Carlos Silva</t>
        </is>
      </c>
      <c r="K1837" s="70" t="n">
        <v>343</v>
      </c>
      <c r="L1837" s="71" t="n">
        <v>352.56</v>
      </c>
      <c r="M1837" s="71" t="n">
        <v>120928.08</v>
      </c>
      <c r="N1837" s="71" t="n">
        <v>18139.21</v>
      </c>
      <c r="O1837" s="71" t="n">
        <v>102788.87</v>
      </c>
      <c r="P1837" s="71" t="n">
        <v>23022.36</v>
      </c>
      <c r="Q1837" s="71" t="n">
        <v>79766.50999999999</v>
      </c>
      <c r="R1837" t="inlineStr">
        <is>
          <t>Vaccines</t>
        </is>
      </c>
      <c r="S1837" s="70" t="n">
        <v>254</v>
      </c>
      <c r="T1837" s="71" t="n">
        <v>20177.31</v>
      </c>
      <c r="U1837" t="inlineStr">
        <is>
          <t>Low</t>
        </is>
      </c>
      <c r="V1837">
        <f>IF(AND(OR(Dashboard!$C$6="All",E1837=Dashboard!$C$6),OR(Dashboard!$F$6="All",G1837=Dashboard!$F$6),OR(Dashboard!$I$6="All",H1837=Dashboard!$I$6)),1,0)</f>
        <v/>
      </c>
    </row>
    <row r="1838">
      <c r="A1838" t="inlineStr">
        <is>
          <t>PF101829</t>
        </is>
      </c>
      <c r="B1838" s="68" t="n">
        <v>45882</v>
      </c>
      <c r="C1838" s="69" t="n">
        <v>2025</v>
      </c>
      <c r="D1838" t="inlineStr">
        <is>
          <t>Aug</t>
        </is>
      </c>
      <c r="E1838" t="inlineStr">
        <is>
          <t>Emerging markets</t>
        </is>
      </c>
      <c r="F1838" t="inlineStr">
        <is>
          <t>Brazil</t>
        </is>
      </c>
      <c r="G1838" t="inlineStr">
        <is>
          <t>Eliquis</t>
        </is>
      </c>
      <c r="H1838" t="inlineStr">
        <is>
          <t>Hospital</t>
        </is>
      </c>
      <c r="I1838" t="inlineStr">
        <is>
          <t>Self-pay</t>
        </is>
      </c>
      <c r="J1838" t="inlineStr">
        <is>
          <t>Sara Rossi</t>
        </is>
      </c>
      <c r="K1838" s="70" t="n">
        <v>2608</v>
      </c>
      <c r="L1838" s="71" t="n">
        <v>452.16</v>
      </c>
      <c r="M1838" s="71" t="n">
        <v>1179233.28</v>
      </c>
      <c r="N1838" s="71" t="n">
        <v>117923.33</v>
      </c>
      <c r="O1838" s="71" t="n">
        <v>1061309.95</v>
      </c>
      <c r="P1838" s="71" t="n">
        <v>192842.45</v>
      </c>
      <c r="Q1838" s="71" t="n">
        <v>868467.5</v>
      </c>
      <c r="R1838" t="inlineStr">
        <is>
          <t>Cardiology</t>
        </is>
      </c>
      <c r="S1838" s="70" t="n">
        <v>1937</v>
      </c>
      <c r="T1838" s="71" t="n">
        <v>203144.41</v>
      </c>
      <c r="U1838" t="inlineStr">
        <is>
          <t>High</t>
        </is>
      </c>
      <c r="V1838">
        <f>IF(AND(OR(Dashboard!$C$6="All",E1838=Dashboard!$C$6),OR(Dashboard!$F$6="All",G1838=Dashboard!$F$6),OR(Dashboard!$I$6="All",H1838=Dashboard!$I$6)),1,0)</f>
        <v/>
      </c>
    </row>
    <row r="1839">
      <c r="A1839" t="inlineStr">
        <is>
          <t>PF101830</t>
        </is>
      </c>
      <c r="B1839" s="68" t="n">
        <v>45882</v>
      </c>
      <c r="C1839" s="69" t="n">
        <v>2025</v>
      </c>
      <c r="D1839" t="inlineStr">
        <is>
          <t>Aug</t>
        </is>
      </c>
      <c r="E1839" t="inlineStr">
        <is>
          <t>Europe</t>
        </is>
      </c>
      <c r="F1839" t="inlineStr">
        <is>
          <t>Spain</t>
        </is>
      </c>
      <c r="G1839" t="inlineStr">
        <is>
          <t>Prevnar 20</t>
        </is>
      </c>
      <c r="H1839" t="inlineStr">
        <is>
          <t>Retail pharmacy</t>
        </is>
      </c>
      <c r="I1839" t="inlineStr">
        <is>
          <t>Private insurer</t>
        </is>
      </c>
      <c r="J1839" t="inlineStr">
        <is>
          <t>Lucas Martin</t>
        </is>
      </c>
      <c r="K1839" s="70" t="n">
        <v>583</v>
      </c>
      <c r="L1839" s="71" t="n">
        <v>245.84</v>
      </c>
      <c r="M1839" s="71" t="n">
        <v>143324.72</v>
      </c>
      <c r="N1839" s="71" t="n">
        <v>21498.71</v>
      </c>
      <c r="O1839" s="71" t="n">
        <v>121826.01</v>
      </c>
      <c r="P1839" s="71" t="n">
        <v>39525.75</v>
      </c>
      <c r="Q1839" s="71" t="n">
        <v>82300.25999999999</v>
      </c>
      <c r="R1839" t="inlineStr">
        <is>
          <t>Vaccines</t>
        </is>
      </c>
      <c r="S1839" s="70" t="n">
        <v>433</v>
      </c>
      <c r="T1839" s="71" t="n">
        <v>30177.26</v>
      </c>
      <c r="U1839" t="inlineStr">
        <is>
          <t>Low</t>
        </is>
      </c>
      <c r="V1839">
        <f>IF(AND(OR(Dashboard!$C$6="All",E1839=Dashboard!$C$6),OR(Dashboard!$F$6="All",G1839=Dashboard!$F$6),OR(Dashboard!$I$6="All",H1839=Dashboard!$I$6)),1,0)</f>
        <v/>
      </c>
    </row>
    <row r="1840">
      <c r="A1840" t="inlineStr">
        <is>
          <t>PF101831</t>
        </is>
      </c>
      <c r="B1840" s="68" t="n">
        <v>45882</v>
      </c>
      <c r="C1840" s="69" t="n">
        <v>2025</v>
      </c>
      <c r="D1840" t="inlineStr">
        <is>
          <t>Aug</t>
        </is>
      </c>
      <c r="E1840" t="inlineStr">
        <is>
          <t>Emerging markets</t>
        </is>
      </c>
      <c r="F1840" t="inlineStr">
        <is>
          <t>India</t>
        </is>
      </c>
      <c r="G1840" t="inlineStr">
        <is>
          <t>Eliquis</t>
        </is>
      </c>
      <c r="H1840" t="inlineStr">
        <is>
          <t>Retail pharmacy</t>
        </is>
      </c>
      <c r="I1840" t="inlineStr">
        <is>
          <t>Self-pay</t>
        </is>
      </c>
      <c r="J1840" t="inlineStr">
        <is>
          <t>Mei Lin</t>
        </is>
      </c>
      <c r="K1840" s="70" t="n">
        <v>1533</v>
      </c>
      <c r="L1840" s="71" t="n">
        <v>417.41</v>
      </c>
      <c r="M1840" s="71" t="n">
        <v>639889.53</v>
      </c>
      <c r="N1840" s="71" t="n">
        <v>95983.42999999999</v>
      </c>
      <c r="O1840" s="71" t="n">
        <v>543906.1</v>
      </c>
      <c r="P1840" s="71" t="n">
        <v>116335.97</v>
      </c>
      <c r="Q1840" s="71" t="n">
        <v>427570.13</v>
      </c>
      <c r="R1840" t="inlineStr">
        <is>
          <t>Cardiology</t>
        </is>
      </c>
      <c r="S1840" s="70" t="n">
        <v>1171</v>
      </c>
      <c r="T1840" s="71" t="n">
        <v>98199.89</v>
      </c>
      <c r="U1840" t="inlineStr">
        <is>
          <t>High</t>
        </is>
      </c>
      <c r="V1840">
        <f>IF(AND(OR(Dashboard!$C$6="All",E1840=Dashboard!$C$6),OR(Dashboard!$F$6="All",G1840=Dashboard!$F$6),OR(Dashboard!$I$6="All",H1840=Dashboard!$I$6)),1,0)</f>
        <v/>
      </c>
    </row>
    <row r="1841">
      <c r="A1841" t="inlineStr">
        <is>
          <t>PF101832</t>
        </is>
      </c>
      <c r="B1841" s="68" t="n">
        <v>45882</v>
      </c>
      <c r="C1841" s="69" t="n">
        <v>2025</v>
      </c>
      <c r="D1841" t="inlineStr">
        <is>
          <t>Aug</t>
        </is>
      </c>
      <c r="E1841" t="inlineStr">
        <is>
          <t>Europe</t>
        </is>
      </c>
      <c r="F1841" t="inlineStr">
        <is>
          <t>Germany</t>
        </is>
      </c>
      <c r="G1841" t="inlineStr">
        <is>
          <t>Abrysvo</t>
        </is>
      </c>
      <c r="H1841" t="inlineStr">
        <is>
          <t>Retail pharmacy</t>
        </is>
      </c>
      <c r="I1841" t="inlineStr">
        <is>
          <t>Private insurer</t>
        </is>
      </c>
      <c r="J1841" t="inlineStr">
        <is>
          <t>Emma Clarke</t>
        </is>
      </c>
      <c r="K1841" s="70" t="n">
        <v>468</v>
      </c>
      <c r="L1841" s="71" t="n">
        <v>289.55</v>
      </c>
      <c r="M1841" s="71" t="n">
        <v>135509.4</v>
      </c>
      <c r="N1841" s="71" t="n">
        <v>13550.94</v>
      </c>
      <c r="O1841" s="71" t="n">
        <v>121958.46</v>
      </c>
      <c r="P1841" s="71" t="n">
        <v>39354.29</v>
      </c>
      <c r="Q1841" s="71" t="n">
        <v>82604.17</v>
      </c>
      <c r="R1841" t="inlineStr">
        <is>
          <t>Vaccines</t>
        </is>
      </c>
      <c r="S1841" s="70" t="n">
        <v>441</v>
      </c>
      <c r="T1841" s="71" t="n">
        <v>28998.02</v>
      </c>
      <c r="U1841" t="inlineStr">
        <is>
          <t>Low</t>
        </is>
      </c>
      <c r="V1841">
        <f>IF(AND(OR(Dashboard!$C$6="All",E1841=Dashboard!$C$6),OR(Dashboard!$F$6="All",G1841=Dashboard!$F$6),OR(Dashboard!$I$6="All",H1841=Dashboard!$I$6)),1,0)</f>
        <v/>
      </c>
    </row>
    <row r="1842">
      <c r="A1842" t="inlineStr">
        <is>
          <t>PF101833</t>
        </is>
      </c>
      <c r="B1842" s="68" t="n">
        <v>45882</v>
      </c>
      <c r="C1842" s="69" t="n">
        <v>2025</v>
      </c>
      <c r="D1842" t="inlineStr">
        <is>
          <t>Aug</t>
        </is>
      </c>
      <c r="E1842" t="inlineStr">
        <is>
          <t>International developed</t>
        </is>
      </c>
      <c r="F1842" t="inlineStr">
        <is>
          <t>Canada</t>
        </is>
      </c>
      <c r="G1842" t="inlineStr">
        <is>
          <t>Vyndaqel</t>
        </is>
      </c>
      <c r="H1842" t="inlineStr">
        <is>
          <t>Retail pharmacy</t>
        </is>
      </c>
      <c r="I1842" t="inlineStr">
        <is>
          <t>Public payer</t>
        </is>
      </c>
      <c r="J1842" t="inlineStr">
        <is>
          <t>Ruhi Shaikh</t>
        </is>
      </c>
      <c r="K1842" s="70" t="n">
        <v>1222</v>
      </c>
      <c r="L1842" s="71" t="n">
        <v>5381.14</v>
      </c>
      <c r="M1842" s="71" t="n">
        <v>6575753.08</v>
      </c>
      <c r="N1842" s="71" t="n">
        <v>657575.3100000001</v>
      </c>
      <c r="O1842" s="71" t="n">
        <v>5918177.77</v>
      </c>
      <c r="P1842" s="71" t="n">
        <v>764956.21</v>
      </c>
      <c r="Q1842" s="71" t="n">
        <v>5153221.56</v>
      </c>
      <c r="R1842" t="inlineStr">
        <is>
          <t>Rare disease</t>
        </is>
      </c>
      <c r="S1842" s="70" t="n">
        <v>810</v>
      </c>
      <c r="T1842" s="71" t="n">
        <v>1149460.53</v>
      </c>
      <c r="U1842" t="inlineStr">
        <is>
          <t>Medium</t>
        </is>
      </c>
      <c r="V1842">
        <f>IF(AND(OR(Dashboard!$C$6="All",E1842=Dashboard!$C$6),OR(Dashboard!$F$6="All",G1842=Dashboard!$F$6),OR(Dashboard!$I$6="All",H1842=Dashboard!$I$6)),1,0)</f>
        <v/>
      </c>
    </row>
    <row r="1843">
      <c r="A1843" t="inlineStr">
        <is>
          <t>PF101834</t>
        </is>
      </c>
      <c r="B1843" s="68" t="n">
        <v>45882</v>
      </c>
      <c r="C1843" s="69" t="n">
        <v>2025</v>
      </c>
      <c r="D1843" t="inlineStr">
        <is>
          <t>Aug</t>
        </is>
      </c>
      <c r="E1843" t="inlineStr">
        <is>
          <t>United States</t>
        </is>
      </c>
      <c r="F1843" t="inlineStr">
        <is>
          <t>USA</t>
        </is>
      </c>
      <c r="G1843" t="inlineStr">
        <is>
          <t>Comirnaty</t>
        </is>
      </c>
      <c r="H1843" t="inlineStr">
        <is>
          <t>Government / tender</t>
        </is>
      </c>
      <c r="I1843" t="inlineStr">
        <is>
          <t>Public payer</t>
        </is>
      </c>
      <c r="J1843" t="inlineStr">
        <is>
          <t>Kofi Mensah</t>
        </is>
      </c>
      <c r="K1843" s="70" t="n">
        <v>366</v>
      </c>
      <c r="L1843" s="71" t="n">
        <v>168.5</v>
      </c>
      <c r="M1843" s="71" t="n">
        <v>61671</v>
      </c>
      <c r="N1843" s="71" t="n">
        <v>21584.85</v>
      </c>
      <c r="O1843" s="71" t="n">
        <v>40086.15</v>
      </c>
      <c r="P1843" s="71" t="n">
        <v>14404.77</v>
      </c>
      <c r="Q1843" s="71" t="n">
        <v>25681.38</v>
      </c>
      <c r="R1843" t="inlineStr">
        <is>
          <t>Vaccines</t>
        </is>
      </c>
      <c r="S1843" s="70" t="n">
        <v>250</v>
      </c>
      <c r="T1843" s="71" t="n">
        <v>12701.49</v>
      </c>
      <c r="U1843" t="inlineStr">
        <is>
          <t>Low</t>
        </is>
      </c>
      <c r="V1843">
        <f>IF(AND(OR(Dashboard!$C$6="All",E1843=Dashboard!$C$6),OR(Dashboard!$F$6="All",G1843=Dashboard!$F$6),OR(Dashboard!$I$6="All",H1843=Dashboard!$I$6)),1,0)</f>
        <v/>
      </c>
    </row>
    <row r="1844">
      <c r="A1844" t="inlineStr">
        <is>
          <t>PF101835</t>
        </is>
      </c>
      <c r="B1844" s="68" t="n">
        <v>45882</v>
      </c>
      <c r="C1844" s="69" t="n">
        <v>2025</v>
      </c>
      <c r="D1844" t="inlineStr">
        <is>
          <t>Aug</t>
        </is>
      </c>
      <c r="E1844" t="inlineStr">
        <is>
          <t>United States</t>
        </is>
      </c>
      <c r="F1844" t="inlineStr">
        <is>
          <t>USA</t>
        </is>
      </c>
      <c r="G1844" t="inlineStr">
        <is>
          <t>Paxlovid</t>
        </is>
      </c>
      <c r="H1844" t="inlineStr">
        <is>
          <t>Retail pharmacy</t>
        </is>
      </c>
      <c r="I1844" t="inlineStr">
        <is>
          <t>Public payer</t>
        </is>
      </c>
      <c r="J1844" t="inlineStr">
        <is>
          <t>Priya Nair</t>
        </is>
      </c>
      <c r="K1844" s="70" t="n">
        <v>1179</v>
      </c>
      <c r="L1844" s="71" t="n">
        <v>1715.66</v>
      </c>
      <c r="M1844" s="71" t="n">
        <v>2022763.14</v>
      </c>
      <c r="N1844" s="71" t="n">
        <v>505690.78</v>
      </c>
      <c r="O1844" s="71" t="n">
        <v>1517072.36</v>
      </c>
      <c r="P1844" s="71" t="n">
        <v>314483.8</v>
      </c>
      <c r="Q1844" s="71" t="n">
        <v>1202588.56</v>
      </c>
      <c r="R1844" t="inlineStr">
        <is>
          <t>Antiviral</t>
        </is>
      </c>
      <c r="S1844" s="70" t="n">
        <v>994</v>
      </c>
      <c r="T1844" s="71" t="n">
        <v>339457.61</v>
      </c>
      <c r="U1844" t="inlineStr">
        <is>
          <t>Low</t>
        </is>
      </c>
      <c r="V1844">
        <f>IF(AND(OR(Dashboard!$C$6="All",E1844=Dashboard!$C$6),OR(Dashboard!$F$6="All",G1844=Dashboard!$F$6),OR(Dashboard!$I$6="All",H1844=Dashboard!$I$6)),1,0)</f>
        <v/>
      </c>
    </row>
    <row r="1845">
      <c r="A1845" t="inlineStr">
        <is>
          <t>PF101836</t>
        </is>
      </c>
      <c r="B1845" s="68" t="n">
        <v>45882</v>
      </c>
      <c r="C1845" s="69" t="n">
        <v>2025</v>
      </c>
      <c r="D1845" t="inlineStr">
        <is>
          <t>Aug</t>
        </is>
      </c>
      <c r="E1845" t="inlineStr">
        <is>
          <t>United States</t>
        </is>
      </c>
      <c r="F1845" t="inlineStr">
        <is>
          <t>USA</t>
        </is>
      </c>
      <c r="G1845" t="inlineStr">
        <is>
          <t>Comirnaty</t>
        </is>
      </c>
      <c r="H1845" t="inlineStr">
        <is>
          <t>Retail pharmacy</t>
        </is>
      </c>
      <c r="I1845" t="inlineStr">
        <is>
          <t>Public payer</t>
        </is>
      </c>
      <c r="J1845" t="inlineStr">
        <is>
          <t>Priya Nair</t>
        </is>
      </c>
      <c r="K1845" s="70" t="n">
        <v>1804</v>
      </c>
      <c r="L1845" s="71" t="n">
        <v>165.71</v>
      </c>
      <c r="M1845" s="71" t="n">
        <v>298940.84</v>
      </c>
      <c r="N1845" s="71" t="n">
        <v>59788.17</v>
      </c>
      <c r="O1845" s="71" t="n">
        <v>239152.67</v>
      </c>
      <c r="P1845" s="71" t="n">
        <v>69139.36</v>
      </c>
      <c r="Q1845" s="71" t="n">
        <v>170013.31</v>
      </c>
      <c r="R1845" t="inlineStr">
        <is>
          <t>Vaccines</t>
        </is>
      </c>
      <c r="S1845" s="70" t="n">
        <v>1747</v>
      </c>
      <c r="T1845" s="71" t="n">
        <v>38589.02</v>
      </c>
      <c r="U1845" t="inlineStr">
        <is>
          <t>Low</t>
        </is>
      </c>
      <c r="V1845">
        <f>IF(AND(OR(Dashboard!$C$6="All",E1845=Dashboard!$C$6),OR(Dashboard!$F$6="All",G1845=Dashboard!$F$6),OR(Dashboard!$I$6="All",H1845=Dashboard!$I$6)),1,0)</f>
        <v/>
      </c>
    </row>
    <row r="1846">
      <c r="A1846" t="inlineStr">
        <is>
          <t>PF101837</t>
        </is>
      </c>
      <c r="B1846" s="68" t="n">
        <v>45882</v>
      </c>
      <c r="C1846" s="69" t="n">
        <v>2025</v>
      </c>
      <c r="D1846" t="inlineStr">
        <is>
          <t>Aug</t>
        </is>
      </c>
      <c r="E1846" t="inlineStr">
        <is>
          <t>United States</t>
        </is>
      </c>
      <c r="F1846" t="inlineStr">
        <is>
          <t>USA</t>
        </is>
      </c>
      <c r="G1846" t="inlineStr">
        <is>
          <t>Xeljanz</t>
        </is>
      </c>
      <c r="H1846" t="inlineStr">
        <is>
          <t>Retail pharmacy</t>
        </is>
      </c>
      <c r="I1846" t="inlineStr">
        <is>
          <t>Private insurer</t>
        </is>
      </c>
      <c r="J1846" t="inlineStr">
        <is>
          <t>Ana Costa</t>
        </is>
      </c>
      <c r="K1846" s="70" t="n">
        <v>747</v>
      </c>
      <c r="L1846" s="71" t="n">
        <v>2247.3</v>
      </c>
      <c r="M1846" s="71" t="n">
        <v>1678733.1</v>
      </c>
      <c r="N1846" s="71" t="n">
        <v>503619.93</v>
      </c>
      <c r="O1846" s="71" t="n">
        <v>1175113.17</v>
      </c>
      <c r="P1846" s="71" t="n">
        <v>195103.33</v>
      </c>
      <c r="Q1846" s="71" t="n">
        <v>980009.84</v>
      </c>
      <c r="R1846" t="inlineStr">
        <is>
          <t>Inflammation</t>
        </is>
      </c>
      <c r="S1846" s="70" t="n">
        <v>738</v>
      </c>
      <c r="T1846" s="71" t="n">
        <v>341751.07</v>
      </c>
      <c r="U1846" t="inlineStr">
        <is>
          <t>High</t>
        </is>
      </c>
      <c r="V1846">
        <f>IF(AND(OR(Dashboard!$C$6="All",E1846=Dashboard!$C$6),OR(Dashboard!$F$6="All",G1846=Dashboard!$F$6),OR(Dashboard!$I$6="All",H1846=Dashboard!$I$6)),1,0)</f>
        <v/>
      </c>
    </row>
    <row r="1847">
      <c r="A1847" t="inlineStr">
        <is>
          <t>PF101838</t>
        </is>
      </c>
      <c r="B1847" s="68" t="n">
        <v>45882</v>
      </c>
      <c r="C1847" s="69" t="n">
        <v>2025</v>
      </c>
      <c r="D1847" t="inlineStr">
        <is>
          <t>Aug</t>
        </is>
      </c>
      <c r="E1847" t="inlineStr">
        <is>
          <t>Emerging markets</t>
        </is>
      </c>
      <c r="F1847" t="inlineStr">
        <is>
          <t>India</t>
        </is>
      </c>
      <c r="G1847" t="inlineStr">
        <is>
          <t>Prevnar 20</t>
        </is>
      </c>
      <c r="H1847" t="inlineStr">
        <is>
          <t>Government / tender</t>
        </is>
      </c>
      <c r="I1847" t="inlineStr">
        <is>
          <t>Private insurer</t>
        </is>
      </c>
      <c r="J1847" t="inlineStr">
        <is>
          <t>Liam O'Brien</t>
        </is>
      </c>
      <c r="K1847" s="70" t="n">
        <v>1888</v>
      </c>
      <c r="L1847" s="71" t="n">
        <v>216.73</v>
      </c>
      <c r="M1847" s="71" t="n">
        <v>409186.24</v>
      </c>
      <c r="N1847" s="71" t="n">
        <v>102296.56</v>
      </c>
      <c r="O1847" s="71" t="n">
        <v>306889.68</v>
      </c>
      <c r="P1847" s="71" t="n">
        <v>130422.45</v>
      </c>
      <c r="Q1847" s="71" t="n">
        <v>176467.23</v>
      </c>
      <c r="R1847" t="inlineStr">
        <is>
          <t>Vaccines</t>
        </is>
      </c>
      <c r="S1847" s="70" t="n">
        <v>1453</v>
      </c>
      <c r="T1847" s="71" t="n">
        <v>57982.57</v>
      </c>
      <c r="U1847" t="inlineStr">
        <is>
          <t>Low</t>
        </is>
      </c>
      <c r="V1847">
        <f>IF(AND(OR(Dashboard!$C$6="All",E1847=Dashboard!$C$6),OR(Dashboard!$F$6="All",G1847=Dashboard!$F$6),OR(Dashboard!$I$6="All",H1847=Dashboard!$I$6)),1,0)</f>
        <v/>
      </c>
    </row>
    <row r="1848">
      <c r="A1848" t="inlineStr">
        <is>
          <t>PF101839</t>
        </is>
      </c>
      <c r="B1848" s="68" t="n">
        <v>45882</v>
      </c>
      <c r="C1848" s="69" t="n">
        <v>2025</v>
      </c>
      <c r="D1848" t="inlineStr">
        <is>
          <t>Aug</t>
        </is>
      </c>
      <c r="E1848" t="inlineStr">
        <is>
          <t>International developed</t>
        </is>
      </c>
      <c r="F1848" t="inlineStr">
        <is>
          <t>Canada</t>
        </is>
      </c>
      <c r="G1848" t="inlineStr">
        <is>
          <t>Comirnaty</t>
        </is>
      </c>
      <c r="H1848" t="inlineStr">
        <is>
          <t>Government / tender</t>
        </is>
      </c>
      <c r="I1848" t="inlineStr">
        <is>
          <t>Public payer</t>
        </is>
      </c>
      <c r="J1848" t="inlineStr">
        <is>
          <t>Yuki Sato</t>
        </is>
      </c>
      <c r="K1848" s="70" t="n">
        <v>1406</v>
      </c>
      <c r="L1848" s="71" t="n">
        <v>104.74</v>
      </c>
      <c r="M1848" s="71" t="n">
        <v>147264.44</v>
      </c>
      <c r="N1848" s="71" t="n">
        <v>22089.67</v>
      </c>
      <c r="O1848" s="71" t="n">
        <v>125174.77</v>
      </c>
      <c r="P1848" s="71" t="n">
        <v>56006.4</v>
      </c>
      <c r="Q1848" s="71" t="n">
        <v>69168.37</v>
      </c>
      <c r="R1848" t="inlineStr">
        <is>
          <t>Vaccines</t>
        </is>
      </c>
      <c r="S1848" s="70" t="n">
        <v>1215</v>
      </c>
      <c r="T1848" s="71" t="n">
        <v>22722.01</v>
      </c>
      <c r="U1848" t="inlineStr">
        <is>
          <t>Low</t>
        </is>
      </c>
      <c r="V1848">
        <f>IF(AND(OR(Dashboard!$C$6="All",E1848=Dashboard!$C$6),OR(Dashboard!$F$6="All",G1848=Dashboard!$F$6),OR(Dashboard!$I$6="All",H1848=Dashboard!$I$6)),1,0)</f>
        <v/>
      </c>
    </row>
    <row r="1849">
      <c r="A1849" t="inlineStr">
        <is>
          <t>PF101840</t>
        </is>
      </c>
      <c r="B1849" s="68" t="n">
        <v>45882</v>
      </c>
      <c r="C1849" s="69" t="n">
        <v>2025</v>
      </c>
      <c r="D1849" t="inlineStr">
        <is>
          <t>Aug</t>
        </is>
      </c>
      <c r="E1849" t="inlineStr">
        <is>
          <t>United States</t>
        </is>
      </c>
      <c r="F1849" t="inlineStr">
        <is>
          <t>USA</t>
        </is>
      </c>
      <c r="G1849" t="inlineStr">
        <is>
          <t>Paxlovid</t>
        </is>
      </c>
      <c r="H1849" t="inlineStr">
        <is>
          <t>Government / tender</t>
        </is>
      </c>
      <c r="I1849" t="inlineStr">
        <is>
          <t>Public payer</t>
        </is>
      </c>
      <c r="J1849" t="inlineStr">
        <is>
          <t>Zoya Ahmed</t>
        </is>
      </c>
      <c r="K1849" s="70" t="n">
        <v>722</v>
      </c>
      <c r="L1849" s="71" t="n">
        <v>1584.98</v>
      </c>
      <c r="M1849" s="71" t="n">
        <v>1144355.56</v>
      </c>
      <c r="N1849" s="71" t="n">
        <v>343306.67</v>
      </c>
      <c r="O1849" s="71" t="n">
        <v>801048.89</v>
      </c>
      <c r="P1849" s="71" t="n">
        <v>199603.65</v>
      </c>
      <c r="Q1849" s="71" t="n">
        <v>601445.24</v>
      </c>
      <c r="R1849" t="inlineStr">
        <is>
          <t>Antiviral</t>
        </is>
      </c>
      <c r="S1849" s="70" t="n">
        <v>664</v>
      </c>
      <c r="T1849" s="71" t="n">
        <v>241878.51</v>
      </c>
      <c r="U1849" t="inlineStr">
        <is>
          <t>Low</t>
        </is>
      </c>
      <c r="V1849">
        <f>IF(AND(OR(Dashboard!$C$6="All",E1849=Dashboard!$C$6),OR(Dashboard!$F$6="All",G1849=Dashboard!$F$6),OR(Dashboard!$I$6="All",H1849=Dashboard!$I$6)),1,0)</f>
        <v/>
      </c>
    </row>
    <row r="1850">
      <c r="A1850" t="inlineStr">
        <is>
          <t>PF101841</t>
        </is>
      </c>
      <c r="B1850" s="68" t="n">
        <v>45882</v>
      </c>
      <c r="C1850" s="69" t="n">
        <v>2025</v>
      </c>
      <c r="D1850" t="inlineStr">
        <is>
          <t>Aug</t>
        </is>
      </c>
      <c r="E1850" t="inlineStr">
        <is>
          <t>United States</t>
        </is>
      </c>
      <c r="F1850" t="inlineStr">
        <is>
          <t>USA</t>
        </is>
      </c>
      <c r="G1850" t="inlineStr">
        <is>
          <t>Ibrance</t>
        </is>
      </c>
      <c r="H1850" t="inlineStr">
        <is>
          <t>Hospital</t>
        </is>
      </c>
      <c r="I1850" t="inlineStr">
        <is>
          <t>Private insurer</t>
        </is>
      </c>
      <c r="J1850" t="inlineStr">
        <is>
          <t>Yuki Sato</t>
        </is>
      </c>
      <c r="K1850" s="70" t="n">
        <v>219</v>
      </c>
      <c r="L1850" s="71" t="n">
        <v>4756.82</v>
      </c>
      <c r="M1850" s="71" t="n">
        <v>1041743.58</v>
      </c>
      <c r="N1850" s="71" t="n">
        <v>208348.72</v>
      </c>
      <c r="O1850" s="71" t="n">
        <v>833394.86</v>
      </c>
      <c r="P1850" s="71" t="n">
        <v>97019.96000000001</v>
      </c>
      <c r="Q1850" s="71" t="n">
        <v>736374.9</v>
      </c>
      <c r="R1850" t="inlineStr">
        <is>
          <t>Oncology</t>
        </is>
      </c>
      <c r="S1850" s="70" t="n">
        <v>168</v>
      </c>
      <c r="T1850" s="71" t="n">
        <v>186900.07</v>
      </c>
      <c r="U1850" t="inlineStr">
        <is>
          <t>High</t>
        </is>
      </c>
      <c r="V1850">
        <f>IF(AND(OR(Dashboard!$C$6="All",E1850=Dashboard!$C$6),OR(Dashboard!$F$6="All",G1850=Dashboard!$F$6),OR(Dashboard!$I$6="All",H1850=Dashboard!$I$6)),1,0)</f>
        <v/>
      </c>
    </row>
    <row r="1851">
      <c r="A1851" t="inlineStr">
        <is>
          <t>PF101842</t>
        </is>
      </c>
      <c r="B1851" s="68" t="n">
        <v>45882</v>
      </c>
      <c r="C1851" s="69" t="n">
        <v>2025</v>
      </c>
      <c r="D1851" t="inlineStr">
        <is>
          <t>Aug</t>
        </is>
      </c>
      <c r="E1851" t="inlineStr">
        <is>
          <t>United States</t>
        </is>
      </c>
      <c r="F1851" t="inlineStr">
        <is>
          <t>USA</t>
        </is>
      </c>
      <c r="G1851" t="inlineStr">
        <is>
          <t>Xeljanz</t>
        </is>
      </c>
      <c r="H1851" t="inlineStr">
        <is>
          <t>Government / tender</t>
        </is>
      </c>
      <c r="I1851" t="inlineStr">
        <is>
          <t>Public payer</t>
        </is>
      </c>
      <c r="J1851" t="inlineStr">
        <is>
          <t>Wei Chen</t>
        </is>
      </c>
      <c r="K1851" s="70" t="n">
        <v>2273</v>
      </c>
      <c r="L1851" s="71" t="n">
        <v>2291.97</v>
      </c>
      <c r="M1851" s="71" t="n">
        <v>5209647.81</v>
      </c>
      <c r="N1851" s="71" t="n">
        <v>1302411.95</v>
      </c>
      <c r="O1851" s="71" t="n">
        <v>3907235.86</v>
      </c>
      <c r="P1851" s="71" t="n">
        <v>554306.24</v>
      </c>
      <c r="Q1851" s="71" t="n">
        <v>3352929.62</v>
      </c>
      <c r="R1851" t="inlineStr">
        <is>
          <t>Inflammation</t>
        </is>
      </c>
      <c r="S1851" s="70" t="n">
        <v>1470</v>
      </c>
      <c r="T1851" s="71" t="n">
        <v>858954.76</v>
      </c>
      <c r="U1851" t="inlineStr">
        <is>
          <t>High</t>
        </is>
      </c>
      <c r="V1851">
        <f>IF(AND(OR(Dashboard!$C$6="All",E1851=Dashboard!$C$6),OR(Dashboard!$F$6="All",G1851=Dashboard!$F$6),OR(Dashboard!$I$6="All",H1851=Dashboard!$I$6)),1,0)</f>
        <v/>
      </c>
    </row>
    <row r="1852">
      <c r="A1852" t="inlineStr">
        <is>
          <t>PF101843</t>
        </is>
      </c>
      <c r="B1852" s="68" t="n">
        <v>45883</v>
      </c>
      <c r="C1852" s="69" t="n">
        <v>2025</v>
      </c>
      <c r="D1852" t="inlineStr">
        <is>
          <t>Aug</t>
        </is>
      </c>
      <c r="E1852" t="inlineStr">
        <is>
          <t>Emerging markets</t>
        </is>
      </c>
      <c r="F1852" t="inlineStr">
        <is>
          <t>Brazil</t>
        </is>
      </c>
      <c r="G1852" t="inlineStr">
        <is>
          <t>Ibrance</t>
        </is>
      </c>
      <c r="H1852" t="inlineStr">
        <is>
          <t>Government / tender</t>
        </is>
      </c>
      <c r="I1852" t="inlineStr">
        <is>
          <t>Self-pay</t>
        </is>
      </c>
      <c r="J1852" t="inlineStr">
        <is>
          <t>Lucas Martin</t>
        </is>
      </c>
      <c r="K1852" s="70" t="n">
        <v>569</v>
      </c>
      <c r="L1852" s="71" t="n">
        <v>3033.37</v>
      </c>
      <c r="M1852" s="71" t="n">
        <v>1725987.53</v>
      </c>
      <c r="N1852" s="71" t="n">
        <v>86299.38</v>
      </c>
      <c r="O1852" s="71" t="n">
        <v>1639688.15</v>
      </c>
      <c r="P1852" s="71" t="n">
        <v>239666.37</v>
      </c>
      <c r="Q1852" s="71" t="n">
        <v>1400021.78</v>
      </c>
      <c r="R1852" t="inlineStr">
        <is>
          <t>Oncology</t>
        </is>
      </c>
      <c r="S1852" s="70" t="n">
        <v>358</v>
      </c>
      <c r="T1852" s="71" t="n">
        <v>291091.89</v>
      </c>
      <c r="U1852" t="inlineStr">
        <is>
          <t>High</t>
        </is>
      </c>
      <c r="V1852">
        <f>IF(AND(OR(Dashboard!$C$6="All",E1852=Dashboard!$C$6),OR(Dashboard!$F$6="All",G1852=Dashboard!$F$6),OR(Dashboard!$I$6="All",H1852=Dashboard!$I$6)),1,0)</f>
        <v/>
      </c>
    </row>
    <row r="1853">
      <c r="A1853" t="inlineStr">
        <is>
          <t>PF101844</t>
        </is>
      </c>
      <c r="B1853" s="68" t="n">
        <v>45883</v>
      </c>
      <c r="C1853" s="69" t="n">
        <v>2025</v>
      </c>
      <c r="D1853" t="inlineStr">
        <is>
          <t>Aug</t>
        </is>
      </c>
      <c r="E1853" t="inlineStr">
        <is>
          <t>Emerging markets</t>
        </is>
      </c>
      <c r="F1853" t="inlineStr">
        <is>
          <t>China</t>
        </is>
      </c>
      <c r="G1853" t="inlineStr">
        <is>
          <t>Comirnaty</t>
        </is>
      </c>
      <c r="H1853" t="inlineStr">
        <is>
          <t>Retail pharmacy</t>
        </is>
      </c>
      <c r="I1853" t="inlineStr">
        <is>
          <t>Public payer</t>
        </is>
      </c>
      <c r="J1853" t="inlineStr">
        <is>
          <t>Ana Costa</t>
        </is>
      </c>
      <c r="K1853" s="70" t="n">
        <v>183</v>
      </c>
      <c r="L1853" s="71" t="n">
        <v>115.15</v>
      </c>
      <c r="M1853" s="71" t="n">
        <v>21072.45</v>
      </c>
      <c r="N1853" s="71" t="n">
        <v>4214.49</v>
      </c>
      <c r="O1853" s="71" t="n">
        <v>16857.96</v>
      </c>
      <c r="P1853" s="71" t="n">
        <v>7306.26</v>
      </c>
      <c r="Q1853" s="71" t="n">
        <v>9551.700000000001</v>
      </c>
      <c r="R1853" t="inlineStr">
        <is>
          <t>Vaccines</t>
        </is>
      </c>
      <c r="S1853" s="70" t="n">
        <v>130</v>
      </c>
      <c r="T1853" s="71" t="n">
        <v>3711.1</v>
      </c>
      <c r="U1853" t="inlineStr">
        <is>
          <t>Low</t>
        </is>
      </c>
      <c r="V1853">
        <f>IF(AND(OR(Dashboard!$C$6="All",E1853=Dashboard!$C$6),OR(Dashboard!$F$6="All",G1853=Dashboard!$F$6),OR(Dashboard!$I$6="All",H1853=Dashboard!$I$6)),1,0)</f>
        <v/>
      </c>
    </row>
    <row r="1854">
      <c r="A1854" t="inlineStr">
        <is>
          <t>PF101845</t>
        </is>
      </c>
      <c r="B1854" s="68" t="n">
        <v>45883</v>
      </c>
      <c r="C1854" s="69" t="n">
        <v>2025</v>
      </c>
      <c r="D1854" t="inlineStr">
        <is>
          <t>Aug</t>
        </is>
      </c>
      <c r="E1854" t="inlineStr">
        <is>
          <t>United States</t>
        </is>
      </c>
      <c r="F1854" t="inlineStr">
        <is>
          <t>USA</t>
        </is>
      </c>
      <c r="G1854" t="inlineStr">
        <is>
          <t>Ibrance</t>
        </is>
      </c>
      <c r="H1854" t="inlineStr">
        <is>
          <t>Hospital</t>
        </is>
      </c>
      <c r="I1854" t="inlineStr">
        <is>
          <t>Private insurer</t>
        </is>
      </c>
      <c r="J1854" t="inlineStr">
        <is>
          <t>Olivia Brown</t>
        </is>
      </c>
      <c r="K1854" s="70" t="n">
        <v>859</v>
      </c>
      <c r="L1854" s="71" t="n">
        <v>4978.72</v>
      </c>
      <c r="M1854" s="71" t="n">
        <v>4276720.48</v>
      </c>
      <c r="N1854" s="71" t="n">
        <v>641508.0699999999</v>
      </c>
      <c r="O1854" s="71" t="n">
        <v>3635212.41</v>
      </c>
      <c r="P1854" s="71" t="n">
        <v>366825.94</v>
      </c>
      <c r="Q1854" s="71" t="n">
        <v>3268386.47</v>
      </c>
      <c r="R1854" t="inlineStr">
        <is>
          <t>Oncology</t>
        </is>
      </c>
      <c r="S1854" s="70" t="n">
        <v>573</v>
      </c>
      <c r="T1854" s="71" t="n">
        <v>802280.95</v>
      </c>
      <c r="U1854" t="inlineStr">
        <is>
          <t>High</t>
        </is>
      </c>
      <c r="V1854">
        <f>IF(AND(OR(Dashboard!$C$6="All",E1854=Dashboard!$C$6),OR(Dashboard!$F$6="All",G1854=Dashboard!$F$6),OR(Dashboard!$I$6="All",H1854=Dashboard!$I$6)),1,0)</f>
        <v/>
      </c>
    </row>
    <row r="1855">
      <c r="A1855" t="inlineStr">
        <is>
          <t>PF101846</t>
        </is>
      </c>
      <c r="B1855" s="68" t="n">
        <v>45883</v>
      </c>
      <c r="C1855" s="69" t="n">
        <v>2025</v>
      </c>
      <c r="D1855" t="inlineStr">
        <is>
          <t>Aug</t>
        </is>
      </c>
      <c r="E1855" t="inlineStr">
        <is>
          <t>International developed</t>
        </is>
      </c>
      <c r="F1855" t="inlineStr">
        <is>
          <t>Australia</t>
        </is>
      </c>
      <c r="G1855" t="inlineStr">
        <is>
          <t>Eliquis</t>
        </is>
      </c>
      <c r="H1855" t="inlineStr">
        <is>
          <t>Hospital</t>
        </is>
      </c>
      <c r="I1855" t="inlineStr">
        <is>
          <t>Private insurer</t>
        </is>
      </c>
      <c r="J1855" t="inlineStr">
        <is>
          <t>Hiroshi Tanaka</t>
        </is>
      </c>
      <c r="K1855" s="70" t="n">
        <v>3016</v>
      </c>
      <c r="L1855" s="71" t="n">
        <v>461.58</v>
      </c>
      <c r="M1855" s="71" t="n">
        <v>1392125.28</v>
      </c>
      <c r="N1855" s="71" t="n">
        <v>208818.79</v>
      </c>
      <c r="O1855" s="71" t="n">
        <v>1183306.49</v>
      </c>
      <c r="P1855" s="71" t="n">
        <v>221369.85</v>
      </c>
      <c r="Q1855" s="71" t="n">
        <v>961936.64</v>
      </c>
      <c r="R1855" t="inlineStr">
        <is>
          <t>Cardiology</t>
        </is>
      </c>
      <c r="S1855" s="70" t="n">
        <v>2241</v>
      </c>
      <c r="T1855" s="71" t="n">
        <v>304976.71</v>
      </c>
      <c r="U1855" t="inlineStr">
        <is>
          <t>High</t>
        </is>
      </c>
      <c r="V1855">
        <f>IF(AND(OR(Dashboard!$C$6="All",E1855=Dashboard!$C$6),OR(Dashboard!$F$6="All",G1855=Dashboard!$F$6),OR(Dashboard!$I$6="All",H1855=Dashboard!$I$6)),1,0)</f>
        <v/>
      </c>
    </row>
    <row r="1856">
      <c r="A1856" t="inlineStr">
        <is>
          <t>PF101847</t>
        </is>
      </c>
      <c r="B1856" s="68" t="n">
        <v>45883</v>
      </c>
      <c r="C1856" s="69" t="n">
        <v>2025</v>
      </c>
      <c r="D1856" t="inlineStr">
        <is>
          <t>Aug</t>
        </is>
      </c>
      <c r="E1856" t="inlineStr">
        <is>
          <t>United States</t>
        </is>
      </c>
      <c r="F1856" t="inlineStr">
        <is>
          <t>USA</t>
        </is>
      </c>
      <c r="G1856" t="inlineStr">
        <is>
          <t>Xeljanz</t>
        </is>
      </c>
      <c r="H1856" t="inlineStr">
        <is>
          <t>Hospital</t>
        </is>
      </c>
      <c r="I1856" t="inlineStr">
        <is>
          <t>Private insurer</t>
        </is>
      </c>
      <c r="J1856" t="inlineStr">
        <is>
          <t>Liam O'Brien</t>
        </is>
      </c>
      <c r="K1856" s="70" t="n">
        <v>216</v>
      </c>
      <c r="L1856" s="71" t="n">
        <v>2180.18</v>
      </c>
      <c r="M1856" s="71" t="n">
        <v>470918.88</v>
      </c>
      <c r="N1856" s="71" t="n">
        <v>94183.78</v>
      </c>
      <c r="O1856" s="71" t="n">
        <v>376735.1</v>
      </c>
      <c r="P1856" s="71" t="n">
        <v>54807.46</v>
      </c>
      <c r="Q1856" s="71" t="n">
        <v>321927.64</v>
      </c>
      <c r="R1856" t="inlineStr">
        <is>
          <t>Inflammation</t>
        </is>
      </c>
      <c r="S1856" s="70" t="n">
        <v>153</v>
      </c>
      <c r="T1856" s="71" t="n">
        <v>66112.28</v>
      </c>
      <c r="U1856" t="inlineStr">
        <is>
          <t>High</t>
        </is>
      </c>
      <c r="V1856">
        <f>IF(AND(OR(Dashboard!$C$6="All",E1856=Dashboard!$C$6),OR(Dashboard!$F$6="All",G1856=Dashboard!$F$6),OR(Dashboard!$I$6="All",H1856=Dashboard!$I$6)),1,0)</f>
        <v/>
      </c>
    </row>
    <row r="1857">
      <c r="A1857" t="inlineStr">
        <is>
          <t>PF101848</t>
        </is>
      </c>
      <c r="B1857" s="68" t="n">
        <v>45883</v>
      </c>
      <c r="C1857" s="69" t="n">
        <v>2025</v>
      </c>
      <c r="D1857" t="inlineStr">
        <is>
          <t>Aug</t>
        </is>
      </c>
      <c r="E1857" t="inlineStr">
        <is>
          <t>Emerging markets</t>
        </is>
      </c>
      <c r="F1857" t="inlineStr">
        <is>
          <t>Brazil</t>
        </is>
      </c>
      <c r="G1857" t="inlineStr">
        <is>
          <t>Xeljanz</t>
        </is>
      </c>
      <c r="H1857" t="inlineStr">
        <is>
          <t>Hospital</t>
        </is>
      </c>
      <c r="I1857" t="inlineStr">
        <is>
          <t>Self-pay</t>
        </is>
      </c>
      <c r="J1857" t="inlineStr">
        <is>
          <t>Wei Chen</t>
        </is>
      </c>
      <c r="K1857" s="70" t="n">
        <v>1122</v>
      </c>
      <c r="L1857" s="71" t="n">
        <v>1362.28</v>
      </c>
      <c r="M1857" s="71" t="n">
        <v>1528478.16</v>
      </c>
      <c r="N1857" s="71" t="n">
        <v>229271.72</v>
      </c>
      <c r="O1857" s="71" t="n">
        <v>1299206.44</v>
      </c>
      <c r="P1857" s="71" t="n">
        <v>290037.35</v>
      </c>
      <c r="Q1857" s="71" t="n">
        <v>1009169.09</v>
      </c>
      <c r="R1857" t="inlineStr">
        <is>
          <t>Inflammation</t>
        </is>
      </c>
      <c r="S1857" s="70" t="n">
        <v>1003</v>
      </c>
      <c r="T1857" s="71" t="n">
        <v>235145.92</v>
      </c>
      <c r="U1857" t="inlineStr">
        <is>
          <t>High</t>
        </is>
      </c>
      <c r="V1857">
        <f>IF(AND(OR(Dashboard!$C$6="All",E1857=Dashboard!$C$6),OR(Dashboard!$F$6="All",G1857=Dashboard!$F$6),OR(Dashboard!$I$6="All",H1857=Dashboard!$I$6)),1,0)</f>
        <v/>
      </c>
    </row>
    <row r="1858">
      <c r="A1858" t="inlineStr">
        <is>
          <t>PF101849</t>
        </is>
      </c>
      <c r="B1858" s="68" t="n">
        <v>45883</v>
      </c>
      <c r="C1858" s="69" t="n">
        <v>2025</v>
      </c>
      <c r="D1858" t="inlineStr">
        <is>
          <t>Aug</t>
        </is>
      </c>
      <c r="E1858" t="inlineStr">
        <is>
          <t>United States</t>
        </is>
      </c>
      <c r="F1858" t="inlineStr">
        <is>
          <t>USA</t>
        </is>
      </c>
      <c r="G1858" t="inlineStr">
        <is>
          <t>Eliquis</t>
        </is>
      </c>
      <c r="H1858" t="inlineStr">
        <is>
          <t>Retail pharmacy</t>
        </is>
      </c>
      <c r="I1858" t="inlineStr">
        <is>
          <t>Public payer</t>
        </is>
      </c>
      <c r="J1858" t="inlineStr">
        <is>
          <t>Ravindra Patil</t>
        </is>
      </c>
      <c r="K1858" s="70" t="n">
        <v>618</v>
      </c>
      <c r="L1858" s="71" t="n">
        <v>663.26</v>
      </c>
      <c r="M1858" s="71" t="n">
        <v>409894.68</v>
      </c>
      <c r="N1858" s="71" t="n">
        <v>102473.67</v>
      </c>
      <c r="O1858" s="71" t="n">
        <v>307421.01</v>
      </c>
      <c r="P1858" s="71" t="n">
        <v>45905.94</v>
      </c>
      <c r="Q1858" s="71" t="n">
        <v>261515.07</v>
      </c>
      <c r="R1858" t="inlineStr">
        <is>
          <t>Cardiology</t>
        </is>
      </c>
      <c r="S1858" s="70" t="n">
        <v>428</v>
      </c>
      <c r="T1858" s="71" t="n">
        <v>54090.78</v>
      </c>
      <c r="U1858" t="inlineStr">
        <is>
          <t>High</t>
        </is>
      </c>
      <c r="V1858">
        <f>IF(AND(OR(Dashboard!$C$6="All",E1858=Dashboard!$C$6),OR(Dashboard!$F$6="All",G1858=Dashboard!$F$6),OR(Dashboard!$I$6="All",H1858=Dashboard!$I$6)),1,0)</f>
        <v/>
      </c>
    </row>
    <row r="1859">
      <c r="A1859" t="inlineStr">
        <is>
          <t>PF101850</t>
        </is>
      </c>
      <c r="B1859" s="68" t="n">
        <v>45883</v>
      </c>
      <c r="C1859" s="69" t="n">
        <v>2025</v>
      </c>
      <c r="D1859" t="inlineStr">
        <is>
          <t>Aug</t>
        </is>
      </c>
      <c r="E1859" t="inlineStr">
        <is>
          <t>International developed</t>
        </is>
      </c>
      <c r="F1859" t="inlineStr">
        <is>
          <t>Japan</t>
        </is>
      </c>
      <c r="G1859" t="inlineStr">
        <is>
          <t>Comirnaty</t>
        </is>
      </c>
      <c r="H1859" t="inlineStr">
        <is>
          <t>Government / tender</t>
        </is>
      </c>
      <c r="I1859" t="inlineStr">
        <is>
          <t>Public payer</t>
        </is>
      </c>
      <c r="J1859" t="inlineStr">
        <is>
          <t>Carlos Silva</t>
        </is>
      </c>
      <c r="K1859" s="70" t="n">
        <v>1618</v>
      </c>
      <c r="L1859" s="71" t="n">
        <v>111.73</v>
      </c>
      <c r="M1859" s="71" t="n">
        <v>180779.14</v>
      </c>
      <c r="N1859" s="71" t="n">
        <v>27116.87</v>
      </c>
      <c r="O1859" s="71" t="n">
        <v>153662.27</v>
      </c>
      <c r="P1859" s="71" t="n">
        <v>61578.88</v>
      </c>
      <c r="Q1859" s="71" t="n">
        <v>92083.39</v>
      </c>
      <c r="R1859" t="inlineStr">
        <is>
          <t>Vaccines</t>
        </is>
      </c>
      <c r="S1859" s="70" t="n">
        <v>1418</v>
      </c>
      <c r="T1859" s="71" t="n">
        <v>34514.92</v>
      </c>
      <c r="U1859" t="inlineStr">
        <is>
          <t>Low</t>
        </is>
      </c>
      <c r="V1859">
        <f>IF(AND(OR(Dashboard!$C$6="All",E1859=Dashboard!$C$6),OR(Dashboard!$F$6="All",G1859=Dashboard!$F$6),OR(Dashboard!$I$6="All",H1859=Dashboard!$I$6)),1,0)</f>
        <v/>
      </c>
    </row>
    <row r="1860">
      <c r="A1860" t="inlineStr">
        <is>
          <t>PF101851</t>
        </is>
      </c>
      <c r="B1860" s="68" t="n">
        <v>45883</v>
      </c>
      <c r="C1860" s="69" t="n">
        <v>2025</v>
      </c>
      <c r="D1860" t="inlineStr">
        <is>
          <t>Aug</t>
        </is>
      </c>
      <c r="E1860" t="inlineStr">
        <is>
          <t>Emerging markets</t>
        </is>
      </c>
      <c r="F1860" t="inlineStr">
        <is>
          <t>India</t>
        </is>
      </c>
      <c r="G1860" t="inlineStr">
        <is>
          <t>Eliquis</t>
        </is>
      </c>
      <c r="H1860" t="inlineStr">
        <is>
          <t>Hospital</t>
        </is>
      </c>
      <c r="I1860" t="inlineStr">
        <is>
          <t>Private insurer</t>
        </is>
      </c>
      <c r="J1860" t="inlineStr">
        <is>
          <t>Yuki Sato</t>
        </is>
      </c>
      <c r="K1860" s="70" t="n">
        <v>1666</v>
      </c>
      <c r="L1860" s="71" t="n">
        <v>419.32</v>
      </c>
      <c r="M1860" s="71" t="n">
        <v>698587.12</v>
      </c>
      <c r="N1860" s="71" t="n">
        <v>69858.71000000001</v>
      </c>
      <c r="O1860" s="71" t="n">
        <v>628728.41</v>
      </c>
      <c r="P1860" s="71" t="n">
        <v>121038.99</v>
      </c>
      <c r="Q1860" s="71" t="n">
        <v>507689.42</v>
      </c>
      <c r="R1860" t="inlineStr">
        <is>
          <t>Cardiology</t>
        </is>
      </c>
      <c r="S1860" s="70" t="n">
        <v>1664</v>
      </c>
      <c r="T1860" s="71" t="n">
        <v>149939.11</v>
      </c>
      <c r="U1860" t="inlineStr">
        <is>
          <t>High</t>
        </is>
      </c>
      <c r="V1860">
        <f>IF(AND(OR(Dashboard!$C$6="All",E1860=Dashboard!$C$6),OR(Dashboard!$F$6="All",G1860=Dashboard!$F$6),OR(Dashboard!$I$6="All",H1860=Dashboard!$I$6)),1,0)</f>
        <v/>
      </c>
    </row>
    <row r="1861">
      <c r="A1861" t="inlineStr">
        <is>
          <t>PF101852</t>
        </is>
      </c>
      <c r="B1861" s="68" t="n">
        <v>45884</v>
      </c>
      <c r="C1861" s="69" t="n">
        <v>2025</v>
      </c>
      <c r="D1861" t="inlineStr">
        <is>
          <t>Aug</t>
        </is>
      </c>
      <c r="E1861" t="inlineStr">
        <is>
          <t>United States</t>
        </is>
      </c>
      <c r="F1861" t="inlineStr">
        <is>
          <t>USA</t>
        </is>
      </c>
      <c r="G1861" t="inlineStr">
        <is>
          <t>Ibrance</t>
        </is>
      </c>
      <c r="H1861" t="inlineStr">
        <is>
          <t>Retail pharmacy</t>
        </is>
      </c>
      <c r="I1861" t="inlineStr">
        <is>
          <t>Private insurer</t>
        </is>
      </c>
      <c r="J1861" t="inlineStr">
        <is>
          <t>Ravindra Patil</t>
        </is>
      </c>
      <c r="K1861" s="70" t="n">
        <v>1945</v>
      </c>
      <c r="L1861" s="71" t="n">
        <v>4591.58</v>
      </c>
      <c r="M1861" s="71" t="n">
        <v>8930623.1</v>
      </c>
      <c r="N1861" s="71" t="n">
        <v>2679186.93</v>
      </c>
      <c r="O1861" s="71" t="n">
        <v>6251436.17</v>
      </c>
      <c r="P1861" s="71" t="n">
        <v>832014.9</v>
      </c>
      <c r="Q1861" s="71" t="n">
        <v>5419421.27</v>
      </c>
      <c r="R1861" t="inlineStr">
        <is>
          <t>Oncology</t>
        </is>
      </c>
      <c r="S1861" s="70" t="n">
        <v>1475</v>
      </c>
      <c r="T1861" s="71" t="n">
        <v>1159302.61</v>
      </c>
      <c r="U1861" t="inlineStr">
        <is>
          <t>High</t>
        </is>
      </c>
      <c r="V1861">
        <f>IF(AND(OR(Dashboard!$C$6="All",E1861=Dashboard!$C$6),OR(Dashboard!$F$6="All",G1861=Dashboard!$F$6),OR(Dashboard!$I$6="All",H1861=Dashboard!$I$6)),1,0)</f>
        <v/>
      </c>
    </row>
    <row r="1862">
      <c r="A1862" t="inlineStr">
        <is>
          <t>PF101853</t>
        </is>
      </c>
      <c r="B1862" s="68" t="n">
        <v>45884</v>
      </c>
      <c r="C1862" s="69" t="n">
        <v>2025</v>
      </c>
      <c r="D1862" t="inlineStr">
        <is>
          <t>Aug</t>
        </is>
      </c>
      <c r="E1862" t="inlineStr">
        <is>
          <t>United States</t>
        </is>
      </c>
      <c r="F1862" t="inlineStr">
        <is>
          <t>USA</t>
        </is>
      </c>
      <c r="G1862" t="inlineStr">
        <is>
          <t>Paxlovid</t>
        </is>
      </c>
      <c r="H1862" t="inlineStr">
        <is>
          <t>Retail pharmacy</t>
        </is>
      </c>
      <c r="I1862" t="inlineStr">
        <is>
          <t>Public payer</t>
        </is>
      </c>
      <c r="J1862" t="inlineStr">
        <is>
          <t>Wei Chen</t>
        </is>
      </c>
      <c r="K1862" s="70" t="n">
        <v>1264</v>
      </c>
      <c r="L1862" s="71" t="n">
        <v>1816.58</v>
      </c>
      <c r="M1862" s="71" t="n">
        <v>2296157.12</v>
      </c>
      <c r="N1862" s="71" t="n">
        <v>803654.99</v>
      </c>
      <c r="O1862" s="71" t="n">
        <v>1492502.13</v>
      </c>
      <c r="P1862" s="71" t="n">
        <v>340993.98</v>
      </c>
      <c r="Q1862" s="71" t="n">
        <v>1151508.15</v>
      </c>
      <c r="R1862" t="inlineStr">
        <is>
          <t>Antiviral</t>
        </is>
      </c>
      <c r="S1862" s="70" t="n">
        <v>883</v>
      </c>
      <c r="T1862" s="71" t="n">
        <v>340097.62</v>
      </c>
      <c r="U1862" t="inlineStr">
        <is>
          <t>Low</t>
        </is>
      </c>
      <c r="V1862">
        <f>IF(AND(OR(Dashboard!$C$6="All",E1862=Dashboard!$C$6),OR(Dashboard!$F$6="All",G1862=Dashboard!$F$6),OR(Dashboard!$I$6="All",H1862=Dashboard!$I$6)),1,0)</f>
        <v/>
      </c>
    </row>
    <row r="1863">
      <c r="A1863" t="inlineStr">
        <is>
          <t>PF101854</t>
        </is>
      </c>
      <c r="B1863" s="68" t="n">
        <v>45884</v>
      </c>
      <c r="C1863" s="69" t="n">
        <v>2025</v>
      </c>
      <c r="D1863" t="inlineStr">
        <is>
          <t>Aug</t>
        </is>
      </c>
      <c r="E1863" t="inlineStr">
        <is>
          <t>United States</t>
        </is>
      </c>
      <c r="F1863" t="inlineStr">
        <is>
          <t>USA</t>
        </is>
      </c>
      <c r="G1863" t="inlineStr">
        <is>
          <t>Prevnar 20</t>
        </is>
      </c>
      <c r="H1863" t="inlineStr">
        <is>
          <t>Hospital</t>
        </is>
      </c>
      <c r="I1863" t="inlineStr">
        <is>
          <t>Private insurer</t>
        </is>
      </c>
      <c r="J1863" t="inlineStr">
        <is>
          <t>Shraddha Kulkarni</t>
        </is>
      </c>
      <c r="K1863" s="70" t="n">
        <v>1379</v>
      </c>
      <c r="L1863" s="71" t="n">
        <v>360.3</v>
      </c>
      <c r="M1863" s="71" t="n">
        <v>496853.7</v>
      </c>
      <c r="N1863" s="71" t="n">
        <v>124213.43</v>
      </c>
      <c r="O1863" s="71" t="n">
        <v>372640.27</v>
      </c>
      <c r="P1863" s="71" t="n">
        <v>97002.39999999999</v>
      </c>
      <c r="Q1863" s="71" t="n">
        <v>275637.87</v>
      </c>
      <c r="R1863" t="inlineStr">
        <is>
          <t>Vaccines</t>
        </is>
      </c>
      <c r="S1863" s="70" t="n">
        <v>1300</v>
      </c>
      <c r="T1863" s="71" t="n">
        <v>93116.21000000001</v>
      </c>
      <c r="U1863" t="inlineStr">
        <is>
          <t>Low</t>
        </is>
      </c>
      <c r="V1863">
        <f>IF(AND(OR(Dashboard!$C$6="All",E1863=Dashboard!$C$6),OR(Dashboard!$F$6="All",G1863=Dashboard!$F$6),OR(Dashboard!$I$6="All",H1863=Dashboard!$I$6)),1,0)</f>
        <v/>
      </c>
    </row>
    <row r="1864">
      <c r="A1864" t="inlineStr">
        <is>
          <t>PF101855</t>
        </is>
      </c>
      <c r="B1864" s="68" t="n">
        <v>45884</v>
      </c>
      <c r="C1864" s="69" t="n">
        <v>2025</v>
      </c>
      <c r="D1864" t="inlineStr">
        <is>
          <t>Aug</t>
        </is>
      </c>
      <c r="E1864" t="inlineStr">
        <is>
          <t>Europe</t>
        </is>
      </c>
      <c r="F1864" t="inlineStr">
        <is>
          <t>Italy</t>
        </is>
      </c>
      <c r="G1864" t="inlineStr">
        <is>
          <t>Eliquis</t>
        </is>
      </c>
      <c r="H1864" t="inlineStr">
        <is>
          <t>Hospital</t>
        </is>
      </c>
      <c r="I1864" t="inlineStr">
        <is>
          <t>Public payer</t>
        </is>
      </c>
      <c r="J1864" t="inlineStr">
        <is>
          <t>Mei Lin</t>
        </is>
      </c>
      <c r="K1864" s="70" t="n">
        <v>478</v>
      </c>
      <c r="L1864" s="71" t="n">
        <v>406.4</v>
      </c>
      <c r="M1864" s="71" t="n">
        <v>194259.2</v>
      </c>
      <c r="N1864" s="71" t="n">
        <v>38851.84</v>
      </c>
      <c r="O1864" s="71" t="n">
        <v>155407.36</v>
      </c>
      <c r="P1864" s="71" t="n">
        <v>34743.6</v>
      </c>
      <c r="Q1864" s="71" t="n">
        <v>120663.76</v>
      </c>
      <c r="R1864" t="inlineStr">
        <is>
          <t>Cardiology</t>
        </is>
      </c>
      <c r="S1864" s="70" t="n">
        <v>470</v>
      </c>
      <c r="T1864" s="71" t="n">
        <v>23314.88</v>
      </c>
      <c r="U1864" t="inlineStr">
        <is>
          <t>High</t>
        </is>
      </c>
      <c r="V1864">
        <f>IF(AND(OR(Dashboard!$C$6="All",E1864=Dashboard!$C$6),OR(Dashboard!$F$6="All",G1864=Dashboard!$F$6),OR(Dashboard!$I$6="All",H1864=Dashboard!$I$6)),1,0)</f>
        <v/>
      </c>
    </row>
    <row r="1865">
      <c r="A1865" t="inlineStr">
        <is>
          <t>PF101856</t>
        </is>
      </c>
      <c r="B1865" s="68" t="n">
        <v>45884</v>
      </c>
      <c r="C1865" s="69" t="n">
        <v>2025</v>
      </c>
      <c r="D1865" t="inlineStr">
        <is>
          <t>Aug</t>
        </is>
      </c>
      <c r="E1865" t="inlineStr">
        <is>
          <t>United States</t>
        </is>
      </c>
      <c r="F1865" t="inlineStr">
        <is>
          <t>USA</t>
        </is>
      </c>
      <c r="G1865" t="inlineStr">
        <is>
          <t>Prevnar 20</t>
        </is>
      </c>
      <c r="H1865" t="inlineStr">
        <is>
          <t>Government / tender</t>
        </is>
      </c>
      <c r="I1865" t="inlineStr">
        <is>
          <t>Public payer</t>
        </is>
      </c>
      <c r="J1865" t="inlineStr">
        <is>
          <t>Shraddha Kulkarni</t>
        </is>
      </c>
      <c r="K1865" s="70" t="n">
        <v>347</v>
      </c>
      <c r="L1865" s="71" t="n">
        <v>361.68</v>
      </c>
      <c r="M1865" s="71" t="n">
        <v>125502.96</v>
      </c>
      <c r="N1865" s="71" t="n">
        <v>43926.04</v>
      </c>
      <c r="O1865" s="71" t="n">
        <v>81576.92</v>
      </c>
      <c r="P1865" s="71" t="n">
        <v>23737.14</v>
      </c>
      <c r="Q1865" s="71" t="n">
        <v>57839.78</v>
      </c>
      <c r="R1865" t="inlineStr">
        <is>
          <t>Vaccines</t>
        </is>
      </c>
      <c r="S1865" s="70" t="n">
        <v>287</v>
      </c>
      <c r="T1865" s="71" t="n">
        <v>26018.81</v>
      </c>
      <c r="U1865" t="inlineStr">
        <is>
          <t>Low</t>
        </is>
      </c>
      <c r="V1865">
        <f>IF(AND(OR(Dashboard!$C$6="All",E1865=Dashboard!$C$6),OR(Dashboard!$F$6="All",G1865=Dashboard!$F$6),OR(Dashboard!$I$6="All",H1865=Dashboard!$I$6)),1,0)</f>
        <v/>
      </c>
    </row>
    <row r="1866">
      <c r="A1866" t="inlineStr">
        <is>
          <t>PF101857</t>
        </is>
      </c>
      <c r="B1866" s="68" t="n">
        <v>45884</v>
      </c>
      <c r="C1866" s="69" t="n">
        <v>2025</v>
      </c>
      <c r="D1866" t="inlineStr">
        <is>
          <t>Aug</t>
        </is>
      </c>
      <c r="E1866" t="inlineStr">
        <is>
          <t>International developed</t>
        </is>
      </c>
      <c r="F1866" t="inlineStr">
        <is>
          <t>Japan</t>
        </is>
      </c>
      <c r="G1866" t="inlineStr">
        <is>
          <t>Vyndaqel</t>
        </is>
      </c>
      <c r="H1866" t="inlineStr">
        <is>
          <t>Retail pharmacy</t>
        </is>
      </c>
      <c r="I1866" t="inlineStr">
        <is>
          <t>Private insurer</t>
        </is>
      </c>
      <c r="J1866" t="inlineStr">
        <is>
          <t>Fatima Al-Saud</t>
        </is>
      </c>
      <c r="K1866" s="70" t="n">
        <v>2297</v>
      </c>
      <c r="L1866" s="71" t="n">
        <v>5568.83</v>
      </c>
      <c r="M1866" s="71" t="n">
        <v>12791602.51</v>
      </c>
      <c r="N1866" s="71" t="n">
        <v>2558320.5</v>
      </c>
      <c r="O1866" s="71" t="n">
        <v>10233282.01</v>
      </c>
      <c r="P1866" s="71" t="n">
        <v>1431733.42</v>
      </c>
      <c r="Q1866" s="71" t="n">
        <v>8801548.59</v>
      </c>
      <c r="R1866" t="inlineStr">
        <is>
          <t>Rare disease</t>
        </is>
      </c>
      <c r="S1866" s="70" t="n">
        <v>1835</v>
      </c>
      <c r="T1866" s="71" t="n">
        <v>2561658.35</v>
      </c>
      <c r="U1866" t="inlineStr">
        <is>
          <t>Medium</t>
        </is>
      </c>
      <c r="V1866">
        <f>IF(AND(OR(Dashboard!$C$6="All",E1866=Dashboard!$C$6),OR(Dashboard!$F$6="All",G1866=Dashboard!$F$6),OR(Dashboard!$I$6="All",H1866=Dashboard!$I$6)),1,0)</f>
        <v/>
      </c>
    </row>
    <row r="1867">
      <c r="A1867" t="inlineStr">
        <is>
          <t>PF101858</t>
        </is>
      </c>
      <c r="B1867" s="68" t="n">
        <v>45884</v>
      </c>
      <c r="C1867" s="69" t="n">
        <v>2025</v>
      </c>
      <c r="D1867" t="inlineStr">
        <is>
          <t>Aug</t>
        </is>
      </c>
      <c r="E1867" t="inlineStr">
        <is>
          <t>United States</t>
        </is>
      </c>
      <c r="F1867" t="inlineStr">
        <is>
          <t>USA</t>
        </is>
      </c>
      <c r="G1867" t="inlineStr">
        <is>
          <t>Comirnaty</t>
        </is>
      </c>
      <c r="H1867" t="inlineStr">
        <is>
          <t>Retail pharmacy</t>
        </is>
      </c>
      <c r="I1867" t="inlineStr">
        <is>
          <t>Private insurer</t>
        </is>
      </c>
      <c r="J1867" t="inlineStr">
        <is>
          <t>Ruhi Shaikh</t>
        </is>
      </c>
      <c r="K1867" s="70" t="n">
        <v>1192</v>
      </c>
      <c r="L1867" s="71" t="n">
        <v>184.1</v>
      </c>
      <c r="M1867" s="71" t="n">
        <v>219447.2</v>
      </c>
      <c r="N1867" s="71" t="n">
        <v>76806.52</v>
      </c>
      <c r="O1867" s="71" t="n">
        <v>142640.68</v>
      </c>
      <c r="P1867" s="71" t="n">
        <v>45689.24</v>
      </c>
      <c r="Q1867" s="71" t="n">
        <v>96951.44</v>
      </c>
      <c r="R1867" t="inlineStr">
        <is>
          <t>Vaccines</t>
        </is>
      </c>
      <c r="S1867" s="70" t="n">
        <v>850</v>
      </c>
      <c r="T1867" s="71" t="n">
        <v>38898.16</v>
      </c>
      <c r="U1867" t="inlineStr">
        <is>
          <t>Low</t>
        </is>
      </c>
      <c r="V1867">
        <f>IF(AND(OR(Dashboard!$C$6="All",E1867=Dashboard!$C$6),OR(Dashboard!$F$6="All",G1867=Dashboard!$F$6),OR(Dashboard!$I$6="All",H1867=Dashboard!$I$6)),1,0)</f>
        <v/>
      </c>
    </row>
    <row r="1868">
      <c r="A1868" t="inlineStr">
        <is>
          <t>PF101859</t>
        </is>
      </c>
      <c r="B1868" s="68" t="n">
        <v>45884</v>
      </c>
      <c r="C1868" s="69" t="n">
        <v>2025</v>
      </c>
      <c r="D1868" t="inlineStr">
        <is>
          <t>Aug</t>
        </is>
      </c>
      <c r="E1868" t="inlineStr">
        <is>
          <t>United States</t>
        </is>
      </c>
      <c r="F1868" t="inlineStr">
        <is>
          <t>USA</t>
        </is>
      </c>
      <c r="G1868" t="inlineStr">
        <is>
          <t>Comirnaty</t>
        </is>
      </c>
      <c r="H1868" t="inlineStr">
        <is>
          <t>Retail pharmacy</t>
        </is>
      </c>
      <c r="I1868" t="inlineStr">
        <is>
          <t>Self-pay</t>
        </is>
      </c>
      <c r="J1868" t="inlineStr">
        <is>
          <t>Zoya Ahmed</t>
        </is>
      </c>
      <c r="K1868" s="70" t="n">
        <v>2594</v>
      </c>
      <c r="L1868" s="71" t="n">
        <v>184.59</v>
      </c>
      <c r="M1868" s="71" t="n">
        <v>478826.46</v>
      </c>
      <c r="N1868" s="71" t="n">
        <v>95765.28999999999</v>
      </c>
      <c r="O1868" s="71" t="n">
        <v>383061.17</v>
      </c>
      <c r="P1868" s="71" t="n">
        <v>96383.75999999999</v>
      </c>
      <c r="Q1868" s="71" t="n">
        <v>286677.41</v>
      </c>
      <c r="R1868" t="inlineStr">
        <is>
          <t>Vaccines</t>
        </is>
      </c>
      <c r="S1868" s="70" t="n">
        <v>2519</v>
      </c>
      <c r="T1868" s="71" t="n">
        <v>73747.13</v>
      </c>
      <c r="U1868" t="inlineStr">
        <is>
          <t>Low</t>
        </is>
      </c>
      <c r="V1868">
        <f>IF(AND(OR(Dashboard!$C$6="All",E1868=Dashboard!$C$6),OR(Dashboard!$F$6="All",G1868=Dashboard!$F$6),OR(Dashboard!$I$6="All",H1868=Dashboard!$I$6)),1,0)</f>
        <v/>
      </c>
    </row>
    <row r="1869">
      <c r="A1869" t="inlineStr">
        <is>
          <t>PF101860</t>
        </is>
      </c>
      <c r="B1869" s="68" t="n">
        <v>45884</v>
      </c>
      <c r="C1869" s="69" t="n">
        <v>2025</v>
      </c>
      <c r="D1869" t="inlineStr">
        <is>
          <t>Aug</t>
        </is>
      </c>
      <c r="E1869" t="inlineStr">
        <is>
          <t>United States</t>
        </is>
      </c>
      <c r="F1869" t="inlineStr">
        <is>
          <t>USA</t>
        </is>
      </c>
      <c r="G1869" t="inlineStr">
        <is>
          <t>Comirnaty</t>
        </is>
      </c>
      <c r="H1869" t="inlineStr">
        <is>
          <t>Retail pharmacy</t>
        </is>
      </c>
      <c r="I1869" t="inlineStr">
        <is>
          <t>Private insurer</t>
        </is>
      </c>
      <c r="J1869" t="inlineStr">
        <is>
          <t>Olivia Brown</t>
        </is>
      </c>
      <c r="K1869" s="70" t="n">
        <v>1733</v>
      </c>
      <c r="L1869" s="71" t="n">
        <v>192.75</v>
      </c>
      <c r="M1869" s="71" t="n">
        <v>334035.75</v>
      </c>
      <c r="N1869" s="71" t="n">
        <v>50105.36</v>
      </c>
      <c r="O1869" s="71" t="n">
        <v>283930.39</v>
      </c>
      <c r="P1869" s="71" t="n">
        <v>67147.41</v>
      </c>
      <c r="Q1869" s="71" t="n">
        <v>216782.98</v>
      </c>
      <c r="R1869" t="inlineStr">
        <is>
          <t>Vaccines</t>
        </is>
      </c>
      <c r="S1869" s="70" t="n">
        <v>1364</v>
      </c>
      <c r="T1869" s="71" t="n">
        <v>55574.31</v>
      </c>
      <c r="U1869" t="inlineStr">
        <is>
          <t>Low</t>
        </is>
      </c>
      <c r="V1869">
        <f>IF(AND(OR(Dashboard!$C$6="All",E1869=Dashboard!$C$6),OR(Dashboard!$F$6="All",G1869=Dashboard!$F$6),OR(Dashboard!$I$6="All",H1869=Dashboard!$I$6)),1,0)</f>
        <v/>
      </c>
    </row>
    <row r="1870">
      <c r="A1870" t="inlineStr">
        <is>
          <t>PF101861</t>
        </is>
      </c>
      <c r="B1870" s="68" t="n">
        <v>45884</v>
      </c>
      <c r="C1870" s="69" t="n">
        <v>2025</v>
      </c>
      <c r="D1870" t="inlineStr">
        <is>
          <t>Aug</t>
        </is>
      </c>
      <c r="E1870" t="inlineStr">
        <is>
          <t>International developed</t>
        </is>
      </c>
      <c r="F1870" t="inlineStr">
        <is>
          <t>Australia</t>
        </is>
      </c>
      <c r="G1870" t="inlineStr">
        <is>
          <t>Prevnar 20</t>
        </is>
      </c>
      <c r="H1870" t="inlineStr">
        <is>
          <t>Retail pharmacy</t>
        </is>
      </c>
      <c r="I1870" t="inlineStr">
        <is>
          <t>Private insurer</t>
        </is>
      </c>
      <c r="J1870" t="inlineStr">
        <is>
          <t>Olivia Brown</t>
        </is>
      </c>
      <c r="K1870" s="70" t="n">
        <v>1955</v>
      </c>
      <c r="L1870" s="71" t="n">
        <v>219.3</v>
      </c>
      <c r="M1870" s="71" t="n">
        <v>428731.5</v>
      </c>
      <c r="N1870" s="71" t="n">
        <v>42873.15</v>
      </c>
      <c r="O1870" s="71" t="n">
        <v>385858.35</v>
      </c>
      <c r="P1870" s="71" t="n">
        <v>140102.91</v>
      </c>
      <c r="Q1870" s="71" t="n">
        <v>245755.44</v>
      </c>
      <c r="R1870" t="inlineStr">
        <is>
          <t>Vaccines</t>
        </is>
      </c>
      <c r="S1870" s="70" t="n">
        <v>1540</v>
      </c>
      <c r="T1870" s="71" t="n">
        <v>67899.71000000001</v>
      </c>
      <c r="U1870" t="inlineStr">
        <is>
          <t>Low</t>
        </is>
      </c>
      <c r="V1870">
        <f>IF(AND(OR(Dashboard!$C$6="All",E1870=Dashboard!$C$6),OR(Dashboard!$F$6="All",G1870=Dashboard!$F$6),OR(Dashboard!$I$6="All",H1870=Dashboard!$I$6)),1,0)</f>
        <v/>
      </c>
    </row>
    <row r="1871">
      <c r="A1871" t="inlineStr">
        <is>
          <t>PF101862</t>
        </is>
      </c>
      <c r="B1871" s="68" t="n">
        <v>45884</v>
      </c>
      <c r="C1871" s="69" t="n">
        <v>2025</v>
      </c>
      <c r="D1871" t="inlineStr">
        <is>
          <t>Aug</t>
        </is>
      </c>
      <c r="E1871" t="inlineStr">
        <is>
          <t>United States</t>
        </is>
      </c>
      <c r="F1871" t="inlineStr">
        <is>
          <t>USA</t>
        </is>
      </c>
      <c r="G1871" t="inlineStr">
        <is>
          <t>Vyndaqel</t>
        </is>
      </c>
      <c r="H1871" t="inlineStr">
        <is>
          <t>Government / tender</t>
        </is>
      </c>
      <c r="I1871" t="inlineStr">
        <is>
          <t>Private insurer</t>
        </is>
      </c>
      <c r="J1871" t="inlineStr">
        <is>
          <t>Lucas Martin</t>
        </is>
      </c>
      <c r="K1871" s="70" t="n">
        <v>1568</v>
      </c>
      <c r="L1871" s="71" t="n">
        <v>8289.84</v>
      </c>
      <c r="M1871" s="71" t="n">
        <v>12998469.12</v>
      </c>
      <c r="N1871" s="71" t="n">
        <v>1949770.37</v>
      </c>
      <c r="O1871" s="71" t="n">
        <v>11048698.75</v>
      </c>
      <c r="P1871" s="71" t="n">
        <v>958778.29</v>
      </c>
      <c r="Q1871" s="71" t="n">
        <v>10089920.46</v>
      </c>
      <c r="R1871" t="inlineStr">
        <is>
          <t>Rare disease</t>
        </is>
      </c>
      <c r="S1871" s="70" t="n">
        <v>1136</v>
      </c>
      <c r="T1871" s="71" t="n">
        <v>2233898.86</v>
      </c>
      <c r="U1871" t="inlineStr">
        <is>
          <t>Medium</t>
        </is>
      </c>
      <c r="V1871">
        <f>IF(AND(OR(Dashboard!$C$6="All",E1871=Dashboard!$C$6),OR(Dashboard!$F$6="All",G1871=Dashboard!$F$6),OR(Dashboard!$I$6="All",H1871=Dashboard!$I$6)),1,0)</f>
        <v/>
      </c>
    </row>
    <row r="1872">
      <c r="A1872" t="inlineStr">
        <is>
          <t>PF101863</t>
        </is>
      </c>
      <c r="B1872" s="68" t="n">
        <v>45884</v>
      </c>
      <c r="C1872" s="69" t="n">
        <v>2025</v>
      </c>
      <c r="D1872" t="inlineStr">
        <is>
          <t>Aug</t>
        </is>
      </c>
      <c r="E1872" t="inlineStr">
        <is>
          <t>United States</t>
        </is>
      </c>
      <c r="F1872" t="inlineStr">
        <is>
          <t>USA</t>
        </is>
      </c>
      <c r="G1872" t="inlineStr">
        <is>
          <t>Prevnar 20</t>
        </is>
      </c>
      <c r="H1872" t="inlineStr">
        <is>
          <t>Retail pharmacy</t>
        </is>
      </c>
      <c r="I1872" t="inlineStr">
        <is>
          <t>Public payer</t>
        </is>
      </c>
      <c r="J1872" t="inlineStr">
        <is>
          <t>Yuki Sato</t>
        </is>
      </c>
      <c r="K1872" s="70" t="n">
        <v>2241</v>
      </c>
      <c r="L1872" s="71" t="n">
        <v>377.26</v>
      </c>
      <c r="M1872" s="71" t="n">
        <v>845439.66</v>
      </c>
      <c r="N1872" s="71" t="n">
        <v>211359.92</v>
      </c>
      <c r="O1872" s="71" t="n">
        <v>634079.74</v>
      </c>
      <c r="P1872" s="71" t="n">
        <v>157239.46</v>
      </c>
      <c r="Q1872" s="71" t="n">
        <v>476840.28</v>
      </c>
      <c r="R1872" t="inlineStr">
        <is>
          <t>Vaccines</t>
        </is>
      </c>
      <c r="S1872" s="70" t="n">
        <v>1804</v>
      </c>
      <c r="T1872" s="71" t="n">
        <v>166301.45</v>
      </c>
      <c r="U1872" t="inlineStr">
        <is>
          <t>Low</t>
        </is>
      </c>
      <c r="V1872">
        <f>IF(AND(OR(Dashboard!$C$6="All",E1872=Dashboard!$C$6),OR(Dashboard!$F$6="All",G1872=Dashboard!$F$6),OR(Dashboard!$I$6="All",H1872=Dashboard!$I$6)),1,0)</f>
        <v/>
      </c>
    </row>
    <row r="1873">
      <c r="A1873" t="inlineStr">
        <is>
          <t>PF101864</t>
        </is>
      </c>
      <c r="B1873" s="68" t="n">
        <v>45884</v>
      </c>
      <c r="C1873" s="69" t="n">
        <v>2025</v>
      </c>
      <c r="D1873" t="inlineStr">
        <is>
          <t>Aug</t>
        </is>
      </c>
      <c r="E1873" t="inlineStr">
        <is>
          <t>United States</t>
        </is>
      </c>
      <c r="F1873" t="inlineStr">
        <is>
          <t>USA</t>
        </is>
      </c>
      <c r="G1873" t="inlineStr">
        <is>
          <t>Ibrance</t>
        </is>
      </c>
      <c r="H1873" t="inlineStr">
        <is>
          <t>Government / tender</t>
        </is>
      </c>
      <c r="I1873" t="inlineStr">
        <is>
          <t>Private insurer</t>
        </is>
      </c>
      <c r="J1873" t="inlineStr">
        <is>
          <t>Sara Rossi</t>
        </is>
      </c>
      <c r="K1873" s="70" t="n">
        <v>2553</v>
      </c>
      <c r="L1873" s="71" t="n">
        <v>4395.28</v>
      </c>
      <c r="M1873" s="71" t="n">
        <v>11221149.84</v>
      </c>
      <c r="N1873" s="71" t="n">
        <v>1683172.48</v>
      </c>
      <c r="O1873" s="71" t="n">
        <v>9537977.359999999</v>
      </c>
      <c r="P1873" s="71" t="n">
        <v>1098028.04</v>
      </c>
      <c r="Q1873" s="71" t="n">
        <v>8439949.32</v>
      </c>
      <c r="R1873" t="inlineStr">
        <is>
          <t>Oncology</t>
        </is>
      </c>
      <c r="S1873" s="70" t="n">
        <v>1832</v>
      </c>
      <c r="T1873" s="71" t="n">
        <v>1935617.98</v>
      </c>
      <c r="U1873" t="inlineStr">
        <is>
          <t>High</t>
        </is>
      </c>
      <c r="V1873">
        <f>IF(AND(OR(Dashboard!$C$6="All",E1873=Dashboard!$C$6),OR(Dashboard!$F$6="All",G1873=Dashboard!$F$6),OR(Dashboard!$I$6="All",H1873=Dashboard!$I$6)),1,0)</f>
        <v/>
      </c>
    </row>
    <row r="1874">
      <c r="A1874" t="inlineStr">
        <is>
          <t>PF101865</t>
        </is>
      </c>
      <c r="B1874" s="68" t="n">
        <v>45884</v>
      </c>
      <c r="C1874" s="69" t="n">
        <v>2025</v>
      </c>
      <c r="D1874" t="inlineStr">
        <is>
          <t>Aug</t>
        </is>
      </c>
      <c r="E1874" t="inlineStr">
        <is>
          <t>United States</t>
        </is>
      </c>
      <c r="F1874" t="inlineStr">
        <is>
          <t>USA</t>
        </is>
      </c>
      <c r="G1874" t="inlineStr">
        <is>
          <t>Eliquis</t>
        </is>
      </c>
      <c r="H1874" t="inlineStr">
        <is>
          <t>Hospital</t>
        </is>
      </c>
      <c r="I1874" t="inlineStr">
        <is>
          <t>Private insurer</t>
        </is>
      </c>
      <c r="J1874" t="inlineStr">
        <is>
          <t>Ruhi Shaikh</t>
        </is>
      </c>
      <c r="K1874" s="70" t="n">
        <v>2725</v>
      </c>
      <c r="L1874" s="71" t="n">
        <v>719.36</v>
      </c>
      <c r="M1874" s="71" t="n">
        <v>1960256</v>
      </c>
      <c r="N1874" s="71" t="n">
        <v>392051.2</v>
      </c>
      <c r="O1874" s="71" t="n">
        <v>1568204.8</v>
      </c>
      <c r="P1874" s="71" t="n">
        <v>199539.72</v>
      </c>
      <c r="Q1874" s="71" t="n">
        <v>1368665.08</v>
      </c>
      <c r="R1874" t="inlineStr">
        <is>
          <t>Cardiology</t>
        </is>
      </c>
      <c r="S1874" s="70" t="n">
        <v>1798</v>
      </c>
      <c r="T1874" s="71" t="n">
        <v>375546.82</v>
      </c>
      <c r="U1874" t="inlineStr">
        <is>
          <t>High</t>
        </is>
      </c>
      <c r="V1874">
        <f>IF(AND(OR(Dashboard!$C$6="All",E1874=Dashboard!$C$6),OR(Dashboard!$F$6="All",G1874=Dashboard!$F$6),OR(Dashboard!$I$6="All",H1874=Dashboard!$I$6)),1,0)</f>
        <v/>
      </c>
    </row>
    <row r="1875">
      <c r="A1875" t="inlineStr">
        <is>
          <t>PF101866</t>
        </is>
      </c>
      <c r="B1875" s="68" t="n">
        <v>45884</v>
      </c>
      <c r="C1875" s="69" t="n">
        <v>2025</v>
      </c>
      <c r="D1875" t="inlineStr">
        <is>
          <t>Aug</t>
        </is>
      </c>
      <c r="E1875" t="inlineStr">
        <is>
          <t>Europe</t>
        </is>
      </c>
      <c r="F1875" t="inlineStr">
        <is>
          <t>France</t>
        </is>
      </c>
      <c r="G1875" t="inlineStr">
        <is>
          <t>Comirnaty</t>
        </is>
      </c>
      <c r="H1875" t="inlineStr">
        <is>
          <t>Retail pharmacy</t>
        </is>
      </c>
      <c r="I1875" t="inlineStr">
        <is>
          <t>Public payer</t>
        </is>
      </c>
      <c r="J1875" t="inlineStr">
        <is>
          <t>Wei Chen</t>
        </is>
      </c>
      <c r="K1875" s="70" t="n">
        <v>805</v>
      </c>
      <c r="L1875" s="71" t="n">
        <v>101.92</v>
      </c>
      <c r="M1875" s="71" t="n">
        <v>82045.60000000001</v>
      </c>
      <c r="N1875" s="71" t="n">
        <v>8204.559999999999</v>
      </c>
      <c r="O1875" s="71" t="n">
        <v>73841.03999999999</v>
      </c>
      <c r="P1875" s="71" t="n">
        <v>29881.37</v>
      </c>
      <c r="Q1875" s="71" t="n">
        <v>43959.67</v>
      </c>
      <c r="R1875" t="inlineStr">
        <is>
          <t>Vaccines</t>
        </is>
      </c>
      <c r="S1875" s="70" t="n">
        <v>684</v>
      </c>
      <c r="T1875" s="71" t="n">
        <v>16229.63</v>
      </c>
      <c r="U1875" t="inlineStr">
        <is>
          <t>Low</t>
        </is>
      </c>
      <c r="V1875">
        <f>IF(AND(OR(Dashboard!$C$6="All",E1875=Dashboard!$C$6),OR(Dashboard!$F$6="All",G1875=Dashboard!$F$6),OR(Dashboard!$I$6="All",H1875=Dashboard!$I$6)),1,0)</f>
        <v/>
      </c>
    </row>
    <row r="1876">
      <c r="A1876" t="inlineStr">
        <is>
          <t>PF101867</t>
        </is>
      </c>
      <c r="B1876" s="68" t="n">
        <v>45885</v>
      </c>
      <c r="C1876" s="69" t="n">
        <v>2025</v>
      </c>
      <c r="D1876" t="inlineStr">
        <is>
          <t>Aug</t>
        </is>
      </c>
      <c r="E1876" t="inlineStr">
        <is>
          <t>United States</t>
        </is>
      </c>
      <c r="F1876" t="inlineStr">
        <is>
          <t>USA</t>
        </is>
      </c>
      <c r="G1876" t="inlineStr">
        <is>
          <t>Abrysvo</t>
        </is>
      </c>
      <c r="H1876" t="inlineStr">
        <is>
          <t>Government / tender</t>
        </is>
      </c>
      <c r="I1876" t="inlineStr">
        <is>
          <t>Public payer</t>
        </is>
      </c>
      <c r="J1876" t="inlineStr">
        <is>
          <t>Emma Clarke</t>
        </is>
      </c>
      <c r="K1876" s="70" t="n">
        <v>1122</v>
      </c>
      <c r="L1876" s="71" t="n">
        <v>482.45</v>
      </c>
      <c r="M1876" s="71" t="n">
        <v>541308.9</v>
      </c>
      <c r="N1876" s="71" t="n">
        <v>135327.23</v>
      </c>
      <c r="O1876" s="71" t="n">
        <v>405981.67</v>
      </c>
      <c r="P1876" s="71" t="n">
        <v>94357.92999999999</v>
      </c>
      <c r="Q1876" s="71" t="n">
        <v>311623.74</v>
      </c>
      <c r="R1876" t="inlineStr">
        <is>
          <t>Vaccines</t>
        </is>
      </c>
      <c r="S1876" s="70" t="n">
        <v>746</v>
      </c>
      <c r="T1876" s="71" t="n">
        <v>70413.03999999999</v>
      </c>
      <c r="U1876" t="inlineStr">
        <is>
          <t>Low</t>
        </is>
      </c>
      <c r="V1876">
        <f>IF(AND(OR(Dashboard!$C$6="All",E1876=Dashboard!$C$6),OR(Dashboard!$F$6="All",G1876=Dashboard!$F$6),OR(Dashboard!$I$6="All",H1876=Dashboard!$I$6)),1,0)</f>
        <v/>
      </c>
    </row>
    <row r="1877">
      <c r="A1877" t="inlineStr">
        <is>
          <t>PF101868</t>
        </is>
      </c>
      <c r="B1877" s="68" t="n">
        <v>45885</v>
      </c>
      <c r="C1877" s="69" t="n">
        <v>2025</v>
      </c>
      <c r="D1877" t="inlineStr">
        <is>
          <t>Aug</t>
        </is>
      </c>
      <c r="E1877" t="inlineStr">
        <is>
          <t>Emerging markets</t>
        </is>
      </c>
      <c r="F1877" t="inlineStr">
        <is>
          <t>India</t>
        </is>
      </c>
      <c r="G1877" t="inlineStr">
        <is>
          <t>Paxlovid</t>
        </is>
      </c>
      <c r="H1877" t="inlineStr">
        <is>
          <t>Government / tender</t>
        </is>
      </c>
      <c r="I1877" t="inlineStr">
        <is>
          <t>Public payer</t>
        </is>
      </c>
      <c r="J1877" t="inlineStr">
        <is>
          <t>Amir Khan</t>
        </is>
      </c>
      <c r="K1877" s="70" t="n">
        <v>147</v>
      </c>
      <c r="L1877" s="71" t="n">
        <v>1032.42</v>
      </c>
      <c r="M1877" s="71" t="n">
        <v>151765.74</v>
      </c>
      <c r="N1877" s="71" t="n">
        <v>37941.43</v>
      </c>
      <c r="O1877" s="71" t="n">
        <v>113824.31</v>
      </c>
      <c r="P1877" s="71" t="n">
        <v>41567.68</v>
      </c>
      <c r="Q1877" s="71" t="n">
        <v>72256.63</v>
      </c>
      <c r="R1877" t="inlineStr">
        <is>
          <t>Antiviral</t>
        </is>
      </c>
      <c r="S1877" s="70" t="n">
        <v>123</v>
      </c>
      <c r="T1877" s="71" t="n">
        <v>21661.91</v>
      </c>
      <c r="U1877" t="inlineStr">
        <is>
          <t>Low</t>
        </is>
      </c>
      <c r="V1877">
        <f>IF(AND(OR(Dashboard!$C$6="All",E1877=Dashboard!$C$6),OR(Dashboard!$F$6="All",G1877=Dashboard!$F$6),OR(Dashboard!$I$6="All",H1877=Dashboard!$I$6)),1,0)</f>
        <v/>
      </c>
    </row>
    <row r="1878">
      <c r="A1878" t="inlineStr">
        <is>
          <t>PF101869</t>
        </is>
      </c>
      <c r="B1878" s="68" t="n">
        <v>45885</v>
      </c>
      <c r="C1878" s="69" t="n">
        <v>2025</v>
      </c>
      <c r="D1878" t="inlineStr">
        <is>
          <t>Aug</t>
        </is>
      </c>
      <c r="E1878" t="inlineStr">
        <is>
          <t>United States</t>
        </is>
      </c>
      <c r="F1878" t="inlineStr">
        <is>
          <t>USA</t>
        </is>
      </c>
      <c r="G1878" t="inlineStr">
        <is>
          <t>Comirnaty</t>
        </is>
      </c>
      <c r="H1878" t="inlineStr">
        <is>
          <t>Hospital</t>
        </is>
      </c>
      <c r="I1878" t="inlineStr">
        <is>
          <t>Private insurer</t>
        </is>
      </c>
      <c r="J1878" t="inlineStr">
        <is>
          <t>Sara Rossi</t>
        </is>
      </c>
      <c r="K1878" s="70" t="n">
        <v>2788</v>
      </c>
      <c r="L1878" s="71" t="n">
        <v>185.01</v>
      </c>
      <c r="M1878" s="71" t="n">
        <v>515807.88</v>
      </c>
      <c r="N1878" s="71" t="n">
        <v>103161.58</v>
      </c>
      <c r="O1878" s="71" t="n">
        <v>412646.3</v>
      </c>
      <c r="P1878" s="71" t="n">
        <v>108778.23</v>
      </c>
      <c r="Q1878" s="71" t="n">
        <v>303868.07</v>
      </c>
      <c r="R1878" t="inlineStr">
        <is>
          <t>Vaccines</t>
        </is>
      </c>
      <c r="S1878" s="70" t="n">
        <v>2201</v>
      </c>
      <c r="T1878" s="71" t="n">
        <v>102068.88</v>
      </c>
      <c r="U1878" t="inlineStr">
        <is>
          <t>Low</t>
        </is>
      </c>
      <c r="V1878">
        <f>IF(AND(OR(Dashboard!$C$6="All",E1878=Dashboard!$C$6),OR(Dashboard!$F$6="All",G1878=Dashboard!$F$6),OR(Dashboard!$I$6="All",H1878=Dashboard!$I$6)),1,0)</f>
        <v/>
      </c>
    </row>
    <row r="1879">
      <c r="A1879" t="inlineStr">
        <is>
          <t>PF101870</t>
        </is>
      </c>
      <c r="B1879" s="68" t="n">
        <v>45885</v>
      </c>
      <c r="C1879" s="69" t="n">
        <v>2025</v>
      </c>
      <c r="D1879" t="inlineStr">
        <is>
          <t>Aug</t>
        </is>
      </c>
      <c r="E1879" t="inlineStr">
        <is>
          <t>Europe</t>
        </is>
      </c>
      <c r="F1879" t="inlineStr">
        <is>
          <t>Spain</t>
        </is>
      </c>
      <c r="G1879" t="inlineStr">
        <is>
          <t>Eliquis</t>
        </is>
      </c>
      <c r="H1879" t="inlineStr">
        <is>
          <t>Hospital</t>
        </is>
      </c>
      <c r="I1879" t="inlineStr">
        <is>
          <t>Public payer</t>
        </is>
      </c>
      <c r="J1879" t="inlineStr">
        <is>
          <t>Lucas Martin</t>
        </is>
      </c>
      <c r="K1879" s="70" t="n">
        <v>1179</v>
      </c>
      <c r="L1879" s="71" t="n">
        <v>451.47</v>
      </c>
      <c r="M1879" s="71" t="n">
        <v>532283.13</v>
      </c>
      <c r="N1879" s="71" t="n">
        <v>133070.78</v>
      </c>
      <c r="O1879" s="71" t="n">
        <v>399212.35</v>
      </c>
      <c r="P1879" s="71" t="n">
        <v>88019.45</v>
      </c>
      <c r="Q1879" s="71" t="n">
        <v>311192.9</v>
      </c>
      <c r="R1879" t="inlineStr">
        <is>
          <t>Cardiology</t>
        </is>
      </c>
      <c r="S1879" s="70" t="n">
        <v>954</v>
      </c>
      <c r="T1879" s="71" t="n">
        <v>84222.5</v>
      </c>
      <c r="U1879" t="inlineStr">
        <is>
          <t>High</t>
        </is>
      </c>
      <c r="V1879">
        <f>IF(AND(OR(Dashboard!$C$6="All",E1879=Dashboard!$C$6),OR(Dashboard!$F$6="All",G1879=Dashboard!$F$6),OR(Dashboard!$I$6="All",H1879=Dashboard!$I$6)),1,0)</f>
        <v/>
      </c>
    </row>
    <row r="1880">
      <c r="A1880" t="inlineStr">
        <is>
          <t>PF101871</t>
        </is>
      </c>
      <c r="B1880" s="68" t="n">
        <v>45885</v>
      </c>
      <c r="C1880" s="69" t="n">
        <v>2025</v>
      </c>
      <c r="D1880" t="inlineStr">
        <is>
          <t>Aug</t>
        </is>
      </c>
      <c r="E1880" t="inlineStr">
        <is>
          <t>International developed</t>
        </is>
      </c>
      <c r="F1880" t="inlineStr">
        <is>
          <t>Japan</t>
        </is>
      </c>
      <c r="G1880" t="inlineStr">
        <is>
          <t>Prevnar 20</t>
        </is>
      </c>
      <c r="H1880" t="inlineStr">
        <is>
          <t>Retail pharmacy</t>
        </is>
      </c>
      <c r="I1880" t="inlineStr">
        <is>
          <t>Public payer</t>
        </is>
      </c>
      <c r="J1880" t="inlineStr">
        <is>
          <t>Aisha Bello</t>
        </is>
      </c>
      <c r="K1880" s="70" t="n">
        <v>2650</v>
      </c>
      <c r="L1880" s="71" t="n">
        <v>236.29</v>
      </c>
      <c r="M1880" s="71" t="n">
        <v>626168.5</v>
      </c>
      <c r="N1880" s="71" t="n">
        <v>93925.27</v>
      </c>
      <c r="O1880" s="71" t="n">
        <v>532243.23</v>
      </c>
      <c r="P1880" s="71" t="n">
        <v>186358.85</v>
      </c>
      <c r="Q1880" s="71" t="n">
        <v>345884.38</v>
      </c>
      <c r="R1880" t="inlineStr">
        <is>
          <t>Vaccines</t>
        </is>
      </c>
      <c r="S1880" s="70" t="n">
        <v>2077</v>
      </c>
      <c r="T1880" s="71" t="n">
        <v>96036.14999999999</v>
      </c>
      <c r="U1880" t="inlineStr">
        <is>
          <t>Low</t>
        </is>
      </c>
      <c r="V1880">
        <f>IF(AND(OR(Dashboard!$C$6="All",E1880=Dashboard!$C$6),OR(Dashboard!$F$6="All",G1880=Dashboard!$F$6),OR(Dashboard!$I$6="All",H1880=Dashboard!$I$6)),1,0)</f>
        <v/>
      </c>
    </row>
    <row r="1881">
      <c r="A1881" t="inlineStr">
        <is>
          <t>PF101872</t>
        </is>
      </c>
      <c r="B1881" s="68" t="n">
        <v>45885</v>
      </c>
      <c r="C1881" s="69" t="n">
        <v>2025</v>
      </c>
      <c r="D1881" t="inlineStr">
        <is>
          <t>Aug</t>
        </is>
      </c>
      <c r="E1881" t="inlineStr">
        <is>
          <t>United States</t>
        </is>
      </c>
      <c r="F1881" t="inlineStr">
        <is>
          <t>USA</t>
        </is>
      </c>
      <c r="G1881" t="inlineStr">
        <is>
          <t>Xeljanz</t>
        </is>
      </c>
      <c r="H1881" t="inlineStr">
        <is>
          <t>Retail pharmacy</t>
        </is>
      </c>
      <c r="I1881" t="inlineStr">
        <is>
          <t>Private insurer</t>
        </is>
      </c>
      <c r="J1881" t="inlineStr">
        <is>
          <t>Noah Smith</t>
        </is>
      </c>
      <c r="K1881" s="70" t="n">
        <v>2690</v>
      </c>
      <c r="L1881" s="71" t="n">
        <v>2318.59</v>
      </c>
      <c r="M1881" s="71" t="n">
        <v>6237007.1</v>
      </c>
      <c r="N1881" s="71" t="n">
        <v>935551.0699999999</v>
      </c>
      <c r="O1881" s="71" t="n">
        <v>5301456.03</v>
      </c>
      <c r="P1881" s="71" t="n">
        <v>681825.45</v>
      </c>
      <c r="Q1881" s="71" t="n">
        <v>4619630.58</v>
      </c>
      <c r="R1881" t="inlineStr">
        <is>
          <t>Inflammation</t>
        </is>
      </c>
      <c r="S1881" s="70" t="n">
        <v>1799</v>
      </c>
      <c r="T1881" s="71" t="n">
        <v>1304777.93</v>
      </c>
      <c r="U1881" t="inlineStr">
        <is>
          <t>High</t>
        </is>
      </c>
      <c r="V1881">
        <f>IF(AND(OR(Dashboard!$C$6="All",E1881=Dashboard!$C$6),OR(Dashboard!$F$6="All",G1881=Dashboard!$F$6),OR(Dashboard!$I$6="All",H1881=Dashboard!$I$6)),1,0)</f>
        <v/>
      </c>
    </row>
    <row r="1882">
      <c r="A1882" t="inlineStr">
        <is>
          <t>PF101873</t>
        </is>
      </c>
      <c r="B1882" s="68" t="n">
        <v>45885</v>
      </c>
      <c r="C1882" s="69" t="n">
        <v>2025</v>
      </c>
      <c r="D1882" t="inlineStr">
        <is>
          <t>Aug</t>
        </is>
      </c>
      <c r="E1882" t="inlineStr">
        <is>
          <t>United States</t>
        </is>
      </c>
      <c r="F1882" t="inlineStr">
        <is>
          <t>USA</t>
        </is>
      </c>
      <c r="G1882" t="inlineStr">
        <is>
          <t>Vyndaqel</t>
        </is>
      </c>
      <c r="H1882" t="inlineStr">
        <is>
          <t>Retail pharmacy</t>
        </is>
      </c>
      <c r="I1882" t="inlineStr">
        <is>
          <t>Private insurer</t>
        </is>
      </c>
      <c r="J1882" t="inlineStr">
        <is>
          <t>Sara Rossi</t>
        </is>
      </c>
      <c r="K1882" s="70" t="n">
        <v>1005</v>
      </c>
      <c r="L1882" s="71" t="n">
        <v>7681.01</v>
      </c>
      <c r="M1882" s="71" t="n">
        <v>7719415.05</v>
      </c>
      <c r="N1882" s="71" t="n">
        <v>1543883.01</v>
      </c>
      <c r="O1882" s="71" t="n">
        <v>6175532.04</v>
      </c>
      <c r="P1882" s="71" t="n">
        <v>622085.3199999999</v>
      </c>
      <c r="Q1882" s="71" t="n">
        <v>5553446.72</v>
      </c>
      <c r="R1882" t="inlineStr">
        <is>
          <t>Rare disease</t>
        </is>
      </c>
      <c r="S1882" s="70" t="n">
        <v>815</v>
      </c>
      <c r="T1882" s="71" t="n">
        <v>1169142.99</v>
      </c>
      <c r="U1882" t="inlineStr">
        <is>
          <t>Medium</t>
        </is>
      </c>
      <c r="V1882">
        <f>IF(AND(OR(Dashboard!$C$6="All",E1882=Dashboard!$C$6),OR(Dashboard!$F$6="All",G1882=Dashboard!$F$6),OR(Dashboard!$I$6="All",H1882=Dashboard!$I$6)),1,0)</f>
        <v/>
      </c>
    </row>
    <row r="1883">
      <c r="A1883" t="inlineStr">
        <is>
          <t>PF101874</t>
        </is>
      </c>
      <c r="B1883" s="68" t="n">
        <v>45885</v>
      </c>
      <c r="C1883" s="69" t="n">
        <v>2025</v>
      </c>
      <c r="D1883" t="inlineStr">
        <is>
          <t>Aug</t>
        </is>
      </c>
      <c r="E1883" t="inlineStr">
        <is>
          <t>United States</t>
        </is>
      </c>
      <c r="F1883" t="inlineStr">
        <is>
          <t>USA</t>
        </is>
      </c>
      <c r="G1883" t="inlineStr">
        <is>
          <t>Xeljanz</t>
        </is>
      </c>
      <c r="H1883" t="inlineStr">
        <is>
          <t>Hospital</t>
        </is>
      </c>
      <c r="I1883" t="inlineStr">
        <is>
          <t>Private insurer</t>
        </is>
      </c>
      <c r="J1883" t="inlineStr">
        <is>
          <t>Priya Nair</t>
        </is>
      </c>
      <c r="K1883" s="70" t="n">
        <v>489</v>
      </c>
      <c r="L1883" s="71" t="n">
        <v>2305.58</v>
      </c>
      <c r="M1883" s="71" t="n">
        <v>1127428.62</v>
      </c>
      <c r="N1883" s="71" t="n">
        <v>394600.02</v>
      </c>
      <c r="O1883" s="71" t="n">
        <v>732828.6</v>
      </c>
      <c r="P1883" s="71" t="n">
        <v>126304.49</v>
      </c>
      <c r="Q1883" s="71" t="n">
        <v>606524.11</v>
      </c>
      <c r="R1883" t="inlineStr">
        <is>
          <t>Inflammation</t>
        </is>
      </c>
      <c r="S1883" s="70" t="n">
        <v>446</v>
      </c>
      <c r="T1883" s="71" t="n">
        <v>237101.18</v>
      </c>
      <c r="U1883" t="inlineStr">
        <is>
          <t>High</t>
        </is>
      </c>
      <c r="V1883">
        <f>IF(AND(OR(Dashboard!$C$6="All",E1883=Dashboard!$C$6),OR(Dashboard!$F$6="All",G1883=Dashboard!$F$6),OR(Dashboard!$I$6="All",H1883=Dashboard!$I$6)),1,0)</f>
        <v/>
      </c>
    </row>
    <row r="1884">
      <c r="A1884" t="inlineStr">
        <is>
          <t>PF101875</t>
        </is>
      </c>
      <c r="B1884" s="68" t="n">
        <v>45885</v>
      </c>
      <c r="C1884" s="69" t="n">
        <v>2025</v>
      </c>
      <c r="D1884" t="inlineStr">
        <is>
          <t>Aug</t>
        </is>
      </c>
      <c r="E1884" t="inlineStr">
        <is>
          <t>United States</t>
        </is>
      </c>
      <c r="F1884" t="inlineStr">
        <is>
          <t>USA</t>
        </is>
      </c>
      <c r="G1884" t="inlineStr">
        <is>
          <t>Eliquis</t>
        </is>
      </c>
      <c r="H1884" t="inlineStr">
        <is>
          <t>Hospital</t>
        </is>
      </c>
      <c r="I1884" t="inlineStr">
        <is>
          <t>Public payer</t>
        </is>
      </c>
      <c r="J1884" t="inlineStr">
        <is>
          <t>Olivia Brown</t>
        </is>
      </c>
      <c r="K1884" s="70" t="n">
        <v>1149</v>
      </c>
      <c r="L1884" s="71" t="n">
        <v>625.6</v>
      </c>
      <c r="M1884" s="71" t="n">
        <v>718814.4</v>
      </c>
      <c r="N1884" s="71" t="n">
        <v>251585.04</v>
      </c>
      <c r="O1884" s="71" t="n">
        <v>467229.36</v>
      </c>
      <c r="P1884" s="71" t="n">
        <v>90169.16</v>
      </c>
      <c r="Q1884" s="71" t="n">
        <v>377060.2</v>
      </c>
      <c r="R1884" t="inlineStr">
        <is>
          <t>Cardiology</t>
        </is>
      </c>
      <c r="S1884" s="70" t="n">
        <v>754</v>
      </c>
      <c r="T1884" s="71" t="n">
        <v>153986.02</v>
      </c>
      <c r="U1884" t="inlineStr">
        <is>
          <t>High</t>
        </is>
      </c>
      <c r="V1884">
        <f>IF(AND(OR(Dashboard!$C$6="All",E1884=Dashboard!$C$6),OR(Dashboard!$F$6="All",G1884=Dashboard!$F$6),OR(Dashboard!$I$6="All",H1884=Dashboard!$I$6)),1,0)</f>
        <v/>
      </c>
    </row>
    <row r="1885">
      <c r="A1885" t="inlineStr">
        <is>
          <t>PF101876</t>
        </is>
      </c>
      <c r="B1885" s="68" t="n">
        <v>45885</v>
      </c>
      <c r="C1885" s="69" t="n">
        <v>2025</v>
      </c>
      <c r="D1885" t="inlineStr">
        <is>
          <t>Aug</t>
        </is>
      </c>
      <c r="E1885" t="inlineStr">
        <is>
          <t>Emerging markets</t>
        </is>
      </c>
      <c r="F1885" t="inlineStr">
        <is>
          <t>China</t>
        </is>
      </c>
      <c r="G1885" t="inlineStr">
        <is>
          <t>Comirnaty</t>
        </is>
      </c>
      <c r="H1885" t="inlineStr">
        <is>
          <t>Retail pharmacy</t>
        </is>
      </c>
      <c r="I1885" t="inlineStr">
        <is>
          <t>Self-pay</t>
        </is>
      </c>
      <c r="J1885" t="inlineStr">
        <is>
          <t>Ana Costa</t>
        </is>
      </c>
      <c r="K1885" s="70" t="n">
        <v>1993</v>
      </c>
      <c r="L1885" s="71" t="n">
        <v>112.14</v>
      </c>
      <c r="M1885" s="71" t="n">
        <v>223495.02</v>
      </c>
      <c r="N1885" s="71" t="n">
        <v>44699</v>
      </c>
      <c r="O1885" s="71" t="n">
        <v>178796.02</v>
      </c>
      <c r="P1885" s="71" t="n">
        <v>74692.72</v>
      </c>
      <c r="Q1885" s="71" t="n">
        <v>104103.3</v>
      </c>
      <c r="R1885" t="inlineStr">
        <is>
          <t>Vaccines</t>
        </is>
      </c>
      <c r="S1885" s="70" t="n">
        <v>1481</v>
      </c>
      <c r="T1885" s="71" t="n">
        <v>42034.06</v>
      </c>
      <c r="U1885" t="inlineStr">
        <is>
          <t>Low</t>
        </is>
      </c>
      <c r="V1885">
        <f>IF(AND(OR(Dashboard!$C$6="All",E1885=Dashboard!$C$6),OR(Dashboard!$F$6="All",G1885=Dashboard!$F$6),OR(Dashboard!$I$6="All",H1885=Dashboard!$I$6)),1,0)</f>
        <v/>
      </c>
    </row>
    <row r="1886">
      <c r="A1886" t="inlineStr">
        <is>
          <t>PF101877</t>
        </is>
      </c>
      <c r="B1886" s="68" t="n">
        <v>45885</v>
      </c>
      <c r="C1886" s="69" t="n">
        <v>2025</v>
      </c>
      <c r="D1886" t="inlineStr">
        <is>
          <t>Aug</t>
        </is>
      </c>
      <c r="E1886" t="inlineStr">
        <is>
          <t>International developed</t>
        </is>
      </c>
      <c r="F1886" t="inlineStr">
        <is>
          <t>Australia</t>
        </is>
      </c>
      <c r="G1886" t="inlineStr">
        <is>
          <t>Prevnar 20</t>
        </is>
      </c>
      <c r="H1886" t="inlineStr">
        <is>
          <t>Hospital</t>
        </is>
      </c>
      <c r="I1886" t="inlineStr">
        <is>
          <t>Private insurer</t>
        </is>
      </c>
      <c r="J1886" t="inlineStr">
        <is>
          <t>Omar Haddad</t>
        </is>
      </c>
      <c r="K1886" s="70" t="n">
        <v>2917</v>
      </c>
      <c r="L1886" s="71" t="n">
        <v>210.78</v>
      </c>
      <c r="M1886" s="71" t="n">
        <v>614845.26</v>
      </c>
      <c r="N1886" s="71" t="n">
        <v>153711.32</v>
      </c>
      <c r="O1886" s="71" t="n">
        <v>461133.94</v>
      </c>
      <c r="P1886" s="71" t="n">
        <v>201160.61</v>
      </c>
      <c r="Q1886" s="71" t="n">
        <v>259973.33</v>
      </c>
      <c r="R1886" t="inlineStr">
        <is>
          <t>Vaccines</t>
        </is>
      </c>
      <c r="S1886" s="70" t="n">
        <v>2100</v>
      </c>
      <c r="T1886" s="71" t="n">
        <v>131123.61</v>
      </c>
      <c r="U1886" t="inlineStr">
        <is>
          <t>Low</t>
        </is>
      </c>
      <c r="V1886">
        <f>IF(AND(OR(Dashboard!$C$6="All",E1886=Dashboard!$C$6),OR(Dashboard!$F$6="All",G1886=Dashboard!$F$6),OR(Dashboard!$I$6="All",H1886=Dashboard!$I$6)),1,0)</f>
        <v/>
      </c>
    </row>
    <row r="1887">
      <c r="A1887" t="inlineStr">
        <is>
          <t>PF101878</t>
        </is>
      </c>
      <c r="B1887" s="68" t="n">
        <v>45885</v>
      </c>
      <c r="C1887" s="69" t="n">
        <v>2025</v>
      </c>
      <c r="D1887" t="inlineStr">
        <is>
          <t>Aug</t>
        </is>
      </c>
      <c r="E1887" t="inlineStr">
        <is>
          <t>Emerging markets</t>
        </is>
      </c>
      <c r="F1887" t="inlineStr">
        <is>
          <t>India</t>
        </is>
      </c>
      <c r="G1887" t="inlineStr">
        <is>
          <t>Xeljanz</t>
        </is>
      </c>
      <c r="H1887" t="inlineStr">
        <is>
          <t>Retail pharmacy</t>
        </is>
      </c>
      <c r="I1887" t="inlineStr">
        <is>
          <t>Public payer</t>
        </is>
      </c>
      <c r="J1887" t="inlineStr">
        <is>
          <t>Arjun Mehta</t>
        </is>
      </c>
      <c r="K1887" s="70" t="n">
        <v>1622</v>
      </c>
      <c r="L1887" s="71" t="n">
        <v>1438.04</v>
      </c>
      <c r="M1887" s="71" t="n">
        <v>2332500.88</v>
      </c>
      <c r="N1887" s="71" t="n">
        <v>349875.13</v>
      </c>
      <c r="O1887" s="71" t="n">
        <v>1982625.75</v>
      </c>
      <c r="P1887" s="71" t="n">
        <v>405975.36</v>
      </c>
      <c r="Q1887" s="71" t="n">
        <v>1576650.39</v>
      </c>
      <c r="R1887" t="inlineStr">
        <is>
          <t>Inflammation</t>
        </is>
      </c>
      <c r="S1887" s="70" t="n">
        <v>1137</v>
      </c>
      <c r="T1887" s="71" t="n">
        <v>343905.01</v>
      </c>
      <c r="U1887" t="inlineStr">
        <is>
          <t>High</t>
        </is>
      </c>
      <c r="V1887">
        <f>IF(AND(OR(Dashboard!$C$6="All",E1887=Dashboard!$C$6),OR(Dashboard!$F$6="All",G1887=Dashboard!$F$6),OR(Dashboard!$I$6="All",H1887=Dashboard!$I$6)),1,0)</f>
        <v/>
      </c>
    </row>
    <row r="1888">
      <c r="A1888" t="inlineStr">
        <is>
          <t>PF101879</t>
        </is>
      </c>
      <c r="B1888" s="68" t="n">
        <v>45885</v>
      </c>
      <c r="C1888" s="69" t="n">
        <v>2025</v>
      </c>
      <c r="D1888" t="inlineStr">
        <is>
          <t>Aug</t>
        </is>
      </c>
      <c r="E1888" t="inlineStr">
        <is>
          <t>United States</t>
        </is>
      </c>
      <c r="F1888" t="inlineStr">
        <is>
          <t>USA</t>
        </is>
      </c>
      <c r="G1888" t="inlineStr">
        <is>
          <t>Prevnar 20</t>
        </is>
      </c>
      <c r="H1888" t="inlineStr">
        <is>
          <t>Retail pharmacy</t>
        </is>
      </c>
      <c r="I1888" t="inlineStr">
        <is>
          <t>Self-pay</t>
        </is>
      </c>
      <c r="J1888" t="inlineStr">
        <is>
          <t>Ravindra Patil</t>
        </is>
      </c>
      <c r="K1888" s="70" t="n">
        <v>564</v>
      </c>
      <c r="L1888" s="71" t="n">
        <v>401.2</v>
      </c>
      <c r="M1888" s="71" t="n">
        <v>226276.8</v>
      </c>
      <c r="N1888" s="71" t="n">
        <v>33941.52</v>
      </c>
      <c r="O1888" s="71" t="n">
        <v>192335.28</v>
      </c>
      <c r="P1888" s="71" t="n">
        <v>38068.14</v>
      </c>
      <c r="Q1888" s="71" t="n">
        <v>154267.14</v>
      </c>
      <c r="R1888" t="inlineStr">
        <is>
          <t>Vaccines</t>
        </is>
      </c>
      <c r="S1888" s="70" t="n">
        <v>376</v>
      </c>
      <c r="T1888" s="71" t="n">
        <v>46465.77</v>
      </c>
      <c r="U1888" t="inlineStr">
        <is>
          <t>Low</t>
        </is>
      </c>
      <c r="V1888">
        <f>IF(AND(OR(Dashboard!$C$6="All",E1888=Dashboard!$C$6),OR(Dashboard!$F$6="All",G1888=Dashboard!$F$6),OR(Dashboard!$I$6="All",H1888=Dashboard!$I$6)),1,0)</f>
        <v/>
      </c>
    </row>
    <row r="1889">
      <c r="A1889" t="inlineStr">
        <is>
          <t>PF101880</t>
        </is>
      </c>
      <c r="B1889" s="68" t="n">
        <v>45886</v>
      </c>
      <c r="C1889" s="69" t="n">
        <v>2025</v>
      </c>
      <c r="D1889" t="inlineStr">
        <is>
          <t>Aug</t>
        </is>
      </c>
      <c r="E1889" t="inlineStr">
        <is>
          <t>Emerging markets</t>
        </is>
      </c>
      <c r="F1889" t="inlineStr">
        <is>
          <t>India</t>
        </is>
      </c>
      <c r="G1889" t="inlineStr">
        <is>
          <t>Vyndaqel</t>
        </is>
      </c>
      <c r="H1889" t="inlineStr">
        <is>
          <t>Hospital</t>
        </is>
      </c>
      <c r="I1889" t="inlineStr">
        <is>
          <t>Public payer</t>
        </is>
      </c>
      <c r="J1889" t="inlineStr">
        <is>
          <t>Priya Nair</t>
        </is>
      </c>
      <c r="K1889" s="70" t="n">
        <v>1520</v>
      </c>
      <c r="L1889" s="71" t="n">
        <v>4922.29</v>
      </c>
      <c r="M1889" s="71" t="n">
        <v>7481880.8</v>
      </c>
      <c r="N1889" s="71" t="n">
        <v>748188.08</v>
      </c>
      <c r="O1889" s="71" t="n">
        <v>6733692.72</v>
      </c>
      <c r="P1889" s="71" t="n">
        <v>969847.25</v>
      </c>
      <c r="Q1889" s="71" t="n">
        <v>5763845.47</v>
      </c>
      <c r="R1889" t="inlineStr">
        <is>
          <t>Rare disease</t>
        </is>
      </c>
      <c r="S1889" s="70" t="n">
        <v>1407</v>
      </c>
      <c r="T1889" s="71" t="n">
        <v>957991.1899999999</v>
      </c>
      <c r="U1889" t="inlineStr">
        <is>
          <t>Medium</t>
        </is>
      </c>
      <c r="V1889">
        <f>IF(AND(OR(Dashboard!$C$6="All",E1889=Dashboard!$C$6),OR(Dashboard!$F$6="All",G1889=Dashboard!$F$6),OR(Dashboard!$I$6="All",H1889=Dashboard!$I$6)),1,0)</f>
        <v/>
      </c>
    </row>
    <row r="1890">
      <c r="A1890" t="inlineStr">
        <is>
          <t>PF101881</t>
        </is>
      </c>
      <c r="B1890" s="68" t="n">
        <v>45886</v>
      </c>
      <c r="C1890" s="69" t="n">
        <v>2025</v>
      </c>
      <c r="D1890" t="inlineStr">
        <is>
          <t>Aug</t>
        </is>
      </c>
      <c r="E1890" t="inlineStr">
        <is>
          <t>Europe</t>
        </is>
      </c>
      <c r="F1890" t="inlineStr">
        <is>
          <t>Spain</t>
        </is>
      </c>
      <c r="G1890" t="inlineStr">
        <is>
          <t>Eliquis</t>
        </is>
      </c>
      <c r="H1890" t="inlineStr">
        <is>
          <t>Retail pharmacy</t>
        </is>
      </c>
      <c r="I1890" t="inlineStr">
        <is>
          <t>Public payer</t>
        </is>
      </c>
      <c r="J1890" t="inlineStr">
        <is>
          <t>Mei Lin</t>
        </is>
      </c>
      <c r="K1890" s="70" t="n">
        <v>2477</v>
      </c>
      <c r="L1890" s="71" t="n">
        <v>404.34</v>
      </c>
      <c r="M1890" s="71" t="n">
        <v>1001550.18</v>
      </c>
      <c r="N1890" s="71" t="n">
        <v>250387.55</v>
      </c>
      <c r="O1890" s="71" t="n">
        <v>751162.63</v>
      </c>
      <c r="P1890" s="71" t="n">
        <v>192221.59</v>
      </c>
      <c r="Q1890" s="71" t="n">
        <v>558941.04</v>
      </c>
      <c r="R1890" t="inlineStr">
        <is>
          <t>Cardiology</t>
        </is>
      </c>
      <c r="S1890" s="70" t="n">
        <v>2181</v>
      </c>
      <c r="T1890" s="71" t="n">
        <v>174396.73</v>
      </c>
      <c r="U1890" t="inlineStr">
        <is>
          <t>High</t>
        </is>
      </c>
      <c r="V1890">
        <f>IF(AND(OR(Dashboard!$C$6="All",E1890=Dashboard!$C$6),OR(Dashboard!$F$6="All",G1890=Dashboard!$F$6),OR(Dashboard!$I$6="All",H1890=Dashboard!$I$6)),1,0)</f>
        <v/>
      </c>
    </row>
    <row r="1891">
      <c r="A1891" t="inlineStr">
        <is>
          <t>PF101882</t>
        </is>
      </c>
      <c r="B1891" s="68" t="n">
        <v>45886</v>
      </c>
      <c r="C1891" s="69" t="n">
        <v>2025</v>
      </c>
      <c r="D1891" t="inlineStr">
        <is>
          <t>Aug</t>
        </is>
      </c>
      <c r="E1891" t="inlineStr">
        <is>
          <t>United States</t>
        </is>
      </c>
      <c r="F1891" t="inlineStr">
        <is>
          <t>USA</t>
        </is>
      </c>
      <c r="G1891" t="inlineStr">
        <is>
          <t>Paxlovid</t>
        </is>
      </c>
      <c r="H1891" t="inlineStr">
        <is>
          <t>Retail pharmacy</t>
        </is>
      </c>
      <c r="I1891" t="inlineStr">
        <is>
          <t>Self-pay</t>
        </is>
      </c>
      <c r="J1891" t="inlineStr">
        <is>
          <t>Hiroshi Tanaka</t>
        </is>
      </c>
      <c r="K1891" s="70" t="n">
        <v>1950</v>
      </c>
      <c r="L1891" s="71" t="n">
        <v>1741.14</v>
      </c>
      <c r="M1891" s="71" t="n">
        <v>3395223</v>
      </c>
      <c r="N1891" s="71" t="n">
        <v>509283.45</v>
      </c>
      <c r="O1891" s="71" t="n">
        <v>2885939.55</v>
      </c>
      <c r="P1891" s="71" t="n">
        <v>547749.8199999999</v>
      </c>
      <c r="Q1891" s="71" t="n">
        <v>2338189.73</v>
      </c>
      <c r="R1891" t="inlineStr">
        <is>
          <t>Antiviral</t>
        </is>
      </c>
      <c r="S1891" s="70" t="n">
        <v>1267</v>
      </c>
      <c r="T1891" s="71" t="n">
        <v>408633.11</v>
      </c>
      <c r="U1891" t="inlineStr">
        <is>
          <t>Low</t>
        </is>
      </c>
      <c r="V1891">
        <f>IF(AND(OR(Dashboard!$C$6="All",E1891=Dashboard!$C$6),OR(Dashboard!$F$6="All",G1891=Dashboard!$F$6),OR(Dashboard!$I$6="All",H1891=Dashboard!$I$6)),1,0)</f>
        <v/>
      </c>
    </row>
    <row r="1892">
      <c r="A1892" t="inlineStr">
        <is>
          <t>PF101883</t>
        </is>
      </c>
      <c r="B1892" s="68" t="n">
        <v>45886</v>
      </c>
      <c r="C1892" s="69" t="n">
        <v>2025</v>
      </c>
      <c r="D1892" t="inlineStr">
        <is>
          <t>Aug</t>
        </is>
      </c>
      <c r="E1892" t="inlineStr">
        <is>
          <t>United States</t>
        </is>
      </c>
      <c r="F1892" t="inlineStr">
        <is>
          <t>USA</t>
        </is>
      </c>
      <c r="G1892" t="inlineStr">
        <is>
          <t>Prevnar 20</t>
        </is>
      </c>
      <c r="H1892" t="inlineStr">
        <is>
          <t>Retail pharmacy</t>
        </is>
      </c>
      <c r="I1892" t="inlineStr">
        <is>
          <t>Private insurer</t>
        </is>
      </c>
      <c r="J1892" t="inlineStr">
        <is>
          <t>Sara Rossi</t>
        </is>
      </c>
      <c r="K1892" s="70" t="n">
        <v>625</v>
      </c>
      <c r="L1892" s="71" t="n">
        <v>347.92</v>
      </c>
      <c r="M1892" s="71" t="n">
        <v>217450</v>
      </c>
      <c r="N1892" s="71" t="n">
        <v>43490</v>
      </c>
      <c r="O1892" s="71" t="n">
        <v>173960</v>
      </c>
      <c r="P1892" s="71" t="n">
        <v>42478.97</v>
      </c>
      <c r="Q1892" s="71" t="n">
        <v>131481.03</v>
      </c>
      <c r="R1892" t="inlineStr">
        <is>
          <t>Vaccines</t>
        </is>
      </c>
      <c r="S1892" s="70" t="n">
        <v>416</v>
      </c>
      <c r="T1892" s="71" t="n">
        <v>44059.12</v>
      </c>
      <c r="U1892" t="inlineStr">
        <is>
          <t>Low</t>
        </is>
      </c>
      <c r="V1892">
        <f>IF(AND(OR(Dashboard!$C$6="All",E1892=Dashboard!$C$6),OR(Dashboard!$F$6="All",G1892=Dashboard!$F$6),OR(Dashboard!$I$6="All",H1892=Dashboard!$I$6)),1,0)</f>
        <v/>
      </c>
    </row>
    <row r="1893">
      <c r="A1893" t="inlineStr">
        <is>
          <t>PF101884</t>
        </is>
      </c>
      <c r="B1893" s="68" t="n">
        <v>45886</v>
      </c>
      <c r="C1893" s="69" t="n">
        <v>2025</v>
      </c>
      <c r="D1893" t="inlineStr">
        <is>
          <t>Aug</t>
        </is>
      </c>
      <c r="E1893" t="inlineStr">
        <is>
          <t>Europe</t>
        </is>
      </c>
      <c r="F1893" t="inlineStr">
        <is>
          <t>Italy</t>
        </is>
      </c>
      <c r="G1893" t="inlineStr">
        <is>
          <t>Comirnaty</t>
        </is>
      </c>
      <c r="H1893" t="inlineStr">
        <is>
          <t>Government / tender</t>
        </is>
      </c>
      <c r="I1893" t="inlineStr">
        <is>
          <t>Public payer</t>
        </is>
      </c>
      <c r="J1893" t="inlineStr">
        <is>
          <t>Carlos Silva</t>
        </is>
      </c>
      <c r="K1893" s="70" t="n">
        <v>296</v>
      </c>
      <c r="L1893" s="71" t="n">
        <v>107.2</v>
      </c>
      <c r="M1893" s="71" t="n">
        <v>31731.2</v>
      </c>
      <c r="N1893" s="71" t="n">
        <v>3173.12</v>
      </c>
      <c r="O1893" s="71" t="n">
        <v>28558.08</v>
      </c>
      <c r="P1893" s="71" t="n">
        <v>11805.24</v>
      </c>
      <c r="Q1893" s="71" t="n">
        <v>16752.84</v>
      </c>
      <c r="R1893" t="inlineStr">
        <is>
          <t>Vaccines</t>
        </is>
      </c>
      <c r="S1893" s="70" t="n">
        <v>215</v>
      </c>
      <c r="T1893" s="71" t="n">
        <v>6105.13</v>
      </c>
      <c r="U1893" t="inlineStr">
        <is>
          <t>Low</t>
        </is>
      </c>
      <c r="V1893">
        <f>IF(AND(OR(Dashboard!$C$6="All",E1893=Dashboard!$C$6),OR(Dashboard!$F$6="All",G1893=Dashboard!$F$6),OR(Dashboard!$I$6="All",H1893=Dashboard!$I$6)),1,0)</f>
        <v/>
      </c>
    </row>
    <row r="1894">
      <c r="A1894" t="inlineStr">
        <is>
          <t>PF101885</t>
        </is>
      </c>
      <c r="B1894" s="68" t="n">
        <v>45886</v>
      </c>
      <c r="C1894" s="69" t="n">
        <v>2025</v>
      </c>
      <c r="D1894" t="inlineStr">
        <is>
          <t>Aug</t>
        </is>
      </c>
      <c r="E1894" t="inlineStr">
        <is>
          <t>United States</t>
        </is>
      </c>
      <c r="F1894" t="inlineStr">
        <is>
          <t>USA</t>
        </is>
      </c>
      <c r="G1894" t="inlineStr">
        <is>
          <t>Ibrance</t>
        </is>
      </c>
      <c r="H1894" t="inlineStr">
        <is>
          <t>Government / tender</t>
        </is>
      </c>
      <c r="I1894" t="inlineStr">
        <is>
          <t>Private insurer</t>
        </is>
      </c>
      <c r="J1894" t="inlineStr">
        <is>
          <t>Priya Nair</t>
        </is>
      </c>
      <c r="K1894" s="70" t="n">
        <v>2579</v>
      </c>
      <c r="L1894" s="71" t="n">
        <v>4713.09</v>
      </c>
      <c r="M1894" s="71" t="n">
        <v>12155059.11</v>
      </c>
      <c r="N1894" s="71" t="n">
        <v>2431011.82</v>
      </c>
      <c r="O1894" s="71" t="n">
        <v>9724047.289999999</v>
      </c>
      <c r="P1894" s="71" t="n">
        <v>1116816.76</v>
      </c>
      <c r="Q1894" s="71" t="n">
        <v>8607230.529999999</v>
      </c>
      <c r="R1894" t="inlineStr">
        <is>
          <t>Oncology</t>
        </is>
      </c>
      <c r="S1894" s="70" t="n">
        <v>1926</v>
      </c>
      <c r="T1894" s="71" t="n">
        <v>2359423.68</v>
      </c>
      <c r="U1894" t="inlineStr">
        <is>
          <t>High</t>
        </is>
      </c>
      <c r="V1894">
        <f>IF(AND(OR(Dashboard!$C$6="All",E1894=Dashboard!$C$6),OR(Dashboard!$F$6="All",G1894=Dashboard!$F$6),OR(Dashboard!$I$6="All",H1894=Dashboard!$I$6)),1,0)</f>
        <v/>
      </c>
    </row>
    <row r="1895">
      <c r="A1895" t="inlineStr">
        <is>
          <t>PF101886</t>
        </is>
      </c>
      <c r="B1895" s="68" t="n">
        <v>45886</v>
      </c>
      <c r="C1895" s="69" t="n">
        <v>2025</v>
      </c>
      <c r="D1895" t="inlineStr">
        <is>
          <t>Aug</t>
        </is>
      </c>
      <c r="E1895" t="inlineStr">
        <is>
          <t>United States</t>
        </is>
      </c>
      <c r="F1895" t="inlineStr">
        <is>
          <t>USA</t>
        </is>
      </c>
      <c r="G1895" t="inlineStr">
        <is>
          <t>Abrysvo</t>
        </is>
      </c>
      <c r="H1895" t="inlineStr">
        <is>
          <t>Retail pharmacy</t>
        </is>
      </c>
      <c r="I1895" t="inlineStr">
        <is>
          <t>Private insurer</t>
        </is>
      </c>
      <c r="J1895" t="inlineStr">
        <is>
          <t>Carlos Silva</t>
        </is>
      </c>
      <c r="K1895" s="70" t="n">
        <v>1726</v>
      </c>
      <c r="L1895" s="71" t="n">
        <v>464.85</v>
      </c>
      <c r="M1895" s="71" t="n">
        <v>802331.1</v>
      </c>
      <c r="N1895" s="71" t="n">
        <v>160466.22</v>
      </c>
      <c r="O1895" s="71" t="n">
        <v>641864.88</v>
      </c>
      <c r="P1895" s="71" t="n">
        <v>145763.67</v>
      </c>
      <c r="Q1895" s="71" t="n">
        <v>496101.21</v>
      </c>
      <c r="R1895" t="inlineStr">
        <is>
          <t>Vaccines</t>
        </is>
      </c>
      <c r="S1895" s="70" t="n">
        <v>1499</v>
      </c>
      <c r="T1895" s="71" t="n">
        <v>157407.38</v>
      </c>
      <c r="U1895" t="inlineStr">
        <is>
          <t>Low</t>
        </is>
      </c>
      <c r="V1895">
        <f>IF(AND(OR(Dashboard!$C$6="All",E1895=Dashboard!$C$6),OR(Dashboard!$F$6="All",G1895=Dashboard!$F$6),OR(Dashboard!$I$6="All",H1895=Dashboard!$I$6)),1,0)</f>
        <v/>
      </c>
    </row>
    <row r="1896">
      <c r="A1896" t="inlineStr">
        <is>
          <t>PF101887</t>
        </is>
      </c>
      <c r="B1896" s="68" t="n">
        <v>45886</v>
      </c>
      <c r="C1896" s="69" t="n">
        <v>2025</v>
      </c>
      <c r="D1896" t="inlineStr">
        <is>
          <t>Aug</t>
        </is>
      </c>
      <c r="E1896" t="inlineStr">
        <is>
          <t>United States</t>
        </is>
      </c>
      <c r="F1896" t="inlineStr">
        <is>
          <t>USA</t>
        </is>
      </c>
      <c r="G1896" t="inlineStr">
        <is>
          <t>Eliquis</t>
        </is>
      </c>
      <c r="H1896" t="inlineStr">
        <is>
          <t>Retail pharmacy</t>
        </is>
      </c>
      <c r="I1896" t="inlineStr">
        <is>
          <t>Public payer</t>
        </is>
      </c>
      <c r="J1896" t="inlineStr">
        <is>
          <t>Noah Smith</t>
        </is>
      </c>
      <c r="K1896" s="70" t="n">
        <v>2480</v>
      </c>
      <c r="L1896" s="71" t="n">
        <v>644.99</v>
      </c>
      <c r="M1896" s="71" t="n">
        <v>1599575.2</v>
      </c>
      <c r="N1896" s="71" t="n">
        <v>399893.8</v>
      </c>
      <c r="O1896" s="71" t="n">
        <v>1199681.4</v>
      </c>
      <c r="P1896" s="71" t="n">
        <v>184555.38</v>
      </c>
      <c r="Q1896" s="71" t="n">
        <v>1015126.02</v>
      </c>
      <c r="R1896" t="inlineStr">
        <is>
          <t>Cardiology</t>
        </is>
      </c>
      <c r="S1896" s="70" t="n">
        <v>1740</v>
      </c>
      <c r="T1896" s="71" t="n">
        <v>237850.7</v>
      </c>
      <c r="U1896" t="inlineStr">
        <is>
          <t>High</t>
        </is>
      </c>
      <c r="V1896">
        <f>IF(AND(OR(Dashboard!$C$6="All",E1896=Dashboard!$C$6),OR(Dashboard!$F$6="All",G1896=Dashboard!$F$6),OR(Dashboard!$I$6="All",H1896=Dashboard!$I$6)),1,0)</f>
        <v/>
      </c>
    </row>
    <row r="1897">
      <c r="A1897" t="inlineStr">
        <is>
          <t>PF101888</t>
        </is>
      </c>
      <c r="B1897" s="68" t="n">
        <v>45887</v>
      </c>
      <c r="C1897" s="69" t="n">
        <v>2025</v>
      </c>
      <c r="D1897" t="inlineStr">
        <is>
          <t>Aug</t>
        </is>
      </c>
      <c r="E1897" t="inlineStr">
        <is>
          <t>Emerging markets</t>
        </is>
      </c>
      <c r="F1897" t="inlineStr">
        <is>
          <t>India</t>
        </is>
      </c>
      <c r="G1897" t="inlineStr">
        <is>
          <t>Eliquis</t>
        </is>
      </c>
      <c r="H1897" t="inlineStr">
        <is>
          <t>Hospital</t>
        </is>
      </c>
      <c r="I1897" t="inlineStr">
        <is>
          <t>Self-pay</t>
        </is>
      </c>
      <c r="J1897" t="inlineStr">
        <is>
          <t>Hiroshi Tanaka</t>
        </is>
      </c>
      <c r="K1897" s="70" t="n">
        <v>704</v>
      </c>
      <c r="L1897" s="71" t="n">
        <v>435.07</v>
      </c>
      <c r="M1897" s="71" t="n">
        <v>306289.28</v>
      </c>
      <c r="N1897" s="71" t="n">
        <v>76572.32000000001</v>
      </c>
      <c r="O1897" s="71" t="n">
        <v>229716.96</v>
      </c>
      <c r="P1897" s="71" t="n">
        <v>54192.17</v>
      </c>
      <c r="Q1897" s="71" t="n">
        <v>175524.79</v>
      </c>
      <c r="R1897" t="inlineStr">
        <is>
          <t>Cardiology</t>
        </is>
      </c>
      <c r="S1897" s="70" t="n">
        <v>677</v>
      </c>
      <c r="T1897" s="71" t="n">
        <v>66039.60000000001</v>
      </c>
      <c r="U1897" t="inlineStr">
        <is>
          <t>High</t>
        </is>
      </c>
      <c r="V1897">
        <f>IF(AND(OR(Dashboard!$C$6="All",E1897=Dashboard!$C$6),OR(Dashboard!$F$6="All",G1897=Dashboard!$F$6),OR(Dashboard!$I$6="All",H1897=Dashboard!$I$6)),1,0)</f>
        <v/>
      </c>
    </row>
    <row r="1898">
      <c r="A1898" t="inlineStr">
        <is>
          <t>PF101889</t>
        </is>
      </c>
      <c r="B1898" s="68" t="n">
        <v>45887</v>
      </c>
      <c r="C1898" s="69" t="n">
        <v>2025</v>
      </c>
      <c r="D1898" t="inlineStr">
        <is>
          <t>Aug</t>
        </is>
      </c>
      <c r="E1898" t="inlineStr">
        <is>
          <t>Emerging markets</t>
        </is>
      </c>
      <c r="F1898" t="inlineStr">
        <is>
          <t>India</t>
        </is>
      </c>
      <c r="G1898" t="inlineStr">
        <is>
          <t>Eliquis</t>
        </is>
      </c>
      <c r="H1898" t="inlineStr">
        <is>
          <t>Government / tender</t>
        </is>
      </c>
      <c r="I1898" t="inlineStr">
        <is>
          <t>Private insurer</t>
        </is>
      </c>
      <c r="J1898" t="inlineStr">
        <is>
          <t>Zoya Ahmed</t>
        </is>
      </c>
      <c r="K1898" s="70" t="n">
        <v>3041</v>
      </c>
      <c r="L1898" s="71" t="n">
        <v>446.24</v>
      </c>
      <c r="M1898" s="71" t="n">
        <v>1357015.84</v>
      </c>
      <c r="N1898" s="71" t="n">
        <v>203552.38</v>
      </c>
      <c r="O1898" s="71" t="n">
        <v>1153463.46</v>
      </c>
      <c r="P1898" s="71" t="n">
        <v>238239.56</v>
      </c>
      <c r="Q1898" s="71" t="n">
        <v>915223.9</v>
      </c>
      <c r="R1898" t="inlineStr">
        <is>
          <t>Cardiology</t>
        </is>
      </c>
      <c r="S1898" s="70" t="n">
        <v>2131</v>
      </c>
      <c r="T1898" s="71" t="n">
        <v>224393.01</v>
      </c>
      <c r="U1898" t="inlineStr">
        <is>
          <t>High</t>
        </is>
      </c>
      <c r="V1898">
        <f>IF(AND(OR(Dashboard!$C$6="All",E1898=Dashboard!$C$6),OR(Dashboard!$F$6="All",G1898=Dashboard!$F$6),OR(Dashboard!$I$6="All",H1898=Dashboard!$I$6)),1,0)</f>
        <v/>
      </c>
    </row>
    <row r="1899">
      <c r="A1899" t="inlineStr">
        <is>
          <t>PF101890</t>
        </is>
      </c>
      <c r="B1899" s="68" t="n">
        <v>45887</v>
      </c>
      <c r="C1899" s="69" t="n">
        <v>2025</v>
      </c>
      <c r="D1899" t="inlineStr">
        <is>
          <t>Aug</t>
        </is>
      </c>
      <c r="E1899" t="inlineStr">
        <is>
          <t>United States</t>
        </is>
      </c>
      <c r="F1899" t="inlineStr">
        <is>
          <t>USA</t>
        </is>
      </c>
      <c r="G1899" t="inlineStr">
        <is>
          <t>Ibrance</t>
        </is>
      </c>
      <c r="H1899" t="inlineStr">
        <is>
          <t>Government / tender</t>
        </is>
      </c>
      <c r="I1899" t="inlineStr">
        <is>
          <t>Self-pay</t>
        </is>
      </c>
      <c r="J1899" t="inlineStr">
        <is>
          <t>Omar Haddad</t>
        </is>
      </c>
      <c r="K1899" s="70" t="n">
        <v>1881</v>
      </c>
      <c r="L1899" s="71" t="n">
        <v>4980.11</v>
      </c>
      <c r="M1899" s="71" t="n">
        <v>9367586.91</v>
      </c>
      <c r="N1899" s="71" t="n">
        <v>3278655.42</v>
      </c>
      <c r="O1899" s="71" t="n">
        <v>6088931.49</v>
      </c>
      <c r="P1899" s="71" t="n">
        <v>842330.9300000001</v>
      </c>
      <c r="Q1899" s="71" t="n">
        <v>5246600.56</v>
      </c>
      <c r="R1899" t="inlineStr">
        <is>
          <t>Oncology</t>
        </is>
      </c>
      <c r="S1899" s="70" t="n">
        <v>1493</v>
      </c>
      <c r="T1899" s="71" t="n">
        <v>1707795.92</v>
      </c>
      <c r="U1899" t="inlineStr">
        <is>
          <t>High</t>
        </is>
      </c>
      <c r="V1899">
        <f>IF(AND(OR(Dashboard!$C$6="All",E1899=Dashboard!$C$6),OR(Dashboard!$F$6="All",G1899=Dashboard!$F$6),OR(Dashboard!$I$6="All",H1899=Dashboard!$I$6)),1,0)</f>
        <v/>
      </c>
    </row>
    <row r="1900">
      <c r="A1900" t="inlineStr">
        <is>
          <t>PF101891</t>
        </is>
      </c>
      <c r="B1900" s="68" t="n">
        <v>45887</v>
      </c>
      <c r="C1900" s="69" t="n">
        <v>2025</v>
      </c>
      <c r="D1900" t="inlineStr">
        <is>
          <t>Aug</t>
        </is>
      </c>
      <c r="E1900" t="inlineStr">
        <is>
          <t>International developed</t>
        </is>
      </c>
      <c r="F1900" t="inlineStr">
        <is>
          <t>Japan</t>
        </is>
      </c>
      <c r="G1900" t="inlineStr">
        <is>
          <t>Ibrance</t>
        </is>
      </c>
      <c r="H1900" t="inlineStr">
        <is>
          <t>Government / tender</t>
        </is>
      </c>
      <c r="I1900" t="inlineStr">
        <is>
          <t>Private insurer</t>
        </is>
      </c>
      <c r="J1900" t="inlineStr">
        <is>
          <t>Omar Haddad</t>
        </is>
      </c>
      <c r="K1900" s="70" t="n">
        <v>2610</v>
      </c>
      <c r="L1900" s="71" t="n">
        <v>3094.81</v>
      </c>
      <c r="M1900" s="71" t="n">
        <v>8077454.1</v>
      </c>
      <c r="N1900" s="71" t="n">
        <v>1615490.82</v>
      </c>
      <c r="O1900" s="71" t="n">
        <v>6461963.28</v>
      </c>
      <c r="P1900" s="71" t="n">
        <v>1134697.47</v>
      </c>
      <c r="Q1900" s="71" t="n">
        <v>5327265.81</v>
      </c>
      <c r="R1900" t="inlineStr">
        <is>
          <t>Oncology</t>
        </is>
      </c>
      <c r="S1900" s="70" t="n">
        <v>2595</v>
      </c>
      <c r="T1900" s="71" t="n">
        <v>1263036.49</v>
      </c>
      <c r="U1900" t="inlineStr">
        <is>
          <t>High</t>
        </is>
      </c>
      <c r="V1900">
        <f>IF(AND(OR(Dashboard!$C$6="All",E1900=Dashboard!$C$6),OR(Dashboard!$F$6="All",G1900=Dashboard!$F$6),OR(Dashboard!$I$6="All",H1900=Dashboard!$I$6)),1,0)</f>
        <v/>
      </c>
    </row>
    <row r="1901">
      <c r="A1901" t="inlineStr">
        <is>
          <t>PF101892</t>
        </is>
      </c>
      <c r="B1901" s="68" t="n">
        <v>45887</v>
      </c>
      <c r="C1901" s="69" t="n">
        <v>2025</v>
      </c>
      <c r="D1901" t="inlineStr">
        <is>
          <t>Aug</t>
        </is>
      </c>
      <c r="E1901" t="inlineStr">
        <is>
          <t>Emerging markets</t>
        </is>
      </c>
      <c r="F1901" t="inlineStr">
        <is>
          <t>China</t>
        </is>
      </c>
      <c r="G1901" t="inlineStr">
        <is>
          <t>Comirnaty</t>
        </is>
      </c>
      <c r="H1901" t="inlineStr">
        <is>
          <t>Hospital</t>
        </is>
      </c>
      <c r="I1901" t="inlineStr">
        <is>
          <t>Public payer</t>
        </is>
      </c>
      <c r="J1901" t="inlineStr">
        <is>
          <t>Hiroshi Tanaka</t>
        </is>
      </c>
      <c r="K1901" s="70" t="n">
        <v>2636</v>
      </c>
      <c r="L1901" s="71" t="n">
        <v>120.06</v>
      </c>
      <c r="M1901" s="71" t="n">
        <v>316478.16</v>
      </c>
      <c r="N1901" s="71" t="n">
        <v>15823.91</v>
      </c>
      <c r="O1901" s="71" t="n">
        <v>300654.25</v>
      </c>
      <c r="P1901" s="71" t="n">
        <v>97695.67999999999</v>
      </c>
      <c r="Q1901" s="71" t="n">
        <v>202958.57</v>
      </c>
      <c r="R1901" t="inlineStr">
        <is>
          <t>Vaccines</t>
        </is>
      </c>
      <c r="S1901" s="70" t="n">
        <v>1875</v>
      </c>
      <c r="T1901" s="71" t="n">
        <v>54689.69</v>
      </c>
      <c r="U1901" t="inlineStr">
        <is>
          <t>Low</t>
        </is>
      </c>
      <c r="V1901">
        <f>IF(AND(OR(Dashboard!$C$6="All",E1901=Dashboard!$C$6),OR(Dashboard!$F$6="All",G1901=Dashboard!$F$6),OR(Dashboard!$I$6="All",H1901=Dashboard!$I$6)),1,0)</f>
        <v/>
      </c>
    </row>
    <row r="1902">
      <c r="A1902" t="inlineStr">
        <is>
          <t>PF101893</t>
        </is>
      </c>
      <c r="B1902" s="68" t="n">
        <v>45887</v>
      </c>
      <c r="C1902" s="69" t="n">
        <v>2025</v>
      </c>
      <c r="D1902" t="inlineStr">
        <is>
          <t>Aug</t>
        </is>
      </c>
      <c r="E1902" t="inlineStr">
        <is>
          <t>Emerging markets</t>
        </is>
      </c>
      <c r="F1902" t="inlineStr">
        <is>
          <t>Mexico</t>
        </is>
      </c>
      <c r="G1902" t="inlineStr">
        <is>
          <t>Ibrance</t>
        </is>
      </c>
      <c r="H1902" t="inlineStr">
        <is>
          <t>Hospital</t>
        </is>
      </c>
      <c r="I1902" t="inlineStr">
        <is>
          <t>Private insurer</t>
        </is>
      </c>
      <c r="J1902" t="inlineStr">
        <is>
          <t>Noah Smith</t>
        </is>
      </c>
      <c r="K1902" s="70" t="n">
        <v>1522</v>
      </c>
      <c r="L1902" s="71" t="n">
        <v>2963.32</v>
      </c>
      <c r="M1902" s="71" t="n">
        <v>4510173.04</v>
      </c>
      <c r="N1902" s="71" t="n">
        <v>451017.3</v>
      </c>
      <c r="O1902" s="71" t="n">
        <v>4059155.74</v>
      </c>
      <c r="P1902" s="71" t="n">
        <v>671374.4</v>
      </c>
      <c r="Q1902" s="71" t="n">
        <v>3387781.34</v>
      </c>
      <c r="R1902" t="inlineStr">
        <is>
          <t>Oncology</t>
        </is>
      </c>
      <c r="S1902" s="70" t="n">
        <v>1310</v>
      </c>
      <c r="T1902" s="71" t="n">
        <v>818520.67</v>
      </c>
      <c r="U1902" t="inlineStr">
        <is>
          <t>High</t>
        </is>
      </c>
      <c r="V1902">
        <f>IF(AND(OR(Dashboard!$C$6="All",E1902=Dashboard!$C$6),OR(Dashboard!$F$6="All",G1902=Dashboard!$F$6),OR(Dashboard!$I$6="All",H1902=Dashboard!$I$6)),1,0)</f>
        <v/>
      </c>
    </row>
    <row r="1903">
      <c r="A1903" t="inlineStr">
        <is>
          <t>PF101894</t>
        </is>
      </c>
      <c r="B1903" s="68" t="n">
        <v>45887</v>
      </c>
      <c r="C1903" s="69" t="n">
        <v>2025</v>
      </c>
      <c r="D1903" t="inlineStr">
        <is>
          <t>Aug</t>
        </is>
      </c>
      <c r="E1903" t="inlineStr">
        <is>
          <t>Emerging markets</t>
        </is>
      </c>
      <c r="F1903" t="inlineStr">
        <is>
          <t>Mexico</t>
        </is>
      </c>
      <c r="G1903" t="inlineStr">
        <is>
          <t>Ibrance</t>
        </is>
      </c>
      <c r="H1903" t="inlineStr">
        <is>
          <t>Hospital</t>
        </is>
      </c>
      <c r="I1903" t="inlineStr">
        <is>
          <t>Public payer</t>
        </is>
      </c>
      <c r="J1903" t="inlineStr">
        <is>
          <t>Sara Rossi</t>
        </is>
      </c>
      <c r="K1903" s="70" t="n">
        <v>2786</v>
      </c>
      <c r="L1903" s="71" t="n">
        <v>2707.18</v>
      </c>
      <c r="M1903" s="71" t="n">
        <v>7542203.48</v>
      </c>
      <c r="N1903" s="71" t="n">
        <v>754220.35</v>
      </c>
      <c r="O1903" s="71" t="n">
        <v>6787983.13</v>
      </c>
      <c r="P1903" s="71" t="n">
        <v>1178602.33</v>
      </c>
      <c r="Q1903" s="71" t="n">
        <v>5609380.8</v>
      </c>
      <c r="R1903" t="inlineStr">
        <is>
          <t>Oncology</t>
        </is>
      </c>
      <c r="S1903" s="70" t="n">
        <v>1785</v>
      </c>
      <c r="T1903" s="71" t="n">
        <v>1294157</v>
      </c>
      <c r="U1903" t="inlineStr">
        <is>
          <t>High</t>
        </is>
      </c>
      <c r="V1903">
        <f>IF(AND(OR(Dashboard!$C$6="All",E1903=Dashboard!$C$6),OR(Dashboard!$F$6="All",G1903=Dashboard!$F$6),OR(Dashboard!$I$6="All",H1903=Dashboard!$I$6)),1,0)</f>
        <v/>
      </c>
    </row>
    <row r="1904">
      <c r="A1904" t="inlineStr">
        <is>
          <t>PF101895</t>
        </is>
      </c>
      <c r="B1904" s="68" t="n">
        <v>45887</v>
      </c>
      <c r="C1904" s="69" t="n">
        <v>2025</v>
      </c>
      <c r="D1904" t="inlineStr">
        <is>
          <t>Aug</t>
        </is>
      </c>
      <c r="E1904" t="inlineStr">
        <is>
          <t>Europe</t>
        </is>
      </c>
      <c r="F1904" t="inlineStr">
        <is>
          <t>UK</t>
        </is>
      </c>
      <c r="G1904" t="inlineStr">
        <is>
          <t>Abrysvo</t>
        </is>
      </c>
      <c r="H1904" t="inlineStr">
        <is>
          <t>Retail pharmacy</t>
        </is>
      </c>
      <c r="I1904" t="inlineStr">
        <is>
          <t>Public payer</t>
        </is>
      </c>
      <c r="J1904" t="inlineStr">
        <is>
          <t>Fatima Al-Saud</t>
        </is>
      </c>
      <c r="K1904" s="70" t="n">
        <v>1059</v>
      </c>
      <c r="L1904" s="71" t="n">
        <v>288.38</v>
      </c>
      <c r="M1904" s="71" t="n">
        <v>305394.42</v>
      </c>
      <c r="N1904" s="71" t="n">
        <v>30539.44</v>
      </c>
      <c r="O1904" s="71" t="n">
        <v>274854.98</v>
      </c>
      <c r="P1904" s="71" t="n">
        <v>87660.21000000001</v>
      </c>
      <c r="Q1904" s="71" t="n">
        <v>187194.77</v>
      </c>
      <c r="R1904" t="inlineStr">
        <is>
          <t>Vaccines</t>
        </is>
      </c>
      <c r="S1904" s="70" t="n">
        <v>830</v>
      </c>
      <c r="T1904" s="71" t="n">
        <v>40309.13</v>
      </c>
      <c r="U1904" t="inlineStr">
        <is>
          <t>Low</t>
        </is>
      </c>
      <c r="V1904">
        <f>IF(AND(OR(Dashboard!$C$6="All",E1904=Dashboard!$C$6),OR(Dashboard!$F$6="All",G1904=Dashboard!$F$6),OR(Dashboard!$I$6="All",H1904=Dashboard!$I$6)),1,0)</f>
        <v/>
      </c>
    </row>
    <row r="1905">
      <c r="A1905" t="inlineStr">
        <is>
          <t>PF101896</t>
        </is>
      </c>
      <c r="B1905" s="68" t="n">
        <v>45887</v>
      </c>
      <c r="C1905" s="69" t="n">
        <v>2025</v>
      </c>
      <c r="D1905" t="inlineStr">
        <is>
          <t>Aug</t>
        </is>
      </c>
      <c r="E1905" t="inlineStr">
        <is>
          <t>Emerging markets</t>
        </is>
      </c>
      <c r="F1905" t="inlineStr">
        <is>
          <t>China</t>
        </is>
      </c>
      <c r="G1905" t="inlineStr">
        <is>
          <t>Prevnar 20</t>
        </is>
      </c>
      <c r="H1905" t="inlineStr">
        <is>
          <t>Retail pharmacy</t>
        </is>
      </c>
      <c r="I1905" t="inlineStr">
        <is>
          <t>Private insurer</t>
        </is>
      </c>
      <c r="J1905" t="inlineStr">
        <is>
          <t>Olivia Brown</t>
        </is>
      </c>
      <c r="K1905" s="70" t="n">
        <v>1798</v>
      </c>
      <c r="L1905" s="71" t="n">
        <v>216.51</v>
      </c>
      <c r="M1905" s="71" t="n">
        <v>389284.98</v>
      </c>
      <c r="N1905" s="71" t="n">
        <v>77857</v>
      </c>
      <c r="O1905" s="71" t="n">
        <v>311427.98</v>
      </c>
      <c r="P1905" s="71" t="n">
        <v>125596.84</v>
      </c>
      <c r="Q1905" s="71" t="n">
        <v>185831.14</v>
      </c>
      <c r="R1905" t="inlineStr">
        <is>
          <t>Vaccines</t>
        </is>
      </c>
      <c r="S1905" s="70" t="n">
        <v>1771</v>
      </c>
      <c r="T1905" s="71" t="n">
        <v>51676.99</v>
      </c>
      <c r="U1905" t="inlineStr">
        <is>
          <t>Low</t>
        </is>
      </c>
      <c r="V1905">
        <f>IF(AND(OR(Dashboard!$C$6="All",E1905=Dashboard!$C$6),OR(Dashboard!$F$6="All",G1905=Dashboard!$F$6),OR(Dashboard!$I$6="All",H1905=Dashboard!$I$6)),1,0)</f>
        <v/>
      </c>
    </row>
    <row r="1906">
      <c r="A1906" t="inlineStr">
        <is>
          <t>PF101897</t>
        </is>
      </c>
      <c r="B1906" s="68" t="n">
        <v>45887</v>
      </c>
      <c r="C1906" s="69" t="n">
        <v>2025</v>
      </c>
      <c r="D1906" t="inlineStr">
        <is>
          <t>Aug</t>
        </is>
      </c>
      <c r="E1906" t="inlineStr">
        <is>
          <t>United States</t>
        </is>
      </c>
      <c r="F1906" t="inlineStr">
        <is>
          <t>USA</t>
        </is>
      </c>
      <c r="G1906" t="inlineStr">
        <is>
          <t>Vyndaqel</t>
        </is>
      </c>
      <c r="H1906" t="inlineStr">
        <is>
          <t>Government / tender</t>
        </is>
      </c>
      <c r="I1906" t="inlineStr">
        <is>
          <t>Private insurer</t>
        </is>
      </c>
      <c r="J1906" t="inlineStr">
        <is>
          <t>Olivia Brown</t>
        </is>
      </c>
      <c r="K1906" s="70" t="n">
        <v>2958</v>
      </c>
      <c r="L1906" s="71" t="n">
        <v>8168.35</v>
      </c>
      <c r="M1906" s="71" t="n">
        <v>24161979.3</v>
      </c>
      <c r="N1906" s="71" t="n">
        <v>4832395.86</v>
      </c>
      <c r="O1906" s="71" t="n">
        <v>19329583.44</v>
      </c>
      <c r="P1906" s="71" t="n">
        <v>1903492.99</v>
      </c>
      <c r="Q1906" s="71" t="n">
        <v>17426090.45</v>
      </c>
      <c r="R1906" t="inlineStr">
        <is>
          <t>Rare disease</t>
        </is>
      </c>
      <c r="S1906" s="70" t="n">
        <v>2643</v>
      </c>
      <c r="T1906" s="71" t="n">
        <v>3990992</v>
      </c>
      <c r="U1906" t="inlineStr">
        <is>
          <t>Medium</t>
        </is>
      </c>
      <c r="V1906">
        <f>IF(AND(OR(Dashboard!$C$6="All",E1906=Dashboard!$C$6),OR(Dashboard!$F$6="All",G1906=Dashboard!$F$6),OR(Dashboard!$I$6="All",H1906=Dashboard!$I$6)),1,0)</f>
        <v/>
      </c>
    </row>
    <row r="1907">
      <c r="A1907" t="inlineStr">
        <is>
          <t>PF101898</t>
        </is>
      </c>
      <c r="B1907" s="68" t="n">
        <v>45888</v>
      </c>
      <c r="C1907" s="69" t="n">
        <v>2025</v>
      </c>
      <c r="D1907" t="inlineStr">
        <is>
          <t>Aug</t>
        </is>
      </c>
      <c r="E1907" t="inlineStr">
        <is>
          <t>Europe</t>
        </is>
      </c>
      <c r="F1907" t="inlineStr">
        <is>
          <t>Spain</t>
        </is>
      </c>
      <c r="G1907" t="inlineStr">
        <is>
          <t>Prevnar 20</t>
        </is>
      </c>
      <c r="H1907" t="inlineStr">
        <is>
          <t>Government / tender</t>
        </is>
      </c>
      <c r="I1907" t="inlineStr">
        <is>
          <t>Public payer</t>
        </is>
      </c>
      <c r="J1907" t="inlineStr">
        <is>
          <t>Wei Chen</t>
        </is>
      </c>
      <c r="K1907" s="70" t="n">
        <v>1815</v>
      </c>
      <c r="L1907" s="71" t="n">
        <v>223.58</v>
      </c>
      <c r="M1907" s="71" t="n">
        <v>405797.7</v>
      </c>
      <c r="N1907" s="71" t="n">
        <v>101449.43</v>
      </c>
      <c r="O1907" s="71" t="n">
        <v>304348.27</v>
      </c>
      <c r="P1907" s="71" t="n">
        <v>121698.05</v>
      </c>
      <c r="Q1907" s="71" t="n">
        <v>182650.22</v>
      </c>
      <c r="R1907" t="inlineStr">
        <is>
          <t>Vaccines</t>
        </is>
      </c>
      <c r="S1907" s="70" t="n">
        <v>1166</v>
      </c>
      <c r="T1907" s="71" t="n">
        <v>54439.26</v>
      </c>
      <c r="U1907" t="inlineStr">
        <is>
          <t>Low</t>
        </is>
      </c>
      <c r="V1907">
        <f>IF(AND(OR(Dashboard!$C$6="All",E1907=Dashboard!$C$6),OR(Dashboard!$F$6="All",G1907=Dashboard!$F$6),OR(Dashboard!$I$6="All",H1907=Dashboard!$I$6)),1,0)</f>
        <v/>
      </c>
    </row>
    <row r="1908">
      <c r="A1908" t="inlineStr">
        <is>
          <t>PF101899</t>
        </is>
      </c>
      <c r="B1908" s="68" t="n">
        <v>45888</v>
      </c>
      <c r="C1908" s="69" t="n">
        <v>2025</v>
      </c>
      <c r="D1908" t="inlineStr">
        <is>
          <t>Aug</t>
        </is>
      </c>
      <c r="E1908" t="inlineStr">
        <is>
          <t>United States</t>
        </is>
      </c>
      <c r="F1908" t="inlineStr">
        <is>
          <t>USA</t>
        </is>
      </c>
      <c r="G1908" t="inlineStr">
        <is>
          <t>Ibrance</t>
        </is>
      </c>
      <c r="H1908" t="inlineStr">
        <is>
          <t>Hospital</t>
        </is>
      </c>
      <c r="I1908" t="inlineStr">
        <is>
          <t>Public payer</t>
        </is>
      </c>
      <c r="J1908" t="inlineStr">
        <is>
          <t>Yuki Sato</t>
        </is>
      </c>
      <c r="K1908" s="70" t="n">
        <v>2673</v>
      </c>
      <c r="L1908" s="71" t="n">
        <v>4870.26</v>
      </c>
      <c r="M1908" s="71" t="n">
        <v>13018204.98</v>
      </c>
      <c r="N1908" s="71" t="n">
        <v>3254551.25</v>
      </c>
      <c r="O1908" s="71" t="n">
        <v>9763653.73</v>
      </c>
      <c r="P1908" s="71" t="n">
        <v>1119207.24</v>
      </c>
      <c r="Q1908" s="71" t="n">
        <v>8644446.49</v>
      </c>
      <c r="R1908" t="inlineStr">
        <is>
          <t>Oncology</t>
        </is>
      </c>
      <c r="S1908" s="70" t="n">
        <v>2066</v>
      </c>
      <c r="T1908" s="71" t="n">
        <v>1697599.45</v>
      </c>
      <c r="U1908" t="inlineStr">
        <is>
          <t>High</t>
        </is>
      </c>
      <c r="V1908">
        <f>IF(AND(OR(Dashboard!$C$6="All",E1908=Dashboard!$C$6),OR(Dashboard!$F$6="All",G1908=Dashboard!$F$6),OR(Dashboard!$I$6="All",H1908=Dashboard!$I$6)),1,0)</f>
        <v/>
      </c>
    </row>
    <row r="1909">
      <c r="A1909" t="inlineStr">
        <is>
          <t>PF101900</t>
        </is>
      </c>
      <c r="B1909" s="68" t="n">
        <v>45888</v>
      </c>
      <c r="C1909" s="69" t="n">
        <v>2025</v>
      </c>
      <c r="D1909" t="inlineStr">
        <is>
          <t>Aug</t>
        </is>
      </c>
      <c r="E1909" t="inlineStr">
        <is>
          <t>United States</t>
        </is>
      </c>
      <c r="F1909" t="inlineStr">
        <is>
          <t>USA</t>
        </is>
      </c>
      <c r="G1909" t="inlineStr">
        <is>
          <t>Abrysvo</t>
        </is>
      </c>
      <c r="H1909" t="inlineStr">
        <is>
          <t>Government / tender</t>
        </is>
      </c>
      <c r="I1909" t="inlineStr">
        <is>
          <t>Public payer</t>
        </is>
      </c>
      <c r="J1909" t="inlineStr">
        <is>
          <t>Lucas Martin</t>
        </is>
      </c>
      <c r="K1909" s="70" t="n">
        <v>2980</v>
      </c>
      <c r="L1909" s="71" t="n">
        <v>464.38</v>
      </c>
      <c r="M1909" s="71" t="n">
        <v>1383852.4</v>
      </c>
      <c r="N1909" s="71" t="n">
        <v>484348.34</v>
      </c>
      <c r="O1909" s="71" t="n">
        <v>899504.0600000001</v>
      </c>
      <c r="P1909" s="71" t="n">
        <v>253576.01</v>
      </c>
      <c r="Q1909" s="71" t="n">
        <v>645928.05</v>
      </c>
      <c r="R1909" t="inlineStr">
        <is>
          <t>Vaccines</t>
        </is>
      </c>
      <c r="S1909" s="70" t="n">
        <v>2886</v>
      </c>
      <c r="T1909" s="71" t="n">
        <v>198294.19</v>
      </c>
      <c r="U1909" t="inlineStr">
        <is>
          <t>Low</t>
        </is>
      </c>
      <c r="V1909">
        <f>IF(AND(OR(Dashboard!$C$6="All",E1909=Dashboard!$C$6),OR(Dashboard!$F$6="All",G1909=Dashboard!$F$6),OR(Dashboard!$I$6="All",H1909=Dashboard!$I$6)),1,0)</f>
        <v/>
      </c>
    </row>
    <row r="1910">
      <c r="A1910" t="inlineStr">
        <is>
          <t>PF101901</t>
        </is>
      </c>
      <c r="B1910" s="68" t="n">
        <v>45888</v>
      </c>
      <c r="C1910" s="69" t="n">
        <v>2025</v>
      </c>
      <c r="D1910" t="inlineStr">
        <is>
          <t>Aug</t>
        </is>
      </c>
      <c r="E1910" t="inlineStr">
        <is>
          <t>International developed</t>
        </is>
      </c>
      <c r="F1910" t="inlineStr">
        <is>
          <t>Japan</t>
        </is>
      </c>
      <c r="G1910" t="inlineStr">
        <is>
          <t>Comirnaty</t>
        </is>
      </c>
      <c r="H1910" t="inlineStr">
        <is>
          <t>Retail pharmacy</t>
        </is>
      </c>
      <c r="I1910" t="inlineStr">
        <is>
          <t>Private insurer</t>
        </is>
      </c>
      <c r="J1910" t="inlineStr">
        <is>
          <t>Priya Nair</t>
        </is>
      </c>
      <c r="K1910" s="70" t="n">
        <v>1634</v>
      </c>
      <c r="L1910" s="71" t="n">
        <v>118.84</v>
      </c>
      <c r="M1910" s="71" t="n">
        <v>194184.56</v>
      </c>
      <c r="N1910" s="71" t="n">
        <v>38836.91</v>
      </c>
      <c r="O1910" s="71" t="n">
        <v>155347.65</v>
      </c>
      <c r="P1910" s="71" t="n">
        <v>64080.61</v>
      </c>
      <c r="Q1910" s="71" t="n">
        <v>91267.03999999999</v>
      </c>
      <c r="R1910" t="inlineStr">
        <is>
          <t>Vaccines</t>
        </is>
      </c>
      <c r="S1910" s="70" t="n">
        <v>1184</v>
      </c>
      <c r="T1910" s="71" t="n">
        <v>27226.05</v>
      </c>
      <c r="U1910" t="inlineStr">
        <is>
          <t>Low</t>
        </is>
      </c>
      <c r="V1910">
        <f>IF(AND(OR(Dashboard!$C$6="All",E1910=Dashboard!$C$6),OR(Dashboard!$F$6="All",G1910=Dashboard!$F$6),OR(Dashboard!$I$6="All",H1910=Dashboard!$I$6)),1,0)</f>
        <v/>
      </c>
    </row>
    <row r="1911">
      <c r="A1911" t="inlineStr">
        <is>
          <t>PF101902</t>
        </is>
      </c>
      <c r="B1911" s="68" t="n">
        <v>45888</v>
      </c>
      <c r="C1911" s="69" t="n">
        <v>2025</v>
      </c>
      <c r="D1911" t="inlineStr">
        <is>
          <t>Aug</t>
        </is>
      </c>
      <c r="E1911" t="inlineStr">
        <is>
          <t>United States</t>
        </is>
      </c>
      <c r="F1911" t="inlineStr">
        <is>
          <t>USA</t>
        </is>
      </c>
      <c r="G1911" t="inlineStr">
        <is>
          <t>Comirnaty</t>
        </is>
      </c>
      <c r="H1911" t="inlineStr">
        <is>
          <t>Government / tender</t>
        </is>
      </c>
      <c r="I1911" t="inlineStr">
        <is>
          <t>Public payer</t>
        </is>
      </c>
      <c r="J1911" t="inlineStr">
        <is>
          <t>Lucas Martin</t>
        </is>
      </c>
      <c r="K1911" s="70" t="n">
        <v>1359</v>
      </c>
      <c r="L1911" s="71" t="n">
        <v>174.16</v>
      </c>
      <c r="M1911" s="71" t="n">
        <v>236683.44</v>
      </c>
      <c r="N1911" s="71" t="n">
        <v>35502.52</v>
      </c>
      <c r="O1911" s="71" t="n">
        <v>201180.92</v>
      </c>
      <c r="P1911" s="71" t="n">
        <v>50667.47</v>
      </c>
      <c r="Q1911" s="71" t="n">
        <v>150513.45</v>
      </c>
      <c r="R1911" t="inlineStr">
        <is>
          <t>Vaccines</t>
        </is>
      </c>
      <c r="S1911" s="70" t="n">
        <v>926</v>
      </c>
      <c r="T1911" s="71" t="n">
        <v>50258.61</v>
      </c>
      <c r="U1911" t="inlineStr">
        <is>
          <t>Low</t>
        </is>
      </c>
      <c r="V1911">
        <f>IF(AND(OR(Dashboard!$C$6="All",E1911=Dashboard!$C$6),OR(Dashboard!$F$6="All",G1911=Dashboard!$F$6),OR(Dashboard!$I$6="All",H1911=Dashboard!$I$6)),1,0)</f>
        <v/>
      </c>
    </row>
    <row r="1912">
      <c r="A1912" t="inlineStr">
        <is>
          <t>PF101903</t>
        </is>
      </c>
      <c r="B1912" s="68" t="n">
        <v>45888</v>
      </c>
      <c r="C1912" s="69" t="n">
        <v>2025</v>
      </c>
      <c r="D1912" t="inlineStr">
        <is>
          <t>Aug</t>
        </is>
      </c>
      <c r="E1912" t="inlineStr">
        <is>
          <t>Emerging markets</t>
        </is>
      </c>
      <c r="F1912" t="inlineStr">
        <is>
          <t>China</t>
        </is>
      </c>
      <c r="G1912" t="inlineStr">
        <is>
          <t>Eliquis</t>
        </is>
      </c>
      <c r="H1912" t="inlineStr">
        <is>
          <t>Hospital</t>
        </is>
      </c>
      <c r="I1912" t="inlineStr">
        <is>
          <t>Public payer</t>
        </is>
      </c>
      <c r="J1912" t="inlineStr">
        <is>
          <t>Sophie Müller</t>
        </is>
      </c>
      <c r="K1912" s="70" t="n">
        <v>496</v>
      </c>
      <c r="L1912" s="71" t="n">
        <v>438.34</v>
      </c>
      <c r="M1912" s="71" t="n">
        <v>217416.64</v>
      </c>
      <c r="N1912" s="71" t="n">
        <v>10870.83</v>
      </c>
      <c r="O1912" s="71" t="n">
        <v>206545.81</v>
      </c>
      <c r="P1912" s="71" t="n">
        <v>36074.83</v>
      </c>
      <c r="Q1912" s="71" t="n">
        <v>170470.98</v>
      </c>
      <c r="R1912" t="inlineStr">
        <is>
          <t>Cardiology</t>
        </is>
      </c>
      <c r="S1912" s="70" t="n">
        <v>368</v>
      </c>
      <c r="T1912" s="71" t="n">
        <v>45638.98</v>
      </c>
      <c r="U1912" t="inlineStr">
        <is>
          <t>High</t>
        </is>
      </c>
      <c r="V1912">
        <f>IF(AND(OR(Dashboard!$C$6="All",E1912=Dashboard!$C$6),OR(Dashboard!$F$6="All",G1912=Dashboard!$F$6),OR(Dashboard!$I$6="All",H1912=Dashboard!$I$6)),1,0)</f>
        <v/>
      </c>
    </row>
    <row r="1913">
      <c r="A1913" t="inlineStr">
        <is>
          <t>PF101904</t>
        </is>
      </c>
      <c r="B1913" s="68" t="n">
        <v>45889</v>
      </c>
      <c r="C1913" s="69" t="n">
        <v>2025</v>
      </c>
      <c r="D1913" t="inlineStr">
        <is>
          <t>Aug</t>
        </is>
      </c>
      <c r="E1913" t="inlineStr">
        <is>
          <t>United States</t>
        </is>
      </c>
      <c r="F1913" t="inlineStr">
        <is>
          <t>USA</t>
        </is>
      </c>
      <c r="G1913" t="inlineStr">
        <is>
          <t>Prevnar 20</t>
        </is>
      </c>
      <c r="H1913" t="inlineStr">
        <is>
          <t>Retail pharmacy</t>
        </is>
      </c>
      <c r="I1913" t="inlineStr">
        <is>
          <t>Public payer</t>
        </is>
      </c>
      <c r="J1913" t="inlineStr">
        <is>
          <t>Mei Lin</t>
        </is>
      </c>
      <c r="K1913" s="70" t="n">
        <v>912</v>
      </c>
      <c r="L1913" s="71" t="n">
        <v>380.22</v>
      </c>
      <c r="M1913" s="71" t="n">
        <v>346760.64</v>
      </c>
      <c r="N1913" s="71" t="n">
        <v>86690.16</v>
      </c>
      <c r="O1913" s="71" t="n">
        <v>260070.48</v>
      </c>
      <c r="P1913" s="71" t="n">
        <v>64738.89</v>
      </c>
      <c r="Q1913" s="71" t="n">
        <v>195331.59</v>
      </c>
      <c r="R1913" t="inlineStr">
        <is>
          <t>Vaccines</t>
        </is>
      </c>
      <c r="S1913" s="70" t="n">
        <v>670</v>
      </c>
      <c r="T1913" s="71" t="n">
        <v>62764.66</v>
      </c>
      <c r="U1913" t="inlineStr">
        <is>
          <t>Low</t>
        </is>
      </c>
      <c r="V1913">
        <f>IF(AND(OR(Dashboard!$C$6="All",E1913=Dashboard!$C$6),OR(Dashboard!$F$6="All",G1913=Dashboard!$F$6),OR(Dashboard!$I$6="All",H1913=Dashboard!$I$6)),1,0)</f>
        <v/>
      </c>
    </row>
    <row r="1914">
      <c r="A1914" t="inlineStr">
        <is>
          <t>PF101905</t>
        </is>
      </c>
      <c r="B1914" s="68" t="n">
        <v>45889</v>
      </c>
      <c r="C1914" s="69" t="n">
        <v>2025</v>
      </c>
      <c r="D1914" t="inlineStr">
        <is>
          <t>Aug</t>
        </is>
      </c>
      <c r="E1914" t="inlineStr">
        <is>
          <t>International developed</t>
        </is>
      </c>
      <c r="F1914" t="inlineStr">
        <is>
          <t>Canada</t>
        </is>
      </c>
      <c r="G1914" t="inlineStr">
        <is>
          <t>Eliquis</t>
        </is>
      </c>
      <c r="H1914" t="inlineStr">
        <is>
          <t>Hospital</t>
        </is>
      </c>
      <c r="I1914" t="inlineStr">
        <is>
          <t>Private insurer</t>
        </is>
      </c>
      <c r="J1914" t="inlineStr">
        <is>
          <t>Ana Costa</t>
        </is>
      </c>
      <c r="K1914" s="70" t="n">
        <v>2590</v>
      </c>
      <c r="L1914" s="71" t="n">
        <v>412.69</v>
      </c>
      <c r="M1914" s="71" t="n">
        <v>1068867.1</v>
      </c>
      <c r="N1914" s="71" t="n">
        <v>106886.71</v>
      </c>
      <c r="O1914" s="71" t="n">
        <v>961980.39</v>
      </c>
      <c r="P1914" s="71" t="n">
        <v>190089.58</v>
      </c>
      <c r="Q1914" s="71" t="n">
        <v>771890.8100000001</v>
      </c>
      <c r="R1914" t="inlineStr">
        <is>
          <t>Cardiology</t>
        </is>
      </c>
      <c r="S1914" s="70" t="n">
        <v>2428</v>
      </c>
      <c r="T1914" s="71" t="n">
        <v>145302.62</v>
      </c>
      <c r="U1914" t="inlineStr">
        <is>
          <t>High</t>
        </is>
      </c>
      <c r="V1914">
        <f>IF(AND(OR(Dashboard!$C$6="All",E1914=Dashboard!$C$6),OR(Dashboard!$F$6="All",G1914=Dashboard!$F$6),OR(Dashboard!$I$6="All",H1914=Dashboard!$I$6)),1,0)</f>
        <v/>
      </c>
    </row>
    <row r="1915">
      <c r="A1915" t="inlineStr">
        <is>
          <t>PF101906</t>
        </is>
      </c>
      <c r="B1915" s="68" t="n">
        <v>45889</v>
      </c>
      <c r="C1915" s="69" t="n">
        <v>2025</v>
      </c>
      <c r="D1915" t="inlineStr">
        <is>
          <t>Aug</t>
        </is>
      </c>
      <c r="E1915" t="inlineStr">
        <is>
          <t>Emerging markets</t>
        </is>
      </c>
      <c r="F1915" t="inlineStr">
        <is>
          <t>Mexico</t>
        </is>
      </c>
      <c r="G1915" t="inlineStr">
        <is>
          <t>Xeljanz</t>
        </is>
      </c>
      <c r="H1915" t="inlineStr">
        <is>
          <t>Government / tender</t>
        </is>
      </c>
      <c r="I1915" t="inlineStr">
        <is>
          <t>Public payer</t>
        </is>
      </c>
      <c r="J1915" t="inlineStr">
        <is>
          <t>Olivia Brown</t>
        </is>
      </c>
      <c r="K1915" s="70" t="n">
        <v>749</v>
      </c>
      <c r="L1915" s="71" t="n">
        <v>1391.14</v>
      </c>
      <c r="M1915" s="71" t="n">
        <v>1041963.86</v>
      </c>
      <c r="N1915" s="71" t="n">
        <v>260490.96</v>
      </c>
      <c r="O1915" s="71" t="n">
        <v>781472.9</v>
      </c>
      <c r="P1915" s="71" t="n">
        <v>190090.77</v>
      </c>
      <c r="Q1915" s="71" t="n">
        <v>591382.13</v>
      </c>
      <c r="R1915" t="inlineStr">
        <is>
          <t>Inflammation</t>
        </is>
      </c>
      <c r="S1915" s="70" t="n">
        <v>608</v>
      </c>
      <c r="T1915" s="71" t="n">
        <v>203981.55</v>
      </c>
      <c r="U1915" t="inlineStr">
        <is>
          <t>High</t>
        </is>
      </c>
      <c r="V1915">
        <f>IF(AND(OR(Dashboard!$C$6="All",E1915=Dashboard!$C$6),OR(Dashboard!$F$6="All",G1915=Dashboard!$F$6),OR(Dashboard!$I$6="All",H1915=Dashboard!$I$6)),1,0)</f>
        <v/>
      </c>
    </row>
    <row r="1916">
      <c r="A1916" t="inlineStr">
        <is>
          <t>PF101907</t>
        </is>
      </c>
      <c r="B1916" s="68" t="n">
        <v>45889</v>
      </c>
      <c r="C1916" s="69" t="n">
        <v>2025</v>
      </c>
      <c r="D1916" t="inlineStr">
        <is>
          <t>Aug</t>
        </is>
      </c>
      <c r="E1916" t="inlineStr">
        <is>
          <t>United States</t>
        </is>
      </c>
      <c r="F1916" t="inlineStr">
        <is>
          <t>USA</t>
        </is>
      </c>
      <c r="G1916" t="inlineStr">
        <is>
          <t>Eliquis</t>
        </is>
      </c>
      <c r="H1916" t="inlineStr">
        <is>
          <t>Hospital</t>
        </is>
      </c>
      <c r="I1916" t="inlineStr">
        <is>
          <t>Private insurer</t>
        </is>
      </c>
      <c r="J1916" t="inlineStr">
        <is>
          <t>Sophie Müller</t>
        </is>
      </c>
      <c r="K1916" s="70" t="n">
        <v>2880</v>
      </c>
      <c r="L1916" s="71" t="n">
        <v>716.72</v>
      </c>
      <c r="M1916" s="71" t="n">
        <v>2064153.6</v>
      </c>
      <c r="N1916" s="71" t="n">
        <v>619246.08</v>
      </c>
      <c r="O1916" s="71" t="n">
        <v>1444907.52</v>
      </c>
      <c r="P1916" s="71" t="n">
        <v>212846.76</v>
      </c>
      <c r="Q1916" s="71" t="n">
        <v>1232060.76</v>
      </c>
      <c r="R1916" t="inlineStr">
        <is>
          <t>Cardiology</t>
        </is>
      </c>
      <c r="S1916" s="70" t="n">
        <v>1860</v>
      </c>
      <c r="T1916" s="71" t="n">
        <v>320847.07</v>
      </c>
      <c r="U1916" t="inlineStr">
        <is>
          <t>High</t>
        </is>
      </c>
      <c r="V1916">
        <f>IF(AND(OR(Dashboard!$C$6="All",E1916=Dashboard!$C$6),OR(Dashboard!$F$6="All",G1916=Dashboard!$F$6),OR(Dashboard!$I$6="All",H1916=Dashboard!$I$6)),1,0)</f>
        <v/>
      </c>
    </row>
    <row r="1917">
      <c r="A1917" t="inlineStr">
        <is>
          <t>PF101908</t>
        </is>
      </c>
      <c r="B1917" s="68" t="n">
        <v>45889</v>
      </c>
      <c r="C1917" s="69" t="n">
        <v>2025</v>
      </c>
      <c r="D1917" t="inlineStr">
        <is>
          <t>Aug</t>
        </is>
      </c>
      <c r="E1917" t="inlineStr">
        <is>
          <t>United States</t>
        </is>
      </c>
      <c r="F1917" t="inlineStr">
        <is>
          <t>USA</t>
        </is>
      </c>
      <c r="G1917" t="inlineStr">
        <is>
          <t>Eliquis</t>
        </is>
      </c>
      <c r="H1917" t="inlineStr">
        <is>
          <t>Hospital</t>
        </is>
      </c>
      <c r="I1917" t="inlineStr">
        <is>
          <t>Private insurer</t>
        </is>
      </c>
      <c r="J1917" t="inlineStr">
        <is>
          <t>Wei Chen</t>
        </is>
      </c>
      <c r="K1917" s="70" t="n">
        <v>142</v>
      </c>
      <c r="L1917" s="71" t="n">
        <v>629.3099999999999</v>
      </c>
      <c r="M1917" s="71" t="n">
        <v>89362.02</v>
      </c>
      <c r="N1917" s="71" t="n">
        <v>13404.3</v>
      </c>
      <c r="O1917" s="71" t="n">
        <v>75957.72</v>
      </c>
      <c r="P1917" s="71" t="n">
        <v>11020.92</v>
      </c>
      <c r="Q1917" s="71" t="n">
        <v>64936.8</v>
      </c>
      <c r="R1917" t="inlineStr">
        <is>
          <t>Cardiology</t>
        </is>
      </c>
      <c r="S1917" s="70" t="n">
        <v>95</v>
      </c>
      <c r="T1917" s="71" t="n">
        <v>18020.4</v>
      </c>
      <c r="U1917" t="inlineStr">
        <is>
          <t>High</t>
        </is>
      </c>
      <c r="V1917">
        <f>IF(AND(OR(Dashboard!$C$6="All",E1917=Dashboard!$C$6),OR(Dashboard!$F$6="All",G1917=Dashboard!$F$6),OR(Dashboard!$I$6="All",H1917=Dashboard!$I$6)),1,0)</f>
        <v/>
      </c>
    </row>
    <row r="1918">
      <c r="A1918" t="inlineStr">
        <is>
          <t>PF101909</t>
        </is>
      </c>
      <c r="B1918" s="68" t="n">
        <v>45889</v>
      </c>
      <c r="C1918" s="69" t="n">
        <v>2025</v>
      </c>
      <c r="D1918" t="inlineStr">
        <is>
          <t>Aug</t>
        </is>
      </c>
      <c r="E1918" t="inlineStr">
        <is>
          <t>United States</t>
        </is>
      </c>
      <c r="F1918" t="inlineStr">
        <is>
          <t>USA</t>
        </is>
      </c>
      <c r="G1918" t="inlineStr">
        <is>
          <t>Prevnar 20</t>
        </is>
      </c>
      <c r="H1918" t="inlineStr">
        <is>
          <t>Retail pharmacy</t>
        </is>
      </c>
      <c r="I1918" t="inlineStr">
        <is>
          <t>Private insurer</t>
        </is>
      </c>
      <c r="J1918" t="inlineStr">
        <is>
          <t>Amir Khan</t>
        </is>
      </c>
      <c r="K1918" s="70" t="n">
        <v>3038</v>
      </c>
      <c r="L1918" s="71" t="n">
        <v>396.11</v>
      </c>
      <c r="M1918" s="71" t="n">
        <v>1203382.18</v>
      </c>
      <c r="N1918" s="71" t="n">
        <v>300845.54</v>
      </c>
      <c r="O1918" s="71" t="n">
        <v>902536.64</v>
      </c>
      <c r="P1918" s="71" t="n">
        <v>211352.06</v>
      </c>
      <c r="Q1918" s="71" t="n">
        <v>691184.58</v>
      </c>
      <c r="R1918" t="inlineStr">
        <is>
          <t>Vaccines</t>
        </is>
      </c>
      <c r="S1918" s="70" t="n">
        <v>2155</v>
      </c>
      <c r="T1918" s="71" t="n">
        <v>232564.12</v>
      </c>
      <c r="U1918" t="inlineStr">
        <is>
          <t>Low</t>
        </is>
      </c>
      <c r="V1918">
        <f>IF(AND(OR(Dashboard!$C$6="All",E1918=Dashboard!$C$6),OR(Dashboard!$F$6="All",G1918=Dashboard!$F$6),OR(Dashboard!$I$6="All",H1918=Dashboard!$I$6)),1,0)</f>
        <v/>
      </c>
    </row>
    <row r="1919">
      <c r="A1919" t="inlineStr">
        <is>
          <t>PF101910</t>
        </is>
      </c>
      <c r="B1919" s="68" t="n">
        <v>45889</v>
      </c>
      <c r="C1919" s="69" t="n">
        <v>2025</v>
      </c>
      <c r="D1919" t="inlineStr">
        <is>
          <t>Aug</t>
        </is>
      </c>
      <c r="E1919" t="inlineStr">
        <is>
          <t>Emerging markets</t>
        </is>
      </c>
      <c r="F1919" t="inlineStr">
        <is>
          <t>Mexico</t>
        </is>
      </c>
      <c r="G1919" t="inlineStr">
        <is>
          <t>Ibrance</t>
        </is>
      </c>
      <c r="H1919" t="inlineStr">
        <is>
          <t>Hospital</t>
        </is>
      </c>
      <c r="I1919" t="inlineStr">
        <is>
          <t>Public payer</t>
        </is>
      </c>
      <c r="J1919" t="inlineStr">
        <is>
          <t>Ruhi Shaikh</t>
        </is>
      </c>
      <c r="K1919" s="70" t="n">
        <v>1612</v>
      </c>
      <c r="L1919" s="71" t="n">
        <v>3010.11</v>
      </c>
      <c r="M1919" s="71" t="n">
        <v>4852297.32</v>
      </c>
      <c r="N1919" s="71" t="n">
        <v>242614.87</v>
      </c>
      <c r="O1919" s="71" t="n">
        <v>4609682.45</v>
      </c>
      <c r="P1919" s="71" t="n">
        <v>685637.16</v>
      </c>
      <c r="Q1919" s="71" t="n">
        <v>3924045.29</v>
      </c>
      <c r="R1919" t="inlineStr">
        <is>
          <t>Oncology</t>
        </is>
      </c>
      <c r="S1919" s="70" t="n">
        <v>1119</v>
      </c>
      <c r="T1919" s="71" t="n">
        <v>702784.1800000001</v>
      </c>
      <c r="U1919" t="inlineStr">
        <is>
          <t>High</t>
        </is>
      </c>
      <c r="V1919">
        <f>IF(AND(OR(Dashboard!$C$6="All",E1919=Dashboard!$C$6),OR(Dashboard!$F$6="All",G1919=Dashboard!$F$6),OR(Dashboard!$I$6="All",H1919=Dashboard!$I$6)),1,0)</f>
        <v/>
      </c>
    </row>
    <row r="1920">
      <c r="A1920" t="inlineStr">
        <is>
          <t>PF101911</t>
        </is>
      </c>
      <c r="B1920" s="68" t="n">
        <v>45889</v>
      </c>
      <c r="C1920" s="69" t="n">
        <v>2025</v>
      </c>
      <c r="D1920" t="inlineStr">
        <is>
          <t>Aug</t>
        </is>
      </c>
      <c r="E1920" t="inlineStr">
        <is>
          <t>United States</t>
        </is>
      </c>
      <c r="F1920" t="inlineStr">
        <is>
          <t>USA</t>
        </is>
      </c>
      <c r="G1920" t="inlineStr">
        <is>
          <t>Ibrance</t>
        </is>
      </c>
      <c r="H1920" t="inlineStr">
        <is>
          <t>Government / tender</t>
        </is>
      </c>
      <c r="I1920" t="inlineStr">
        <is>
          <t>Private insurer</t>
        </is>
      </c>
      <c r="J1920" t="inlineStr">
        <is>
          <t>Fatima Al-Saud</t>
        </is>
      </c>
      <c r="K1920" s="70" t="n">
        <v>1077</v>
      </c>
      <c r="L1920" s="71" t="n">
        <v>4843.33</v>
      </c>
      <c r="M1920" s="71" t="n">
        <v>5216266.41</v>
      </c>
      <c r="N1920" s="71" t="n">
        <v>1304066.6</v>
      </c>
      <c r="O1920" s="71" t="n">
        <v>3912199.81</v>
      </c>
      <c r="P1920" s="71" t="n">
        <v>471636.31</v>
      </c>
      <c r="Q1920" s="71" t="n">
        <v>3440563.5</v>
      </c>
      <c r="R1920" t="inlineStr">
        <is>
          <t>Oncology</t>
        </is>
      </c>
      <c r="S1920" s="70" t="n">
        <v>1016</v>
      </c>
      <c r="T1920" s="71" t="n">
        <v>963293.87</v>
      </c>
      <c r="U1920" t="inlineStr">
        <is>
          <t>High</t>
        </is>
      </c>
      <c r="V1920">
        <f>IF(AND(OR(Dashboard!$C$6="All",E1920=Dashboard!$C$6),OR(Dashboard!$F$6="All",G1920=Dashboard!$F$6),OR(Dashboard!$I$6="All",H1920=Dashboard!$I$6)),1,0)</f>
        <v/>
      </c>
    </row>
    <row r="1921">
      <c r="A1921" t="inlineStr">
        <is>
          <t>PF101912</t>
        </is>
      </c>
      <c r="B1921" s="68" t="n">
        <v>45890</v>
      </c>
      <c r="C1921" s="69" t="n">
        <v>2025</v>
      </c>
      <c r="D1921" t="inlineStr">
        <is>
          <t>Aug</t>
        </is>
      </c>
      <c r="E1921" t="inlineStr">
        <is>
          <t>United States</t>
        </is>
      </c>
      <c r="F1921" t="inlineStr">
        <is>
          <t>USA</t>
        </is>
      </c>
      <c r="G1921" t="inlineStr">
        <is>
          <t>Eliquis</t>
        </is>
      </c>
      <c r="H1921" t="inlineStr">
        <is>
          <t>Hospital</t>
        </is>
      </c>
      <c r="I1921" t="inlineStr">
        <is>
          <t>Private insurer</t>
        </is>
      </c>
      <c r="J1921" t="inlineStr">
        <is>
          <t>Priya Nair</t>
        </is>
      </c>
      <c r="K1921" s="70" t="n">
        <v>1939</v>
      </c>
      <c r="L1921" s="71" t="n">
        <v>653.6799999999999</v>
      </c>
      <c r="M1921" s="71" t="n">
        <v>1267485.52</v>
      </c>
      <c r="N1921" s="71" t="n">
        <v>316871.38</v>
      </c>
      <c r="O1921" s="71" t="n">
        <v>950614.14</v>
      </c>
      <c r="P1921" s="71" t="n">
        <v>146962.29</v>
      </c>
      <c r="Q1921" s="71" t="n">
        <v>803651.85</v>
      </c>
      <c r="R1921" t="inlineStr">
        <is>
          <t>Cardiology</t>
        </is>
      </c>
      <c r="S1921" s="70" t="n">
        <v>1327</v>
      </c>
      <c r="T1921" s="71" t="n">
        <v>167674.17</v>
      </c>
      <c r="U1921" t="inlineStr">
        <is>
          <t>High</t>
        </is>
      </c>
      <c r="V1921">
        <f>IF(AND(OR(Dashboard!$C$6="All",E1921=Dashboard!$C$6),OR(Dashboard!$F$6="All",G1921=Dashboard!$F$6),OR(Dashboard!$I$6="All",H1921=Dashboard!$I$6)),1,0)</f>
        <v/>
      </c>
    </row>
    <row r="1922">
      <c r="A1922" t="inlineStr">
        <is>
          <t>PF101913</t>
        </is>
      </c>
      <c r="B1922" s="68" t="n">
        <v>45890</v>
      </c>
      <c r="C1922" s="69" t="n">
        <v>2025</v>
      </c>
      <c r="D1922" t="inlineStr">
        <is>
          <t>Aug</t>
        </is>
      </c>
      <c r="E1922" t="inlineStr">
        <is>
          <t>International developed</t>
        </is>
      </c>
      <c r="F1922" t="inlineStr">
        <is>
          <t>Canada</t>
        </is>
      </c>
      <c r="G1922" t="inlineStr">
        <is>
          <t>Prevnar 20</t>
        </is>
      </c>
      <c r="H1922" t="inlineStr">
        <is>
          <t>Hospital</t>
        </is>
      </c>
      <c r="I1922" t="inlineStr">
        <is>
          <t>Private insurer</t>
        </is>
      </c>
      <c r="J1922" t="inlineStr">
        <is>
          <t>Ana Costa</t>
        </is>
      </c>
      <c r="K1922" s="70" t="n">
        <v>2921</v>
      </c>
      <c r="L1922" s="71" t="n">
        <v>211.03</v>
      </c>
      <c r="M1922" s="71" t="n">
        <v>616418.63</v>
      </c>
      <c r="N1922" s="71" t="n">
        <v>154104.66</v>
      </c>
      <c r="O1922" s="71" t="n">
        <v>462313.97</v>
      </c>
      <c r="P1922" s="71" t="n">
        <v>203736.52</v>
      </c>
      <c r="Q1922" s="71" t="n">
        <v>258577.45</v>
      </c>
      <c r="R1922" t="inlineStr">
        <is>
          <t>Vaccines</t>
        </is>
      </c>
      <c r="S1922" s="70" t="n">
        <v>2154</v>
      </c>
      <c r="T1922" s="71" t="n">
        <v>120799.84</v>
      </c>
      <c r="U1922" t="inlineStr">
        <is>
          <t>Low</t>
        </is>
      </c>
      <c r="V1922">
        <f>IF(AND(OR(Dashboard!$C$6="All",E1922=Dashboard!$C$6),OR(Dashboard!$F$6="All",G1922=Dashboard!$F$6),OR(Dashboard!$I$6="All",H1922=Dashboard!$I$6)),1,0)</f>
        <v/>
      </c>
    </row>
    <row r="1923">
      <c r="A1923" t="inlineStr">
        <is>
          <t>PF101914</t>
        </is>
      </c>
      <c r="B1923" s="68" t="n">
        <v>45890</v>
      </c>
      <c r="C1923" s="69" t="n">
        <v>2025</v>
      </c>
      <c r="D1923" t="inlineStr">
        <is>
          <t>Aug</t>
        </is>
      </c>
      <c r="E1923" t="inlineStr">
        <is>
          <t>Emerging markets</t>
        </is>
      </c>
      <c r="F1923" t="inlineStr">
        <is>
          <t>Mexico</t>
        </is>
      </c>
      <c r="G1923" t="inlineStr">
        <is>
          <t>Paxlovid</t>
        </is>
      </c>
      <c r="H1923" t="inlineStr">
        <is>
          <t>Retail pharmacy</t>
        </is>
      </c>
      <c r="I1923" t="inlineStr">
        <is>
          <t>Public payer</t>
        </is>
      </c>
      <c r="J1923" t="inlineStr">
        <is>
          <t>Ravindra Patil</t>
        </is>
      </c>
      <c r="K1923" s="70" t="n">
        <v>2852</v>
      </c>
      <c r="L1923" s="71" t="n">
        <v>1171.44</v>
      </c>
      <c r="M1923" s="71" t="n">
        <v>3340946.88</v>
      </c>
      <c r="N1923" s="71" t="n">
        <v>501142.03</v>
      </c>
      <c r="O1923" s="71" t="n">
        <v>2839804.85</v>
      </c>
      <c r="P1923" s="71" t="n">
        <v>769272.22</v>
      </c>
      <c r="Q1923" s="71" t="n">
        <v>2070532.63</v>
      </c>
      <c r="R1923" t="inlineStr">
        <is>
          <t>Antiviral</t>
        </is>
      </c>
      <c r="S1923" s="70" t="n">
        <v>2012</v>
      </c>
      <c r="T1923" s="71" t="n">
        <v>561760.62</v>
      </c>
      <c r="U1923" t="inlineStr">
        <is>
          <t>Low</t>
        </is>
      </c>
      <c r="V1923">
        <f>IF(AND(OR(Dashboard!$C$6="All",E1923=Dashboard!$C$6),OR(Dashboard!$F$6="All",G1923=Dashboard!$F$6),OR(Dashboard!$I$6="All",H1923=Dashboard!$I$6)),1,0)</f>
        <v/>
      </c>
    </row>
    <row r="1924">
      <c r="A1924" t="inlineStr">
        <is>
          <t>PF101915</t>
        </is>
      </c>
      <c r="B1924" s="68" t="n">
        <v>45890</v>
      </c>
      <c r="C1924" s="69" t="n">
        <v>2025</v>
      </c>
      <c r="D1924" t="inlineStr">
        <is>
          <t>Aug</t>
        </is>
      </c>
      <c r="E1924" t="inlineStr">
        <is>
          <t>Emerging markets</t>
        </is>
      </c>
      <c r="F1924" t="inlineStr">
        <is>
          <t>India</t>
        </is>
      </c>
      <c r="G1924" t="inlineStr">
        <is>
          <t>Vyndaqel</t>
        </is>
      </c>
      <c r="H1924" t="inlineStr">
        <is>
          <t>Retail pharmacy</t>
        </is>
      </c>
      <c r="I1924" t="inlineStr">
        <is>
          <t>Public payer</t>
        </is>
      </c>
      <c r="J1924" t="inlineStr">
        <is>
          <t>Ana Costa</t>
        </is>
      </c>
      <c r="K1924" s="70" t="n">
        <v>1932</v>
      </c>
      <c r="L1924" s="71" t="n">
        <v>5338.16</v>
      </c>
      <c r="M1924" s="71" t="n">
        <v>10313325.12</v>
      </c>
      <c r="N1924" s="71" t="n">
        <v>2578331.28</v>
      </c>
      <c r="O1924" s="71" t="n">
        <v>7734993.84</v>
      </c>
      <c r="P1924" s="71" t="n">
        <v>1204290.31</v>
      </c>
      <c r="Q1924" s="71" t="n">
        <v>6530703.53</v>
      </c>
      <c r="R1924" t="inlineStr">
        <is>
          <t>Rare disease</t>
        </is>
      </c>
      <c r="S1924" s="70" t="n">
        <v>1322</v>
      </c>
      <c r="T1924" s="71" t="n">
        <v>2244173.85</v>
      </c>
      <c r="U1924" t="inlineStr">
        <is>
          <t>Medium</t>
        </is>
      </c>
      <c r="V1924">
        <f>IF(AND(OR(Dashboard!$C$6="All",E1924=Dashboard!$C$6),OR(Dashboard!$F$6="All",G1924=Dashboard!$F$6),OR(Dashboard!$I$6="All",H1924=Dashboard!$I$6)),1,0)</f>
        <v/>
      </c>
    </row>
    <row r="1925">
      <c r="A1925" t="inlineStr">
        <is>
          <t>PF101916</t>
        </is>
      </c>
      <c r="B1925" s="68" t="n">
        <v>45890</v>
      </c>
      <c r="C1925" s="69" t="n">
        <v>2025</v>
      </c>
      <c r="D1925" t="inlineStr">
        <is>
          <t>Aug</t>
        </is>
      </c>
      <c r="E1925" t="inlineStr">
        <is>
          <t>Europe</t>
        </is>
      </c>
      <c r="F1925" t="inlineStr">
        <is>
          <t>UK</t>
        </is>
      </c>
      <c r="G1925" t="inlineStr">
        <is>
          <t>Prevnar 20</t>
        </is>
      </c>
      <c r="H1925" t="inlineStr">
        <is>
          <t>Retail pharmacy</t>
        </is>
      </c>
      <c r="I1925" t="inlineStr">
        <is>
          <t>Private insurer</t>
        </is>
      </c>
      <c r="J1925" t="inlineStr">
        <is>
          <t>Arjun Mehta</t>
        </is>
      </c>
      <c r="K1925" s="70" t="n">
        <v>796</v>
      </c>
      <c r="L1925" s="71" t="n">
        <v>242.42</v>
      </c>
      <c r="M1925" s="71" t="n">
        <v>192966.32</v>
      </c>
      <c r="N1925" s="71" t="n">
        <v>9648.32</v>
      </c>
      <c r="O1925" s="71" t="n">
        <v>183318</v>
      </c>
      <c r="P1925" s="71" t="n">
        <v>56755.12</v>
      </c>
      <c r="Q1925" s="71" t="n">
        <v>126562.88</v>
      </c>
      <c r="R1925" t="inlineStr">
        <is>
          <t>Vaccines</t>
        </is>
      </c>
      <c r="S1925" s="70" t="n">
        <v>555</v>
      </c>
      <c r="T1925" s="71" t="n">
        <v>32122.53</v>
      </c>
      <c r="U1925" t="inlineStr">
        <is>
          <t>Low</t>
        </is>
      </c>
      <c r="V1925">
        <f>IF(AND(OR(Dashboard!$C$6="All",E1925=Dashboard!$C$6),OR(Dashboard!$F$6="All",G1925=Dashboard!$F$6),OR(Dashboard!$I$6="All",H1925=Dashboard!$I$6)),1,0)</f>
        <v/>
      </c>
    </row>
    <row r="1926">
      <c r="A1926" t="inlineStr">
        <is>
          <t>PF101917</t>
        </is>
      </c>
      <c r="B1926" s="68" t="n">
        <v>45890</v>
      </c>
      <c r="C1926" s="69" t="n">
        <v>2025</v>
      </c>
      <c r="D1926" t="inlineStr">
        <is>
          <t>Aug</t>
        </is>
      </c>
      <c r="E1926" t="inlineStr">
        <is>
          <t>United States</t>
        </is>
      </c>
      <c r="F1926" t="inlineStr">
        <is>
          <t>USA</t>
        </is>
      </c>
      <c r="G1926" t="inlineStr">
        <is>
          <t>Vyndaqel</t>
        </is>
      </c>
      <c r="H1926" t="inlineStr">
        <is>
          <t>Government / tender</t>
        </is>
      </c>
      <c r="I1926" t="inlineStr">
        <is>
          <t>Private insurer</t>
        </is>
      </c>
      <c r="J1926" t="inlineStr">
        <is>
          <t>Hiroshi Tanaka</t>
        </is>
      </c>
      <c r="K1926" s="70" t="n">
        <v>2477</v>
      </c>
      <c r="L1926" s="71" t="n">
        <v>8311.73</v>
      </c>
      <c r="M1926" s="71" t="n">
        <v>20588155.21</v>
      </c>
      <c r="N1926" s="71" t="n">
        <v>4117631.04</v>
      </c>
      <c r="O1926" s="71" t="n">
        <v>16470524.17</v>
      </c>
      <c r="P1926" s="71" t="n">
        <v>1567150.92</v>
      </c>
      <c r="Q1926" s="71" t="n">
        <v>14903373.25</v>
      </c>
      <c r="R1926" t="inlineStr">
        <is>
          <t>Rare disease</t>
        </is>
      </c>
      <c r="S1926" s="70" t="n">
        <v>1993</v>
      </c>
      <c r="T1926" s="71" t="n">
        <v>3655312.37</v>
      </c>
      <c r="U1926" t="inlineStr">
        <is>
          <t>Medium</t>
        </is>
      </c>
      <c r="V1926">
        <f>IF(AND(OR(Dashboard!$C$6="All",E1926=Dashboard!$C$6),OR(Dashboard!$F$6="All",G1926=Dashboard!$F$6),OR(Dashboard!$I$6="All",H1926=Dashboard!$I$6)),1,0)</f>
        <v/>
      </c>
    </row>
    <row r="1927">
      <c r="A1927" t="inlineStr">
        <is>
          <t>PF101918</t>
        </is>
      </c>
      <c r="B1927" s="68" t="n">
        <v>45890</v>
      </c>
      <c r="C1927" s="69" t="n">
        <v>2025</v>
      </c>
      <c r="D1927" t="inlineStr">
        <is>
          <t>Aug</t>
        </is>
      </c>
      <c r="E1927" t="inlineStr">
        <is>
          <t>United States</t>
        </is>
      </c>
      <c r="F1927" t="inlineStr">
        <is>
          <t>USA</t>
        </is>
      </c>
      <c r="G1927" t="inlineStr">
        <is>
          <t>Abrysvo</t>
        </is>
      </c>
      <c r="H1927" t="inlineStr">
        <is>
          <t>Hospital</t>
        </is>
      </c>
      <c r="I1927" t="inlineStr">
        <is>
          <t>Private insurer</t>
        </is>
      </c>
      <c r="J1927" t="inlineStr">
        <is>
          <t>Amir Khan</t>
        </is>
      </c>
      <c r="K1927" s="70" t="n">
        <v>1093</v>
      </c>
      <c r="L1927" s="71" t="n">
        <v>436.93</v>
      </c>
      <c r="M1927" s="71" t="n">
        <v>477564.49</v>
      </c>
      <c r="N1927" s="71" t="n">
        <v>71634.67</v>
      </c>
      <c r="O1927" s="71" t="n">
        <v>405929.82</v>
      </c>
      <c r="P1927" s="71" t="n">
        <v>93653.49000000001</v>
      </c>
      <c r="Q1927" s="71" t="n">
        <v>312276.33</v>
      </c>
      <c r="R1927" t="inlineStr">
        <is>
          <t>Vaccines</t>
        </is>
      </c>
      <c r="S1927" s="70" t="n">
        <v>871</v>
      </c>
      <c r="T1927" s="71" t="n">
        <v>96941.66</v>
      </c>
      <c r="U1927" t="inlineStr">
        <is>
          <t>Low</t>
        </is>
      </c>
      <c r="V1927">
        <f>IF(AND(OR(Dashboard!$C$6="All",E1927=Dashboard!$C$6),OR(Dashboard!$F$6="All",G1927=Dashboard!$F$6),OR(Dashboard!$I$6="All",H1927=Dashboard!$I$6)),1,0)</f>
        <v/>
      </c>
    </row>
    <row r="1928">
      <c r="A1928" t="inlineStr">
        <is>
          <t>PF101919</t>
        </is>
      </c>
      <c r="B1928" s="68" t="n">
        <v>45890</v>
      </c>
      <c r="C1928" s="69" t="n">
        <v>2025</v>
      </c>
      <c r="D1928" t="inlineStr">
        <is>
          <t>Aug</t>
        </is>
      </c>
      <c r="E1928" t="inlineStr">
        <is>
          <t>Europe</t>
        </is>
      </c>
      <c r="F1928" t="inlineStr">
        <is>
          <t>Spain</t>
        </is>
      </c>
      <c r="G1928" t="inlineStr">
        <is>
          <t>Abrysvo</t>
        </is>
      </c>
      <c r="H1928" t="inlineStr">
        <is>
          <t>Retail pharmacy</t>
        </is>
      </c>
      <c r="I1928" t="inlineStr">
        <is>
          <t>Private insurer</t>
        </is>
      </c>
      <c r="J1928" t="inlineStr">
        <is>
          <t>Olivia Brown</t>
        </is>
      </c>
      <c r="K1928" s="70" t="n">
        <v>2130</v>
      </c>
      <c r="L1928" s="71" t="n">
        <v>276.82</v>
      </c>
      <c r="M1928" s="71" t="n">
        <v>589626.6</v>
      </c>
      <c r="N1928" s="71" t="n">
        <v>88443.99000000001</v>
      </c>
      <c r="O1928" s="71" t="n">
        <v>501182.61</v>
      </c>
      <c r="P1928" s="71" t="n">
        <v>175402.48</v>
      </c>
      <c r="Q1928" s="71" t="n">
        <v>325780.13</v>
      </c>
      <c r="R1928" t="inlineStr">
        <is>
          <t>Vaccines</t>
        </is>
      </c>
      <c r="S1928" s="70" t="n">
        <v>1441</v>
      </c>
      <c r="T1928" s="71" t="n">
        <v>88594.42</v>
      </c>
      <c r="U1928" t="inlineStr">
        <is>
          <t>Low</t>
        </is>
      </c>
      <c r="V1928">
        <f>IF(AND(OR(Dashboard!$C$6="All",E1928=Dashboard!$C$6),OR(Dashboard!$F$6="All",G1928=Dashboard!$F$6),OR(Dashboard!$I$6="All",H1928=Dashboard!$I$6)),1,0)</f>
        <v/>
      </c>
    </row>
    <row r="1929">
      <c r="A1929" t="inlineStr">
        <is>
          <t>PF101920</t>
        </is>
      </c>
      <c r="B1929" s="68" t="n">
        <v>45890</v>
      </c>
      <c r="C1929" s="69" t="n">
        <v>2025</v>
      </c>
      <c r="D1929" t="inlineStr">
        <is>
          <t>Aug</t>
        </is>
      </c>
      <c r="E1929" t="inlineStr">
        <is>
          <t>Emerging markets</t>
        </is>
      </c>
      <c r="F1929" t="inlineStr">
        <is>
          <t>Brazil</t>
        </is>
      </c>
      <c r="G1929" t="inlineStr">
        <is>
          <t>Paxlovid</t>
        </is>
      </c>
      <c r="H1929" t="inlineStr">
        <is>
          <t>Retail pharmacy</t>
        </is>
      </c>
      <c r="I1929" t="inlineStr">
        <is>
          <t>Public payer</t>
        </is>
      </c>
      <c r="J1929" t="inlineStr">
        <is>
          <t>Yuki Sato</t>
        </is>
      </c>
      <c r="K1929" s="70" t="n">
        <v>2150</v>
      </c>
      <c r="L1929" s="71" t="n">
        <v>1040.09</v>
      </c>
      <c r="M1929" s="71" t="n">
        <v>2236193.5</v>
      </c>
      <c r="N1929" s="71" t="n">
        <v>111809.68</v>
      </c>
      <c r="O1929" s="71" t="n">
        <v>2124383.82</v>
      </c>
      <c r="P1929" s="71" t="n">
        <v>578907.1</v>
      </c>
      <c r="Q1929" s="71" t="n">
        <v>1545476.72</v>
      </c>
      <c r="R1929" t="inlineStr">
        <is>
          <t>Antiviral</t>
        </is>
      </c>
      <c r="S1929" s="70" t="n">
        <v>2080</v>
      </c>
      <c r="T1929" s="71" t="n">
        <v>386584.61</v>
      </c>
      <c r="U1929" t="inlineStr">
        <is>
          <t>Low</t>
        </is>
      </c>
      <c r="V1929">
        <f>IF(AND(OR(Dashboard!$C$6="All",E1929=Dashboard!$C$6),OR(Dashboard!$F$6="All",G1929=Dashboard!$F$6),OR(Dashboard!$I$6="All",H1929=Dashboard!$I$6)),1,0)</f>
        <v/>
      </c>
    </row>
    <row r="1930">
      <c r="A1930" t="inlineStr">
        <is>
          <t>PF101921</t>
        </is>
      </c>
      <c r="B1930" s="68" t="n">
        <v>45890</v>
      </c>
      <c r="C1930" s="69" t="n">
        <v>2025</v>
      </c>
      <c r="D1930" t="inlineStr">
        <is>
          <t>Aug</t>
        </is>
      </c>
      <c r="E1930" t="inlineStr">
        <is>
          <t>Europe</t>
        </is>
      </c>
      <c r="F1930" t="inlineStr">
        <is>
          <t>France</t>
        </is>
      </c>
      <c r="G1930" t="inlineStr">
        <is>
          <t>Prevnar 20</t>
        </is>
      </c>
      <c r="H1930" t="inlineStr">
        <is>
          <t>Retail pharmacy</t>
        </is>
      </c>
      <c r="I1930" t="inlineStr">
        <is>
          <t>Public payer</t>
        </is>
      </c>
      <c r="J1930" t="inlineStr">
        <is>
          <t>Liam O'Brien</t>
        </is>
      </c>
      <c r="K1930" s="70" t="n">
        <v>1393</v>
      </c>
      <c r="L1930" s="71" t="n">
        <v>244.42</v>
      </c>
      <c r="M1930" s="71" t="n">
        <v>340477.06</v>
      </c>
      <c r="N1930" s="71" t="n">
        <v>34047.71</v>
      </c>
      <c r="O1930" s="71" t="n">
        <v>306429.35</v>
      </c>
      <c r="P1930" s="71" t="n">
        <v>97434.10000000001</v>
      </c>
      <c r="Q1930" s="71" t="n">
        <v>208995.25</v>
      </c>
      <c r="R1930" t="inlineStr">
        <is>
          <t>Vaccines</t>
        </is>
      </c>
      <c r="S1930" s="70" t="n">
        <v>1257</v>
      </c>
      <c r="T1930" s="71" t="n">
        <v>55166.91</v>
      </c>
      <c r="U1930" t="inlineStr">
        <is>
          <t>Low</t>
        </is>
      </c>
      <c r="V1930">
        <f>IF(AND(OR(Dashboard!$C$6="All",E1930=Dashboard!$C$6),OR(Dashboard!$F$6="All",G1930=Dashboard!$F$6),OR(Dashboard!$I$6="All",H1930=Dashboard!$I$6)),1,0)</f>
        <v/>
      </c>
    </row>
    <row r="1931">
      <c r="A1931" t="inlineStr">
        <is>
          <t>PF101922</t>
        </is>
      </c>
      <c r="B1931" s="68" t="n">
        <v>45890</v>
      </c>
      <c r="C1931" s="69" t="n">
        <v>2025</v>
      </c>
      <c r="D1931" t="inlineStr">
        <is>
          <t>Aug</t>
        </is>
      </c>
      <c r="E1931" t="inlineStr">
        <is>
          <t>United States</t>
        </is>
      </c>
      <c r="F1931" t="inlineStr">
        <is>
          <t>USA</t>
        </is>
      </c>
      <c r="G1931" t="inlineStr">
        <is>
          <t>Comirnaty</t>
        </is>
      </c>
      <c r="H1931" t="inlineStr">
        <is>
          <t>Government / tender</t>
        </is>
      </c>
      <c r="I1931" t="inlineStr">
        <is>
          <t>Public payer</t>
        </is>
      </c>
      <c r="J1931" t="inlineStr">
        <is>
          <t>Wei Chen</t>
        </is>
      </c>
      <c r="K1931" s="70" t="n">
        <v>212</v>
      </c>
      <c r="L1931" s="71" t="n">
        <v>192.38</v>
      </c>
      <c r="M1931" s="71" t="n">
        <v>40784.56</v>
      </c>
      <c r="N1931" s="71" t="n">
        <v>14274.6</v>
      </c>
      <c r="O1931" s="71" t="n">
        <v>26509.96</v>
      </c>
      <c r="P1931" s="71" t="n">
        <v>8288.219999999999</v>
      </c>
      <c r="Q1931" s="71" t="n">
        <v>18221.74</v>
      </c>
      <c r="R1931" t="inlineStr">
        <is>
          <t>Vaccines</t>
        </is>
      </c>
      <c r="S1931" s="70" t="n">
        <v>135</v>
      </c>
      <c r="T1931" s="71" t="n">
        <v>4995.33</v>
      </c>
      <c r="U1931" t="inlineStr">
        <is>
          <t>Low</t>
        </is>
      </c>
      <c r="V1931">
        <f>IF(AND(OR(Dashboard!$C$6="All",E1931=Dashboard!$C$6),OR(Dashboard!$F$6="All",G1931=Dashboard!$F$6),OR(Dashboard!$I$6="All",H1931=Dashboard!$I$6)),1,0)</f>
        <v/>
      </c>
    </row>
    <row r="1932">
      <c r="A1932" t="inlineStr">
        <is>
          <t>PF101923</t>
        </is>
      </c>
      <c r="B1932" s="68" t="n">
        <v>45890</v>
      </c>
      <c r="C1932" s="69" t="n">
        <v>2025</v>
      </c>
      <c r="D1932" t="inlineStr">
        <is>
          <t>Aug</t>
        </is>
      </c>
      <c r="E1932" t="inlineStr">
        <is>
          <t>Emerging markets</t>
        </is>
      </c>
      <c r="F1932" t="inlineStr">
        <is>
          <t>China</t>
        </is>
      </c>
      <c r="G1932" t="inlineStr">
        <is>
          <t>Eliquis</t>
        </is>
      </c>
      <c r="H1932" t="inlineStr">
        <is>
          <t>Hospital</t>
        </is>
      </c>
      <c r="I1932" t="inlineStr">
        <is>
          <t>Private insurer</t>
        </is>
      </c>
      <c r="J1932" t="inlineStr">
        <is>
          <t>Carlos Silva</t>
        </is>
      </c>
      <c r="K1932" s="70" t="n">
        <v>1181</v>
      </c>
      <c r="L1932" s="71" t="n">
        <v>422.36</v>
      </c>
      <c r="M1932" s="71" t="n">
        <v>498807.16</v>
      </c>
      <c r="N1932" s="71" t="n">
        <v>124701.79</v>
      </c>
      <c r="O1932" s="71" t="n">
        <v>374105.37</v>
      </c>
      <c r="P1932" s="71" t="n">
        <v>88704.25</v>
      </c>
      <c r="Q1932" s="71" t="n">
        <v>285401.12</v>
      </c>
      <c r="R1932" t="inlineStr">
        <is>
          <t>Cardiology</t>
        </is>
      </c>
      <c r="S1932" s="70" t="n">
        <v>935</v>
      </c>
      <c r="T1932" s="71" t="n">
        <v>91435.38</v>
      </c>
      <c r="U1932" t="inlineStr">
        <is>
          <t>High</t>
        </is>
      </c>
      <c r="V1932">
        <f>IF(AND(OR(Dashboard!$C$6="All",E1932=Dashboard!$C$6),OR(Dashboard!$F$6="All",G1932=Dashboard!$F$6),OR(Dashboard!$I$6="All",H1932=Dashboard!$I$6)),1,0)</f>
        <v/>
      </c>
    </row>
    <row r="1933">
      <c r="A1933" t="inlineStr">
        <is>
          <t>PF101924</t>
        </is>
      </c>
      <c r="B1933" s="68" t="n">
        <v>45890</v>
      </c>
      <c r="C1933" s="69" t="n">
        <v>2025</v>
      </c>
      <c r="D1933" t="inlineStr">
        <is>
          <t>Aug</t>
        </is>
      </c>
      <c r="E1933" t="inlineStr">
        <is>
          <t>United States</t>
        </is>
      </c>
      <c r="F1933" t="inlineStr">
        <is>
          <t>USA</t>
        </is>
      </c>
      <c r="G1933" t="inlineStr">
        <is>
          <t>Comirnaty</t>
        </is>
      </c>
      <c r="H1933" t="inlineStr">
        <is>
          <t>Hospital</t>
        </is>
      </c>
      <c r="I1933" t="inlineStr">
        <is>
          <t>Private insurer</t>
        </is>
      </c>
      <c r="J1933" t="inlineStr">
        <is>
          <t>Ana Costa</t>
        </is>
      </c>
      <c r="K1933" s="70" t="n">
        <v>2686</v>
      </c>
      <c r="L1933" s="71" t="n">
        <v>185.63</v>
      </c>
      <c r="M1933" s="71" t="n">
        <v>498602.18</v>
      </c>
      <c r="N1933" s="71" t="n">
        <v>99720.44</v>
      </c>
      <c r="O1933" s="71" t="n">
        <v>398881.74</v>
      </c>
      <c r="P1933" s="71" t="n">
        <v>100028.54</v>
      </c>
      <c r="Q1933" s="71" t="n">
        <v>298853.2</v>
      </c>
      <c r="R1933" t="inlineStr">
        <is>
          <t>Vaccines</t>
        </is>
      </c>
      <c r="S1933" s="70" t="n">
        <v>2182</v>
      </c>
      <c r="T1933" s="71" t="n">
        <v>108642.79</v>
      </c>
      <c r="U1933" t="inlineStr">
        <is>
          <t>Low</t>
        </is>
      </c>
      <c r="V1933">
        <f>IF(AND(OR(Dashboard!$C$6="All",E1933=Dashboard!$C$6),OR(Dashboard!$F$6="All",G1933=Dashboard!$F$6),OR(Dashboard!$I$6="All",H1933=Dashboard!$I$6)),1,0)</f>
        <v/>
      </c>
    </row>
    <row r="1934">
      <c r="A1934" t="inlineStr">
        <is>
          <t>PF101925</t>
        </is>
      </c>
      <c r="B1934" s="68" t="n">
        <v>45890</v>
      </c>
      <c r="C1934" s="69" t="n">
        <v>2025</v>
      </c>
      <c r="D1934" t="inlineStr">
        <is>
          <t>Aug</t>
        </is>
      </c>
      <c r="E1934" t="inlineStr">
        <is>
          <t>United States</t>
        </is>
      </c>
      <c r="F1934" t="inlineStr">
        <is>
          <t>USA</t>
        </is>
      </c>
      <c r="G1934" t="inlineStr">
        <is>
          <t>Eliquis</t>
        </is>
      </c>
      <c r="H1934" t="inlineStr">
        <is>
          <t>Hospital</t>
        </is>
      </c>
      <c r="I1934" t="inlineStr">
        <is>
          <t>Private insurer</t>
        </is>
      </c>
      <c r="J1934" t="inlineStr">
        <is>
          <t>Liam O'Brien</t>
        </is>
      </c>
      <c r="K1934" s="70" t="n">
        <v>1362</v>
      </c>
      <c r="L1934" s="71" t="n">
        <v>620.1799999999999</v>
      </c>
      <c r="M1934" s="71" t="n">
        <v>844685.16</v>
      </c>
      <c r="N1934" s="71" t="n">
        <v>126702.77</v>
      </c>
      <c r="O1934" s="71" t="n">
        <v>717982.39</v>
      </c>
      <c r="P1934" s="71" t="n">
        <v>104248.34</v>
      </c>
      <c r="Q1934" s="71" t="n">
        <v>613734.05</v>
      </c>
      <c r="R1934" t="inlineStr">
        <is>
          <t>Cardiology</t>
        </is>
      </c>
      <c r="S1934" s="70" t="n">
        <v>1054</v>
      </c>
      <c r="T1934" s="71" t="n">
        <v>182576.72</v>
      </c>
      <c r="U1934" t="inlineStr">
        <is>
          <t>High</t>
        </is>
      </c>
      <c r="V1934">
        <f>IF(AND(OR(Dashboard!$C$6="All",E1934=Dashboard!$C$6),OR(Dashboard!$F$6="All",G1934=Dashboard!$F$6),OR(Dashboard!$I$6="All",H1934=Dashboard!$I$6)),1,0)</f>
        <v/>
      </c>
    </row>
    <row r="1935">
      <c r="A1935" t="inlineStr">
        <is>
          <t>PF101926</t>
        </is>
      </c>
      <c r="B1935" s="68" t="n">
        <v>45890</v>
      </c>
      <c r="C1935" s="69" t="n">
        <v>2025</v>
      </c>
      <c r="D1935" t="inlineStr">
        <is>
          <t>Aug</t>
        </is>
      </c>
      <c r="E1935" t="inlineStr">
        <is>
          <t>United States</t>
        </is>
      </c>
      <c r="F1935" t="inlineStr">
        <is>
          <t>USA</t>
        </is>
      </c>
      <c r="G1935" t="inlineStr">
        <is>
          <t>Prevnar 20</t>
        </is>
      </c>
      <c r="H1935" t="inlineStr">
        <is>
          <t>Retail pharmacy</t>
        </is>
      </c>
      <c r="I1935" t="inlineStr">
        <is>
          <t>Self-pay</t>
        </is>
      </c>
      <c r="J1935" t="inlineStr">
        <is>
          <t>Emma Clarke</t>
        </is>
      </c>
      <c r="K1935" s="70" t="n">
        <v>2202</v>
      </c>
      <c r="L1935" s="71" t="n">
        <v>389.95</v>
      </c>
      <c r="M1935" s="71" t="n">
        <v>858669.9</v>
      </c>
      <c r="N1935" s="71" t="n">
        <v>257600.97</v>
      </c>
      <c r="O1935" s="71" t="n">
        <v>601068.9300000001</v>
      </c>
      <c r="P1935" s="71" t="n">
        <v>147306.02</v>
      </c>
      <c r="Q1935" s="71" t="n">
        <v>453762.91</v>
      </c>
      <c r="R1935" t="inlineStr">
        <is>
          <t>Vaccines</t>
        </is>
      </c>
      <c r="S1935" s="70" t="n">
        <v>1936</v>
      </c>
      <c r="T1935" s="71" t="n">
        <v>124120.41</v>
      </c>
      <c r="U1935" t="inlineStr">
        <is>
          <t>Low</t>
        </is>
      </c>
      <c r="V1935">
        <f>IF(AND(OR(Dashboard!$C$6="All",E1935=Dashboard!$C$6),OR(Dashboard!$F$6="All",G1935=Dashboard!$F$6),OR(Dashboard!$I$6="All",H1935=Dashboard!$I$6)),1,0)</f>
        <v/>
      </c>
    </row>
    <row r="1936">
      <c r="A1936" t="inlineStr">
        <is>
          <t>PF101927</t>
        </is>
      </c>
      <c r="B1936" s="68" t="n">
        <v>45890</v>
      </c>
      <c r="C1936" s="69" t="n">
        <v>2025</v>
      </c>
      <c r="D1936" t="inlineStr">
        <is>
          <t>Aug</t>
        </is>
      </c>
      <c r="E1936" t="inlineStr">
        <is>
          <t>United States</t>
        </is>
      </c>
      <c r="F1936" t="inlineStr">
        <is>
          <t>USA</t>
        </is>
      </c>
      <c r="G1936" t="inlineStr">
        <is>
          <t>Ibrance</t>
        </is>
      </c>
      <c r="H1936" t="inlineStr">
        <is>
          <t>Hospital</t>
        </is>
      </c>
      <c r="I1936" t="inlineStr">
        <is>
          <t>Private insurer</t>
        </is>
      </c>
      <c r="J1936" t="inlineStr">
        <is>
          <t>Shraddha Kulkarni</t>
        </is>
      </c>
      <c r="K1936" s="70" t="n">
        <v>519</v>
      </c>
      <c r="L1936" s="71" t="n">
        <v>4352.74</v>
      </c>
      <c r="M1936" s="71" t="n">
        <v>2259072.06</v>
      </c>
      <c r="N1936" s="71" t="n">
        <v>338860.81</v>
      </c>
      <c r="O1936" s="71" t="n">
        <v>1920211.25</v>
      </c>
      <c r="P1936" s="71" t="n">
        <v>217672.71</v>
      </c>
      <c r="Q1936" s="71" t="n">
        <v>1702538.54</v>
      </c>
      <c r="R1936" t="inlineStr">
        <is>
          <t>Oncology</t>
        </is>
      </c>
      <c r="S1936" s="70" t="n">
        <v>387</v>
      </c>
      <c r="T1936" s="71" t="n">
        <v>453292.04</v>
      </c>
      <c r="U1936" t="inlineStr">
        <is>
          <t>High</t>
        </is>
      </c>
      <c r="V1936">
        <f>IF(AND(OR(Dashboard!$C$6="All",E1936=Dashboard!$C$6),OR(Dashboard!$F$6="All",G1936=Dashboard!$F$6),OR(Dashboard!$I$6="All",H1936=Dashboard!$I$6)),1,0)</f>
        <v/>
      </c>
    </row>
    <row r="1937">
      <c r="A1937" t="inlineStr">
        <is>
          <t>PF101928</t>
        </is>
      </c>
      <c r="B1937" s="68" t="n">
        <v>45891</v>
      </c>
      <c r="C1937" s="69" t="n">
        <v>2025</v>
      </c>
      <c r="D1937" t="inlineStr">
        <is>
          <t>Aug</t>
        </is>
      </c>
      <c r="E1937" t="inlineStr">
        <is>
          <t>United States</t>
        </is>
      </c>
      <c r="F1937" t="inlineStr">
        <is>
          <t>USA</t>
        </is>
      </c>
      <c r="G1937" t="inlineStr">
        <is>
          <t>Eliquis</t>
        </is>
      </c>
      <c r="H1937" t="inlineStr">
        <is>
          <t>Retail pharmacy</t>
        </is>
      </c>
      <c r="I1937" t="inlineStr">
        <is>
          <t>Private insurer</t>
        </is>
      </c>
      <c r="J1937" t="inlineStr">
        <is>
          <t>Zoya Ahmed</t>
        </is>
      </c>
      <c r="K1937" s="70" t="n">
        <v>970</v>
      </c>
      <c r="L1937" s="71" t="n">
        <v>709.14</v>
      </c>
      <c r="M1937" s="71" t="n">
        <v>687865.8</v>
      </c>
      <c r="N1937" s="71" t="n">
        <v>137573.16</v>
      </c>
      <c r="O1937" s="71" t="n">
        <v>550292.64</v>
      </c>
      <c r="P1937" s="71" t="n">
        <v>71576.09</v>
      </c>
      <c r="Q1937" s="71" t="n">
        <v>478716.55</v>
      </c>
      <c r="R1937" t="inlineStr">
        <is>
          <t>Cardiology</t>
        </is>
      </c>
      <c r="S1937" s="70" t="n">
        <v>838</v>
      </c>
      <c r="T1937" s="71" t="n">
        <v>120915.71</v>
      </c>
      <c r="U1937" t="inlineStr">
        <is>
          <t>High</t>
        </is>
      </c>
      <c r="V1937">
        <f>IF(AND(OR(Dashboard!$C$6="All",E1937=Dashboard!$C$6),OR(Dashboard!$F$6="All",G1937=Dashboard!$F$6),OR(Dashboard!$I$6="All",H1937=Dashboard!$I$6)),1,0)</f>
        <v/>
      </c>
    </row>
    <row r="1938">
      <c r="A1938" t="inlineStr">
        <is>
          <t>PF101929</t>
        </is>
      </c>
      <c r="B1938" s="68" t="n">
        <v>45891</v>
      </c>
      <c r="C1938" s="69" t="n">
        <v>2025</v>
      </c>
      <c r="D1938" t="inlineStr">
        <is>
          <t>Aug</t>
        </is>
      </c>
      <c r="E1938" t="inlineStr">
        <is>
          <t>Europe</t>
        </is>
      </c>
      <c r="F1938" t="inlineStr">
        <is>
          <t>Germany</t>
        </is>
      </c>
      <c r="G1938" t="inlineStr">
        <is>
          <t>Ibrance</t>
        </is>
      </c>
      <c r="H1938" t="inlineStr">
        <is>
          <t>Government / tender</t>
        </is>
      </c>
      <c r="I1938" t="inlineStr">
        <is>
          <t>Self-pay</t>
        </is>
      </c>
      <c r="J1938" t="inlineStr">
        <is>
          <t>Emma Clarke</t>
        </is>
      </c>
      <c r="K1938" s="70" t="n">
        <v>234</v>
      </c>
      <c r="L1938" s="71" t="n">
        <v>2949.64</v>
      </c>
      <c r="M1938" s="71" t="n">
        <v>690215.76</v>
      </c>
      <c r="N1938" s="71" t="n">
        <v>69021.58</v>
      </c>
      <c r="O1938" s="71" t="n">
        <v>621194.1800000001</v>
      </c>
      <c r="P1938" s="71" t="n">
        <v>103589.43</v>
      </c>
      <c r="Q1938" s="71" t="n">
        <v>517604.75</v>
      </c>
      <c r="R1938" t="inlineStr">
        <is>
          <t>Oncology</t>
        </is>
      </c>
      <c r="S1938" s="70" t="n">
        <v>159</v>
      </c>
      <c r="T1938" s="71" t="n">
        <v>121355.05</v>
      </c>
      <c r="U1938" t="inlineStr">
        <is>
          <t>High</t>
        </is>
      </c>
      <c r="V1938">
        <f>IF(AND(OR(Dashboard!$C$6="All",E1938=Dashboard!$C$6),OR(Dashboard!$F$6="All",G1938=Dashboard!$F$6),OR(Dashboard!$I$6="All",H1938=Dashboard!$I$6)),1,0)</f>
        <v/>
      </c>
    </row>
    <row r="1939">
      <c r="A1939" t="inlineStr">
        <is>
          <t>PF101930</t>
        </is>
      </c>
      <c r="B1939" s="68" t="n">
        <v>45891</v>
      </c>
      <c r="C1939" s="69" t="n">
        <v>2025</v>
      </c>
      <c r="D1939" t="inlineStr">
        <is>
          <t>Aug</t>
        </is>
      </c>
      <c r="E1939" t="inlineStr">
        <is>
          <t>United States</t>
        </is>
      </c>
      <c r="F1939" t="inlineStr">
        <is>
          <t>USA</t>
        </is>
      </c>
      <c r="G1939" t="inlineStr">
        <is>
          <t>Prevnar 20</t>
        </is>
      </c>
      <c r="H1939" t="inlineStr">
        <is>
          <t>Government / tender</t>
        </is>
      </c>
      <c r="I1939" t="inlineStr">
        <is>
          <t>Public payer</t>
        </is>
      </c>
      <c r="J1939" t="inlineStr">
        <is>
          <t>Zoya Ahmed</t>
        </is>
      </c>
      <c r="K1939" s="70" t="n">
        <v>838</v>
      </c>
      <c r="L1939" s="71" t="n">
        <v>393.66</v>
      </c>
      <c r="M1939" s="71" t="n">
        <v>329887.08</v>
      </c>
      <c r="N1939" s="71" t="n">
        <v>98966.12</v>
      </c>
      <c r="O1939" s="71" t="n">
        <v>230920.96</v>
      </c>
      <c r="P1939" s="71" t="n">
        <v>57420.78</v>
      </c>
      <c r="Q1939" s="71" t="n">
        <v>173500.18</v>
      </c>
      <c r="R1939" t="inlineStr">
        <is>
          <t>Vaccines</t>
        </is>
      </c>
      <c r="S1939" s="70" t="n">
        <v>600</v>
      </c>
      <c r="T1939" s="71" t="n">
        <v>44706.75</v>
      </c>
      <c r="U1939" t="inlineStr">
        <is>
          <t>Low</t>
        </is>
      </c>
      <c r="V1939">
        <f>IF(AND(OR(Dashboard!$C$6="All",E1939=Dashboard!$C$6),OR(Dashboard!$F$6="All",G1939=Dashboard!$F$6),OR(Dashboard!$I$6="All",H1939=Dashboard!$I$6)),1,0)</f>
        <v/>
      </c>
    </row>
    <row r="1940">
      <c r="A1940" t="inlineStr">
        <is>
          <t>PF101931</t>
        </is>
      </c>
      <c r="B1940" s="68" t="n">
        <v>45891</v>
      </c>
      <c r="C1940" s="69" t="n">
        <v>2025</v>
      </c>
      <c r="D1940" t="inlineStr">
        <is>
          <t>Aug</t>
        </is>
      </c>
      <c r="E1940" t="inlineStr">
        <is>
          <t>Emerging markets</t>
        </is>
      </c>
      <c r="F1940" t="inlineStr">
        <is>
          <t>India</t>
        </is>
      </c>
      <c r="G1940" t="inlineStr">
        <is>
          <t>Eliquis</t>
        </is>
      </c>
      <c r="H1940" t="inlineStr">
        <is>
          <t>Retail pharmacy</t>
        </is>
      </c>
      <c r="I1940" t="inlineStr">
        <is>
          <t>Public payer</t>
        </is>
      </c>
      <c r="J1940" t="inlineStr">
        <is>
          <t>Zoya Ahmed</t>
        </is>
      </c>
      <c r="K1940" s="70" t="n">
        <v>1087</v>
      </c>
      <c r="L1940" s="71" t="n">
        <v>410.3</v>
      </c>
      <c r="M1940" s="71" t="n">
        <v>445996.1</v>
      </c>
      <c r="N1940" s="71" t="n">
        <v>66899.41</v>
      </c>
      <c r="O1940" s="71" t="n">
        <v>379096.69</v>
      </c>
      <c r="P1940" s="71" t="n">
        <v>85147.75</v>
      </c>
      <c r="Q1940" s="71" t="n">
        <v>293948.94</v>
      </c>
      <c r="R1940" t="inlineStr">
        <is>
          <t>Cardiology</t>
        </is>
      </c>
      <c r="S1940" s="70" t="n">
        <v>707</v>
      </c>
      <c r="T1940" s="71" t="n">
        <v>60905.29</v>
      </c>
      <c r="U1940" t="inlineStr">
        <is>
          <t>High</t>
        </is>
      </c>
      <c r="V1940">
        <f>IF(AND(OR(Dashboard!$C$6="All",E1940=Dashboard!$C$6),OR(Dashboard!$F$6="All",G1940=Dashboard!$F$6),OR(Dashboard!$I$6="All",H1940=Dashboard!$I$6)),1,0)</f>
        <v/>
      </c>
    </row>
    <row r="1941">
      <c r="A1941" t="inlineStr">
        <is>
          <t>PF101932</t>
        </is>
      </c>
      <c r="B1941" s="68" t="n">
        <v>45891</v>
      </c>
      <c r="C1941" s="69" t="n">
        <v>2025</v>
      </c>
      <c r="D1941" t="inlineStr">
        <is>
          <t>Aug</t>
        </is>
      </c>
      <c r="E1941" t="inlineStr">
        <is>
          <t>United States</t>
        </is>
      </c>
      <c r="F1941" t="inlineStr">
        <is>
          <t>USA</t>
        </is>
      </c>
      <c r="G1941" t="inlineStr">
        <is>
          <t>Prevnar 20</t>
        </is>
      </c>
      <c r="H1941" t="inlineStr">
        <is>
          <t>Hospital</t>
        </is>
      </c>
      <c r="I1941" t="inlineStr">
        <is>
          <t>Private insurer</t>
        </is>
      </c>
      <c r="J1941" t="inlineStr">
        <is>
          <t>Olivia Brown</t>
        </is>
      </c>
      <c r="K1941" s="70" t="n">
        <v>1204</v>
      </c>
      <c r="L1941" s="71" t="n">
        <v>375.12</v>
      </c>
      <c r="M1941" s="71" t="n">
        <v>451644.48</v>
      </c>
      <c r="N1941" s="71" t="n">
        <v>67746.67</v>
      </c>
      <c r="O1941" s="71" t="n">
        <v>383897.81</v>
      </c>
      <c r="P1941" s="71" t="n">
        <v>82583.47</v>
      </c>
      <c r="Q1941" s="71" t="n">
        <v>301314.34</v>
      </c>
      <c r="R1941" t="inlineStr">
        <is>
          <t>Vaccines</t>
        </is>
      </c>
      <c r="S1941" s="70" t="n">
        <v>967</v>
      </c>
      <c r="T1941" s="71" t="n">
        <v>80061.49000000001</v>
      </c>
      <c r="U1941" t="inlineStr">
        <is>
          <t>Low</t>
        </is>
      </c>
      <c r="V1941">
        <f>IF(AND(OR(Dashboard!$C$6="All",E1941=Dashboard!$C$6),OR(Dashboard!$F$6="All",G1941=Dashboard!$F$6),OR(Dashboard!$I$6="All",H1941=Dashboard!$I$6)),1,0)</f>
        <v/>
      </c>
    </row>
    <row r="1942">
      <c r="A1942" t="inlineStr">
        <is>
          <t>PF101933</t>
        </is>
      </c>
      <c r="B1942" s="68" t="n">
        <v>45891</v>
      </c>
      <c r="C1942" s="69" t="n">
        <v>2025</v>
      </c>
      <c r="D1942" t="inlineStr">
        <is>
          <t>Aug</t>
        </is>
      </c>
      <c r="E1942" t="inlineStr">
        <is>
          <t>United States</t>
        </is>
      </c>
      <c r="F1942" t="inlineStr">
        <is>
          <t>USA</t>
        </is>
      </c>
      <c r="G1942" t="inlineStr">
        <is>
          <t>Prevnar 20</t>
        </is>
      </c>
      <c r="H1942" t="inlineStr">
        <is>
          <t>Government / tender</t>
        </is>
      </c>
      <c r="I1942" t="inlineStr">
        <is>
          <t>Private insurer</t>
        </is>
      </c>
      <c r="J1942" t="inlineStr">
        <is>
          <t>Shraddha Kulkarni</t>
        </is>
      </c>
      <c r="K1942" s="70" t="n">
        <v>144</v>
      </c>
      <c r="L1942" s="71" t="n">
        <v>389.36</v>
      </c>
      <c r="M1942" s="71" t="n">
        <v>56067.84</v>
      </c>
      <c r="N1942" s="71" t="n">
        <v>16820.35</v>
      </c>
      <c r="O1942" s="71" t="n">
        <v>39247.49</v>
      </c>
      <c r="P1942" s="71" t="n">
        <v>9709.75</v>
      </c>
      <c r="Q1942" s="71" t="n">
        <v>29537.74</v>
      </c>
      <c r="R1942" t="inlineStr">
        <is>
          <t>Vaccines</t>
        </is>
      </c>
      <c r="S1942" s="70" t="n">
        <v>123</v>
      </c>
      <c r="T1942" s="71" t="n">
        <v>9767.209999999999</v>
      </c>
      <c r="U1942" t="inlineStr">
        <is>
          <t>Low</t>
        </is>
      </c>
      <c r="V1942">
        <f>IF(AND(OR(Dashboard!$C$6="All",E1942=Dashboard!$C$6),OR(Dashboard!$F$6="All",G1942=Dashboard!$F$6),OR(Dashboard!$I$6="All",H1942=Dashboard!$I$6)),1,0)</f>
        <v/>
      </c>
    </row>
    <row r="1943">
      <c r="A1943" t="inlineStr">
        <is>
          <t>PF101934</t>
        </is>
      </c>
      <c r="B1943" s="68" t="n">
        <v>45891</v>
      </c>
      <c r="C1943" s="69" t="n">
        <v>2025</v>
      </c>
      <c r="D1943" t="inlineStr">
        <is>
          <t>Aug</t>
        </is>
      </c>
      <c r="E1943" t="inlineStr">
        <is>
          <t>International developed</t>
        </is>
      </c>
      <c r="F1943" t="inlineStr">
        <is>
          <t>Australia</t>
        </is>
      </c>
      <c r="G1943" t="inlineStr">
        <is>
          <t>Abrysvo</t>
        </is>
      </c>
      <c r="H1943" t="inlineStr">
        <is>
          <t>Government / tender</t>
        </is>
      </c>
      <c r="I1943" t="inlineStr">
        <is>
          <t>Self-pay</t>
        </is>
      </c>
      <c r="J1943" t="inlineStr">
        <is>
          <t>Kofi Mensah</t>
        </is>
      </c>
      <c r="K1943" s="70" t="n">
        <v>2016</v>
      </c>
      <c r="L1943" s="71" t="n">
        <v>307.31</v>
      </c>
      <c r="M1943" s="71" t="n">
        <v>619536.96</v>
      </c>
      <c r="N1943" s="71" t="n">
        <v>92930.53999999999</v>
      </c>
      <c r="O1943" s="71" t="n">
        <v>526606.42</v>
      </c>
      <c r="P1943" s="71" t="n">
        <v>168450.78</v>
      </c>
      <c r="Q1943" s="71" t="n">
        <v>358155.64</v>
      </c>
      <c r="R1943" t="inlineStr">
        <is>
          <t>Vaccines</t>
        </is>
      </c>
      <c r="S1943" s="70" t="n">
        <v>1413</v>
      </c>
      <c r="T1943" s="71" t="n">
        <v>77987.88</v>
      </c>
      <c r="U1943" t="inlineStr">
        <is>
          <t>Low</t>
        </is>
      </c>
      <c r="V1943">
        <f>IF(AND(OR(Dashboard!$C$6="All",E1943=Dashboard!$C$6),OR(Dashboard!$F$6="All",G1943=Dashboard!$F$6),OR(Dashboard!$I$6="All",H1943=Dashboard!$I$6)),1,0)</f>
        <v/>
      </c>
    </row>
    <row r="1944">
      <c r="A1944" t="inlineStr">
        <is>
          <t>PF101935</t>
        </is>
      </c>
      <c r="B1944" s="68" t="n">
        <v>45891</v>
      </c>
      <c r="C1944" s="69" t="n">
        <v>2025</v>
      </c>
      <c r="D1944" t="inlineStr">
        <is>
          <t>Aug</t>
        </is>
      </c>
      <c r="E1944" t="inlineStr">
        <is>
          <t>Europe</t>
        </is>
      </c>
      <c r="F1944" t="inlineStr">
        <is>
          <t>France</t>
        </is>
      </c>
      <c r="G1944" t="inlineStr">
        <is>
          <t>Comirnaty</t>
        </is>
      </c>
      <c r="H1944" t="inlineStr">
        <is>
          <t>Retail pharmacy</t>
        </is>
      </c>
      <c r="I1944" t="inlineStr">
        <is>
          <t>Private insurer</t>
        </is>
      </c>
      <c r="J1944" t="inlineStr">
        <is>
          <t>Yuki Sato</t>
        </is>
      </c>
      <c r="K1944" s="70" t="n">
        <v>757</v>
      </c>
      <c r="L1944" s="71" t="n">
        <v>112.81</v>
      </c>
      <c r="M1944" s="71" t="n">
        <v>85397.17</v>
      </c>
      <c r="N1944" s="71" t="n">
        <v>8539.719999999999</v>
      </c>
      <c r="O1944" s="71" t="n">
        <v>76857.45</v>
      </c>
      <c r="P1944" s="71" t="n">
        <v>28222.41</v>
      </c>
      <c r="Q1944" s="71" t="n">
        <v>48635.04</v>
      </c>
      <c r="R1944" t="inlineStr">
        <is>
          <t>Vaccines</t>
        </is>
      </c>
      <c r="S1944" s="70" t="n">
        <v>634</v>
      </c>
      <c r="T1944" s="71" t="n">
        <v>17731.61</v>
      </c>
      <c r="U1944" t="inlineStr">
        <is>
          <t>Low</t>
        </is>
      </c>
      <c r="V1944">
        <f>IF(AND(OR(Dashboard!$C$6="All",E1944=Dashboard!$C$6),OR(Dashboard!$F$6="All",G1944=Dashboard!$F$6),OR(Dashboard!$I$6="All",H1944=Dashboard!$I$6)),1,0)</f>
        <v/>
      </c>
    </row>
    <row r="1945">
      <c r="A1945" t="inlineStr">
        <is>
          <t>PF101936</t>
        </is>
      </c>
      <c r="B1945" s="68" t="n">
        <v>45891</v>
      </c>
      <c r="C1945" s="69" t="n">
        <v>2025</v>
      </c>
      <c r="D1945" t="inlineStr">
        <is>
          <t>Aug</t>
        </is>
      </c>
      <c r="E1945" t="inlineStr">
        <is>
          <t>Europe</t>
        </is>
      </c>
      <c r="F1945" t="inlineStr">
        <is>
          <t>France</t>
        </is>
      </c>
      <c r="G1945" t="inlineStr">
        <is>
          <t>Vyndaqel</t>
        </is>
      </c>
      <c r="H1945" t="inlineStr">
        <is>
          <t>Hospital</t>
        </is>
      </c>
      <c r="I1945" t="inlineStr">
        <is>
          <t>Private insurer</t>
        </is>
      </c>
      <c r="J1945" t="inlineStr">
        <is>
          <t>Noah Smith</t>
        </is>
      </c>
      <c r="K1945" s="70" t="n">
        <v>1212</v>
      </c>
      <c r="L1945" s="71" t="n">
        <v>5492.47</v>
      </c>
      <c r="M1945" s="71" t="n">
        <v>6656873.64</v>
      </c>
      <c r="N1945" s="71" t="n">
        <v>665687.36</v>
      </c>
      <c r="O1945" s="71" t="n">
        <v>5991186.28</v>
      </c>
      <c r="P1945" s="71" t="n">
        <v>728864.26</v>
      </c>
      <c r="Q1945" s="71" t="n">
        <v>5262322.02</v>
      </c>
      <c r="R1945" t="inlineStr">
        <is>
          <t>Rare disease</t>
        </is>
      </c>
      <c r="S1945" s="70" t="n">
        <v>1036</v>
      </c>
      <c r="T1945" s="71" t="n">
        <v>1384036.68</v>
      </c>
      <c r="U1945" t="inlineStr">
        <is>
          <t>Medium</t>
        </is>
      </c>
      <c r="V1945">
        <f>IF(AND(OR(Dashboard!$C$6="All",E1945=Dashboard!$C$6),OR(Dashboard!$F$6="All",G1945=Dashboard!$F$6),OR(Dashboard!$I$6="All",H1945=Dashboard!$I$6)),1,0)</f>
        <v/>
      </c>
    </row>
    <row r="1946">
      <c r="A1946" t="inlineStr">
        <is>
          <t>PF101937</t>
        </is>
      </c>
      <c r="B1946" s="68" t="n">
        <v>45891</v>
      </c>
      <c r="C1946" s="69" t="n">
        <v>2025</v>
      </c>
      <c r="D1946" t="inlineStr">
        <is>
          <t>Aug</t>
        </is>
      </c>
      <c r="E1946" t="inlineStr">
        <is>
          <t>United States</t>
        </is>
      </c>
      <c r="F1946" t="inlineStr">
        <is>
          <t>USA</t>
        </is>
      </c>
      <c r="G1946" t="inlineStr">
        <is>
          <t>Comirnaty</t>
        </is>
      </c>
      <c r="H1946" t="inlineStr">
        <is>
          <t>Retail pharmacy</t>
        </is>
      </c>
      <c r="I1946" t="inlineStr">
        <is>
          <t>Private insurer</t>
        </is>
      </c>
      <c r="J1946" t="inlineStr">
        <is>
          <t>Arjun Mehta</t>
        </is>
      </c>
      <c r="K1946" s="70" t="n">
        <v>911</v>
      </c>
      <c r="L1946" s="71" t="n">
        <v>170.22</v>
      </c>
      <c r="M1946" s="71" t="n">
        <v>155070.42</v>
      </c>
      <c r="N1946" s="71" t="n">
        <v>46521.13</v>
      </c>
      <c r="O1946" s="71" t="n">
        <v>108549.29</v>
      </c>
      <c r="P1946" s="71" t="n">
        <v>33745.05</v>
      </c>
      <c r="Q1946" s="71" t="n">
        <v>74804.24000000001</v>
      </c>
      <c r="R1946" t="inlineStr">
        <is>
          <t>Vaccines</t>
        </is>
      </c>
      <c r="S1946" s="70" t="n">
        <v>814</v>
      </c>
      <c r="T1946" s="71" t="n">
        <v>20566.43</v>
      </c>
      <c r="U1946" t="inlineStr">
        <is>
          <t>Low</t>
        </is>
      </c>
      <c r="V1946">
        <f>IF(AND(OR(Dashboard!$C$6="All",E1946=Dashboard!$C$6),OR(Dashboard!$F$6="All",G1946=Dashboard!$F$6),OR(Dashboard!$I$6="All",H1946=Dashboard!$I$6)),1,0)</f>
        <v/>
      </c>
    </row>
    <row r="1947">
      <c r="A1947" t="inlineStr">
        <is>
          <t>PF101938</t>
        </is>
      </c>
      <c r="B1947" s="68" t="n">
        <v>45891</v>
      </c>
      <c r="C1947" s="69" t="n">
        <v>2025</v>
      </c>
      <c r="D1947" t="inlineStr">
        <is>
          <t>Aug</t>
        </is>
      </c>
      <c r="E1947" t="inlineStr">
        <is>
          <t>Emerging markets</t>
        </is>
      </c>
      <c r="F1947" t="inlineStr">
        <is>
          <t>Brazil</t>
        </is>
      </c>
      <c r="G1947" t="inlineStr">
        <is>
          <t>Prevnar 20</t>
        </is>
      </c>
      <c r="H1947" t="inlineStr">
        <is>
          <t>Retail pharmacy</t>
        </is>
      </c>
      <c r="I1947" t="inlineStr">
        <is>
          <t>Private insurer</t>
        </is>
      </c>
      <c r="J1947" t="inlineStr">
        <is>
          <t>Ana Costa</t>
        </is>
      </c>
      <c r="K1947" s="70" t="n">
        <v>183</v>
      </c>
      <c r="L1947" s="71" t="n">
        <v>224.92</v>
      </c>
      <c r="M1947" s="71" t="n">
        <v>41160.36</v>
      </c>
      <c r="N1947" s="71" t="n">
        <v>10290.09</v>
      </c>
      <c r="O1947" s="71" t="n">
        <v>30870.27</v>
      </c>
      <c r="P1947" s="71" t="n">
        <v>12699.94</v>
      </c>
      <c r="Q1947" s="71" t="n">
        <v>18170.33</v>
      </c>
      <c r="R1947" t="inlineStr">
        <is>
          <t>Vaccines</t>
        </is>
      </c>
      <c r="S1947" s="70" t="n">
        <v>176</v>
      </c>
      <c r="T1947" s="71" t="n">
        <v>7163.94</v>
      </c>
      <c r="U1947" t="inlineStr">
        <is>
          <t>Low</t>
        </is>
      </c>
      <c r="V1947">
        <f>IF(AND(OR(Dashboard!$C$6="All",E1947=Dashboard!$C$6),OR(Dashboard!$F$6="All",G1947=Dashboard!$F$6),OR(Dashboard!$I$6="All",H1947=Dashboard!$I$6)),1,0)</f>
        <v/>
      </c>
    </row>
    <row r="1948">
      <c r="A1948" t="inlineStr">
        <is>
          <t>PF101939</t>
        </is>
      </c>
      <c r="B1948" s="68" t="n">
        <v>45891</v>
      </c>
      <c r="C1948" s="69" t="n">
        <v>2025</v>
      </c>
      <c r="D1948" t="inlineStr">
        <is>
          <t>Aug</t>
        </is>
      </c>
      <c r="E1948" t="inlineStr">
        <is>
          <t>Emerging markets</t>
        </is>
      </c>
      <c r="F1948" t="inlineStr">
        <is>
          <t>India</t>
        </is>
      </c>
      <c r="G1948" t="inlineStr">
        <is>
          <t>Prevnar 20</t>
        </is>
      </c>
      <c r="H1948" t="inlineStr">
        <is>
          <t>Government / tender</t>
        </is>
      </c>
      <c r="I1948" t="inlineStr">
        <is>
          <t>Private insurer</t>
        </is>
      </c>
      <c r="J1948" t="inlineStr">
        <is>
          <t>Emma Clarke</t>
        </is>
      </c>
      <c r="K1948" s="70" t="n">
        <v>2150</v>
      </c>
      <c r="L1948" s="71" t="n">
        <v>235.45</v>
      </c>
      <c r="M1948" s="71" t="n">
        <v>506217.5</v>
      </c>
      <c r="N1948" s="71" t="n">
        <v>75932.62</v>
      </c>
      <c r="O1948" s="71" t="n">
        <v>430284.88</v>
      </c>
      <c r="P1948" s="71" t="n">
        <v>150225.19</v>
      </c>
      <c r="Q1948" s="71" t="n">
        <v>280059.69</v>
      </c>
      <c r="R1948" t="inlineStr">
        <is>
          <t>Vaccines</t>
        </is>
      </c>
      <c r="S1948" s="70" t="n">
        <v>1806</v>
      </c>
      <c r="T1948" s="71" t="n">
        <v>69677.89999999999</v>
      </c>
      <c r="U1948" t="inlineStr">
        <is>
          <t>Low</t>
        </is>
      </c>
      <c r="V1948">
        <f>IF(AND(OR(Dashboard!$C$6="All",E1948=Dashboard!$C$6),OR(Dashboard!$F$6="All",G1948=Dashboard!$F$6),OR(Dashboard!$I$6="All",H1948=Dashboard!$I$6)),1,0)</f>
        <v/>
      </c>
    </row>
    <row r="1949">
      <c r="A1949" t="inlineStr">
        <is>
          <t>PF101940</t>
        </is>
      </c>
      <c r="B1949" s="68" t="n">
        <v>45892</v>
      </c>
      <c r="C1949" s="69" t="n">
        <v>2025</v>
      </c>
      <c r="D1949" t="inlineStr">
        <is>
          <t>Aug</t>
        </is>
      </c>
      <c r="E1949" t="inlineStr">
        <is>
          <t>United States</t>
        </is>
      </c>
      <c r="F1949" t="inlineStr">
        <is>
          <t>USA</t>
        </is>
      </c>
      <c r="G1949" t="inlineStr">
        <is>
          <t>Comirnaty</t>
        </is>
      </c>
      <c r="H1949" t="inlineStr">
        <is>
          <t>Retail pharmacy</t>
        </is>
      </c>
      <c r="I1949" t="inlineStr">
        <is>
          <t>Public payer</t>
        </is>
      </c>
      <c r="J1949" t="inlineStr">
        <is>
          <t>Ruhi Shaikh</t>
        </is>
      </c>
      <c r="K1949" s="70" t="n">
        <v>2203</v>
      </c>
      <c r="L1949" s="71" t="n">
        <v>185.66</v>
      </c>
      <c r="M1949" s="71" t="n">
        <v>409008.98</v>
      </c>
      <c r="N1949" s="71" t="n">
        <v>102252.24</v>
      </c>
      <c r="O1949" s="71" t="n">
        <v>306756.74</v>
      </c>
      <c r="P1949" s="71" t="n">
        <v>82214.58</v>
      </c>
      <c r="Q1949" s="71" t="n">
        <v>224542.16</v>
      </c>
      <c r="R1949" t="inlineStr">
        <is>
          <t>Vaccines</t>
        </is>
      </c>
      <c r="S1949" s="70" t="n">
        <v>1425</v>
      </c>
      <c r="T1949" s="71" t="n">
        <v>64768.11</v>
      </c>
      <c r="U1949" t="inlineStr">
        <is>
          <t>Low</t>
        </is>
      </c>
      <c r="V1949">
        <f>IF(AND(OR(Dashboard!$C$6="All",E1949=Dashboard!$C$6),OR(Dashboard!$F$6="All",G1949=Dashboard!$F$6),OR(Dashboard!$I$6="All",H1949=Dashboard!$I$6)),1,0)</f>
        <v/>
      </c>
    </row>
    <row r="1950">
      <c r="A1950" t="inlineStr">
        <is>
          <t>PF101941</t>
        </is>
      </c>
      <c r="B1950" s="68" t="n">
        <v>45892</v>
      </c>
      <c r="C1950" s="69" t="n">
        <v>2025</v>
      </c>
      <c r="D1950" t="inlineStr">
        <is>
          <t>Aug</t>
        </is>
      </c>
      <c r="E1950" t="inlineStr">
        <is>
          <t>United States</t>
        </is>
      </c>
      <c r="F1950" t="inlineStr">
        <is>
          <t>USA</t>
        </is>
      </c>
      <c r="G1950" t="inlineStr">
        <is>
          <t>Xeljanz</t>
        </is>
      </c>
      <c r="H1950" t="inlineStr">
        <is>
          <t>Retail pharmacy</t>
        </is>
      </c>
      <c r="I1950" t="inlineStr">
        <is>
          <t>Private insurer</t>
        </is>
      </c>
      <c r="J1950" t="inlineStr">
        <is>
          <t>Ana Costa</t>
        </is>
      </c>
      <c r="K1950" s="70" t="n">
        <v>832</v>
      </c>
      <c r="L1950" s="71" t="n">
        <v>2084.93</v>
      </c>
      <c r="M1950" s="71" t="n">
        <v>1734661.76</v>
      </c>
      <c r="N1950" s="71" t="n">
        <v>346932.35</v>
      </c>
      <c r="O1950" s="71" t="n">
        <v>1387729.41</v>
      </c>
      <c r="P1950" s="71" t="n">
        <v>206396.44</v>
      </c>
      <c r="Q1950" s="71" t="n">
        <v>1181332.97</v>
      </c>
      <c r="R1950" t="inlineStr">
        <is>
          <t>Inflammation</t>
        </is>
      </c>
      <c r="S1950" s="70" t="n">
        <v>666</v>
      </c>
      <c r="T1950" s="71" t="n">
        <v>248548.12</v>
      </c>
      <c r="U1950" t="inlineStr">
        <is>
          <t>High</t>
        </is>
      </c>
      <c r="V1950">
        <f>IF(AND(OR(Dashboard!$C$6="All",E1950=Dashboard!$C$6),OR(Dashboard!$F$6="All",G1950=Dashboard!$F$6),OR(Dashboard!$I$6="All",H1950=Dashboard!$I$6)),1,0)</f>
        <v/>
      </c>
    </row>
    <row r="1951">
      <c r="A1951" t="inlineStr">
        <is>
          <t>PF101942</t>
        </is>
      </c>
      <c r="B1951" s="68" t="n">
        <v>45892</v>
      </c>
      <c r="C1951" s="69" t="n">
        <v>2025</v>
      </c>
      <c r="D1951" t="inlineStr">
        <is>
          <t>Aug</t>
        </is>
      </c>
      <c r="E1951" t="inlineStr">
        <is>
          <t>Europe</t>
        </is>
      </c>
      <c r="F1951" t="inlineStr">
        <is>
          <t>Spain</t>
        </is>
      </c>
      <c r="G1951" t="inlineStr">
        <is>
          <t>Eliquis</t>
        </is>
      </c>
      <c r="H1951" t="inlineStr">
        <is>
          <t>Retail pharmacy</t>
        </is>
      </c>
      <c r="I1951" t="inlineStr">
        <is>
          <t>Public payer</t>
        </is>
      </c>
      <c r="J1951" t="inlineStr">
        <is>
          <t>Noah Smith</t>
        </is>
      </c>
      <c r="K1951" s="70" t="n">
        <v>81</v>
      </c>
      <c r="L1951" s="71" t="n">
        <v>442.98</v>
      </c>
      <c r="M1951" s="71" t="n">
        <v>35881.38</v>
      </c>
      <c r="N1951" s="71" t="n">
        <v>7176.28</v>
      </c>
      <c r="O1951" s="71" t="n">
        <v>28705.1</v>
      </c>
      <c r="P1951" s="71" t="n">
        <v>5928.08</v>
      </c>
      <c r="Q1951" s="71" t="n">
        <v>22777.02</v>
      </c>
      <c r="R1951" t="inlineStr">
        <is>
          <t>Cardiology</t>
        </is>
      </c>
      <c r="S1951" s="70" t="n">
        <v>54</v>
      </c>
      <c r="T1951" s="71" t="n">
        <v>7557.37</v>
      </c>
      <c r="U1951" t="inlineStr">
        <is>
          <t>High</t>
        </is>
      </c>
      <c r="V1951">
        <f>IF(AND(OR(Dashboard!$C$6="All",E1951=Dashboard!$C$6),OR(Dashboard!$F$6="All",G1951=Dashboard!$F$6),OR(Dashboard!$I$6="All",H1951=Dashboard!$I$6)),1,0)</f>
        <v/>
      </c>
    </row>
    <row r="1952">
      <c r="A1952" t="inlineStr">
        <is>
          <t>PF101943</t>
        </is>
      </c>
      <c r="B1952" s="68" t="n">
        <v>45892</v>
      </c>
      <c r="C1952" s="69" t="n">
        <v>2025</v>
      </c>
      <c r="D1952" t="inlineStr">
        <is>
          <t>Aug</t>
        </is>
      </c>
      <c r="E1952" t="inlineStr">
        <is>
          <t>United States</t>
        </is>
      </c>
      <c r="F1952" t="inlineStr">
        <is>
          <t>USA</t>
        </is>
      </c>
      <c r="G1952" t="inlineStr">
        <is>
          <t>Abrysvo</t>
        </is>
      </c>
      <c r="H1952" t="inlineStr">
        <is>
          <t>Hospital</t>
        </is>
      </c>
      <c r="I1952" t="inlineStr">
        <is>
          <t>Public payer</t>
        </is>
      </c>
      <c r="J1952" t="inlineStr">
        <is>
          <t>Hiroshi Tanaka</t>
        </is>
      </c>
      <c r="K1952" s="70" t="n">
        <v>1167</v>
      </c>
      <c r="L1952" s="71" t="n">
        <v>410.14</v>
      </c>
      <c r="M1952" s="71" t="n">
        <v>478633.38</v>
      </c>
      <c r="N1952" s="71" t="n">
        <v>167521.68</v>
      </c>
      <c r="O1952" s="71" t="n">
        <v>311111.7</v>
      </c>
      <c r="P1952" s="71" t="n">
        <v>94743.72</v>
      </c>
      <c r="Q1952" s="71" t="n">
        <v>216367.98</v>
      </c>
      <c r="R1952" t="inlineStr">
        <is>
          <t>Vaccines</t>
        </is>
      </c>
      <c r="S1952" s="70" t="n">
        <v>1060</v>
      </c>
      <c r="T1952" s="71" t="n">
        <v>91445.33</v>
      </c>
      <c r="U1952" t="inlineStr">
        <is>
          <t>Low</t>
        </is>
      </c>
      <c r="V1952">
        <f>IF(AND(OR(Dashboard!$C$6="All",E1952=Dashboard!$C$6),OR(Dashboard!$F$6="All",G1952=Dashboard!$F$6),OR(Dashboard!$I$6="All",H1952=Dashboard!$I$6)),1,0)</f>
        <v/>
      </c>
    </row>
    <row r="1953">
      <c r="A1953" t="inlineStr">
        <is>
          <t>PF101944</t>
        </is>
      </c>
      <c r="B1953" s="68" t="n">
        <v>45892</v>
      </c>
      <c r="C1953" s="69" t="n">
        <v>2025</v>
      </c>
      <c r="D1953" t="inlineStr">
        <is>
          <t>Aug</t>
        </is>
      </c>
      <c r="E1953" t="inlineStr">
        <is>
          <t>Europe</t>
        </is>
      </c>
      <c r="F1953" t="inlineStr">
        <is>
          <t>France</t>
        </is>
      </c>
      <c r="G1953" t="inlineStr">
        <is>
          <t>Eliquis</t>
        </is>
      </c>
      <c r="H1953" t="inlineStr">
        <is>
          <t>Retail pharmacy</t>
        </is>
      </c>
      <c r="I1953" t="inlineStr">
        <is>
          <t>Private insurer</t>
        </is>
      </c>
      <c r="J1953" t="inlineStr">
        <is>
          <t>Sara Rossi</t>
        </is>
      </c>
      <c r="K1953" s="70" t="n">
        <v>2776</v>
      </c>
      <c r="L1953" s="71" t="n">
        <v>458.02</v>
      </c>
      <c r="M1953" s="71" t="n">
        <v>1271463.52</v>
      </c>
      <c r="N1953" s="71" t="n">
        <v>127146.35</v>
      </c>
      <c r="O1953" s="71" t="n">
        <v>1144317.17</v>
      </c>
      <c r="P1953" s="71" t="n">
        <v>204763.02</v>
      </c>
      <c r="Q1953" s="71" t="n">
        <v>939554.15</v>
      </c>
      <c r="R1953" t="inlineStr">
        <is>
          <t>Cardiology</t>
        </is>
      </c>
      <c r="S1953" s="70" t="n">
        <v>2339</v>
      </c>
      <c r="T1953" s="71" t="n">
        <v>185523.41</v>
      </c>
      <c r="U1953" t="inlineStr">
        <is>
          <t>High</t>
        </is>
      </c>
      <c r="V1953">
        <f>IF(AND(OR(Dashboard!$C$6="All",E1953=Dashboard!$C$6),OR(Dashboard!$F$6="All",G1953=Dashboard!$F$6),OR(Dashboard!$I$6="All",H1953=Dashboard!$I$6)),1,0)</f>
        <v/>
      </c>
    </row>
    <row r="1954">
      <c r="A1954" t="inlineStr">
        <is>
          <t>PF101945</t>
        </is>
      </c>
      <c r="B1954" s="68" t="n">
        <v>45892</v>
      </c>
      <c r="C1954" s="69" t="n">
        <v>2025</v>
      </c>
      <c r="D1954" t="inlineStr">
        <is>
          <t>Aug</t>
        </is>
      </c>
      <c r="E1954" t="inlineStr">
        <is>
          <t>United States</t>
        </is>
      </c>
      <c r="F1954" t="inlineStr">
        <is>
          <t>USA</t>
        </is>
      </c>
      <c r="G1954" t="inlineStr">
        <is>
          <t>Eliquis</t>
        </is>
      </c>
      <c r="H1954" t="inlineStr">
        <is>
          <t>Retail pharmacy</t>
        </is>
      </c>
      <c r="I1954" t="inlineStr">
        <is>
          <t>Private insurer</t>
        </is>
      </c>
      <c r="J1954" t="inlineStr">
        <is>
          <t>Emma Clarke</t>
        </is>
      </c>
      <c r="K1954" s="70" t="n">
        <v>1802</v>
      </c>
      <c r="L1954" s="71" t="n">
        <v>657.39</v>
      </c>
      <c r="M1954" s="71" t="n">
        <v>1184616.78</v>
      </c>
      <c r="N1954" s="71" t="n">
        <v>236923.36</v>
      </c>
      <c r="O1954" s="71" t="n">
        <v>947693.42</v>
      </c>
      <c r="P1954" s="71" t="n">
        <v>137254.95</v>
      </c>
      <c r="Q1954" s="71" t="n">
        <v>810438.47</v>
      </c>
      <c r="R1954" t="inlineStr">
        <is>
          <t>Cardiology</t>
        </is>
      </c>
      <c r="S1954" s="70" t="n">
        <v>1155</v>
      </c>
      <c r="T1954" s="71" t="n">
        <v>227593.15</v>
      </c>
      <c r="U1954" t="inlineStr">
        <is>
          <t>High</t>
        </is>
      </c>
      <c r="V1954">
        <f>IF(AND(OR(Dashboard!$C$6="All",E1954=Dashboard!$C$6),OR(Dashboard!$F$6="All",G1954=Dashboard!$F$6),OR(Dashboard!$I$6="All",H1954=Dashboard!$I$6)),1,0)</f>
        <v/>
      </c>
    </row>
    <row r="1955">
      <c r="A1955" t="inlineStr">
        <is>
          <t>PF101946</t>
        </is>
      </c>
      <c r="B1955" s="68" t="n">
        <v>45892</v>
      </c>
      <c r="C1955" s="69" t="n">
        <v>2025</v>
      </c>
      <c r="D1955" t="inlineStr">
        <is>
          <t>Aug</t>
        </is>
      </c>
      <c r="E1955" t="inlineStr">
        <is>
          <t>United States</t>
        </is>
      </c>
      <c r="F1955" t="inlineStr">
        <is>
          <t>USA</t>
        </is>
      </c>
      <c r="G1955" t="inlineStr">
        <is>
          <t>Comirnaty</t>
        </is>
      </c>
      <c r="H1955" t="inlineStr">
        <is>
          <t>Government / tender</t>
        </is>
      </c>
      <c r="I1955" t="inlineStr">
        <is>
          <t>Public payer</t>
        </is>
      </c>
      <c r="J1955" t="inlineStr">
        <is>
          <t>Zoya Ahmed</t>
        </is>
      </c>
      <c r="K1955" s="70" t="n">
        <v>1457</v>
      </c>
      <c r="L1955" s="71" t="n">
        <v>186.38</v>
      </c>
      <c r="M1955" s="71" t="n">
        <v>271555.66</v>
      </c>
      <c r="N1955" s="71" t="n">
        <v>40733.35</v>
      </c>
      <c r="O1955" s="71" t="n">
        <v>230822.31</v>
      </c>
      <c r="P1955" s="71" t="n">
        <v>55511.83</v>
      </c>
      <c r="Q1955" s="71" t="n">
        <v>175310.48</v>
      </c>
      <c r="R1955" t="inlineStr">
        <is>
          <t>Vaccines</t>
        </is>
      </c>
      <c r="S1955" s="70" t="n">
        <v>1033</v>
      </c>
      <c r="T1955" s="71" t="n">
        <v>50959.34</v>
      </c>
      <c r="U1955" t="inlineStr">
        <is>
          <t>Low</t>
        </is>
      </c>
      <c r="V1955">
        <f>IF(AND(OR(Dashboard!$C$6="All",E1955=Dashboard!$C$6),OR(Dashboard!$F$6="All",G1955=Dashboard!$F$6),OR(Dashboard!$I$6="All",H1955=Dashboard!$I$6)),1,0)</f>
        <v/>
      </c>
    </row>
    <row r="1956">
      <c r="A1956" t="inlineStr">
        <is>
          <t>PF101947</t>
        </is>
      </c>
      <c r="B1956" s="68" t="n">
        <v>45892</v>
      </c>
      <c r="C1956" s="69" t="n">
        <v>2025</v>
      </c>
      <c r="D1956" t="inlineStr">
        <is>
          <t>Aug</t>
        </is>
      </c>
      <c r="E1956" t="inlineStr">
        <is>
          <t>Europe</t>
        </is>
      </c>
      <c r="F1956" t="inlineStr">
        <is>
          <t>UK</t>
        </is>
      </c>
      <c r="G1956" t="inlineStr">
        <is>
          <t>Ibrance</t>
        </is>
      </c>
      <c r="H1956" t="inlineStr">
        <is>
          <t>Hospital</t>
        </is>
      </c>
      <c r="I1956" t="inlineStr">
        <is>
          <t>Private insurer</t>
        </is>
      </c>
      <c r="J1956" t="inlineStr">
        <is>
          <t>Ravindra Patil</t>
        </is>
      </c>
      <c r="K1956" s="70" t="n">
        <v>811</v>
      </c>
      <c r="L1956" s="71" t="n">
        <v>2643.45</v>
      </c>
      <c r="M1956" s="71" t="n">
        <v>2143837.95</v>
      </c>
      <c r="N1956" s="71" t="n">
        <v>107191.9</v>
      </c>
      <c r="O1956" s="71" t="n">
        <v>2036646.05</v>
      </c>
      <c r="P1956" s="71" t="n">
        <v>339876.05</v>
      </c>
      <c r="Q1956" s="71" t="n">
        <v>1696770</v>
      </c>
      <c r="R1956" t="inlineStr">
        <is>
          <t>Oncology</t>
        </is>
      </c>
      <c r="S1956" s="70" t="n">
        <v>729</v>
      </c>
      <c r="T1956" s="71" t="n">
        <v>257835.15</v>
      </c>
      <c r="U1956" t="inlineStr">
        <is>
          <t>High</t>
        </is>
      </c>
      <c r="V1956">
        <f>IF(AND(OR(Dashboard!$C$6="All",E1956=Dashboard!$C$6),OR(Dashboard!$F$6="All",G1956=Dashboard!$F$6),OR(Dashboard!$I$6="All",H1956=Dashboard!$I$6)),1,0)</f>
        <v/>
      </c>
    </row>
    <row r="1957">
      <c r="A1957" t="inlineStr">
        <is>
          <t>PF101948</t>
        </is>
      </c>
      <c r="B1957" s="68" t="n">
        <v>45892</v>
      </c>
      <c r="C1957" s="69" t="n">
        <v>2025</v>
      </c>
      <c r="D1957" t="inlineStr">
        <is>
          <t>Aug</t>
        </is>
      </c>
      <c r="E1957" t="inlineStr">
        <is>
          <t>Emerging markets</t>
        </is>
      </c>
      <c r="F1957" t="inlineStr">
        <is>
          <t>Brazil</t>
        </is>
      </c>
      <c r="G1957" t="inlineStr">
        <is>
          <t>Xeljanz</t>
        </is>
      </c>
      <c r="H1957" t="inlineStr">
        <is>
          <t>Retail pharmacy</t>
        </is>
      </c>
      <c r="I1957" t="inlineStr">
        <is>
          <t>Public payer</t>
        </is>
      </c>
      <c r="J1957" t="inlineStr">
        <is>
          <t>Carlos Silva</t>
        </is>
      </c>
      <c r="K1957" s="70" t="n">
        <v>2740</v>
      </c>
      <c r="L1957" s="71" t="n">
        <v>1329.61</v>
      </c>
      <c r="M1957" s="71" t="n">
        <v>3643131.4</v>
      </c>
      <c r="N1957" s="71" t="n">
        <v>910782.85</v>
      </c>
      <c r="O1957" s="71" t="n">
        <v>2732348.55</v>
      </c>
      <c r="P1957" s="71" t="n">
        <v>697318.1800000001</v>
      </c>
      <c r="Q1957" s="71" t="n">
        <v>2035030.37</v>
      </c>
      <c r="R1957" t="inlineStr">
        <is>
          <t>Inflammation</t>
        </is>
      </c>
      <c r="S1957" s="70" t="n">
        <v>2021</v>
      </c>
      <c r="T1957" s="71" t="n">
        <v>775943.42</v>
      </c>
      <c r="U1957" t="inlineStr">
        <is>
          <t>High</t>
        </is>
      </c>
      <c r="V1957">
        <f>IF(AND(OR(Dashboard!$C$6="All",E1957=Dashboard!$C$6),OR(Dashboard!$F$6="All",G1957=Dashboard!$F$6),OR(Dashboard!$I$6="All",H1957=Dashboard!$I$6)),1,0)</f>
        <v/>
      </c>
    </row>
    <row r="1958">
      <c r="A1958" t="inlineStr">
        <is>
          <t>PF101949</t>
        </is>
      </c>
      <c r="B1958" s="68" t="n">
        <v>45893</v>
      </c>
      <c r="C1958" s="69" t="n">
        <v>2025</v>
      </c>
      <c r="D1958" t="inlineStr">
        <is>
          <t>Aug</t>
        </is>
      </c>
      <c r="E1958" t="inlineStr">
        <is>
          <t>Emerging markets</t>
        </is>
      </c>
      <c r="F1958" t="inlineStr">
        <is>
          <t>Brazil</t>
        </is>
      </c>
      <c r="G1958" t="inlineStr">
        <is>
          <t>Comirnaty</t>
        </is>
      </c>
      <c r="H1958" t="inlineStr">
        <is>
          <t>Government / tender</t>
        </is>
      </c>
      <c r="I1958" t="inlineStr">
        <is>
          <t>Public payer</t>
        </is>
      </c>
      <c r="J1958" t="inlineStr">
        <is>
          <t>Carlos Silva</t>
        </is>
      </c>
      <c r="K1958" s="70" t="n">
        <v>574</v>
      </c>
      <c r="L1958" s="71" t="n">
        <v>119.77</v>
      </c>
      <c r="M1958" s="71" t="n">
        <v>68747.98</v>
      </c>
      <c r="N1958" s="71" t="n">
        <v>13749.6</v>
      </c>
      <c r="O1958" s="71" t="n">
        <v>54998.38</v>
      </c>
      <c r="P1958" s="71" t="n">
        <v>21957.62</v>
      </c>
      <c r="Q1958" s="71" t="n">
        <v>33040.76</v>
      </c>
      <c r="R1958" t="inlineStr">
        <is>
          <t>Vaccines</t>
        </is>
      </c>
      <c r="S1958" s="70" t="n">
        <v>493</v>
      </c>
      <c r="T1958" s="71" t="n">
        <v>12933.7</v>
      </c>
      <c r="U1958" t="inlineStr">
        <is>
          <t>Low</t>
        </is>
      </c>
      <c r="V1958">
        <f>IF(AND(OR(Dashboard!$C$6="All",E1958=Dashboard!$C$6),OR(Dashboard!$F$6="All",G1958=Dashboard!$F$6),OR(Dashboard!$I$6="All",H1958=Dashboard!$I$6)),1,0)</f>
        <v/>
      </c>
    </row>
    <row r="1959">
      <c r="A1959" t="inlineStr">
        <is>
          <t>PF101950</t>
        </is>
      </c>
      <c r="B1959" s="68" t="n">
        <v>45893</v>
      </c>
      <c r="C1959" s="69" t="n">
        <v>2025</v>
      </c>
      <c r="D1959" t="inlineStr">
        <is>
          <t>Aug</t>
        </is>
      </c>
      <c r="E1959" t="inlineStr">
        <is>
          <t>United States</t>
        </is>
      </c>
      <c r="F1959" t="inlineStr">
        <is>
          <t>USA</t>
        </is>
      </c>
      <c r="G1959" t="inlineStr">
        <is>
          <t>Ibrance</t>
        </is>
      </c>
      <c r="H1959" t="inlineStr">
        <is>
          <t>Retail pharmacy</t>
        </is>
      </c>
      <c r="I1959" t="inlineStr">
        <is>
          <t>Public payer</t>
        </is>
      </c>
      <c r="J1959" t="inlineStr">
        <is>
          <t>Aisha Bello</t>
        </is>
      </c>
      <c r="K1959" s="70" t="n">
        <v>2920</v>
      </c>
      <c r="L1959" s="71" t="n">
        <v>4374.42</v>
      </c>
      <c r="M1959" s="71" t="n">
        <v>12773306.4</v>
      </c>
      <c r="N1959" s="71" t="n">
        <v>1915995.96</v>
      </c>
      <c r="O1959" s="71" t="n">
        <v>10857310.44</v>
      </c>
      <c r="P1959" s="71" t="n">
        <v>1236750.85</v>
      </c>
      <c r="Q1959" s="71" t="n">
        <v>9620559.59</v>
      </c>
      <c r="R1959" t="inlineStr">
        <is>
          <t>Oncology</t>
        </is>
      </c>
      <c r="S1959" s="70" t="n">
        <v>1986</v>
      </c>
      <c r="T1959" s="71" t="n">
        <v>1555108.98</v>
      </c>
      <c r="U1959" t="inlineStr">
        <is>
          <t>High</t>
        </is>
      </c>
      <c r="V1959">
        <f>IF(AND(OR(Dashboard!$C$6="All",E1959=Dashboard!$C$6),OR(Dashboard!$F$6="All",G1959=Dashboard!$F$6),OR(Dashboard!$I$6="All",H1959=Dashboard!$I$6)),1,0)</f>
        <v/>
      </c>
    </row>
    <row r="1960">
      <c r="A1960" t="inlineStr">
        <is>
          <t>PF101951</t>
        </is>
      </c>
      <c r="B1960" s="68" t="n">
        <v>45893</v>
      </c>
      <c r="C1960" s="69" t="n">
        <v>2025</v>
      </c>
      <c r="D1960" t="inlineStr">
        <is>
          <t>Aug</t>
        </is>
      </c>
      <c r="E1960" t="inlineStr">
        <is>
          <t>International developed</t>
        </is>
      </c>
      <c r="F1960" t="inlineStr">
        <is>
          <t>Australia</t>
        </is>
      </c>
      <c r="G1960" t="inlineStr">
        <is>
          <t>Comirnaty</t>
        </is>
      </c>
      <c r="H1960" t="inlineStr">
        <is>
          <t>Hospital</t>
        </is>
      </c>
      <c r="I1960" t="inlineStr">
        <is>
          <t>Self-pay</t>
        </is>
      </c>
      <c r="J1960" t="inlineStr">
        <is>
          <t>Ruhi Shaikh</t>
        </is>
      </c>
      <c r="K1960" s="70" t="n">
        <v>329</v>
      </c>
      <c r="L1960" s="71" t="n">
        <v>99.56</v>
      </c>
      <c r="M1960" s="71" t="n">
        <v>32755.24</v>
      </c>
      <c r="N1960" s="71" t="n">
        <v>6551.05</v>
      </c>
      <c r="O1960" s="71" t="n">
        <v>26204.19</v>
      </c>
      <c r="P1960" s="71" t="n">
        <v>12176.75</v>
      </c>
      <c r="Q1960" s="71" t="n">
        <v>14027.44</v>
      </c>
      <c r="R1960" t="inlineStr">
        <is>
          <t>Vaccines</t>
        </is>
      </c>
      <c r="S1960" s="70" t="n">
        <v>227</v>
      </c>
      <c r="T1960" s="71" t="n">
        <v>4600.73</v>
      </c>
      <c r="U1960" t="inlineStr">
        <is>
          <t>Low</t>
        </is>
      </c>
      <c r="V1960">
        <f>IF(AND(OR(Dashboard!$C$6="All",E1960=Dashboard!$C$6),OR(Dashboard!$F$6="All",G1960=Dashboard!$F$6),OR(Dashboard!$I$6="All",H1960=Dashboard!$I$6)),1,0)</f>
        <v/>
      </c>
    </row>
    <row r="1961">
      <c r="A1961" t="inlineStr">
        <is>
          <t>PF101952</t>
        </is>
      </c>
      <c r="B1961" s="68" t="n">
        <v>45893</v>
      </c>
      <c r="C1961" s="69" t="n">
        <v>2025</v>
      </c>
      <c r="D1961" t="inlineStr">
        <is>
          <t>Aug</t>
        </is>
      </c>
      <c r="E1961" t="inlineStr">
        <is>
          <t>Europe</t>
        </is>
      </c>
      <c r="F1961" t="inlineStr">
        <is>
          <t>UK</t>
        </is>
      </c>
      <c r="G1961" t="inlineStr">
        <is>
          <t>Abrysvo</t>
        </is>
      </c>
      <c r="H1961" t="inlineStr">
        <is>
          <t>Retail pharmacy</t>
        </is>
      </c>
      <c r="I1961" t="inlineStr">
        <is>
          <t>Self-pay</t>
        </is>
      </c>
      <c r="J1961" t="inlineStr">
        <is>
          <t>Wei Chen</t>
        </is>
      </c>
      <c r="K1961" s="70" t="n">
        <v>3023</v>
      </c>
      <c r="L1961" s="71" t="n">
        <v>287.72</v>
      </c>
      <c r="M1961" s="71" t="n">
        <v>869777.5600000001</v>
      </c>
      <c r="N1961" s="71" t="n">
        <v>43488.88</v>
      </c>
      <c r="O1961" s="71" t="n">
        <v>826288.6800000001</v>
      </c>
      <c r="P1961" s="71" t="n">
        <v>244356.54</v>
      </c>
      <c r="Q1961" s="71" t="n">
        <v>581932.14</v>
      </c>
      <c r="R1961" t="inlineStr">
        <is>
          <t>Vaccines</t>
        </is>
      </c>
      <c r="S1961" s="70" t="n">
        <v>2690</v>
      </c>
      <c r="T1961" s="71" t="n">
        <v>148906.2</v>
      </c>
      <c r="U1961" t="inlineStr">
        <is>
          <t>Low</t>
        </is>
      </c>
      <c r="V1961">
        <f>IF(AND(OR(Dashboard!$C$6="All",E1961=Dashboard!$C$6),OR(Dashboard!$F$6="All",G1961=Dashboard!$F$6),OR(Dashboard!$I$6="All",H1961=Dashboard!$I$6)),1,0)</f>
        <v/>
      </c>
    </row>
    <row r="1962">
      <c r="A1962" t="inlineStr">
        <is>
          <t>PF101953</t>
        </is>
      </c>
      <c r="B1962" s="68" t="n">
        <v>45893</v>
      </c>
      <c r="C1962" s="69" t="n">
        <v>2025</v>
      </c>
      <c r="D1962" t="inlineStr">
        <is>
          <t>Aug</t>
        </is>
      </c>
      <c r="E1962" t="inlineStr">
        <is>
          <t>Europe</t>
        </is>
      </c>
      <c r="F1962" t="inlineStr">
        <is>
          <t>Italy</t>
        </is>
      </c>
      <c r="G1962" t="inlineStr">
        <is>
          <t>Comirnaty</t>
        </is>
      </c>
      <c r="H1962" t="inlineStr">
        <is>
          <t>Government / tender</t>
        </is>
      </c>
      <c r="I1962" t="inlineStr">
        <is>
          <t>Public payer</t>
        </is>
      </c>
      <c r="J1962" t="inlineStr">
        <is>
          <t>Hiroshi Tanaka</t>
        </is>
      </c>
      <c r="K1962" s="70" t="n">
        <v>1768</v>
      </c>
      <c r="L1962" s="71" t="n">
        <v>102.83</v>
      </c>
      <c r="M1962" s="71" t="n">
        <v>181803.44</v>
      </c>
      <c r="N1962" s="71" t="n">
        <v>45450.86</v>
      </c>
      <c r="O1962" s="71" t="n">
        <v>136352.58</v>
      </c>
      <c r="P1962" s="71" t="n">
        <v>69324.47</v>
      </c>
      <c r="Q1962" s="71" t="n">
        <v>67028.11</v>
      </c>
      <c r="R1962" t="inlineStr">
        <is>
          <t>Vaccines</t>
        </is>
      </c>
      <c r="S1962" s="70" t="n">
        <v>1435</v>
      </c>
      <c r="T1962" s="71" t="n">
        <v>36266.83</v>
      </c>
      <c r="U1962" t="inlineStr">
        <is>
          <t>Low</t>
        </is>
      </c>
      <c r="V1962">
        <f>IF(AND(OR(Dashboard!$C$6="All",E1962=Dashboard!$C$6),OR(Dashboard!$F$6="All",G1962=Dashboard!$F$6),OR(Dashboard!$I$6="All",H1962=Dashboard!$I$6)),1,0)</f>
        <v/>
      </c>
    </row>
    <row r="1963">
      <c r="A1963" t="inlineStr">
        <is>
          <t>PF101954</t>
        </is>
      </c>
      <c r="B1963" s="68" t="n">
        <v>45893</v>
      </c>
      <c r="C1963" s="69" t="n">
        <v>2025</v>
      </c>
      <c r="D1963" t="inlineStr">
        <is>
          <t>Aug</t>
        </is>
      </c>
      <c r="E1963" t="inlineStr">
        <is>
          <t>Europe</t>
        </is>
      </c>
      <c r="F1963" t="inlineStr">
        <is>
          <t>Spain</t>
        </is>
      </c>
      <c r="G1963" t="inlineStr">
        <is>
          <t>Prevnar 20</t>
        </is>
      </c>
      <c r="H1963" t="inlineStr">
        <is>
          <t>Hospital</t>
        </is>
      </c>
      <c r="I1963" t="inlineStr">
        <is>
          <t>Public payer</t>
        </is>
      </c>
      <c r="J1963" t="inlineStr">
        <is>
          <t>Fatima Al-Saud</t>
        </is>
      </c>
      <c r="K1963" s="70" t="n">
        <v>913</v>
      </c>
      <c r="L1963" s="71" t="n">
        <v>252.82</v>
      </c>
      <c r="M1963" s="71" t="n">
        <v>230824.66</v>
      </c>
      <c r="N1963" s="71" t="n">
        <v>57706.17</v>
      </c>
      <c r="O1963" s="71" t="n">
        <v>173118.49</v>
      </c>
      <c r="P1963" s="71" t="n">
        <v>64893.32</v>
      </c>
      <c r="Q1963" s="71" t="n">
        <v>108225.17</v>
      </c>
      <c r="R1963" t="inlineStr">
        <is>
          <t>Vaccines</t>
        </is>
      </c>
      <c r="S1963" s="70" t="n">
        <v>656</v>
      </c>
      <c r="T1963" s="71" t="n">
        <v>35543.61</v>
      </c>
      <c r="U1963" t="inlineStr">
        <is>
          <t>Low</t>
        </is>
      </c>
      <c r="V1963">
        <f>IF(AND(OR(Dashboard!$C$6="All",E1963=Dashboard!$C$6),OR(Dashboard!$F$6="All",G1963=Dashboard!$F$6),OR(Dashboard!$I$6="All",H1963=Dashboard!$I$6)),1,0)</f>
        <v/>
      </c>
    </row>
    <row r="1964">
      <c r="A1964" t="inlineStr">
        <is>
          <t>PF101955</t>
        </is>
      </c>
      <c r="B1964" s="68" t="n">
        <v>45893</v>
      </c>
      <c r="C1964" s="69" t="n">
        <v>2025</v>
      </c>
      <c r="D1964" t="inlineStr">
        <is>
          <t>Aug</t>
        </is>
      </c>
      <c r="E1964" t="inlineStr">
        <is>
          <t>International developed</t>
        </is>
      </c>
      <c r="F1964" t="inlineStr">
        <is>
          <t>Japan</t>
        </is>
      </c>
      <c r="G1964" t="inlineStr">
        <is>
          <t>Eliquis</t>
        </is>
      </c>
      <c r="H1964" t="inlineStr">
        <is>
          <t>Hospital</t>
        </is>
      </c>
      <c r="I1964" t="inlineStr">
        <is>
          <t>Private insurer</t>
        </is>
      </c>
      <c r="J1964" t="inlineStr">
        <is>
          <t>Emma Clarke</t>
        </is>
      </c>
      <c r="K1964" s="70" t="n">
        <v>278</v>
      </c>
      <c r="L1964" s="71" t="n">
        <v>420.67</v>
      </c>
      <c r="M1964" s="71" t="n">
        <v>116946.26</v>
      </c>
      <c r="N1964" s="71" t="n">
        <v>17541.94</v>
      </c>
      <c r="O1964" s="71" t="n">
        <v>99404.32000000001</v>
      </c>
      <c r="P1964" s="71" t="n">
        <v>20712.66</v>
      </c>
      <c r="Q1964" s="71" t="n">
        <v>78691.66</v>
      </c>
      <c r="R1964" t="inlineStr">
        <is>
          <t>Cardiology</t>
        </is>
      </c>
      <c r="S1964" s="70" t="n">
        <v>222</v>
      </c>
      <c r="T1964" s="71" t="n">
        <v>22844.99</v>
      </c>
      <c r="U1964" t="inlineStr">
        <is>
          <t>High</t>
        </is>
      </c>
      <c r="V1964">
        <f>IF(AND(OR(Dashboard!$C$6="All",E1964=Dashboard!$C$6),OR(Dashboard!$F$6="All",G1964=Dashboard!$F$6),OR(Dashboard!$I$6="All",H1964=Dashboard!$I$6)),1,0)</f>
        <v/>
      </c>
    </row>
    <row r="1965">
      <c r="A1965" t="inlineStr">
        <is>
          <t>PF101956</t>
        </is>
      </c>
      <c r="B1965" s="68" t="n">
        <v>45894</v>
      </c>
      <c r="C1965" s="69" t="n">
        <v>2025</v>
      </c>
      <c r="D1965" t="inlineStr">
        <is>
          <t>Aug</t>
        </is>
      </c>
      <c r="E1965" t="inlineStr">
        <is>
          <t>Europe</t>
        </is>
      </c>
      <c r="F1965" t="inlineStr">
        <is>
          <t>France</t>
        </is>
      </c>
      <c r="G1965" t="inlineStr">
        <is>
          <t>Prevnar 20</t>
        </is>
      </c>
      <c r="H1965" t="inlineStr">
        <is>
          <t>Retail pharmacy</t>
        </is>
      </c>
      <c r="I1965" t="inlineStr">
        <is>
          <t>Public payer</t>
        </is>
      </c>
      <c r="J1965" t="inlineStr">
        <is>
          <t>Yuki Sato</t>
        </is>
      </c>
      <c r="K1965" s="70" t="n">
        <v>2338</v>
      </c>
      <c r="L1965" s="71" t="n">
        <v>215.97</v>
      </c>
      <c r="M1965" s="71" t="n">
        <v>504937.86</v>
      </c>
      <c r="N1965" s="71" t="n">
        <v>50493.79</v>
      </c>
      <c r="O1965" s="71" t="n">
        <v>454444.07</v>
      </c>
      <c r="P1965" s="71" t="n">
        <v>155274.03</v>
      </c>
      <c r="Q1965" s="71" t="n">
        <v>299170.04</v>
      </c>
      <c r="R1965" t="inlineStr">
        <is>
          <t>Vaccines</t>
        </is>
      </c>
      <c r="S1965" s="70" t="n">
        <v>2088</v>
      </c>
      <c r="T1965" s="71" t="n">
        <v>85322.53999999999</v>
      </c>
      <c r="U1965" t="inlineStr">
        <is>
          <t>Low</t>
        </is>
      </c>
      <c r="V1965">
        <f>IF(AND(OR(Dashboard!$C$6="All",E1965=Dashboard!$C$6),OR(Dashboard!$F$6="All",G1965=Dashboard!$F$6),OR(Dashboard!$I$6="All",H1965=Dashboard!$I$6)),1,0)</f>
        <v/>
      </c>
    </row>
    <row r="1966">
      <c r="A1966" t="inlineStr">
        <is>
          <t>PF101957</t>
        </is>
      </c>
      <c r="B1966" s="68" t="n">
        <v>45894</v>
      </c>
      <c r="C1966" s="69" t="n">
        <v>2025</v>
      </c>
      <c r="D1966" t="inlineStr">
        <is>
          <t>Aug</t>
        </is>
      </c>
      <c r="E1966" t="inlineStr">
        <is>
          <t>United States</t>
        </is>
      </c>
      <c r="F1966" t="inlineStr">
        <is>
          <t>USA</t>
        </is>
      </c>
      <c r="G1966" t="inlineStr">
        <is>
          <t>Comirnaty</t>
        </is>
      </c>
      <c r="H1966" t="inlineStr">
        <is>
          <t>Retail pharmacy</t>
        </is>
      </c>
      <c r="I1966" t="inlineStr">
        <is>
          <t>Public payer</t>
        </is>
      </c>
      <c r="J1966" t="inlineStr">
        <is>
          <t>Ana Costa</t>
        </is>
      </c>
      <c r="K1966" s="70" t="n">
        <v>208</v>
      </c>
      <c r="L1966" s="71" t="n">
        <v>179.46</v>
      </c>
      <c r="M1966" s="71" t="n">
        <v>37327.68</v>
      </c>
      <c r="N1966" s="71" t="n">
        <v>7465.54</v>
      </c>
      <c r="O1966" s="71" t="n">
        <v>29862.14</v>
      </c>
      <c r="P1966" s="71" t="n">
        <v>8164.72</v>
      </c>
      <c r="Q1966" s="71" t="n">
        <v>21697.42</v>
      </c>
      <c r="R1966" t="inlineStr">
        <is>
          <t>Vaccines</t>
        </is>
      </c>
      <c r="S1966" s="70" t="n">
        <v>184</v>
      </c>
      <c r="T1966" s="71" t="n">
        <v>5620.66</v>
      </c>
      <c r="U1966" t="inlineStr">
        <is>
          <t>Low</t>
        </is>
      </c>
      <c r="V1966">
        <f>IF(AND(OR(Dashboard!$C$6="All",E1966=Dashboard!$C$6),OR(Dashboard!$F$6="All",G1966=Dashboard!$F$6),OR(Dashboard!$I$6="All",H1966=Dashboard!$I$6)),1,0)</f>
        <v/>
      </c>
    </row>
    <row r="1967">
      <c r="A1967" t="inlineStr">
        <is>
          <t>PF101958</t>
        </is>
      </c>
      <c r="B1967" s="68" t="n">
        <v>45894</v>
      </c>
      <c r="C1967" s="69" t="n">
        <v>2025</v>
      </c>
      <c r="D1967" t="inlineStr">
        <is>
          <t>Aug</t>
        </is>
      </c>
      <c r="E1967" t="inlineStr">
        <is>
          <t>Emerging markets</t>
        </is>
      </c>
      <c r="F1967" t="inlineStr">
        <is>
          <t>India</t>
        </is>
      </c>
      <c r="G1967" t="inlineStr">
        <is>
          <t>Xeljanz</t>
        </is>
      </c>
      <c r="H1967" t="inlineStr">
        <is>
          <t>Government / tender</t>
        </is>
      </c>
      <c r="I1967" t="inlineStr">
        <is>
          <t>Public payer</t>
        </is>
      </c>
      <c r="J1967" t="inlineStr">
        <is>
          <t>Carlos Silva</t>
        </is>
      </c>
      <c r="K1967" s="70" t="n">
        <v>760</v>
      </c>
      <c r="L1967" s="71" t="n">
        <v>1286.68</v>
      </c>
      <c r="M1967" s="71" t="n">
        <v>977876.8</v>
      </c>
      <c r="N1967" s="71" t="n">
        <v>195575.36</v>
      </c>
      <c r="O1967" s="71" t="n">
        <v>782301.4399999999</v>
      </c>
      <c r="P1967" s="71" t="n">
        <v>197335.41</v>
      </c>
      <c r="Q1967" s="71" t="n">
        <v>584966.03</v>
      </c>
      <c r="R1967" t="inlineStr">
        <is>
          <t>Inflammation</t>
        </is>
      </c>
      <c r="S1967" s="70" t="n">
        <v>723</v>
      </c>
      <c r="T1967" s="71" t="n">
        <v>118049.13</v>
      </c>
      <c r="U1967" t="inlineStr">
        <is>
          <t>High</t>
        </is>
      </c>
      <c r="V1967">
        <f>IF(AND(OR(Dashboard!$C$6="All",E1967=Dashboard!$C$6),OR(Dashboard!$F$6="All",G1967=Dashboard!$F$6),OR(Dashboard!$I$6="All",H1967=Dashboard!$I$6)),1,0)</f>
        <v/>
      </c>
    </row>
    <row r="1968">
      <c r="A1968" t="inlineStr">
        <is>
          <t>PF101959</t>
        </is>
      </c>
      <c r="B1968" s="68" t="n">
        <v>45894</v>
      </c>
      <c r="C1968" s="69" t="n">
        <v>2025</v>
      </c>
      <c r="D1968" t="inlineStr">
        <is>
          <t>Aug</t>
        </is>
      </c>
      <c r="E1968" t="inlineStr">
        <is>
          <t>United States</t>
        </is>
      </c>
      <c r="F1968" t="inlineStr">
        <is>
          <t>USA</t>
        </is>
      </c>
      <c r="G1968" t="inlineStr">
        <is>
          <t>Comirnaty</t>
        </is>
      </c>
      <c r="H1968" t="inlineStr">
        <is>
          <t>Hospital</t>
        </is>
      </c>
      <c r="I1968" t="inlineStr">
        <is>
          <t>Self-pay</t>
        </is>
      </c>
      <c r="J1968" t="inlineStr">
        <is>
          <t>Ana Costa</t>
        </is>
      </c>
      <c r="K1968" s="70" t="n">
        <v>389</v>
      </c>
      <c r="L1968" s="71" t="n">
        <v>180.51</v>
      </c>
      <c r="M1968" s="71" t="n">
        <v>70218.39</v>
      </c>
      <c r="N1968" s="71" t="n">
        <v>21065.52</v>
      </c>
      <c r="O1968" s="71" t="n">
        <v>49152.87</v>
      </c>
      <c r="P1968" s="71" t="n">
        <v>14553.24</v>
      </c>
      <c r="Q1968" s="71" t="n">
        <v>34599.63</v>
      </c>
      <c r="R1968" t="inlineStr">
        <is>
          <t>Vaccines</t>
        </is>
      </c>
      <c r="S1968" s="70" t="n">
        <v>271</v>
      </c>
      <c r="T1968" s="71" t="n">
        <v>10056.16</v>
      </c>
      <c r="U1968" t="inlineStr">
        <is>
          <t>Low</t>
        </is>
      </c>
      <c r="V1968">
        <f>IF(AND(OR(Dashboard!$C$6="All",E1968=Dashboard!$C$6),OR(Dashboard!$F$6="All",G1968=Dashboard!$F$6),OR(Dashboard!$I$6="All",H1968=Dashboard!$I$6)),1,0)</f>
        <v/>
      </c>
    </row>
    <row r="1969">
      <c r="A1969" t="inlineStr">
        <is>
          <t>PF101960</t>
        </is>
      </c>
      <c r="B1969" s="68" t="n">
        <v>45894</v>
      </c>
      <c r="C1969" s="69" t="n">
        <v>2025</v>
      </c>
      <c r="D1969" t="inlineStr">
        <is>
          <t>Aug</t>
        </is>
      </c>
      <c r="E1969" t="inlineStr">
        <is>
          <t>Europe</t>
        </is>
      </c>
      <c r="F1969" t="inlineStr">
        <is>
          <t>Spain</t>
        </is>
      </c>
      <c r="G1969" t="inlineStr">
        <is>
          <t>Vyndaqel</t>
        </is>
      </c>
      <c r="H1969" t="inlineStr">
        <is>
          <t>Government / tender</t>
        </is>
      </c>
      <c r="I1969" t="inlineStr">
        <is>
          <t>Private insurer</t>
        </is>
      </c>
      <c r="J1969" t="inlineStr">
        <is>
          <t>Fatima Al-Saud</t>
        </is>
      </c>
      <c r="K1969" s="70" t="n">
        <v>2650</v>
      </c>
      <c r="L1969" s="71" t="n">
        <v>5433.99</v>
      </c>
      <c r="M1969" s="71" t="n">
        <v>14400073.5</v>
      </c>
      <c r="N1969" s="71" t="n">
        <v>720003.6800000001</v>
      </c>
      <c r="O1969" s="71" t="n">
        <v>13680069.82</v>
      </c>
      <c r="P1969" s="71" t="n">
        <v>1690894.31</v>
      </c>
      <c r="Q1969" s="71" t="n">
        <v>11989175.51</v>
      </c>
      <c r="R1969" t="inlineStr">
        <is>
          <t>Rare disease</t>
        </is>
      </c>
      <c r="S1969" s="70" t="n">
        <v>1949</v>
      </c>
      <c r="T1969" s="71" t="n">
        <v>2937678.91</v>
      </c>
      <c r="U1969" t="inlineStr">
        <is>
          <t>Medium</t>
        </is>
      </c>
      <c r="V1969">
        <f>IF(AND(OR(Dashboard!$C$6="All",E1969=Dashboard!$C$6),OR(Dashboard!$F$6="All",G1969=Dashboard!$F$6),OR(Dashboard!$I$6="All",H1969=Dashboard!$I$6)),1,0)</f>
        <v/>
      </c>
    </row>
    <row r="1970">
      <c r="A1970" t="inlineStr">
        <is>
          <t>PF101961</t>
        </is>
      </c>
      <c r="B1970" s="68" t="n">
        <v>45895</v>
      </c>
      <c r="C1970" s="69" t="n">
        <v>2025</v>
      </c>
      <c r="D1970" t="inlineStr">
        <is>
          <t>Aug</t>
        </is>
      </c>
      <c r="E1970" t="inlineStr">
        <is>
          <t>Europe</t>
        </is>
      </c>
      <c r="F1970" t="inlineStr">
        <is>
          <t>Germany</t>
        </is>
      </c>
      <c r="G1970" t="inlineStr">
        <is>
          <t>Eliquis</t>
        </is>
      </c>
      <c r="H1970" t="inlineStr">
        <is>
          <t>Retail pharmacy</t>
        </is>
      </c>
      <c r="I1970" t="inlineStr">
        <is>
          <t>Private insurer</t>
        </is>
      </c>
      <c r="J1970" t="inlineStr">
        <is>
          <t>Amir Khan</t>
        </is>
      </c>
      <c r="K1970" s="70" t="n">
        <v>619</v>
      </c>
      <c r="L1970" s="71" t="n">
        <v>398.74</v>
      </c>
      <c r="M1970" s="71" t="n">
        <v>246820.06</v>
      </c>
      <c r="N1970" s="71" t="n">
        <v>12341</v>
      </c>
      <c r="O1970" s="71" t="n">
        <v>234479.06</v>
      </c>
      <c r="P1970" s="71" t="n">
        <v>48543.69</v>
      </c>
      <c r="Q1970" s="71" t="n">
        <v>185935.37</v>
      </c>
      <c r="R1970" t="inlineStr">
        <is>
          <t>Cardiology</t>
        </is>
      </c>
      <c r="S1970" s="70" t="n">
        <v>397</v>
      </c>
      <c r="T1970" s="71" t="n">
        <v>37931.58</v>
      </c>
      <c r="U1970" t="inlineStr">
        <is>
          <t>High</t>
        </is>
      </c>
      <c r="V1970">
        <f>IF(AND(OR(Dashboard!$C$6="All",E1970=Dashboard!$C$6),OR(Dashboard!$F$6="All",G1970=Dashboard!$F$6),OR(Dashboard!$I$6="All",H1970=Dashboard!$I$6)),1,0)</f>
        <v/>
      </c>
    </row>
    <row r="1971">
      <c r="A1971" t="inlineStr">
        <is>
          <t>PF101962</t>
        </is>
      </c>
      <c r="B1971" s="68" t="n">
        <v>45895</v>
      </c>
      <c r="C1971" s="69" t="n">
        <v>2025</v>
      </c>
      <c r="D1971" t="inlineStr">
        <is>
          <t>Aug</t>
        </is>
      </c>
      <c r="E1971" t="inlineStr">
        <is>
          <t>Europe</t>
        </is>
      </c>
      <c r="F1971" t="inlineStr">
        <is>
          <t>Spain</t>
        </is>
      </c>
      <c r="G1971" t="inlineStr">
        <is>
          <t>Abrysvo</t>
        </is>
      </c>
      <c r="H1971" t="inlineStr">
        <is>
          <t>Government / tender</t>
        </is>
      </c>
      <c r="I1971" t="inlineStr">
        <is>
          <t>Private insurer</t>
        </is>
      </c>
      <c r="J1971" t="inlineStr">
        <is>
          <t>Wei Chen</t>
        </is>
      </c>
      <c r="K1971" s="70" t="n">
        <v>534</v>
      </c>
      <c r="L1971" s="71" t="n">
        <v>280.87</v>
      </c>
      <c r="M1971" s="71" t="n">
        <v>149984.58</v>
      </c>
      <c r="N1971" s="71" t="n">
        <v>14998.46</v>
      </c>
      <c r="O1971" s="71" t="n">
        <v>134986.12</v>
      </c>
      <c r="P1971" s="71" t="n">
        <v>46067.6</v>
      </c>
      <c r="Q1971" s="71" t="n">
        <v>88918.52</v>
      </c>
      <c r="R1971" t="inlineStr">
        <is>
          <t>Vaccines</t>
        </is>
      </c>
      <c r="S1971" s="70" t="n">
        <v>489</v>
      </c>
      <c r="T1971" s="71" t="n">
        <v>18906.63</v>
      </c>
      <c r="U1971" t="inlineStr">
        <is>
          <t>Low</t>
        </is>
      </c>
      <c r="V1971">
        <f>IF(AND(OR(Dashboard!$C$6="All",E1971=Dashboard!$C$6),OR(Dashboard!$F$6="All",G1971=Dashboard!$F$6),OR(Dashboard!$I$6="All",H1971=Dashboard!$I$6)),1,0)</f>
        <v/>
      </c>
    </row>
    <row r="1972">
      <c r="A1972" t="inlineStr">
        <is>
          <t>PF101963</t>
        </is>
      </c>
      <c r="B1972" s="68" t="n">
        <v>45895</v>
      </c>
      <c r="C1972" s="69" t="n">
        <v>2025</v>
      </c>
      <c r="D1972" t="inlineStr">
        <is>
          <t>Aug</t>
        </is>
      </c>
      <c r="E1972" t="inlineStr">
        <is>
          <t>Emerging markets</t>
        </is>
      </c>
      <c r="F1972" t="inlineStr">
        <is>
          <t>Brazil</t>
        </is>
      </c>
      <c r="G1972" t="inlineStr">
        <is>
          <t>Eliquis</t>
        </is>
      </c>
      <c r="H1972" t="inlineStr">
        <is>
          <t>Retail pharmacy</t>
        </is>
      </c>
      <c r="I1972" t="inlineStr">
        <is>
          <t>Self-pay</t>
        </is>
      </c>
      <c r="J1972" t="inlineStr">
        <is>
          <t>Ana Costa</t>
        </is>
      </c>
      <c r="K1972" s="70" t="n">
        <v>2494</v>
      </c>
      <c r="L1972" s="71" t="n">
        <v>396.1</v>
      </c>
      <c r="M1972" s="71" t="n">
        <v>987873.4</v>
      </c>
      <c r="N1972" s="71" t="n">
        <v>148181.01</v>
      </c>
      <c r="O1972" s="71" t="n">
        <v>839692.39</v>
      </c>
      <c r="P1972" s="71" t="n">
        <v>187930.95</v>
      </c>
      <c r="Q1972" s="71" t="n">
        <v>651761.4399999999</v>
      </c>
      <c r="R1972" t="inlineStr">
        <is>
          <t>Cardiology</t>
        </is>
      </c>
      <c r="S1972" s="70" t="n">
        <v>2230</v>
      </c>
      <c r="T1972" s="71" t="n">
        <v>189663.08</v>
      </c>
      <c r="U1972" t="inlineStr">
        <is>
          <t>High</t>
        </is>
      </c>
      <c r="V1972">
        <f>IF(AND(OR(Dashboard!$C$6="All",E1972=Dashboard!$C$6),OR(Dashboard!$F$6="All",G1972=Dashboard!$F$6),OR(Dashboard!$I$6="All",H1972=Dashboard!$I$6)),1,0)</f>
        <v/>
      </c>
    </row>
    <row r="1973">
      <c r="A1973" t="inlineStr">
        <is>
          <t>PF101964</t>
        </is>
      </c>
      <c r="B1973" s="68" t="n">
        <v>45895</v>
      </c>
      <c r="C1973" s="69" t="n">
        <v>2025</v>
      </c>
      <c r="D1973" t="inlineStr">
        <is>
          <t>Aug</t>
        </is>
      </c>
      <c r="E1973" t="inlineStr">
        <is>
          <t>Emerging markets</t>
        </is>
      </c>
      <c r="F1973" t="inlineStr">
        <is>
          <t>China</t>
        </is>
      </c>
      <c r="G1973" t="inlineStr">
        <is>
          <t>Eliquis</t>
        </is>
      </c>
      <c r="H1973" t="inlineStr">
        <is>
          <t>Hospital</t>
        </is>
      </c>
      <c r="I1973" t="inlineStr">
        <is>
          <t>Public payer</t>
        </is>
      </c>
      <c r="J1973" t="inlineStr">
        <is>
          <t>Sophie Müller</t>
        </is>
      </c>
      <c r="K1973" s="70" t="n">
        <v>1216</v>
      </c>
      <c r="L1973" s="71" t="n">
        <v>390.24</v>
      </c>
      <c r="M1973" s="71" t="n">
        <v>474531.84</v>
      </c>
      <c r="N1973" s="71" t="n">
        <v>118632.96</v>
      </c>
      <c r="O1973" s="71" t="n">
        <v>355898.88</v>
      </c>
      <c r="P1973" s="71" t="n">
        <v>95119.5</v>
      </c>
      <c r="Q1973" s="71" t="n">
        <v>260779.38</v>
      </c>
      <c r="R1973" t="inlineStr">
        <is>
          <t>Cardiology</t>
        </is>
      </c>
      <c r="S1973" s="70" t="n">
        <v>875</v>
      </c>
      <c r="T1973" s="71" t="n">
        <v>72769.75</v>
      </c>
      <c r="U1973" t="inlineStr">
        <is>
          <t>High</t>
        </is>
      </c>
      <c r="V1973">
        <f>IF(AND(OR(Dashboard!$C$6="All",E1973=Dashboard!$C$6),OR(Dashboard!$F$6="All",G1973=Dashboard!$F$6),OR(Dashboard!$I$6="All",H1973=Dashboard!$I$6)),1,0)</f>
        <v/>
      </c>
    </row>
    <row r="1974">
      <c r="A1974" t="inlineStr">
        <is>
          <t>PF101965</t>
        </is>
      </c>
      <c r="B1974" s="68" t="n">
        <v>45895</v>
      </c>
      <c r="C1974" s="69" t="n">
        <v>2025</v>
      </c>
      <c r="D1974" t="inlineStr">
        <is>
          <t>Aug</t>
        </is>
      </c>
      <c r="E1974" t="inlineStr">
        <is>
          <t>Europe</t>
        </is>
      </c>
      <c r="F1974" t="inlineStr">
        <is>
          <t>Italy</t>
        </is>
      </c>
      <c r="G1974" t="inlineStr">
        <is>
          <t>Abrysvo</t>
        </is>
      </c>
      <c r="H1974" t="inlineStr">
        <is>
          <t>Government / tender</t>
        </is>
      </c>
      <c r="I1974" t="inlineStr">
        <is>
          <t>Private insurer</t>
        </is>
      </c>
      <c r="J1974" t="inlineStr">
        <is>
          <t>Ruhi Shaikh</t>
        </is>
      </c>
      <c r="K1974" s="70" t="n">
        <v>2987</v>
      </c>
      <c r="L1974" s="71" t="n">
        <v>287.25</v>
      </c>
      <c r="M1974" s="71" t="n">
        <v>858015.75</v>
      </c>
      <c r="N1974" s="71" t="n">
        <v>128702.36</v>
      </c>
      <c r="O1974" s="71" t="n">
        <v>729313.39</v>
      </c>
      <c r="P1974" s="71" t="n">
        <v>245992.27</v>
      </c>
      <c r="Q1974" s="71" t="n">
        <v>483321.12</v>
      </c>
      <c r="R1974" t="inlineStr">
        <is>
          <t>Vaccines</t>
        </is>
      </c>
      <c r="S1974" s="70" t="n">
        <v>2174</v>
      </c>
      <c r="T1974" s="71" t="n">
        <v>109566.7</v>
      </c>
      <c r="U1974" t="inlineStr">
        <is>
          <t>Low</t>
        </is>
      </c>
      <c r="V1974">
        <f>IF(AND(OR(Dashboard!$C$6="All",E1974=Dashboard!$C$6),OR(Dashboard!$F$6="All",G1974=Dashboard!$F$6),OR(Dashboard!$I$6="All",H1974=Dashboard!$I$6)),1,0)</f>
        <v/>
      </c>
    </row>
    <row r="1975">
      <c r="A1975" t="inlineStr">
        <is>
          <t>PF101966</t>
        </is>
      </c>
      <c r="B1975" s="68" t="n">
        <v>45895</v>
      </c>
      <c r="C1975" s="69" t="n">
        <v>2025</v>
      </c>
      <c r="D1975" t="inlineStr">
        <is>
          <t>Aug</t>
        </is>
      </c>
      <c r="E1975" t="inlineStr">
        <is>
          <t>International developed</t>
        </is>
      </c>
      <c r="F1975" t="inlineStr">
        <is>
          <t>Japan</t>
        </is>
      </c>
      <c r="G1975" t="inlineStr">
        <is>
          <t>Eliquis</t>
        </is>
      </c>
      <c r="H1975" t="inlineStr">
        <is>
          <t>Retail pharmacy</t>
        </is>
      </c>
      <c r="I1975" t="inlineStr">
        <is>
          <t>Self-pay</t>
        </is>
      </c>
      <c r="J1975" t="inlineStr">
        <is>
          <t>Noah Smith</t>
        </is>
      </c>
      <c r="K1975" s="70" t="n">
        <v>1629</v>
      </c>
      <c r="L1975" s="71" t="n">
        <v>386.57</v>
      </c>
      <c r="M1975" s="71" t="n">
        <v>629722.53</v>
      </c>
      <c r="N1975" s="71" t="n">
        <v>125944.51</v>
      </c>
      <c r="O1975" s="71" t="n">
        <v>503778.02</v>
      </c>
      <c r="P1975" s="71" t="n">
        <v>120854.27</v>
      </c>
      <c r="Q1975" s="71" t="n">
        <v>382923.75</v>
      </c>
      <c r="R1975" t="inlineStr">
        <is>
          <t>Cardiology</t>
        </is>
      </c>
      <c r="S1975" s="70" t="n">
        <v>1252</v>
      </c>
      <c r="T1975" s="71" t="n">
        <v>104216.54</v>
      </c>
      <c r="U1975" t="inlineStr">
        <is>
          <t>High</t>
        </is>
      </c>
      <c r="V1975">
        <f>IF(AND(OR(Dashboard!$C$6="All",E1975=Dashboard!$C$6),OR(Dashboard!$F$6="All",G1975=Dashboard!$F$6),OR(Dashboard!$I$6="All",H1975=Dashboard!$I$6)),1,0)</f>
        <v/>
      </c>
    </row>
    <row r="1976">
      <c r="A1976" t="inlineStr">
        <is>
          <t>PF101967</t>
        </is>
      </c>
      <c r="B1976" s="68" t="n">
        <v>45895</v>
      </c>
      <c r="C1976" s="69" t="n">
        <v>2025</v>
      </c>
      <c r="D1976" t="inlineStr">
        <is>
          <t>Aug</t>
        </is>
      </c>
      <c r="E1976" t="inlineStr">
        <is>
          <t>International developed</t>
        </is>
      </c>
      <c r="F1976" t="inlineStr">
        <is>
          <t>Australia</t>
        </is>
      </c>
      <c r="G1976" t="inlineStr">
        <is>
          <t>Abrysvo</t>
        </is>
      </c>
      <c r="H1976" t="inlineStr">
        <is>
          <t>Retail pharmacy</t>
        </is>
      </c>
      <c r="I1976" t="inlineStr">
        <is>
          <t>Private insurer</t>
        </is>
      </c>
      <c r="J1976" t="inlineStr">
        <is>
          <t>Lucas Martin</t>
        </is>
      </c>
      <c r="K1976" s="70" t="n">
        <v>1085</v>
      </c>
      <c r="L1976" s="71" t="n">
        <v>282.75</v>
      </c>
      <c r="M1976" s="71" t="n">
        <v>306783.75</v>
      </c>
      <c r="N1976" s="71" t="n">
        <v>76695.94</v>
      </c>
      <c r="O1976" s="71" t="n">
        <v>230087.81</v>
      </c>
      <c r="P1976" s="71" t="n">
        <v>87743.92999999999</v>
      </c>
      <c r="Q1976" s="71" t="n">
        <v>142343.88</v>
      </c>
      <c r="R1976" t="inlineStr">
        <is>
          <t>Vaccines</t>
        </is>
      </c>
      <c r="S1976" s="70" t="n">
        <v>725</v>
      </c>
      <c r="T1976" s="71" t="n">
        <v>56258.1</v>
      </c>
      <c r="U1976" t="inlineStr">
        <is>
          <t>Low</t>
        </is>
      </c>
      <c r="V1976">
        <f>IF(AND(OR(Dashboard!$C$6="All",E1976=Dashboard!$C$6),OR(Dashboard!$F$6="All",G1976=Dashboard!$F$6),OR(Dashboard!$I$6="All",H1976=Dashboard!$I$6)),1,0)</f>
        <v/>
      </c>
    </row>
    <row r="1977">
      <c r="A1977" t="inlineStr">
        <is>
          <t>PF101968</t>
        </is>
      </c>
      <c r="B1977" s="68" t="n">
        <v>45895</v>
      </c>
      <c r="C1977" s="69" t="n">
        <v>2025</v>
      </c>
      <c r="D1977" t="inlineStr">
        <is>
          <t>Aug</t>
        </is>
      </c>
      <c r="E1977" t="inlineStr">
        <is>
          <t>United States</t>
        </is>
      </c>
      <c r="F1977" t="inlineStr">
        <is>
          <t>USA</t>
        </is>
      </c>
      <c r="G1977" t="inlineStr">
        <is>
          <t>Xeljanz</t>
        </is>
      </c>
      <c r="H1977" t="inlineStr">
        <is>
          <t>Retail pharmacy</t>
        </is>
      </c>
      <c r="I1977" t="inlineStr">
        <is>
          <t>Private insurer</t>
        </is>
      </c>
      <c r="J1977" t="inlineStr">
        <is>
          <t>Zoya Ahmed</t>
        </is>
      </c>
      <c r="K1977" s="70" t="n">
        <v>1722</v>
      </c>
      <c r="L1977" s="71" t="n">
        <v>2363.82</v>
      </c>
      <c r="M1977" s="71" t="n">
        <v>4070498.04</v>
      </c>
      <c r="N1977" s="71" t="n">
        <v>610574.71</v>
      </c>
      <c r="O1977" s="71" t="n">
        <v>3459923.33</v>
      </c>
      <c r="P1977" s="71" t="n">
        <v>446206.46</v>
      </c>
      <c r="Q1977" s="71" t="n">
        <v>3013716.87</v>
      </c>
      <c r="R1977" t="inlineStr">
        <is>
          <t>Inflammation</t>
        </is>
      </c>
      <c r="S1977" s="70" t="n">
        <v>1441</v>
      </c>
      <c r="T1977" s="71" t="n">
        <v>875913.88</v>
      </c>
      <c r="U1977" t="inlineStr">
        <is>
          <t>High</t>
        </is>
      </c>
      <c r="V1977">
        <f>IF(AND(OR(Dashboard!$C$6="All",E1977=Dashboard!$C$6),OR(Dashboard!$F$6="All",G1977=Dashboard!$F$6),OR(Dashboard!$I$6="All",H1977=Dashboard!$I$6)),1,0)</f>
        <v/>
      </c>
    </row>
    <row r="1978">
      <c r="A1978" t="inlineStr">
        <is>
          <t>PF101969</t>
        </is>
      </c>
      <c r="B1978" s="68" t="n">
        <v>45895</v>
      </c>
      <c r="C1978" s="69" t="n">
        <v>2025</v>
      </c>
      <c r="D1978" t="inlineStr">
        <is>
          <t>Aug</t>
        </is>
      </c>
      <c r="E1978" t="inlineStr">
        <is>
          <t>Europe</t>
        </is>
      </c>
      <c r="F1978" t="inlineStr">
        <is>
          <t>Spain</t>
        </is>
      </c>
      <c r="G1978" t="inlineStr">
        <is>
          <t>Abrysvo</t>
        </is>
      </c>
      <c r="H1978" t="inlineStr">
        <is>
          <t>Hospital</t>
        </is>
      </c>
      <c r="I1978" t="inlineStr">
        <is>
          <t>Public payer</t>
        </is>
      </c>
      <c r="J1978" t="inlineStr">
        <is>
          <t>Sara Rossi</t>
        </is>
      </c>
      <c r="K1978" s="70" t="n">
        <v>475</v>
      </c>
      <c r="L1978" s="71" t="n">
        <v>262.85</v>
      </c>
      <c r="M1978" s="71" t="n">
        <v>124853.75</v>
      </c>
      <c r="N1978" s="71" t="n">
        <v>18728.06</v>
      </c>
      <c r="O1978" s="71" t="n">
        <v>106125.69</v>
      </c>
      <c r="P1978" s="71" t="n">
        <v>39362.46</v>
      </c>
      <c r="Q1978" s="71" t="n">
        <v>66763.23</v>
      </c>
      <c r="R1978" t="inlineStr">
        <is>
          <t>Vaccines</t>
        </is>
      </c>
      <c r="S1978" s="70" t="n">
        <v>434</v>
      </c>
      <c r="T1978" s="71" t="n">
        <v>16616.18</v>
      </c>
      <c r="U1978" t="inlineStr">
        <is>
          <t>Low</t>
        </is>
      </c>
      <c r="V1978">
        <f>IF(AND(OR(Dashboard!$C$6="All",E1978=Dashboard!$C$6),OR(Dashboard!$F$6="All",G1978=Dashboard!$F$6),OR(Dashboard!$I$6="All",H1978=Dashboard!$I$6)),1,0)</f>
        <v/>
      </c>
    </row>
    <row r="1979">
      <c r="A1979" t="inlineStr">
        <is>
          <t>PF101970</t>
        </is>
      </c>
      <c r="B1979" s="68" t="n">
        <v>45895</v>
      </c>
      <c r="C1979" s="69" t="n">
        <v>2025</v>
      </c>
      <c r="D1979" t="inlineStr">
        <is>
          <t>Aug</t>
        </is>
      </c>
      <c r="E1979" t="inlineStr">
        <is>
          <t>Europe</t>
        </is>
      </c>
      <c r="F1979" t="inlineStr">
        <is>
          <t>Germany</t>
        </is>
      </c>
      <c r="G1979" t="inlineStr">
        <is>
          <t>Prevnar 20</t>
        </is>
      </c>
      <c r="H1979" t="inlineStr">
        <is>
          <t>Hospital</t>
        </is>
      </c>
      <c r="I1979" t="inlineStr">
        <is>
          <t>Private insurer</t>
        </is>
      </c>
      <c r="J1979" t="inlineStr">
        <is>
          <t>Amir Khan</t>
        </is>
      </c>
      <c r="K1979" s="70" t="n">
        <v>636</v>
      </c>
      <c r="L1979" s="71" t="n">
        <v>248.31</v>
      </c>
      <c r="M1979" s="71" t="n">
        <v>157925.16</v>
      </c>
      <c r="N1979" s="71" t="n">
        <v>15792.52</v>
      </c>
      <c r="O1979" s="71" t="n">
        <v>142132.64</v>
      </c>
      <c r="P1979" s="71" t="n">
        <v>43534.67</v>
      </c>
      <c r="Q1979" s="71" t="n">
        <v>98597.97</v>
      </c>
      <c r="R1979" t="inlineStr">
        <is>
          <t>Vaccines</t>
        </is>
      </c>
      <c r="S1979" s="70" t="n">
        <v>484</v>
      </c>
      <c r="T1979" s="71" t="n">
        <v>31208.07</v>
      </c>
      <c r="U1979" t="inlineStr">
        <is>
          <t>Low</t>
        </is>
      </c>
      <c r="V1979">
        <f>IF(AND(OR(Dashboard!$C$6="All",E1979=Dashboard!$C$6),OR(Dashboard!$F$6="All",G1979=Dashboard!$F$6),OR(Dashboard!$I$6="All",H1979=Dashboard!$I$6)),1,0)</f>
        <v/>
      </c>
    </row>
    <row r="1980">
      <c r="A1980" t="inlineStr">
        <is>
          <t>PF101971</t>
        </is>
      </c>
      <c r="B1980" s="68" t="n">
        <v>45895</v>
      </c>
      <c r="C1980" s="69" t="n">
        <v>2025</v>
      </c>
      <c r="D1980" t="inlineStr">
        <is>
          <t>Aug</t>
        </is>
      </c>
      <c r="E1980" t="inlineStr">
        <is>
          <t>United States</t>
        </is>
      </c>
      <c r="F1980" t="inlineStr">
        <is>
          <t>USA</t>
        </is>
      </c>
      <c r="G1980" t="inlineStr">
        <is>
          <t>Abrysvo</t>
        </is>
      </c>
      <c r="H1980" t="inlineStr">
        <is>
          <t>Retail pharmacy</t>
        </is>
      </c>
      <c r="I1980" t="inlineStr">
        <is>
          <t>Private insurer</t>
        </is>
      </c>
      <c r="J1980" t="inlineStr">
        <is>
          <t>Shraddha Kulkarni</t>
        </is>
      </c>
      <c r="K1980" s="70" t="n">
        <v>2803</v>
      </c>
      <c r="L1980" s="71" t="n">
        <v>435.78</v>
      </c>
      <c r="M1980" s="71" t="n">
        <v>1221491.34</v>
      </c>
      <c r="N1980" s="71" t="n">
        <v>183223.7</v>
      </c>
      <c r="O1980" s="71" t="n">
        <v>1038267.64</v>
      </c>
      <c r="P1980" s="71" t="n">
        <v>232381.92</v>
      </c>
      <c r="Q1980" s="71" t="n">
        <v>805885.72</v>
      </c>
      <c r="R1980" t="inlineStr">
        <is>
          <t>Vaccines</t>
        </is>
      </c>
      <c r="S1980" s="70" t="n">
        <v>2055</v>
      </c>
      <c r="T1980" s="71" t="n">
        <v>233990.02</v>
      </c>
      <c r="U1980" t="inlineStr">
        <is>
          <t>Low</t>
        </is>
      </c>
      <c r="V1980">
        <f>IF(AND(OR(Dashboard!$C$6="All",E1980=Dashboard!$C$6),OR(Dashboard!$F$6="All",G1980=Dashboard!$F$6),OR(Dashboard!$I$6="All",H1980=Dashboard!$I$6)),1,0)</f>
        <v/>
      </c>
    </row>
    <row r="1981">
      <c r="A1981" t="inlineStr">
        <is>
          <t>PF101972</t>
        </is>
      </c>
      <c r="B1981" s="68" t="n">
        <v>45896</v>
      </c>
      <c r="C1981" s="69" t="n">
        <v>2025</v>
      </c>
      <c r="D1981" t="inlineStr">
        <is>
          <t>Aug</t>
        </is>
      </c>
      <c r="E1981" t="inlineStr">
        <is>
          <t>United States</t>
        </is>
      </c>
      <c r="F1981" t="inlineStr">
        <is>
          <t>USA</t>
        </is>
      </c>
      <c r="G1981" t="inlineStr">
        <is>
          <t>Xeljanz</t>
        </is>
      </c>
      <c r="H1981" t="inlineStr">
        <is>
          <t>Hospital</t>
        </is>
      </c>
      <c r="I1981" t="inlineStr">
        <is>
          <t>Private insurer</t>
        </is>
      </c>
      <c r="J1981" t="inlineStr">
        <is>
          <t>Olivia Brown</t>
        </is>
      </c>
      <c r="K1981" s="70" t="n">
        <v>178</v>
      </c>
      <c r="L1981" s="71" t="n">
        <v>2231.31</v>
      </c>
      <c r="M1981" s="71" t="n">
        <v>397173.18</v>
      </c>
      <c r="N1981" s="71" t="n">
        <v>99293.28999999999</v>
      </c>
      <c r="O1981" s="71" t="n">
        <v>297879.89</v>
      </c>
      <c r="P1981" s="71" t="n">
        <v>45264.91</v>
      </c>
      <c r="Q1981" s="71" t="n">
        <v>252614.98</v>
      </c>
      <c r="R1981" t="inlineStr">
        <is>
          <t>Inflammation</t>
        </is>
      </c>
      <c r="S1981" s="70" t="n">
        <v>124</v>
      </c>
      <c r="T1981" s="71" t="n">
        <v>82729.69</v>
      </c>
      <c r="U1981" t="inlineStr">
        <is>
          <t>High</t>
        </is>
      </c>
      <c r="V1981">
        <f>IF(AND(OR(Dashboard!$C$6="All",E1981=Dashboard!$C$6),OR(Dashboard!$F$6="All",G1981=Dashboard!$F$6),OR(Dashboard!$I$6="All",H1981=Dashboard!$I$6)),1,0)</f>
        <v/>
      </c>
    </row>
    <row r="1982">
      <c r="A1982" t="inlineStr">
        <is>
          <t>PF101973</t>
        </is>
      </c>
      <c r="B1982" s="68" t="n">
        <v>45896</v>
      </c>
      <c r="C1982" s="69" t="n">
        <v>2025</v>
      </c>
      <c r="D1982" t="inlineStr">
        <is>
          <t>Aug</t>
        </is>
      </c>
      <c r="E1982" t="inlineStr">
        <is>
          <t>United States</t>
        </is>
      </c>
      <c r="F1982" t="inlineStr">
        <is>
          <t>USA</t>
        </is>
      </c>
      <c r="G1982" t="inlineStr">
        <is>
          <t>Eliquis</t>
        </is>
      </c>
      <c r="H1982" t="inlineStr">
        <is>
          <t>Retail pharmacy</t>
        </is>
      </c>
      <c r="I1982" t="inlineStr">
        <is>
          <t>Public payer</t>
        </is>
      </c>
      <c r="J1982" t="inlineStr">
        <is>
          <t>Fatima Al-Saud</t>
        </is>
      </c>
      <c r="K1982" s="70" t="n">
        <v>2548</v>
      </c>
      <c r="L1982" s="71" t="n">
        <v>605.97</v>
      </c>
      <c r="M1982" s="71" t="n">
        <v>1544011.56</v>
      </c>
      <c r="N1982" s="71" t="n">
        <v>308802.31</v>
      </c>
      <c r="O1982" s="71" t="n">
        <v>1235209.25</v>
      </c>
      <c r="P1982" s="71" t="n">
        <v>199039.44</v>
      </c>
      <c r="Q1982" s="71" t="n">
        <v>1036169.81</v>
      </c>
      <c r="R1982" t="inlineStr">
        <is>
          <t>Cardiology</t>
        </is>
      </c>
      <c r="S1982" s="70" t="n">
        <v>1748</v>
      </c>
      <c r="T1982" s="71" t="n">
        <v>237573.16</v>
      </c>
      <c r="U1982" t="inlineStr">
        <is>
          <t>High</t>
        </is>
      </c>
      <c r="V1982">
        <f>IF(AND(OR(Dashboard!$C$6="All",E1982=Dashboard!$C$6),OR(Dashboard!$F$6="All",G1982=Dashboard!$F$6),OR(Dashboard!$I$6="All",H1982=Dashboard!$I$6)),1,0)</f>
        <v/>
      </c>
    </row>
    <row r="1983">
      <c r="A1983" t="inlineStr">
        <is>
          <t>PF101974</t>
        </is>
      </c>
      <c r="B1983" s="68" t="n">
        <v>45896</v>
      </c>
      <c r="C1983" s="69" t="n">
        <v>2025</v>
      </c>
      <c r="D1983" t="inlineStr">
        <is>
          <t>Aug</t>
        </is>
      </c>
      <c r="E1983" t="inlineStr">
        <is>
          <t>United States</t>
        </is>
      </c>
      <c r="F1983" t="inlineStr">
        <is>
          <t>USA</t>
        </is>
      </c>
      <c r="G1983" t="inlineStr">
        <is>
          <t>Prevnar 20</t>
        </is>
      </c>
      <c r="H1983" t="inlineStr">
        <is>
          <t>Government / tender</t>
        </is>
      </c>
      <c r="I1983" t="inlineStr">
        <is>
          <t>Public payer</t>
        </is>
      </c>
      <c r="J1983" t="inlineStr">
        <is>
          <t>Olivia Brown</t>
        </is>
      </c>
      <c r="K1983" s="70" t="n">
        <v>1266</v>
      </c>
      <c r="L1983" s="71" t="n">
        <v>398.7</v>
      </c>
      <c r="M1983" s="71" t="n">
        <v>504754.2</v>
      </c>
      <c r="N1983" s="71" t="n">
        <v>151426.26</v>
      </c>
      <c r="O1983" s="71" t="n">
        <v>353327.94</v>
      </c>
      <c r="P1983" s="71" t="n">
        <v>85894.56</v>
      </c>
      <c r="Q1983" s="71" t="n">
        <v>267433.38</v>
      </c>
      <c r="R1983" t="inlineStr">
        <is>
          <t>Vaccines</t>
        </is>
      </c>
      <c r="S1983" s="70" t="n">
        <v>1019</v>
      </c>
      <c r="T1983" s="71" t="n">
        <v>103155.83</v>
      </c>
      <c r="U1983" t="inlineStr">
        <is>
          <t>Low</t>
        </is>
      </c>
      <c r="V1983">
        <f>IF(AND(OR(Dashboard!$C$6="All",E1983=Dashboard!$C$6),OR(Dashboard!$F$6="All",G1983=Dashboard!$F$6),OR(Dashboard!$I$6="All",H1983=Dashboard!$I$6)),1,0)</f>
        <v/>
      </c>
    </row>
    <row r="1984">
      <c r="A1984" t="inlineStr">
        <is>
          <t>PF101975</t>
        </is>
      </c>
      <c r="B1984" s="68" t="n">
        <v>45896</v>
      </c>
      <c r="C1984" s="69" t="n">
        <v>2025</v>
      </c>
      <c r="D1984" t="inlineStr">
        <is>
          <t>Aug</t>
        </is>
      </c>
      <c r="E1984" t="inlineStr">
        <is>
          <t>International developed</t>
        </is>
      </c>
      <c r="F1984" t="inlineStr">
        <is>
          <t>Australia</t>
        </is>
      </c>
      <c r="G1984" t="inlineStr">
        <is>
          <t>Eliquis</t>
        </is>
      </c>
      <c r="H1984" t="inlineStr">
        <is>
          <t>Retail pharmacy</t>
        </is>
      </c>
      <c r="I1984" t="inlineStr">
        <is>
          <t>Self-pay</t>
        </is>
      </c>
      <c r="J1984" t="inlineStr">
        <is>
          <t>Carlos Silva</t>
        </is>
      </c>
      <c r="K1984" s="70" t="n">
        <v>930</v>
      </c>
      <c r="L1984" s="71" t="n">
        <v>383.85</v>
      </c>
      <c r="M1984" s="71" t="n">
        <v>356980.5</v>
      </c>
      <c r="N1984" s="71" t="n">
        <v>89245.12</v>
      </c>
      <c r="O1984" s="71" t="n">
        <v>267735.38</v>
      </c>
      <c r="P1984" s="71" t="n">
        <v>68896.36</v>
      </c>
      <c r="Q1984" s="71" t="n">
        <v>198839.02</v>
      </c>
      <c r="R1984" t="inlineStr">
        <is>
          <t>Cardiology</t>
        </is>
      </c>
      <c r="S1984" s="70" t="n">
        <v>857</v>
      </c>
      <c r="T1984" s="71" t="n">
        <v>77365.07000000001</v>
      </c>
      <c r="U1984" t="inlineStr">
        <is>
          <t>High</t>
        </is>
      </c>
      <c r="V1984">
        <f>IF(AND(OR(Dashboard!$C$6="All",E1984=Dashboard!$C$6),OR(Dashboard!$F$6="All",G1984=Dashboard!$F$6),OR(Dashboard!$I$6="All",H1984=Dashboard!$I$6)),1,0)</f>
        <v/>
      </c>
    </row>
    <row r="1985">
      <c r="A1985" t="inlineStr">
        <is>
          <t>PF101976</t>
        </is>
      </c>
      <c r="B1985" s="68" t="n">
        <v>45896</v>
      </c>
      <c r="C1985" s="69" t="n">
        <v>2025</v>
      </c>
      <c r="D1985" t="inlineStr">
        <is>
          <t>Aug</t>
        </is>
      </c>
      <c r="E1985" t="inlineStr">
        <is>
          <t>Europe</t>
        </is>
      </c>
      <c r="F1985" t="inlineStr">
        <is>
          <t>Germany</t>
        </is>
      </c>
      <c r="G1985" t="inlineStr">
        <is>
          <t>Eliquis</t>
        </is>
      </c>
      <c r="H1985" t="inlineStr">
        <is>
          <t>Government / tender</t>
        </is>
      </c>
      <c r="I1985" t="inlineStr">
        <is>
          <t>Public payer</t>
        </is>
      </c>
      <c r="J1985" t="inlineStr">
        <is>
          <t>Lucas Martin</t>
        </is>
      </c>
      <c r="K1985" s="70" t="n">
        <v>1029</v>
      </c>
      <c r="L1985" s="71" t="n">
        <v>414.22</v>
      </c>
      <c r="M1985" s="71" t="n">
        <v>426232.38</v>
      </c>
      <c r="N1985" s="71" t="n">
        <v>106558.1</v>
      </c>
      <c r="O1985" s="71" t="n">
        <v>319674.28</v>
      </c>
      <c r="P1985" s="71" t="n">
        <v>79949.24000000001</v>
      </c>
      <c r="Q1985" s="71" t="n">
        <v>239725.04</v>
      </c>
      <c r="R1985" t="inlineStr">
        <is>
          <t>Cardiology</t>
        </is>
      </c>
      <c r="S1985" s="70" t="n">
        <v>670</v>
      </c>
      <c r="T1985" s="71" t="n">
        <v>65490.99</v>
      </c>
      <c r="U1985" t="inlineStr">
        <is>
          <t>High</t>
        </is>
      </c>
      <c r="V1985">
        <f>IF(AND(OR(Dashboard!$C$6="All",E1985=Dashboard!$C$6),OR(Dashboard!$F$6="All",G1985=Dashboard!$F$6),OR(Dashboard!$I$6="All",H1985=Dashboard!$I$6)),1,0)</f>
        <v/>
      </c>
    </row>
    <row r="1986">
      <c r="A1986" t="inlineStr">
        <is>
          <t>PF101977</t>
        </is>
      </c>
      <c r="B1986" s="68" t="n">
        <v>45896</v>
      </c>
      <c r="C1986" s="69" t="n">
        <v>2025</v>
      </c>
      <c r="D1986" t="inlineStr">
        <is>
          <t>Aug</t>
        </is>
      </c>
      <c r="E1986" t="inlineStr">
        <is>
          <t>United States</t>
        </is>
      </c>
      <c r="F1986" t="inlineStr">
        <is>
          <t>USA</t>
        </is>
      </c>
      <c r="G1986" t="inlineStr">
        <is>
          <t>Comirnaty</t>
        </is>
      </c>
      <c r="H1986" t="inlineStr">
        <is>
          <t>Hospital</t>
        </is>
      </c>
      <c r="I1986" t="inlineStr">
        <is>
          <t>Private insurer</t>
        </is>
      </c>
      <c r="J1986" t="inlineStr">
        <is>
          <t>Wei Chen</t>
        </is>
      </c>
      <c r="K1986" s="70" t="n">
        <v>2602</v>
      </c>
      <c r="L1986" s="71" t="n">
        <v>192.18</v>
      </c>
      <c r="M1986" s="71" t="n">
        <v>500052.36</v>
      </c>
      <c r="N1986" s="71" t="n">
        <v>100010.47</v>
      </c>
      <c r="O1986" s="71" t="n">
        <v>400041.89</v>
      </c>
      <c r="P1986" s="71" t="n">
        <v>102785.76</v>
      </c>
      <c r="Q1986" s="71" t="n">
        <v>297256.13</v>
      </c>
      <c r="R1986" t="inlineStr">
        <is>
          <t>Vaccines</t>
        </is>
      </c>
      <c r="S1986" s="70" t="n">
        <v>2434</v>
      </c>
      <c r="T1986" s="71" t="n">
        <v>77572.99000000001</v>
      </c>
      <c r="U1986" t="inlineStr">
        <is>
          <t>Low</t>
        </is>
      </c>
      <c r="V1986">
        <f>IF(AND(OR(Dashboard!$C$6="All",E1986=Dashboard!$C$6),OR(Dashboard!$F$6="All",G1986=Dashboard!$F$6),OR(Dashboard!$I$6="All",H1986=Dashboard!$I$6)),1,0)</f>
        <v/>
      </c>
    </row>
    <row r="1987">
      <c r="A1987" t="inlineStr">
        <is>
          <t>PF101978</t>
        </is>
      </c>
      <c r="B1987" s="68" t="n">
        <v>45896</v>
      </c>
      <c r="C1987" s="69" t="n">
        <v>2025</v>
      </c>
      <c r="D1987" t="inlineStr">
        <is>
          <t>Aug</t>
        </is>
      </c>
      <c r="E1987" t="inlineStr">
        <is>
          <t>United States</t>
        </is>
      </c>
      <c r="F1987" t="inlineStr">
        <is>
          <t>USA</t>
        </is>
      </c>
      <c r="G1987" t="inlineStr">
        <is>
          <t>Xeljanz</t>
        </is>
      </c>
      <c r="H1987" t="inlineStr">
        <is>
          <t>Retail pharmacy</t>
        </is>
      </c>
      <c r="I1987" t="inlineStr">
        <is>
          <t>Self-pay</t>
        </is>
      </c>
      <c r="J1987" t="inlineStr">
        <is>
          <t>Arjun Mehta</t>
        </is>
      </c>
      <c r="K1987" s="70" t="n">
        <v>2858</v>
      </c>
      <c r="L1987" s="71" t="n">
        <v>2065.1</v>
      </c>
      <c r="M1987" s="71" t="n">
        <v>5902055.8</v>
      </c>
      <c r="N1987" s="71" t="n">
        <v>2065719.53</v>
      </c>
      <c r="O1987" s="71" t="n">
        <v>3836336.27</v>
      </c>
      <c r="P1987" s="71" t="n">
        <v>735083.61</v>
      </c>
      <c r="Q1987" s="71" t="n">
        <v>3101252.66</v>
      </c>
      <c r="R1987" t="inlineStr">
        <is>
          <t>Inflammation</t>
        </is>
      </c>
      <c r="S1987" s="70" t="n">
        <v>1867</v>
      </c>
      <c r="T1987" s="71" t="n">
        <v>1149464.88</v>
      </c>
      <c r="U1987" t="inlineStr">
        <is>
          <t>High</t>
        </is>
      </c>
      <c r="V1987">
        <f>IF(AND(OR(Dashboard!$C$6="All",E1987=Dashboard!$C$6),OR(Dashboard!$F$6="All",G1987=Dashboard!$F$6),OR(Dashboard!$I$6="All",H1987=Dashboard!$I$6)),1,0)</f>
        <v/>
      </c>
    </row>
    <row r="1988">
      <c r="A1988" t="inlineStr">
        <is>
          <t>PF101979</t>
        </is>
      </c>
      <c r="B1988" s="68" t="n">
        <v>45896</v>
      </c>
      <c r="C1988" s="69" t="n">
        <v>2025</v>
      </c>
      <c r="D1988" t="inlineStr">
        <is>
          <t>Aug</t>
        </is>
      </c>
      <c r="E1988" t="inlineStr">
        <is>
          <t>United States</t>
        </is>
      </c>
      <c r="F1988" t="inlineStr">
        <is>
          <t>USA</t>
        </is>
      </c>
      <c r="G1988" t="inlineStr">
        <is>
          <t>Ibrance</t>
        </is>
      </c>
      <c r="H1988" t="inlineStr">
        <is>
          <t>Retail pharmacy</t>
        </is>
      </c>
      <c r="I1988" t="inlineStr">
        <is>
          <t>Public payer</t>
        </is>
      </c>
      <c r="J1988" t="inlineStr">
        <is>
          <t>Olivia Brown</t>
        </is>
      </c>
      <c r="K1988" s="70" t="n">
        <v>864</v>
      </c>
      <c r="L1988" s="71" t="n">
        <v>4581.89</v>
      </c>
      <c r="M1988" s="71" t="n">
        <v>3958752.96</v>
      </c>
      <c r="N1988" s="71" t="n">
        <v>989688.24</v>
      </c>
      <c r="O1988" s="71" t="n">
        <v>2969064.72</v>
      </c>
      <c r="P1988" s="71" t="n">
        <v>376648.19</v>
      </c>
      <c r="Q1988" s="71" t="n">
        <v>2592416.53</v>
      </c>
      <c r="R1988" t="inlineStr">
        <is>
          <t>Oncology</t>
        </is>
      </c>
      <c r="S1988" s="70" t="n">
        <v>699</v>
      </c>
      <c r="T1988" s="71" t="n">
        <v>478257.34</v>
      </c>
      <c r="U1988" t="inlineStr">
        <is>
          <t>High</t>
        </is>
      </c>
      <c r="V1988">
        <f>IF(AND(OR(Dashboard!$C$6="All",E1988=Dashboard!$C$6),OR(Dashboard!$F$6="All",G1988=Dashboard!$F$6),OR(Dashboard!$I$6="All",H1988=Dashboard!$I$6)),1,0)</f>
        <v/>
      </c>
    </row>
    <row r="1989">
      <c r="A1989" t="inlineStr">
        <is>
          <t>PF101980</t>
        </is>
      </c>
      <c r="B1989" s="68" t="n">
        <v>45896</v>
      </c>
      <c r="C1989" s="69" t="n">
        <v>2025</v>
      </c>
      <c r="D1989" t="inlineStr">
        <is>
          <t>Aug</t>
        </is>
      </c>
      <c r="E1989" t="inlineStr">
        <is>
          <t>International developed</t>
        </is>
      </c>
      <c r="F1989" t="inlineStr">
        <is>
          <t>Japan</t>
        </is>
      </c>
      <c r="G1989" t="inlineStr">
        <is>
          <t>Ibrance</t>
        </is>
      </c>
      <c r="H1989" t="inlineStr">
        <is>
          <t>Retail pharmacy</t>
        </is>
      </c>
      <c r="I1989" t="inlineStr">
        <is>
          <t>Public payer</t>
        </is>
      </c>
      <c r="J1989" t="inlineStr">
        <is>
          <t>Lucas Martin</t>
        </is>
      </c>
      <c r="K1989" s="70" t="n">
        <v>978</v>
      </c>
      <c r="L1989" s="71" t="n">
        <v>2790.64</v>
      </c>
      <c r="M1989" s="71" t="n">
        <v>2729245.92</v>
      </c>
      <c r="N1989" s="71" t="n">
        <v>136462.3</v>
      </c>
      <c r="O1989" s="71" t="n">
        <v>2592783.62</v>
      </c>
      <c r="P1989" s="71" t="n">
        <v>423061.64</v>
      </c>
      <c r="Q1989" s="71" t="n">
        <v>2169721.98</v>
      </c>
      <c r="R1989" t="inlineStr">
        <is>
          <t>Oncology</t>
        </is>
      </c>
      <c r="S1989" s="70" t="n">
        <v>679</v>
      </c>
      <c r="T1989" s="71" t="n">
        <v>457692.21</v>
      </c>
      <c r="U1989" t="inlineStr">
        <is>
          <t>High</t>
        </is>
      </c>
      <c r="V1989">
        <f>IF(AND(OR(Dashboard!$C$6="All",E1989=Dashboard!$C$6),OR(Dashboard!$F$6="All",G1989=Dashboard!$F$6),OR(Dashboard!$I$6="All",H1989=Dashboard!$I$6)),1,0)</f>
        <v/>
      </c>
    </row>
    <row r="1990">
      <c r="A1990" t="inlineStr">
        <is>
          <t>PF101981</t>
        </is>
      </c>
      <c r="B1990" s="68" t="n">
        <v>45897</v>
      </c>
      <c r="C1990" s="69" t="n">
        <v>2025</v>
      </c>
      <c r="D1990" t="inlineStr">
        <is>
          <t>Aug</t>
        </is>
      </c>
      <c r="E1990" t="inlineStr">
        <is>
          <t>Europe</t>
        </is>
      </c>
      <c r="F1990" t="inlineStr">
        <is>
          <t>Spain</t>
        </is>
      </c>
      <c r="G1990" t="inlineStr">
        <is>
          <t>Comirnaty</t>
        </is>
      </c>
      <c r="H1990" t="inlineStr">
        <is>
          <t>Retail pharmacy</t>
        </is>
      </c>
      <c r="I1990" t="inlineStr">
        <is>
          <t>Self-pay</t>
        </is>
      </c>
      <c r="J1990" t="inlineStr">
        <is>
          <t>Aisha Bello</t>
        </is>
      </c>
      <c r="K1990" s="70" t="n">
        <v>2695</v>
      </c>
      <c r="L1990" s="71" t="n">
        <v>118.49</v>
      </c>
      <c r="M1990" s="71" t="n">
        <v>319330.55</v>
      </c>
      <c r="N1990" s="71" t="n">
        <v>79832.64</v>
      </c>
      <c r="O1990" s="71" t="n">
        <v>239497.91</v>
      </c>
      <c r="P1990" s="71" t="n">
        <v>101600.09</v>
      </c>
      <c r="Q1990" s="71" t="n">
        <v>137897.82</v>
      </c>
      <c r="R1990" t="inlineStr">
        <is>
          <t>Vaccines</t>
        </is>
      </c>
      <c r="S1990" s="70" t="n">
        <v>2495</v>
      </c>
      <c r="T1990" s="71" t="n">
        <v>46422.76</v>
      </c>
      <c r="U1990" t="inlineStr">
        <is>
          <t>Low</t>
        </is>
      </c>
      <c r="V1990">
        <f>IF(AND(OR(Dashboard!$C$6="All",E1990=Dashboard!$C$6),OR(Dashboard!$F$6="All",G1990=Dashboard!$F$6),OR(Dashboard!$I$6="All",H1990=Dashboard!$I$6)),1,0)</f>
        <v/>
      </c>
    </row>
    <row r="1991">
      <c r="A1991" t="inlineStr">
        <is>
          <t>PF101982</t>
        </is>
      </c>
      <c r="B1991" s="68" t="n">
        <v>45897</v>
      </c>
      <c r="C1991" s="69" t="n">
        <v>2025</v>
      </c>
      <c r="D1991" t="inlineStr">
        <is>
          <t>Aug</t>
        </is>
      </c>
      <c r="E1991" t="inlineStr">
        <is>
          <t>Europe</t>
        </is>
      </c>
      <c r="F1991" t="inlineStr">
        <is>
          <t>France</t>
        </is>
      </c>
      <c r="G1991" t="inlineStr">
        <is>
          <t>Ibrance</t>
        </is>
      </c>
      <c r="H1991" t="inlineStr">
        <is>
          <t>Hospital</t>
        </is>
      </c>
      <c r="I1991" t="inlineStr">
        <is>
          <t>Private insurer</t>
        </is>
      </c>
      <c r="J1991" t="inlineStr">
        <is>
          <t>Kofi Mensah</t>
        </is>
      </c>
      <c r="K1991" s="70" t="n">
        <v>657</v>
      </c>
      <c r="L1991" s="71" t="n">
        <v>2740.01</v>
      </c>
      <c r="M1991" s="71" t="n">
        <v>1800186.57</v>
      </c>
      <c r="N1991" s="71" t="n">
        <v>450046.64</v>
      </c>
      <c r="O1991" s="71" t="n">
        <v>1350139.93</v>
      </c>
      <c r="P1991" s="71" t="n">
        <v>275045.51</v>
      </c>
      <c r="Q1991" s="71" t="n">
        <v>1075094.42</v>
      </c>
      <c r="R1991" t="inlineStr">
        <is>
          <t>Oncology</t>
        </is>
      </c>
      <c r="S1991" s="70" t="n">
        <v>413</v>
      </c>
      <c r="T1991" s="71" t="n">
        <v>282676.56</v>
      </c>
      <c r="U1991" t="inlineStr">
        <is>
          <t>High</t>
        </is>
      </c>
      <c r="V1991">
        <f>IF(AND(OR(Dashboard!$C$6="All",E1991=Dashboard!$C$6),OR(Dashboard!$F$6="All",G1991=Dashboard!$F$6),OR(Dashboard!$I$6="All",H1991=Dashboard!$I$6)),1,0)</f>
        <v/>
      </c>
    </row>
    <row r="1992">
      <c r="A1992" t="inlineStr">
        <is>
          <t>PF101983</t>
        </is>
      </c>
      <c r="B1992" s="68" t="n">
        <v>45897</v>
      </c>
      <c r="C1992" s="69" t="n">
        <v>2025</v>
      </c>
      <c r="D1992" t="inlineStr">
        <is>
          <t>Aug</t>
        </is>
      </c>
      <c r="E1992" t="inlineStr">
        <is>
          <t>International developed</t>
        </is>
      </c>
      <c r="F1992" t="inlineStr">
        <is>
          <t>Australia</t>
        </is>
      </c>
      <c r="G1992" t="inlineStr">
        <is>
          <t>Prevnar 20</t>
        </is>
      </c>
      <c r="H1992" t="inlineStr">
        <is>
          <t>Hospital</t>
        </is>
      </c>
      <c r="I1992" t="inlineStr">
        <is>
          <t>Public payer</t>
        </is>
      </c>
      <c r="J1992" t="inlineStr">
        <is>
          <t>Omar Haddad</t>
        </is>
      </c>
      <c r="K1992" s="70" t="n">
        <v>1135</v>
      </c>
      <c r="L1992" s="71" t="n">
        <v>211.7</v>
      </c>
      <c r="M1992" s="71" t="n">
        <v>240279.5</v>
      </c>
      <c r="N1992" s="71" t="n">
        <v>24027.95</v>
      </c>
      <c r="O1992" s="71" t="n">
        <v>216251.55</v>
      </c>
      <c r="P1992" s="71" t="n">
        <v>79271.99000000001</v>
      </c>
      <c r="Q1992" s="71" t="n">
        <v>136979.56</v>
      </c>
      <c r="R1992" t="inlineStr">
        <is>
          <t>Vaccines</t>
        </is>
      </c>
      <c r="S1992" s="70" t="n">
        <v>803</v>
      </c>
      <c r="T1992" s="71" t="n">
        <v>47000.08</v>
      </c>
      <c r="U1992" t="inlineStr">
        <is>
          <t>Low</t>
        </is>
      </c>
      <c r="V1992">
        <f>IF(AND(OR(Dashboard!$C$6="All",E1992=Dashboard!$C$6),OR(Dashboard!$F$6="All",G1992=Dashboard!$F$6),OR(Dashboard!$I$6="All",H1992=Dashboard!$I$6)),1,0)</f>
        <v/>
      </c>
    </row>
    <row r="1993">
      <c r="A1993" t="inlineStr">
        <is>
          <t>PF101984</t>
        </is>
      </c>
      <c r="B1993" s="68" t="n">
        <v>45897</v>
      </c>
      <c r="C1993" s="69" t="n">
        <v>2025</v>
      </c>
      <c r="D1993" t="inlineStr">
        <is>
          <t>Aug</t>
        </is>
      </c>
      <c r="E1993" t="inlineStr">
        <is>
          <t>Europe</t>
        </is>
      </c>
      <c r="F1993" t="inlineStr">
        <is>
          <t>Italy</t>
        </is>
      </c>
      <c r="G1993" t="inlineStr">
        <is>
          <t>Eliquis</t>
        </is>
      </c>
      <c r="H1993" t="inlineStr">
        <is>
          <t>Government / tender</t>
        </is>
      </c>
      <c r="I1993" t="inlineStr">
        <is>
          <t>Private insurer</t>
        </is>
      </c>
      <c r="J1993" t="inlineStr">
        <is>
          <t>Yuki Sato</t>
        </is>
      </c>
      <c r="K1993" s="70" t="n">
        <v>1396</v>
      </c>
      <c r="L1993" s="71" t="n">
        <v>446.92</v>
      </c>
      <c r="M1993" s="71" t="n">
        <v>623900.3199999999</v>
      </c>
      <c r="N1993" s="71" t="n">
        <v>31195.02</v>
      </c>
      <c r="O1993" s="71" t="n">
        <v>592705.3</v>
      </c>
      <c r="P1993" s="71" t="n">
        <v>106994.7</v>
      </c>
      <c r="Q1993" s="71" t="n">
        <v>485710.6</v>
      </c>
      <c r="R1993" t="inlineStr">
        <is>
          <t>Cardiology</t>
        </is>
      </c>
      <c r="S1993" s="70" t="n">
        <v>1091</v>
      </c>
      <c r="T1993" s="71" t="n">
        <v>122858.32</v>
      </c>
      <c r="U1993" t="inlineStr">
        <is>
          <t>High</t>
        </is>
      </c>
      <c r="V1993">
        <f>IF(AND(OR(Dashboard!$C$6="All",E1993=Dashboard!$C$6),OR(Dashboard!$F$6="All",G1993=Dashboard!$F$6),OR(Dashboard!$I$6="All",H1993=Dashboard!$I$6)),1,0)</f>
        <v/>
      </c>
    </row>
    <row r="1994">
      <c r="A1994" t="inlineStr">
        <is>
          <t>PF101985</t>
        </is>
      </c>
      <c r="B1994" s="68" t="n">
        <v>45897</v>
      </c>
      <c r="C1994" s="69" t="n">
        <v>2025</v>
      </c>
      <c r="D1994" t="inlineStr">
        <is>
          <t>Aug</t>
        </is>
      </c>
      <c r="E1994" t="inlineStr">
        <is>
          <t>Emerging markets</t>
        </is>
      </c>
      <c r="F1994" t="inlineStr">
        <is>
          <t>Mexico</t>
        </is>
      </c>
      <c r="G1994" t="inlineStr">
        <is>
          <t>Comirnaty</t>
        </is>
      </c>
      <c r="H1994" t="inlineStr">
        <is>
          <t>Retail pharmacy</t>
        </is>
      </c>
      <c r="I1994" t="inlineStr">
        <is>
          <t>Private insurer</t>
        </is>
      </c>
      <c r="J1994" t="inlineStr">
        <is>
          <t>Sara Rossi</t>
        </is>
      </c>
      <c r="K1994" s="70" t="n">
        <v>2699</v>
      </c>
      <c r="L1994" s="71" t="n">
        <v>99.34999999999999</v>
      </c>
      <c r="M1994" s="71" t="n">
        <v>268145.65</v>
      </c>
      <c r="N1994" s="71" t="n">
        <v>26814.57</v>
      </c>
      <c r="O1994" s="71" t="n">
        <v>241331.08</v>
      </c>
      <c r="P1994" s="71" t="n">
        <v>104285.29</v>
      </c>
      <c r="Q1994" s="71" t="n">
        <v>137045.79</v>
      </c>
      <c r="R1994" t="inlineStr">
        <is>
          <t>Vaccines</t>
        </is>
      </c>
      <c r="S1994" s="70" t="n">
        <v>1687</v>
      </c>
      <c r="T1994" s="71" t="n">
        <v>44543.78</v>
      </c>
      <c r="U1994" t="inlineStr">
        <is>
          <t>Low</t>
        </is>
      </c>
      <c r="V1994">
        <f>IF(AND(OR(Dashboard!$C$6="All",E1994=Dashboard!$C$6),OR(Dashboard!$F$6="All",G1994=Dashboard!$F$6),OR(Dashboard!$I$6="All",H1994=Dashboard!$I$6)),1,0)</f>
        <v/>
      </c>
    </row>
    <row r="1995">
      <c r="A1995" t="inlineStr">
        <is>
          <t>PF101986</t>
        </is>
      </c>
      <c r="B1995" s="68" t="n">
        <v>45897</v>
      </c>
      <c r="C1995" s="69" t="n">
        <v>2025</v>
      </c>
      <c r="D1995" t="inlineStr">
        <is>
          <t>Aug</t>
        </is>
      </c>
      <c r="E1995" t="inlineStr">
        <is>
          <t>Emerging markets</t>
        </is>
      </c>
      <c r="F1995" t="inlineStr">
        <is>
          <t>Mexico</t>
        </is>
      </c>
      <c r="G1995" t="inlineStr">
        <is>
          <t>Eliquis</t>
        </is>
      </c>
      <c r="H1995" t="inlineStr">
        <is>
          <t>Government / tender</t>
        </is>
      </c>
      <c r="I1995" t="inlineStr">
        <is>
          <t>Private insurer</t>
        </is>
      </c>
      <c r="J1995" t="inlineStr">
        <is>
          <t>Arjun Mehta</t>
        </is>
      </c>
      <c r="K1995" s="70" t="n">
        <v>1505</v>
      </c>
      <c r="L1995" s="71" t="n">
        <v>403.89</v>
      </c>
      <c r="M1995" s="71" t="n">
        <v>607854.45</v>
      </c>
      <c r="N1995" s="71" t="n">
        <v>60785.44</v>
      </c>
      <c r="O1995" s="71" t="n">
        <v>547069.01</v>
      </c>
      <c r="P1995" s="71" t="n">
        <v>114976.84</v>
      </c>
      <c r="Q1995" s="71" t="n">
        <v>432092.17</v>
      </c>
      <c r="R1995" t="inlineStr">
        <is>
          <t>Cardiology</t>
        </is>
      </c>
      <c r="S1995" s="70" t="n">
        <v>1358</v>
      </c>
      <c r="T1995" s="71" t="n">
        <v>104223.12</v>
      </c>
      <c r="U1995" t="inlineStr">
        <is>
          <t>High</t>
        </is>
      </c>
      <c r="V1995">
        <f>IF(AND(OR(Dashboard!$C$6="All",E1995=Dashboard!$C$6),OR(Dashboard!$F$6="All",G1995=Dashboard!$F$6),OR(Dashboard!$I$6="All",H1995=Dashboard!$I$6)),1,0)</f>
        <v/>
      </c>
    </row>
    <row r="1996">
      <c r="A1996" t="inlineStr">
        <is>
          <t>PF101987</t>
        </is>
      </c>
      <c r="B1996" s="68" t="n">
        <v>45897</v>
      </c>
      <c r="C1996" s="69" t="n">
        <v>2025</v>
      </c>
      <c r="D1996" t="inlineStr">
        <is>
          <t>Aug</t>
        </is>
      </c>
      <c r="E1996" t="inlineStr">
        <is>
          <t>United States</t>
        </is>
      </c>
      <c r="F1996" t="inlineStr">
        <is>
          <t>USA</t>
        </is>
      </c>
      <c r="G1996" t="inlineStr">
        <is>
          <t>Prevnar 20</t>
        </is>
      </c>
      <c r="H1996" t="inlineStr">
        <is>
          <t>Hospital</t>
        </is>
      </c>
      <c r="I1996" t="inlineStr">
        <is>
          <t>Private insurer</t>
        </is>
      </c>
      <c r="J1996" t="inlineStr">
        <is>
          <t>Sara Rossi</t>
        </is>
      </c>
      <c r="K1996" s="70" t="n">
        <v>2268</v>
      </c>
      <c r="L1996" s="71" t="n">
        <v>336.96</v>
      </c>
      <c r="M1996" s="71" t="n">
        <v>764225.28</v>
      </c>
      <c r="N1996" s="71" t="n">
        <v>267478.85</v>
      </c>
      <c r="O1996" s="71" t="n">
        <v>496746.43</v>
      </c>
      <c r="P1996" s="71" t="n">
        <v>162609.73</v>
      </c>
      <c r="Q1996" s="71" t="n">
        <v>334136.7</v>
      </c>
      <c r="R1996" t="inlineStr">
        <is>
          <t>Vaccines</t>
        </is>
      </c>
      <c r="S1996" s="70" t="n">
        <v>1663</v>
      </c>
      <c r="T1996" s="71" t="n">
        <v>164572.9</v>
      </c>
      <c r="U1996" t="inlineStr">
        <is>
          <t>Low</t>
        </is>
      </c>
      <c r="V1996">
        <f>IF(AND(OR(Dashboard!$C$6="All",E1996=Dashboard!$C$6),OR(Dashboard!$F$6="All",G1996=Dashboard!$F$6),OR(Dashboard!$I$6="All",H1996=Dashboard!$I$6)),1,0)</f>
        <v/>
      </c>
    </row>
    <row r="1997">
      <c r="A1997" t="inlineStr">
        <is>
          <t>PF101988</t>
        </is>
      </c>
      <c r="B1997" s="68" t="n">
        <v>45897</v>
      </c>
      <c r="C1997" s="69" t="n">
        <v>2025</v>
      </c>
      <c r="D1997" t="inlineStr">
        <is>
          <t>Aug</t>
        </is>
      </c>
      <c r="E1997" t="inlineStr">
        <is>
          <t>Europe</t>
        </is>
      </c>
      <c r="F1997" t="inlineStr">
        <is>
          <t>Italy</t>
        </is>
      </c>
      <c r="G1997" t="inlineStr">
        <is>
          <t>Comirnaty</t>
        </is>
      </c>
      <c r="H1997" t="inlineStr">
        <is>
          <t>Government / tender</t>
        </is>
      </c>
      <c r="I1997" t="inlineStr">
        <is>
          <t>Public payer</t>
        </is>
      </c>
      <c r="J1997" t="inlineStr">
        <is>
          <t>Kofi Mensah</t>
        </is>
      </c>
      <c r="K1997" s="70" t="n">
        <v>1568</v>
      </c>
      <c r="L1997" s="71" t="n">
        <v>117.76</v>
      </c>
      <c r="M1997" s="71" t="n">
        <v>184647.68</v>
      </c>
      <c r="N1997" s="71" t="n">
        <v>36929.54</v>
      </c>
      <c r="O1997" s="71" t="n">
        <v>147718.14</v>
      </c>
      <c r="P1997" s="71" t="n">
        <v>58543.31</v>
      </c>
      <c r="Q1997" s="71" t="n">
        <v>89174.83</v>
      </c>
      <c r="R1997" t="inlineStr">
        <is>
          <t>Vaccines</t>
        </is>
      </c>
      <c r="S1997" s="70" t="n">
        <v>1107</v>
      </c>
      <c r="T1997" s="71" t="n">
        <v>29708.12</v>
      </c>
      <c r="U1997" t="inlineStr">
        <is>
          <t>Low</t>
        </is>
      </c>
      <c r="V1997">
        <f>IF(AND(OR(Dashboard!$C$6="All",E1997=Dashboard!$C$6),OR(Dashboard!$F$6="All",G1997=Dashboard!$F$6),OR(Dashboard!$I$6="All",H1997=Dashboard!$I$6)),1,0)</f>
        <v/>
      </c>
    </row>
    <row r="1998">
      <c r="A1998" t="inlineStr">
        <is>
          <t>PF101989</t>
        </is>
      </c>
      <c r="B1998" s="68" t="n">
        <v>45897</v>
      </c>
      <c r="C1998" s="69" t="n">
        <v>2025</v>
      </c>
      <c r="D1998" t="inlineStr">
        <is>
          <t>Aug</t>
        </is>
      </c>
      <c r="E1998" t="inlineStr">
        <is>
          <t>Europe</t>
        </is>
      </c>
      <c r="F1998" t="inlineStr">
        <is>
          <t>France</t>
        </is>
      </c>
      <c r="G1998" t="inlineStr">
        <is>
          <t>Abrysvo</t>
        </is>
      </c>
      <c r="H1998" t="inlineStr">
        <is>
          <t>Retail pharmacy</t>
        </is>
      </c>
      <c r="I1998" t="inlineStr">
        <is>
          <t>Private insurer</t>
        </is>
      </c>
      <c r="J1998" t="inlineStr">
        <is>
          <t>Shraddha Kulkarni</t>
        </is>
      </c>
      <c r="K1998" s="70" t="n">
        <v>1082</v>
      </c>
      <c r="L1998" s="71" t="n">
        <v>293.87</v>
      </c>
      <c r="M1998" s="71" t="n">
        <v>317967.34</v>
      </c>
      <c r="N1998" s="71" t="n">
        <v>31796.73</v>
      </c>
      <c r="O1998" s="71" t="n">
        <v>286170.61</v>
      </c>
      <c r="P1998" s="71" t="n">
        <v>91615.35000000001</v>
      </c>
      <c r="Q1998" s="71" t="n">
        <v>194555.26</v>
      </c>
      <c r="R1998" t="inlineStr">
        <is>
          <t>Vaccines</t>
        </is>
      </c>
      <c r="S1998" s="70" t="n">
        <v>1046</v>
      </c>
      <c r="T1998" s="71" t="n">
        <v>66896.21000000001</v>
      </c>
      <c r="U1998" t="inlineStr">
        <is>
          <t>Low</t>
        </is>
      </c>
      <c r="V1998">
        <f>IF(AND(OR(Dashboard!$C$6="All",E1998=Dashboard!$C$6),OR(Dashboard!$F$6="All",G1998=Dashboard!$F$6),OR(Dashboard!$I$6="All",H1998=Dashboard!$I$6)),1,0)</f>
        <v/>
      </c>
    </row>
    <row r="1999">
      <c r="A1999" t="inlineStr">
        <is>
          <t>PF101990</t>
        </is>
      </c>
      <c r="B1999" s="68" t="n">
        <v>45901</v>
      </c>
      <c r="C1999" s="69" t="n">
        <v>2025</v>
      </c>
      <c r="D1999" t="inlineStr">
        <is>
          <t>Sep</t>
        </is>
      </c>
      <c r="E1999" t="inlineStr">
        <is>
          <t>United States</t>
        </is>
      </c>
      <c r="F1999" t="inlineStr">
        <is>
          <t>USA</t>
        </is>
      </c>
      <c r="G1999" t="inlineStr">
        <is>
          <t>Comirnaty</t>
        </is>
      </c>
      <c r="H1999" t="inlineStr">
        <is>
          <t>Hospital</t>
        </is>
      </c>
      <c r="I1999" t="inlineStr">
        <is>
          <t>Self-pay</t>
        </is>
      </c>
      <c r="J1999" t="inlineStr">
        <is>
          <t>Noah Smith</t>
        </is>
      </c>
      <c r="K1999" s="70" t="n">
        <v>2211</v>
      </c>
      <c r="L1999" s="71" t="n">
        <v>179.62</v>
      </c>
      <c r="M1999" s="71" t="n">
        <v>397139.82</v>
      </c>
      <c r="N1999" s="71" t="n">
        <v>59570.97</v>
      </c>
      <c r="O1999" s="71" t="n">
        <v>337568.85</v>
      </c>
      <c r="P1999" s="71" t="n">
        <v>88122.31</v>
      </c>
      <c r="Q1999" s="71" t="n">
        <v>249446.54</v>
      </c>
      <c r="R1999" t="inlineStr">
        <is>
          <t>Vaccines</t>
        </is>
      </c>
      <c r="S1999" s="70" t="n">
        <v>1650</v>
      </c>
      <c r="T1999" s="71" t="n">
        <v>48819.08</v>
      </c>
      <c r="U1999" t="inlineStr">
        <is>
          <t>Low</t>
        </is>
      </c>
      <c r="V1999">
        <f>IF(AND(OR(Dashboard!$C$6="All",E1999=Dashboard!$C$6),OR(Dashboard!$F$6="All",G1999=Dashboard!$F$6),OR(Dashboard!$I$6="All",H1999=Dashboard!$I$6)),1,0)</f>
        <v/>
      </c>
    </row>
    <row r="2000">
      <c r="A2000" t="inlineStr">
        <is>
          <t>PF101991</t>
        </is>
      </c>
      <c r="B2000" s="68" t="n">
        <v>45901</v>
      </c>
      <c r="C2000" s="69" t="n">
        <v>2025</v>
      </c>
      <c r="D2000" t="inlineStr">
        <is>
          <t>Sep</t>
        </is>
      </c>
      <c r="E2000" t="inlineStr">
        <is>
          <t>United States</t>
        </is>
      </c>
      <c r="F2000" t="inlineStr">
        <is>
          <t>USA</t>
        </is>
      </c>
      <c r="G2000" t="inlineStr">
        <is>
          <t>Abrysvo</t>
        </is>
      </c>
      <c r="H2000" t="inlineStr">
        <is>
          <t>Government / tender</t>
        </is>
      </c>
      <c r="I2000" t="inlineStr">
        <is>
          <t>Public payer</t>
        </is>
      </c>
      <c r="J2000" t="inlineStr">
        <is>
          <t>Sophie Müller</t>
        </is>
      </c>
      <c r="K2000" s="70" t="n">
        <v>851</v>
      </c>
      <c r="L2000" s="71" t="n">
        <v>438.1</v>
      </c>
      <c r="M2000" s="71" t="n">
        <v>372823.1</v>
      </c>
      <c r="N2000" s="71" t="n">
        <v>111846.93</v>
      </c>
      <c r="O2000" s="71" t="n">
        <v>260976.17</v>
      </c>
      <c r="P2000" s="71" t="n">
        <v>73096.24000000001</v>
      </c>
      <c r="Q2000" s="71" t="n">
        <v>187879.93</v>
      </c>
      <c r="R2000" t="inlineStr">
        <is>
          <t>Vaccines</t>
        </is>
      </c>
      <c r="S2000" s="70" t="n">
        <v>775</v>
      </c>
      <c r="T2000" s="71" t="n">
        <v>72673.98</v>
      </c>
      <c r="U2000" t="inlineStr">
        <is>
          <t>Low</t>
        </is>
      </c>
      <c r="V2000">
        <f>IF(AND(OR(Dashboard!$C$6="All",E2000=Dashboard!$C$6),OR(Dashboard!$F$6="All",G2000=Dashboard!$F$6),OR(Dashboard!$I$6="All",H2000=Dashboard!$I$6)),1,0)</f>
        <v/>
      </c>
    </row>
    <row r="2001">
      <c r="A2001" t="inlineStr">
        <is>
          <t>PF101992</t>
        </is>
      </c>
      <c r="B2001" s="68" t="n">
        <v>45901</v>
      </c>
      <c r="C2001" s="69" t="n">
        <v>2025</v>
      </c>
      <c r="D2001" t="inlineStr">
        <is>
          <t>Sep</t>
        </is>
      </c>
      <c r="E2001" t="inlineStr">
        <is>
          <t>United States</t>
        </is>
      </c>
      <c r="F2001" t="inlineStr">
        <is>
          <t>USA</t>
        </is>
      </c>
      <c r="G2001" t="inlineStr">
        <is>
          <t>Abrysvo</t>
        </is>
      </c>
      <c r="H2001" t="inlineStr">
        <is>
          <t>Hospital</t>
        </is>
      </c>
      <c r="I2001" t="inlineStr">
        <is>
          <t>Public payer</t>
        </is>
      </c>
      <c r="J2001" t="inlineStr">
        <is>
          <t>Sara Rossi</t>
        </is>
      </c>
      <c r="K2001" s="70" t="n">
        <v>1884</v>
      </c>
      <c r="L2001" s="71" t="n">
        <v>455.9</v>
      </c>
      <c r="M2001" s="71" t="n">
        <v>858915.6</v>
      </c>
      <c r="N2001" s="71" t="n">
        <v>300620.46</v>
      </c>
      <c r="O2001" s="71" t="n">
        <v>558295.14</v>
      </c>
      <c r="P2001" s="71" t="n">
        <v>158930.04</v>
      </c>
      <c r="Q2001" s="71" t="n">
        <v>399365.1</v>
      </c>
      <c r="R2001" t="inlineStr">
        <is>
          <t>Vaccines</t>
        </is>
      </c>
      <c r="S2001" s="70" t="n">
        <v>1605</v>
      </c>
      <c r="T2001" s="71" t="n">
        <v>188176.22</v>
      </c>
      <c r="U2001" t="inlineStr">
        <is>
          <t>Low</t>
        </is>
      </c>
      <c r="V2001">
        <f>IF(AND(OR(Dashboard!$C$6="All",E2001=Dashboard!$C$6),OR(Dashboard!$F$6="All",G2001=Dashboard!$F$6),OR(Dashboard!$I$6="All",H2001=Dashboard!$I$6)),1,0)</f>
        <v/>
      </c>
    </row>
    <row r="2002">
      <c r="A2002" t="inlineStr">
        <is>
          <t>PF101993</t>
        </is>
      </c>
      <c r="B2002" s="68" t="n">
        <v>45901</v>
      </c>
      <c r="C2002" s="69" t="n">
        <v>2025</v>
      </c>
      <c r="D2002" t="inlineStr">
        <is>
          <t>Sep</t>
        </is>
      </c>
      <c r="E2002" t="inlineStr">
        <is>
          <t>United States</t>
        </is>
      </c>
      <c r="F2002" t="inlineStr">
        <is>
          <t>USA</t>
        </is>
      </c>
      <c r="G2002" t="inlineStr">
        <is>
          <t>Eliquis</t>
        </is>
      </c>
      <c r="H2002" t="inlineStr">
        <is>
          <t>Retail pharmacy</t>
        </is>
      </c>
      <c r="I2002" t="inlineStr">
        <is>
          <t>Self-pay</t>
        </is>
      </c>
      <c r="J2002" t="inlineStr">
        <is>
          <t>Sara Rossi</t>
        </is>
      </c>
      <c r="K2002" s="70" t="n">
        <v>2293</v>
      </c>
      <c r="L2002" s="71" t="n">
        <v>659.3099999999999</v>
      </c>
      <c r="M2002" s="71" t="n">
        <v>1511797.83</v>
      </c>
      <c r="N2002" s="71" t="n">
        <v>529129.24</v>
      </c>
      <c r="O2002" s="71" t="n">
        <v>982668.59</v>
      </c>
      <c r="P2002" s="71" t="n">
        <v>171044.39</v>
      </c>
      <c r="Q2002" s="71" t="n">
        <v>811624.2</v>
      </c>
      <c r="R2002" t="inlineStr">
        <is>
          <t>Cardiology</t>
        </is>
      </c>
      <c r="S2002" s="70" t="n">
        <v>1803</v>
      </c>
      <c r="T2002" s="71" t="n">
        <v>242566.12</v>
      </c>
      <c r="U2002" t="inlineStr">
        <is>
          <t>High</t>
        </is>
      </c>
      <c r="V2002">
        <f>IF(AND(OR(Dashboard!$C$6="All",E2002=Dashboard!$C$6),OR(Dashboard!$F$6="All",G2002=Dashboard!$F$6),OR(Dashboard!$I$6="All",H2002=Dashboard!$I$6)),1,0)</f>
        <v/>
      </c>
    </row>
    <row r="2003">
      <c r="A2003" t="inlineStr">
        <is>
          <t>PF101994</t>
        </is>
      </c>
      <c r="B2003" s="68" t="n">
        <v>45902</v>
      </c>
      <c r="C2003" s="69" t="n">
        <v>2025</v>
      </c>
      <c r="D2003" t="inlineStr">
        <is>
          <t>Sep</t>
        </is>
      </c>
      <c r="E2003" t="inlineStr">
        <is>
          <t>United States</t>
        </is>
      </c>
      <c r="F2003" t="inlineStr">
        <is>
          <t>USA</t>
        </is>
      </c>
      <c r="G2003" t="inlineStr">
        <is>
          <t>Prevnar 20</t>
        </is>
      </c>
      <c r="H2003" t="inlineStr">
        <is>
          <t>Retail pharmacy</t>
        </is>
      </c>
      <c r="I2003" t="inlineStr">
        <is>
          <t>Public payer</t>
        </is>
      </c>
      <c r="J2003" t="inlineStr">
        <is>
          <t>Priya Nair</t>
        </is>
      </c>
      <c r="K2003" s="70" t="n">
        <v>962</v>
      </c>
      <c r="L2003" s="71" t="n">
        <v>338.27</v>
      </c>
      <c r="M2003" s="71" t="n">
        <v>325415.74</v>
      </c>
      <c r="N2003" s="71" t="n">
        <v>65083.15</v>
      </c>
      <c r="O2003" s="71" t="n">
        <v>260332.59</v>
      </c>
      <c r="P2003" s="71" t="n">
        <v>65135.65</v>
      </c>
      <c r="Q2003" s="71" t="n">
        <v>195196.94</v>
      </c>
      <c r="R2003" t="inlineStr">
        <is>
          <t>Vaccines</t>
        </is>
      </c>
      <c r="S2003" s="70" t="n">
        <v>845</v>
      </c>
      <c r="T2003" s="71" t="n">
        <v>61770.47</v>
      </c>
      <c r="U2003" t="inlineStr">
        <is>
          <t>Low</t>
        </is>
      </c>
      <c r="V2003">
        <f>IF(AND(OR(Dashboard!$C$6="All",E2003=Dashboard!$C$6),OR(Dashboard!$F$6="All",G2003=Dashboard!$F$6),OR(Dashboard!$I$6="All",H2003=Dashboard!$I$6)),1,0)</f>
        <v/>
      </c>
    </row>
    <row r="2004">
      <c r="A2004" t="inlineStr">
        <is>
          <t>PF101995</t>
        </is>
      </c>
      <c r="B2004" s="68" t="n">
        <v>45902</v>
      </c>
      <c r="C2004" s="69" t="n">
        <v>2025</v>
      </c>
      <c r="D2004" t="inlineStr">
        <is>
          <t>Sep</t>
        </is>
      </c>
      <c r="E2004" t="inlineStr">
        <is>
          <t>United States</t>
        </is>
      </c>
      <c r="F2004" t="inlineStr">
        <is>
          <t>USA</t>
        </is>
      </c>
      <c r="G2004" t="inlineStr">
        <is>
          <t>Abrysvo</t>
        </is>
      </c>
      <c r="H2004" t="inlineStr">
        <is>
          <t>Government / tender</t>
        </is>
      </c>
      <c r="I2004" t="inlineStr">
        <is>
          <t>Private insurer</t>
        </is>
      </c>
      <c r="J2004" t="inlineStr">
        <is>
          <t>Carlos Silva</t>
        </is>
      </c>
      <c r="K2004" s="70" t="n">
        <v>832</v>
      </c>
      <c r="L2004" s="71" t="n">
        <v>418.8</v>
      </c>
      <c r="M2004" s="71" t="n">
        <v>348441.6</v>
      </c>
      <c r="N2004" s="71" t="n">
        <v>52266.24</v>
      </c>
      <c r="O2004" s="71" t="n">
        <v>296175.36</v>
      </c>
      <c r="P2004" s="71" t="n">
        <v>71255.42999999999</v>
      </c>
      <c r="Q2004" s="71" t="n">
        <v>224919.93</v>
      </c>
      <c r="R2004" t="inlineStr">
        <is>
          <t>Vaccines</t>
        </is>
      </c>
      <c r="S2004" s="70" t="n">
        <v>570</v>
      </c>
      <c r="T2004" s="71" t="n">
        <v>57564.75</v>
      </c>
      <c r="U2004" t="inlineStr">
        <is>
          <t>Low</t>
        </is>
      </c>
      <c r="V2004">
        <f>IF(AND(OR(Dashboard!$C$6="All",E2004=Dashboard!$C$6),OR(Dashboard!$F$6="All",G2004=Dashboard!$F$6),OR(Dashboard!$I$6="All",H2004=Dashboard!$I$6)),1,0)</f>
        <v/>
      </c>
    </row>
    <row r="2005">
      <c r="A2005" t="inlineStr">
        <is>
          <t>PF101996</t>
        </is>
      </c>
      <c r="B2005" s="68" t="n">
        <v>45902</v>
      </c>
      <c r="C2005" s="69" t="n">
        <v>2025</v>
      </c>
      <c r="D2005" t="inlineStr">
        <is>
          <t>Sep</t>
        </is>
      </c>
      <c r="E2005" t="inlineStr">
        <is>
          <t>International developed</t>
        </is>
      </c>
      <c r="F2005" t="inlineStr">
        <is>
          <t>Canada</t>
        </is>
      </c>
      <c r="G2005" t="inlineStr">
        <is>
          <t>Eliquis</t>
        </is>
      </c>
      <c r="H2005" t="inlineStr">
        <is>
          <t>Retail pharmacy</t>
        </is>
      </c>
      <c r="I2005" t="inlineStr">
        <is>
          <t>Private insurer</t>
        </is>
      </c>
      <c r="J2005" t="inlineStr">
        <is>
          <t>Emma Clarke</t>
        </is>
      </c>
      <c r="K2005" s="70" t="n">
        <v>957</v>
      </c>
      <c r="L2005" s="71" t="n">
        <v>454.6</v>
      </c>
      <c r="M2005" s="71" t="n">
        <v>435052.2</v>
      </c>
      <c r="N2005" s="71" t="n">
        <v>21752.61</v>
      </c>
      <c r="O2005" s="71" t="n">
        <v>413299.59</v>
      </c>
      <c r="P2005" s="71" t="n">
        <v>70954.58</v>
      </c>
      <c r="Q2005" s="71" t="n">
        <v>342345.01</v>
      </c>
      <c r="R2005" t="inlineStr">
        <is>
          <t>Cardiology</t>
        </is>
      </c>
      <c r="S2005" s="70" t="n">
        <v>919</v>
      </c>
      <c r="T2005" s="71" t="n">
        <v>81932.36</v>
      </c>
      <c r="U2005" t="inlineStr">
        <is>
          <t>High</t>
        </is>
      </c>
      <c r="V2005">
        <f>IF(AND(OR(Dashboard!$C$6="All",E2005=Dashboard!$C$6),OR(Dashboard!$F$6="All",G2005=Dashboard!$F$6),OR(Dashboard!$I$6="All",H2005=Dashboard!$I$6)),1,0)</f>
        <v/>
      </c>
    </row>
    <row r="2006">
      <c r="A2006" t="inlineStr">
        <is>
          <t>PF101997</t>
        </is>
      </c>
      <c r="B2006" s="68" t="n">
        <v>45902</v>
      </c>
      <c r="C2006" s="69" t="n">
        <v>2025</v>
      </c>
      <c r="D2006" t="inlineStr">
        <is>
          <t>Sep</t>
        </is>
      </c>
      <c r="E2006" t="inlineStr">
        <is>
          <t>United States</t>
        </is>
      </c>
      <c r="F2006" t="inlineStr">
        <is>
          <t>USA</t>
        </is>
      </c>
      <c r="G2006" t="inlineStr">
        <is>
          <t>Xeljanz</t>
        </is>
      </c>
      <c r="H2006" t="inlineStr">
        <is>
          <t>Government / tender</t>
        </is>
      </c>
      <c r="I2006" t="inlineStr">
        <is>
          <t>Public payer</t>
        </is>
      </c>
      <c r="J2006" t="inlineStr">
        <is>
          <t>Noah Smith</t>
        </is>
      </c>
      <c r="K2006" s="70" t="n">
        <v>1500</v>
      </c>
      <c r="L2006" s="71" t="n">
        <v>2361.34</v>
      </c>
      <c r="M2006" s="71" t="n">
        <v>3542010</v>
      </c>
      <c r="N2006" s="71" t="n">
        <v>531301.5</v>
      </c>
      <c r="O2006" s="71" t="n">
        <v>3010708.5</v>
      </c>
      <c r="P2006" s="71" t="n">
        <v>372093.74</v>
      </c>
      <c r="Q2006" s="71" t="n">
        <v>2638614.76</v>
      </c>
      <c r="R2006" t="inlineStr">
        <is>
          <t>Inflammation</t>
        </is>
      </c>
      <c r="S2006" s="70" t="n">
        <v>1441</v>
      </c>
      <c r="T2006" s="71" t="n">
        <v>689414.6</v>
      </c>
      <c r="U2006" t="inlineStr">
        <is>
          <t>High</t>
        </is>
      </c>
      <c r="V2006">
        <f>IF(AND(OR(Dashboard!$C$6="All",E2006=Dashboard!$C$6),OR(Dashboard!$F$6="All",G2006=Dashboard!$F$6),OR(Dashboard!$I$6="All",H2006=Dashboard!$I$6)),1,0)</f>
        <v/>
      </c>
    </row>
    <row r="2007">
      <c r="A2007" t="inlineStr">
        <is>
          <t>PF101998</t>
        </is>
      </c>
      <c r="B2007" s="68" t="n">
        <v>45902</v>
      </c>
      <c r="C2007" s="69" t="n">
        <v>2025</v>
      </c>
      <c r="D2007" t="inlineStr">
        <is>
          <t>Sep</t>
        </is>
      </c>
      <c r="E2007" t="inlineStr">
        <is>
          <t>United States</t>
        </is>
      </c>
      <c r="F2007" t="inlineStr">
        <is>
          <t>USA</t>
        </is>
      </c>
      <c r="G2007" t="inlineStr">
        <is>
          <t>Xeljanz</t>
        </is>
      </c>
      <c r="H2007" t="inlineStr">
        <is>
          <t>Retail pharmacy</t>
        </is>
      </c>
      <c r="I2007" t="inlineStr">
        <is>
          <t>Public payer</t>
        </is>
      </c>
      <c r="J2007" t="inlineStr">
        <is>
          <t>Amir Khan</t>
        </is>
      </c>
      <c r="K2007" s="70" t="n">
        <v>1762</v>
      </c>
      <c r="L2007" s="71" t="n">
        <v>2301.79</v>
      </c>
      <c r="M2007" s="71" t="n">
        <v>4055753.98</v>
      </c>
      <c r="N2007" s="71" t="n">
        <v>1216726.19</v>
      </c>
      <c r="O2007" s="71" t="n">
        <v>2839027.79</v>
      </c>
      <c r="P2007" s="71" t="n">
        <v>443492.25</v>
      </c>
      <c r="Q2007" s="71" t="n">
        <v>2395535.54</v>
      </c>
      <c r="R2007" t="inlineStr">
        <is>
          <t>Inflammation</t>
        </is>
      </c>
      <c r="S2007" s="70" t="n">
        <v>1258</v>
      </c>
      <c r="T2007" s="71" t="n">
        <v>576516.14</v>
      </c>
      <c r="U2007" t="inlineStr">
        <is>
          <t>High</t>
        </is>
      </c>
      <c r="V2007">
        <f>IF(AND(OR(Dashboard!$C$6="All",E2007=Dashboard!$C$6),OR(Dashboard!$F$6="All",G2007=Dashboard!$F$6),OR(Dashboard!$I$6="All",H2007=Dashboard!$I$6)),1,0)</f>
        <v/>
      </c>
    </row>
    <row r="2008">
      <c r="A2008" t="inlineStr">
        <is>
          <t>PF101999</t>
        </is>
      </c>
      <c r="B2008" s="68" t="n">
        <v>45902</v>
      </c>
      <c r="C2008" s="69" t="n">
        <v>2025</v>
      </c>
      <c r="D2008" t="inlineStr">
        <is>
          <t>Sep</t>
        </is>
      </c>
      <c r="E2008" t="inlineStr">
        <is>
          <t>Europe</t>
        </is>
      </c>
      <c r="F2008" t="inlineStr">
        <is>
          <t>UK</t>
        </is>
      </c>
      <c r="G2008" t="inlineStr">
        <is>
          <t>Comirnaty</t>
        </is>
      </c>
      <c r="H2008" t="inlineStr">
        <is>
          <t>Hospital</t>
        </is>
      </c>
      <c r="I2008" t="inlineStr">
        <is>
          <t>Private insurer</t>
        </is>
      </c>
      <c r="J2008" t="inlineStr">
        <is>
          <t>Mei Lin</t>
        </is>
      </c>
      <c r="K2008" s="70" t="n">
        <v>450</v>
      </c>
      <c r="L2008" s="71" t="n">
        <v>101.29</v>
      </c>
      <c r="M2008" s="71" t="n">
        <v>45580.5</v>
      </c>
      <c r="N2008" s="71" t="n">
        <v>4558.05</v>
      </c>
      <c r="O2008" s="71" t="n">
        <v>41022.45</v>
      </c>
      <c r="P2008" s="71" t="n">
        <v>16696.83</v>
      </c>
      <c r="Q2008" s="71" t="n">
        <v>24325.62</v>
      </c>
      <c r="R2008" t="inlineStr">
        <is>
          <t>Vaccines</t>
        </is>
      </c>
      <c r="S2008" s="70" t="n">
        <v>401</v>
      </c>
      <c r="T2008" s="71" t="n">
        <v>8939.120000000001</v>
      </c>
      <c r="U2008" t="inlineStr">
        <is>
          <t>Low</t>
        </is>
      </c>
      <c r="V2008">
        <f>IF(AND(OR(Dashboard!$C$6="All",E2008=Dashboard!$C$6),OR(Dashboard!$F$6="All",G2008=Dashboard!$F$6),OR(Dashboard!$I$6="All",H2008=Dashboard!$I$6)),1,0)</f>
        <v/>
      </c>
    </row>
    <row r="2009">
      <c r="A2009" t="inlineStr">
        <is>
          <t>PF102000</t>
        </is>
      </c>
      <c r="B2009" s="68" t="n">
        <v>45902</v>
      </c>
      <c r="C2009" s="69" t="n">
        <v>2025</v>
      </c>
      <c r="D2009" t="inlineStr">
        <is>
          <t>Sep</t>
        </is>
      </c>
      <c r="E2009" t="inlineStr">
        <is>
          <t>United States</t>
        </is>
      </c>
      <c r="F2009" t="inlineStr">
        <is>
          <t>USA</t>
        </is>
      </c>
      <c r="G2009" t="inlineStr">
        <is>
          <t>Paxlovid</t>
        </is>
      </c>
      <c r="H2009" t="inlineStr">
        <is>
          <t>Retail pharmacy</t>
        </is>
      </c>
      <c r="I2009" t="inlineStr">
        <is>
          <t>Public payer</t>
        </is>
      </c>
      <c r="J2009" t="inlineStr">
        <is>
          <t>Zoya Ahmed</t>
        </is>
      </c>
      <c r="K2009" s="70" t="n">
        <v>293</v>
      </c>
      <c r="L2009" s="71" t="n">
        <v>1845.22</v>
      </c>
      <c r="M2009" s="71" t="n">
        <v>540649.46</v>
      </c>
      <c r="N2009" s="71" t="n">
        <v>81097.42</v>
      </c>
      <c r="O2009" s="71" t="n">
        <v>459552.04</v>
      </c>
      <c r="P2009" s="71" t="n">
        <v>80933.14999999999</v>
      </c>
      <c r="Q2009" s="71" t="n">
        <v>378618.89</v>
      </c>
      <c r="R2009" t="inlineStr">
        <is>
          <t>Antiviral</t>
        </is>
      </c>
      <c r="S2009" s="70" t="n">
        <v>225</v>
      </c>
      <c r="T2009" s="71" t="n">
        <v>74557.57000000001</v>
      </c>
      <c r="U2009" t="inlineStr">
        <is>
          <t>Low</t>
        </is>
      </c>
      <c r="V2009">
        <f>IF(AND(OR(Dashboard!$C$6="All",E2009=Dashboard!$C$6),OR(Dashboard!$F$6="All",G2009=Dashboard!$F$6),OR(Dashboard!$I$6="All",H2009=Dashboard!$I$6)),1,0)</f>
        <v/>
      </c>
    </row>
    <row r="2010">
      <c r="A2010" t="inlineStr">
        <is>
          <t>PF102001</t>
        </is>
      </c>
      <c r="B2010" s="68" t="n">
        <v>45902</v>
      </c>
      <c r="C2010" s="69" t="n">
        <v>2025</v>
      </c>
      <c r="D2010" t="inlineStr">
        <is>
          <t>Sep</t>
        </is>
      </c>
      <c r="E2010" t="inlineStr">
        <is>
          <t>Europe</t>
        </is>
      </c>
      <c r="F2010" t="inlineStr">
        <is>
          <t>France</t>
        </is>
      </c>
      <c r="G2010" t="inlineStr">
        <is>
          <t>Eliquis</t>
        </is>
      </c>
      <c r="H2010" t="inlineStr">
        <is>
          <t>Hospital</t>
        </is>
      </c>
      <c r="I2010" t="inlineStr">
        <is>
          <t>Private insurer</t>
        </is>
      </c>
      <c r="J2010" t="inlineStr">
        <is>
          <t>Sophie Müller</t>
        </is>
      </c>
      <c r="K2010" s="70" t="n">
        <v>1660</v>
      </c>
      <c r="L2010" s="71" t="n">
        <v>433.5</v>
      </c>
      <c r="M2010" s="71" t="n">
        <v>719610</v>
      </c>
      <c r="N2010" s="71" t="n">
        <v>71961</v>
      </c>
      <c r="O2010" s="71" t="n">
        <v>647649</v>
      </c>
      <c r="P2010" s="71" t="n">
        <v>127303.35</v>
      </c>
      <c r="Q2010" s="71" t="n">
        <v>520345.65</v>
      </c>
      <c r="R2010" t="inlineStr">
        <is>
          <t>Cardiology</t>
        </is>
      </c>
      <c r="S2010" s="70" t="n">
        <v>1374</v>
      </c>
      <c r="T2010" s="71" t="n">
        <v>146069.55</v>
      </c>
      <c r="U2010" t="inlineStr">
        <is>
          <t>High</t>
        </is>
      </c>
      <c r="V2010">
        <f>IF(AND(OR(Dashboard!$C$6="All",E2010=Dashboard!$C$6),OR(Dashboard!$F$6="All",G2010=Dashboard!$F$6),OR(Dashboard!$I$6="All",H2010=Dashboard!$I$6)),1,0)</f>
        <v/>
      </c>
    </row>
    <row r="2011">
      <c r="A2011" t="inlineStr">
        <is>
          <t>PF102002</t>
        </is>
      </c>
      <c r="B2011" s="68" t="n">
        <v>45902</v>
      </c>
      <c r="C2011" s="69" t="n">
        <v>2025</v>
      </c>
      <c r="D2011" t="inlineStr">
        <is>
          <t>Sep</t>
        </is>
      </c>
      <c r="E2011" t="inlineStr">
        <is>
          <t>United States</t>
        </is>
      </c>
      <c r="F2011" t="inlineStr">
        <is>
          <t>USA</t>
        </is>
      </c>
      <c r="G2011" t="inlineStr">
        <is>
          <t>Paxlovid</t>
        </is>
      </c>
      <c r="H2011" t="inlineStr">
        <is>
          <t>Retail pharmacy</t>
        </is>
      </c>
      <c r="I2011" t="inlineStr">
        <is>
          <t>Private insurer</t>
        </is>
      </c>
      <c r="J2011" t="inlineStr">
        <is>
          <t>Wei Chen</t>
        </is>
      </c>
      <c r="K2011" s="70" t="n">
        <v>313</v>
      </c>
      <c r="L2011" s="71" t="n">
        <v>1923.58</v>
      </c>
      <c r="M2011" s="71" t="n">
        <v>602080.54</v>
      </c>
      <c r="N2011" s="71" t="n">
        <v>150520.14</v>
      </c>
      <c r="O2011" s="71" t="n">
        <v>451560.4</v>
      </c>
      <c r="P2011" s="71" t="n">
        <v>85665.07000000001</v>
      </c>
      <c r="Q2011" s="71" t="n">
        <v>365895.33</v>
      </c>
      <c r="R2011" t="inlineStr">
        <is>
          <t>Antiviral</t>
        </is>
      </c>
      <c r="S2011" s="70" t="n">
        <v>307</v>
      </c>
      <c r="T2011" s="71" t="n">
        <v>75385.34</v>
      </c>
      <c r="U2011" t="inlineStr">
        <is>
          <t>Low</t>
        </is>
      </c>
      <c r="V2011">
        <f>IF(AND(OR(Dashboard!$C$6="All",E2011=Dashboard!$C$6),OR(Dashboard!$F$6="All",G2011=Dashboard!$F$6),OR(Dashboard!$I$6="All",H2011=Dashboard!$I$6)),1,0)</f>
        <v/>
      </c>
    </row>
    <row r="2012">
      <c r="A2012" t="inlineStr">
        <is>
          <t>PF102003</t>
        </is>
      </c>
      <c r="B2012" s="68" t="n">
        <v>45902</v>
      </c>
      <c r="C2012" s="69" t="n">
        <v>2025</v>
      </c>
      <c r="D2012" t="inlineStr">
        <is>
          <t>Sep</t>
        </is>
      </c>
      <c r="E2012" t="inlineStr">
        <is>
          <t>Emerging markets</t>
        </is>
      </c>
      <c r="F2012" t="inlineStr">
        <is>
          <t>China</t>
        </is>
      </c>
      <c r="G2012" t="inlineStr">
        <is>
          <t>Ibrance</t>
        </is>
      </c>
      <c r="H2012" t="inlineStr">
        <is>
          <t>Hospital</t>
        </is>
      </c>
      <c r="I2012" t="inlineStr">
        <is>
          <t>Private insurer</t>
        </is>
      </c>
      <c r="J2012" t="inlineStr">
        <is>
          <t>Amir Khan</t>
        </is>
      </c>
      <c r="K2012" s="70" t="n">
        <v>858</v>
      </c>
      <c r="L2012" s="71" t="n">
        <v>2975.81</v>
      </c>
      <c r="M2012" s="71" t="n">
        <v>2553244.98</v>
      </c>
      <c r="N2012" s="71" t="n">
        <v>510649</v>
      </c>
      <c r="O2012" s="71" t="n">
        <v>2042595.98</v>
      </c>
      <c r="P2012" s="71" t="n">
        <v>365905.66</v>
      </c>
      <c r="Q2012" s="71" t="n">
        <v>1676690.32</v>
      </c>
      <c r="R2012" t="inlineStr">
        <is>
          <t>Oncology</t>
        </is>
      </c>
      <c r="S2012" s="70" t="n">
        <v>659</v>
      </c>
      <c r="T2012" s="71" t="n">
        <v>402692.66</v>
      </c>
      <c r="U2012" t="inlineStr">
        <is>
          <t>High</t>
        </is>
      </c>
      <c r="V2012">
        <f>IF(AND(OR(Dashboard!$C$6="All",E2012=Dashboard!$C$6),OR(Dashboard!$F$6="All",G2012=Dashboard!$F$6),OR(Dashboard!$I$6="All",H2012=Dashboard!$I$6)),1,0)</f>
        <v/>
      </c>
    </row>
    <row r="2013">
      <c r="A2013" t="inlineStr">
        <is>
          <t>PF102004</t>
        </is>
      </c>
      <c r="B2013" s="68" t="n">
        <v>45902</v>
      </c>
      <c r="C2013" s="69" t="n">
        <v>2025</v>
      </c>
      <c r="D2013" t="inlineStr">
        <is>
          <t>Sep</t>
        </is>
      </c>
      <c r="E2013" t="inlineStr">
        <is>
          <t>United States</t>
        </is>
      </c>
      <c r="F2013" t="inlineStr">
        <is>
          <t>USA</t>
        </is>
      </c>
      <c r="G2013" t="inlineStr">
        <is>
          <t>Ibrance</t>
        </is>
      </c>
      <c r="H2013" t="inlineStr">
        <is>
          <t>Retail pharmacy</t>
        </is>
      </c>
      <c r="I2013" t="inlineStr">
        <is>
          <t>Private insurer</t>
        </is>
      </c>
      <c r="J2013" t="inlineStr">
        <is>
          <t>Yuki Sato</t>
        </is>
      </c>
      <c r="K2013" s="70" t="n">
        <v>1953</v>
      </c>
      <c r="L2013" s="71" t="n">
        <v>4765.74</v>
      </c>
      <c r="M2013" s="71" t="n">
        <v>9307490.220000001</v>
      </c>
      <c r="N2013" s="71" t="n">
        <v>3257621.58</v>
      </c>
      <c r="O2013" s="71" t="n">
        <v>6049868.64</v>
      </c>
      <c r="P2013" s="71" t="n">
        <v>852103</v>
      </c>
      <c r="Q2013" s="71" t="n">
        <v>5197765.64</v>
      </c>
      <c r="R2013" t="inlineStr">
        <is>
          <t>Oncology</t>
        </is>
      </c>
      <c r="S2013" s="70" t="n">
        <v>1489</v>
      </c>
      <c r="T2013" s="71" t="n">
        <v>1351623.04</v>
      </c>
      <c r="U2013" t="inlineStr">
        <is>
          <t>High</t>
        </is>
      </c>
      <c r="V2013">
        <f>IF(AND(OR(Dashboard!$C$6="All",E2013=Dashboard!$C$6),OR(Dashboard!$F$6="All",G2013=Dashboard!$F$6),OR(Dashboard!$I$6="All",H2013=Dashboard!$I$6)),1,0)</f>
        <v/>
      </c>
    </row>
    <row r="2014">
      <c r="A2014" t="inlineStr">
        <is>
          <t>PF102005</t>
        </is>
      </c>
      <c r="B2014" s="68" t="n">
        <v>45902</v>
      </c>
      <c r="C2014" s="69" t="n">
        <v>2025</v>
      </c>
      <c r="D2014" t="inlineStr">
        <is>
          <t>Sep</t>
        </is>
      </c>
      <c r="E2014" t="inlineStr">
        <is>
          <t>Emerging markets</t>
        </is>
      </c>
      <c r="F2014" t="inlineStr">
        <is>
          <t>Brazil</t>
        </is>
      </c>
      <c r="G2014" t="inlineStr">
        <is>
          <t>Eliquis</t>
        </is>
      </c>
      <c r="H2014" t="inlineStr">
        <is>
          <t>Hospital</t>
        </is>
      </c>
      <c r="I2014" t="inlineStr">
        <is>
          <t>Public payer</t>
        </is>
      </c>
      <c r="J2014" t="inlineStr">
        <is>
          <t>Lucas Martin</t>
        </is>
      </c>
      <c r="K2014" s="70" t="n">
        <v>381</v>
      </c>
      <c r="L2014" s="71" t="n">
        <v>425.8</v>
      </c>
      <c r="M2014" s="71" t="n">
        <v>162229.8</v>
      </c>
      <c r="N2014" s="71" t="n">
        <v>24334.47</v>
      </c>
      <c r="O2014" s="71" t="n">
        <v>137895.33</v>
      </c>
      <c r="P2014" s="71" t="n">
        <v>29640.93</v>
      </c>
      <c r="Q2014" s="71" t="n">
        <v>108254.4</v>
      </c>
      <c r="R2014" t="inlineStr">
        <is>
          <t>Cardiology</t>
        </is>
      </c>
      <c r="S2014" s="70" t="n">
        <v>247</v>
      </c>
      <c r="T2014" s="71" t="n">
        <v>35108.31</v>
      </c>
      <c r="U2014" t="inlineStr">
        <is>
          <t>High</t>
        </is>
      </c>
      <c r="V2014">
        <f>IF(AND(OR(Dashboard!$C$6="All",E2014=Dashboard!$C$6),OR(Dashboard!$F$6="All",G2014=Dashboard!$F$6),OR(Dashboard!$I$6="All",H2014=Dashboard!$I$6)),1,0)</f>
        <v/>
      </c>
    </row>
    <row r="2015">
      <c r="A2015" t="inlineStr">
        <is>
          <t>PF102006</t>
        </is>
      </c>
      <c r="B2015" s="68" t="n">
        <v>45902</v>
      </c>
      <c r="C2015" s="69" t="n">
        <v>2025</v>
      </c>
      <c r="D2015" t="inlineStr">
        <is>
          <t>Sep</t>
        </is>
      </c>
      <c r="E2015" t="inlineStr">
        <is>
          <t>United States</t>
        </is>
      </c>
      <c r="F2015" t="inlineStr">
        <is>
          <t>USA</t>
        </is>
      </c>
      <c r="G2015" t="inlineStr">
        <is>
          <t>Paxlovid</t>
        </is>
      </c>
      <c r="H2015" t="inlineStr">
        <is>
          <t>Government / tender</t>
        </is>
      </c>
      <c r="I2015" t="inlineStr">
        <is>
          <t>Public payer</t>
        </is>
      </c>
      <c r="J2015" t="inlineStr">
        <is>
          <t>Shraddha Kulkarni</t>
        </is>
      </c>
      <c r="K2015" s="70" t="n">
        <v>1138</v>
      </c>
      <c r="L2015" s="71" t="n">
        <v>1819.5</v>
      </c>
      <c r="M2015" s="71" t="n">
        <v>2070591</v>
      </c>
      <c r="N2015" s="71" t="n">
        <v>517647.75</v>
      </c>
      <c r="O2015" s="71" t="n">
        <v>1552943.25</v>
      </c>
      <c r="P2015" s="71" t="n">
        <v>318993.67</v>
      </c>
      <c r="Q2015" s="71" t="n">
        <v>1233949.58</v>
      </c>
      <c r="R2015" t="inlineStr">
        <is>
          <t>Antiviral</t>
        </is>
      </c>
      <c r="S2015" s="70" t="n">
        <v>836</v>
      </c>
      <c r="T2015" s="71" t="n">
        <v>382575.1</v>
      </c>
      <c r="U2015" t="inlineStr">
        <is>
          <t>Low</t>
        </is>
      </c>
      <c r="V2015">
        <f>IF(AND(OR(Dashboard!$C$6="All",E2015=Dashboard!$C$6),OR(Dashboard!$F$6="All",G2015=Dashboard!$F$6),OR(Dashboard!$I$6="All",H2015=Dashboard!$I$6)),1,0)</f>
        <v/>
      </c>
    </row>
    <row r="2016">
      <c r="A2016" t="inlineStr">
        <is>
          <t>PF102007</t>
        </is>
      </c>
      <c r="B2016" s="68" t="n">
        <v>45902</v>
      </c>
      <c r="C2016" s="69" t="n">
        <v>2025</v>
      </c>
      <c r="D2016" t="inlineStr">
        <is>
          <t>Sep</t>
        </is>
      </c>
      <c r="E2016" t="inlineStr">
        <is>
          <t>United States</t>
        </is>
      </c>
      <c r="F2016" t="inlineStr">
        <is>
          <t>USA</t>
        </is>
      </c>
      <c r="G2016" t="inlineStr">
        <is>
          <t>Abrysvo</t>
        </is>
      </c>
      <c r="H2016" t="inlineStr">
        <is>
          <t>Retail pharmacy</t>
        </is>
      </c>
      <c r="I2016" t="inlineStr">
        <is>
          <t>Private insurer</t>
        </is>
      </c>
      <c r="J2016" t="inlineStr">
        <is>
          <t>Lucas Martin</t>
        </is>
      </c>
      <c r="K2016" s="70" t="n">
        <v>1230</v>
      </c>
      <c r="L2016" s="71" t="n">
        <v>438.67</v>
      </c>
      <c r="M2016" s="71" t="n">
        <v>539564.1</v>
      </c>
      <c r="N2016" s="71" t="n">
        <v>134891.02</v>
      </c>
      <c r="O2016" s="71" t="n">
        <v>404673.08</v>
      </c>
      <c r="P2016" s="71" t="n">
        <v>102214.63</v>
      </c>
      <c r="Q2016" s="71" t="n">
        <v>302458.45</v>
      </c>
      <c r="R2016" t="inlineStr">
        <is>
          <t>Vaccines</t>
        </is>
      </c>
      <c r="S2016" s="70" t="n">
        <v>1174</v>
      </c>
      <c r="T2016" s="71" t="n">
        <v>89326.84</v>
      </c>
      <c r="U2016" t="inlineStr">
        <is>
          <t>Low</t>
        </is>
      </c>
      <c r="V2016">
        <f>IF(AND(OR(Dashboard!$C$6="All",E2016=Dashboard!$C$6),OR(Dashboard!$F$6="All",G2016=Dashboard!$F$6),OR(Dashboard!$I$6="All",H2016=Dashboard!$I$6)),1,0)</f>
        <v/>
      </c>
    </row>
    <row r="2017">
      <c r="A2017" t="inlineStr">
        <is>
          <t>PF102008</t>
        </is>
      </c>
      <c r="B2017" s="68" t="n">
        <v>45903</v>
      </c>
      <c r="C2017" s="69" t="n">
        <v>2025</v>
      </c>
      <c r="D2017" t="inlineStr">
        <is>
          <t>Sep</t>
        </is>
      </c>
      <c r="E2017" t="inlineStr">
        <is>
          <t>United States</t>
        </is>
      </c>
      <c r="F2017" t="inlineStr">
        <is>
          <t>USA</t>
        </is>
      </c>
      <c r="G2017" t="inlineStr">
        <is>
          <t>Eliquis</t>
        </is>
      </c>
      <c r="H2017" t="inlineStr">
        <is>
          <t>Government / tender</t>
        </is>
      </c>
      <c r="I2017" t="inlineStr">
        <is>
          <t>Public payer</t>
        </is>
      </c>
      <c r="J2017" t="inlineStr">
        <is>
          <t>Kofi Mensah</t>
        </is>
      </c>
      <c r="K2017" s="70" t="n">
        <v>824</v>
      </c>
      <c r="L2017" s="71" t="n">
        <v>613.23</v>
      </c>
      <c r="M2017" s="71" t="n">
        <v>505301.52</v>
      </c>
      <c r="N2017" s="71" t="n">
        <v>176855.53</v>
      </c>
      <c r="O2017" s="71" t="n">
        <v>328445.99</v>
      </c>
      <c r="P2017" s="71" t="n">
        <v>63304.16</v>
      </c>
      <c r="Q2017" s="71" t="n">
        <v>265141.83</v>
      </c>
      <c r="R2017" t="inlineStr">
        <is>
          <t>Cardiology</t>
        </is>
      </c>
      <c r="S2017" s="70" t="n">
        <v>653</v>
      </c>
      <c r="T2017" s="71" t="n">
        <v>61450.71</v>
      </c>
      <c r="U2017" t="inlineStr">
        <is>
          <t>High</t>
        </is>
      </c>
      <c r="V2017">
        <f>IF(AND(OR(Dashboard!$C$6="All",E2017=Dashboard!$C$6),OR(Dashboard!$F$6="All",G2017=Dashboard!$F$6),OR(Dashboard!$I$6="All",H2017=Dashboard!$I$6)),1,0)</f>
        <v/>
      </c>
    </row>
    <row r="2018">
      <c r="A2018" t="inlineStr">
        <is>
          <t>PF102009</t>
        </is>
      </c>
      <c r="B2018" s="68" t="n">
        <v>45903</v>
      </c>
      <c r="C2018" s="69" t="n">
        <v>2025</v>
      </c>
      <c r="D2018" t="inlineStr">
        <is>
          <t>Sep</t>
        </is>
      </c>
      <c r="E2018" t="inlineStr">
        <is>
          <t>United States</t>
        </is>
      </c>
      <c r="F2018" t="inlineStr">
        <is>
          <t>USA</t>
        </is>
      </c>
      <c r="G2018" t="inlineStr">
        <is>
          <t>Eliquis</t>
        </is>
      </c>
      <c r="H2018" t="inlineStr">
        <is>
          <t>Hospital</t>
        </is>
      </c>
      <c r="I2018" t="inlineStr">
        <is>
          <t>Public payer</t>
        </is>
      </c>
      <c r="J2018" t="inlineStr">
        <is>
          <t>Sara Rossi</t>
        </is>
      </c>
      <c r="K2018" s="70" t="n">
        <v>899</v>
      </c>
      <c r="L2018" s="71" t="n">
        <v>617.26</v>
      </c>
      <c r="M2018" s="71" t="n">
        <v>554916.74</v>
      </c>
      <c r="N2018" s="71" t="n">
        <v>194220.86</v>
      </c>
      <c r="O2018" s="71" t="n">
        <v>360695.88</v>
      </c>
      <c r="P2018" s="71" t="n">
        <v>67125.41</v>
      </c>
      <c r="Q2018" s="71" t="n">
        <v>293570.47</v>
      </c>
      <c r="R2018" t="inlineStr">
        <is>
          <t>Cardiology</t>
        </is>
      </c>
      <c r="S2018" s="70" t="n">
        <v>661</v>
      </c>
      <c r="T2018" s="71" t="n">
        <v>113538.86</v>
      </c>
      <c r="U2018" t="inlineStr">
        <is>
          <t>High</t>
        </is>
      </c>
      <c r="V2018">
        <f>IF(AND(OR(Dashboard!$C$6="All",E2018=Dashboard!$C$6),OR(Dashboard!$F$6="All",G2018=Dashboard!$F$6),OR(Dashboard!$I$6="All",H2018=Dashboard!$I$6)),1,0)</f>
        <v/>
      </c>
    </row>
    <row r="2019">
      <c r="A2019" t="inlineStr">
        <is>
          <t>PF102010</t>
        </is>
      </c>
      <c r="B2019" s="68" t="n">
        <v>45903</v>
      </c>
      <c r="C2019" s="69" t="n">
        <v>2025</v>
      </c>
      <c r="D2019" t="inlineStr">
        <is>
          <t>Sep</t>
        </is>
      </c>
      <c r="E2019" t="inlineStr">
        <is>
          <t>Europe</t>
        </is>
      </c>
      <c r="F2019" t="inlineStr">
        <is>
          <t>Italy</t>
        </is>
      </c>
      <c r="G2019" t="inlineStr">
        <is>
          <t>Eliquis</t>
        </is>
      </c>
      <c r="H2019" t="inlineStr">
        <is>
          <t>Hospital</t>
        </is>
      </c>
      <c r="I2019" t="inlineStr">
        <is>
          <t>Private insurer</t>
        </is>
      </c>
      <c r="J2019" t="inlineStr">
        <is>
          <t>Hiroshi Tanaka</t>
        </is>
      </c>
      <c r="K2019" s="70" t="n">
        <v>1068</v>
      </c>
      <c r="L2019" s="71" t="n">
        <v>394.29</v>
      </c>
      <c r="M2019" s="71" t="n">
        <v>421101.72</v>
      </c>
      <c r="N2019" s="71" t="n">
        <v>105275.43</v>
      </c>
      <c r="O2019" s="71" t="n">
        <v>315826.29</v>
      </c>
      <c r="P2019" s="71" t="n">
        <v>78153.19</v>
      </c>
      <c r="Q2019" s="71" t="n">
        <v>237673.1</v>
      </c>
      <c r="R2019" t="inlineStr">
        <is>
          <t>Cardiology</t>
        </is>
      </c>
      <c r="S2019" s="70" t="n">
        <v>725</v>
      </c>
      <c r="T2019" s="71" t="n">
        <v>58628.01</v>
      </c>
      <c r="U2019" t="inlineStr">
        <is>
          <t>High</t>
        </is>
      </c>
      <c r="V2019">
        <f>IF(AND(OR(Dashboard!$C$6="All",E2019=Dashboard!$C$6),OR(Dashboard!$F$6="All",G2019=Dashboard!$F$6),OR(Dashboard!$I$6="All",H2019=Dashboard!$I$6)),1,0)</f>
        <v/>
      </c>
    </row>
    <row r="2020">
      <c r="A2020" t="inlineStr">
        <is>
          <t>PF102011</t>
        </is>
      </c>
      <c r="B2020" s="68" t="n">
        <v>45903</v>
      </c>
      <c r="C2020" s="69" t="n">
        <v>2025</v>
      </c>
      <c r="D2020" t="inlineStr">
        <is>
          <t>Sep</t>
        </is>
      </c>
      <c r="E2020" t="inlineStr">
        <is>
          <t>International developed</t>
        </is>
      </c>
      <c r="F2020" t="inlineStr">
        <is>
          <t>Japan</t>
        </is>
      </c>
      <c r="G2020" t="inlineStr">
        <is>
          <t>Xeljanz</t>
        </is>
      </c>
      <c r="H2020" t="inlineStr">
        <is>
          <t>Retail pharmacy</t>
        </is>
      </c>
      <c r="I2020" t="inlineStr">
        <is>
          <t>Private insurer</t>
        </is>
      </c>
      <c r="J2020" t="inlineStr">
        <is>
          <t>Sophie Müller</t>
        </is>
      </c>
      <c r="K2020" s="70" t="n">
        <v>546</v>
      </c>
      <c r="L2020" s="71" t="n">
        <v>1284.6</v>
      </c>
      <c r="M2020" s="71" t="n">
        <v>701391.6</v>
      </c>
      <c r="N2020" s="71" t="n">
        <v>70139.16</v>
      </c>
      <c r="O2020" s="71" t="n">
        <v>631252.4399999999</v>
      </c>
      <c r="P2020" s="71" t="n">
        <v>132378.84</v>
      </c>
      <c r="Q2020" s="71" t="n">
        <v>498873.6</v>
      </c>
      <c r="R2020" t="inlineStr">
        <is>
          <t>Inflammation</t>
        </is>
      </c>
      <c r="S2020" s="70" t="n">
        <v>529</v>
      </c>
      <c r="T2020" s="71" t="n">
        <v>119940.91</v>
      </c>
      <c r="U2020" t="inlineStr">
        <is>
          <t>High</t>
        </is>
      </c>
      <c r="V2020">
        <f>IF(AND(OR(Dashboard!$C$6="All",E2020=Dashboard!$C$6),OR(Dashboard!$F$6="All",G2020=Dashboard!$F$6),OR(Dashboard!$I$6="All",H2020=Dashboard!$I$6)),1,0)</f>
        <v/>
      </c>
    </row>
    <row r="2021">
      <c r="A2021" t="inlineStr">
        <is>
          <t>PF102012</t>
        </is>
      </c>
      <c r="B2021" s="68" t="n">
        <v>45903</v>
      </c>
      <c r="C2021" s="69" t="n">
        <v>2025</v>
      </c>
      <c r="D2021" t="inlineStr">
        <is>
          <t>Sep</t>
        </is>
      </c>
      <c r="E2021" t="inlineStr">
        <is>
          <t>United States</t>
        </is>
      </c>
      <c r="F2021" t="inlineStr">
        <is>
          <t>USA</t>
        </is>
      </c>
      <c r="G2021" t="inlineStr">
        <is>
          <t>Vyndaqel</t>
        </is>
      </c>
      <c r="H2021" t="inlineStr">
        <is>
          <t>Government / tender</t>
        </is>
      </c>
      <c r="I2021" t="inlineStr">
        <is>
          <t>Public payer</t>
        </is>
      </c>
      <c r="J2021" t="inlineStr">
        <is>
          <t>Sophie Müller</t>
        </is>
      </c>
      <c r="K2021" s="70" t="n">
        <v>1288</v>
      </c>
      <c r="L2021" s="71" t="n">
        <v>8501.219999999999</v>
      </c>
      <c r="M2021" s="71" t="n">
        <v>10949571.36</v>
      </c>
      <c r="N2021" s="71" t="n">
        <v>2737392.84</v>
      </c>
      <c r="O2021" s="71" t="n">
        <v>8212178.52</v>
      </c>
      <c r="P2021" s="71" t="n">
        <v>834189.78</v>
      </c>
      <c r="Q2021" s="71" t="n">
        <v>7377988.74</v>
      </c>
      <c r="R2021" t="inlineStr">
        <is>
          <t>Rare disease</t>
        </is>
      </c>
      <c r="S2021" s="70" t="n">
        <v>1056</v>
      </c>
      <c r="T2021" s="71" t="n">
        <v>2267036.84</v>
      </c>
      <c r="U2021" t="inlineStr">
        <is>
          <t>Medium</t>
        </is>
      </c>
      <c r="V2021">
        <f>IF(AND(OR(Dashboard!$C$6="All",E2021=Dashboard!$C$6),OR(Dashboard!$F$6="All",G2021=Dashboard!$F$6),OR(Dashboard!$I$6="All",H2021=Dashboard!$I$6)),1,0)</f>
        <v/>
      </c>
    </row>
    <row r="2022">
      <c r="A2022" t="inlineStr">
        <is>
          <t>PF102013</t>
        </is>
      </c>
      <c r="B2022" s="68" t="n">
        <v>45903</v>
      </c>
      <c r="C2022" s="69" t="n">
        <v>2025</v>
      </c>
      <c r="D2022" t="inlineStr">
        <is>
          <t>Sep</t>
        </is>
      </c>
      <c r="E2022" t="inlineStr">
        <is>
          <t>International developed</t>
        </is>
      </c>
      <c r="F2022" t="inlineStr">
        <is>
          <t>Australia</t>
        </is>
      </c>
      <c r="G2022" t="inlineStr">
        <is>
          <t>Abrysvo</t>
        </is>
      </c>
      <c r="H2022" t="inlineStr">
        <is>
          <t>Retail pharmacy</t>
        </is>
      </c>
      <c r="I2022" t="inlineStr">
        <is>
          <t>Private insurer</t>
        </is>
      </c>
      <c r="J2022" t="inlineStr">
        <is>
          <t>Hiroshi Tanaka</t>
        </is>
      </c>
      <c r="K2022" s="70" t="n">
        <v>264</v>
      </c>
      <c r="L2022" s="71" t="n">
        <v>258.58</v>
      </c>
      <c r="M2022" s="71" t="n">
        <v>68265.12</v>
      </c>
      <c r="N2022" s="71" t="n">
        <v>3413.26</v>
      </c>
      <c r="O2022" s="71" t="n">
        <v>64851.86</v>
      </c>
      <c r="P2022" s="71" t="n">
        <v>21952.59</v>
      </c>
      <c r="Q2022" s="71" t="n">
        <v>42899.27</v>
      </c>
      <c r="R2022" t="inlineStr">
        <is>
          <t>Vaccines</t>
        </is>
      </c>
      <c r="S2022" s="70" t="n">
        <v>233</v>
      </c>
      <c r="T2022" s="71" t="n">
        <v>12144.68</v>
      </c>
      <c r="U2022" t="inlineStr">
        <is>
          <t>Low</t>
        </is>
      </c>
      <c r="V2022">
        <f>IF(AND(OR(Dashboard!$C$6="All",E2022=Dashboard!$C$6),OR(Dashboard!$F$6="All",G2022=Dashboard!$F$6),OR(Dashboard!$I$6="All",H2022=Dashboard!$I$6)),1,0)</f>
        <v/>
      </c>
    </row>
    <row r="2023">
      <c r="A2023" t="inlineStr">
        <is>
          <t>PF102014</t>
        </is>
      </c>
      <c r="B2023" s="68" t="n">
        <v>45903</v>
      </c>
      <c r="C2023" s="69" t="n">
        <v>2025</v>
      </c>
      <c r="D2023" t="inlineStr">
        <is>
          <t>Sep</t>
        </is>
      </c>
      <c r="E2023" t="inlineStr">
        <is>
          <t>Europe</t>
        </is>
      </c>
      <c r="F2023" t="inlineStr">
        <is>
          <t>Germany</t>
        </is>
      </c>
      <c r="G2023" t="inlineStr">
        <is>
          <t>Prevnar 20</t>
        </is>
      </c>
      <c r="H2023" t="inlineStr">
        <is>
          <t>Retail pharmacy</t>
        </is>
      </c>
      <c r="I2023" t="inlineStr">
        <is>
          <t>Private insurer</t>
        </is>
      </c>
      <c r="J2023" t="inlineStr">
        <is>
          <t>Olivia Brown</t>
        </is>
      </c>
      <c r="K2023" s="70" t="n">
        <v>2845</v>
      </c>
      <c r="L2023" s="71" t="n">
        <v>236.67</v>
      </c>
      <c r="M2023" s="71" t="n">
        <v>673326.15</v>
      </c>
      <c r="N2023" s="71" t="n">
        <v>100998.92</v>
      </c>
      <c r="O2023" s="71" t="n">
        <v>572327.23</v>
      </c>
      <c r="P2023" s="71" t="n">
        <v>201302.8</v>
      </c>
      <c r="Q2023" s="71" t="n">
        <v>371024.43</v>
      </c>
      <c r="R2023" t="inlineStr">
        <is>
          <t>Vaccines</t>
        </is>
      </c>
      <c r="S2023" s="70" t="n">
        <v>2755</v>
      </c>
      <c r="T2023" s="71" t="n">
        <v>137636.04</v>
      </c>
      <c r="U2023" t="inlineStr">
        <is>
          <t>Low</t>
        </is>
      </c>
      <c r="V2023">
        <f>IF(AND(OR(Dashboard!$C$6="All",E2023=Dashboard!$C$6),OR(Dashboard!$F$6="All",G2023=Dashboard!$F$6),OR(Dashboard!$I$6="All",H2023=Dashboard!$I$6)),1,0)</f>
        <v/>
      </c>
    </row>
    <row r="2024">
      <c r="A2024" t="inlineStr">
        <is>
          <t>PF102015</t>
        </is>
      </c>
      <c r="B2024" s="68" t="n">
        <v>45904</v>
      </c>
      <c r="C2024" s="69" t="n">
        <v>2025</v>
      </c>
      <c r="D2024" t="inlineStr">
        <is>
          <t>Sep</t>
        </is>
      </c>
      <c r="E2024" t="inlineStr">
        <is>
          <t>United States</t>
        </is>
      </c>
      <c r="F2024" t="inlineStr">
        <is>
          <t>USA</t>
        </is>
      </c>
      <c r="G2024" t="inlineStr">
        <is>
          <t>Eliquis</t>
        </is>
      </c>
      <c r="H2024" t="inlineStr">
        <is>
          <t>Retail pharmacy</t>
        </is>
      </c>
      <c r="I2024" t="inlineStr">
        <is>
          <t>Private insurer</t>
        </is>
      </c>
      <c r="J2024" t="inlineStr">
        <is>
          <t>Omar Haddad</t>
        </is>
      </c>
      <c r="K2024" s="70" t="n">
        <v>1427</v>
      </c>
      <c r="L2024" s="71" t="n">
        <v>732.16</v>
      </c>
      <c r="M2024" s="71" t="n">
        <v>1044792.32</v>
      </c>
      <c r="N2024" s="71" t="n">
        <v>156718.85</v>
      </c>
      <c r="O2024" s="71" t="n">
        <v>888073.47</v>
      </c>
      <c r="P2024" s="71" t="n">
        <v>103601.69</v>
      </c>
      <c r="Q2024" s="71" t="n">
        <v>784471.78</v>
      </c>
      <c r="R2024" t="inlineStr">
        <is>
          <t>Cardiology</t>
        </is>
      </c>
      <c r="S2024" s="70" t="n">
        <v>1040</v>
      </c>
      <c r="T2024" s="71" t="n">
        <v>140599.42</v>
      </c>
      <c r="U2024" t="inlineStr">
        <is>
          <t>High</t>
        </is>
      </c>
      <c r="V2024">
        <f>IF(AND(OR(Dashboard!$C$6="All",E2024=Dashboard!$C$6),OR(Dashboard!$F$6="All",G2024=Dashboard!$F$6),OR(Dashboard!$I$6="All",H2024=Dashboard!$I$6)),1,0)</f>
        <v/>
      </c>
    </row>
    <row r="2025">
      <c r="A2025" t="inlineStr">
        <is>
          <t>PF102016</t>
        </is>
      </c>
      <c r="B2025" s="68" t="n">
        <v>45904</v>
      </c>
      <c r="C2025" s="69" t="n">
        <v>2025</v>
      </c>
      <c r="D2025" t="inlineStr">
        <is>
          <t>Sep</t>
        </is>
      </c>
      <c r="E2025" t="inlineStr">
        <is>
          <t>Europe</t>
        </is>
      </c>
      <c r="F2025" t="inlineStr">
        <is>
          <t>Germany</t>
        </is>
      </c>
      <c r="G2025" t="inlineStr">
        <is>
          <t>Abrysvo</t>
        </is>
      </c>
      <c r="H2025" t="inlineStr">
        <is>
          <t>Retail pharmacy</t>
        </is>
      </c>
      <c r="I2025" t="inlineStr">
        <is>
          <t>Public payer</t>
        </is>
      </c>
      <c r="J2025" t="inlineStr">
        <is>
          <t>Yuki Sato</t>
        </is>
      </c>
      <c r="K2025" s="70" t="n">
        <v>2748</v>
      </c>
      <c r="L2025" s="71" t="n">
        <v>277.15</v>
      </c>
      <c r="M2025" s="71" t="n">
        <v>761608.2</v>
      </c>
      <c r="N2025" s="71" t="n">
        <v>114241.23</v>
      </c>
      <c r="O2025" s="71" t="n">
        <v>647366.97</v>
      </c>
      <c r="P2025" s="71" t="n">
        <v>224747.47</v>
      </c>
      <c r="Q2025" s="71" t="n">
        <v>422619.5</v>
      </c>
      <c r="R2025" t="inlineStr">
        <is>
          <t>Vaccines</t>
        </is>
      </c>
      <c r="S2025" s="70" t="n">
        <v>1888</v>
      </c>
      <c r="T2025" s="71" t="n">
        <v>142277.28</v>
      </c>
      <c r="U2025" t="inlineStr">
        <is>
          <t>Low</t>
        </is>
      </c>
      <c r="V2025">
        <f>IF(AND(OR(Dashboard!$C$6="All",E2025=Dashboard!$C$6),OR(Dashboard!$F$6="All",G2025=Dashboard!$F$6),OR(Dashboard!$I$6="All",H2025=Dashboard!$I$6)),1,0)</f>
        <v/>
      </c>
    </row>
    <row r="2026">
      <c r="A2026" t="inlineStr">
        <is>
          <t>PF102017</t>
        </is>
      </c>
      <c r="B2026" s="68" t="n">
        <v>45904</v>
      </c>
      <c r="C2026" s="69" t="n">
        <v>2025</v>
      </c>
      <c r="D2026" t="inlineStr">
        <is>
          <t>Sep</t>
        </is>
      </c>
      <c r="E2026" t="inlineStr">
        <is>
          <t>United States</t>
        </is>
      </c>
      <c r="F2026" t="inlineStr">
        <is>
          <t>USA</t>
        </is>
      </c>
      <c r="G2026" t="inlineStr">
        <is>
          <t>Paxlovid</t>
        </is>
      </c>
      <c r="H2026" t="inlineStr">
        <is>
          <t>Government / tender</t>
        </is>
      </c>
      <c r="I2026" t="inlineStr">
        <is>
          <t>Public payer</t>
        </is>
      </c>
      <c r="J2026" t="inlineStr">
        <is>
          <t>Wei Chen</t>
        </is>
      </c>
      <c r="K2026" s="70" t="n">
        <v>623</v>
      </c>
      <c r="L2026" s="71" t="n">
        <v>1826.72</v>
      </c>
      <c r="M2026" s="71" t="n">
        <v>1138046.56</v>
      </c>
      <c r="N2026" s="71" t="n">
        <v>284511.64</v>
      </c>
      <c r="O2026" s="71" t="n">
        <v>853534.92</v>
      </c>
      <c r="P2026" s="71" t="n">
        <v>176244.36</v>
      </c>
      <c r="Q2026" s="71" t="n">
        <v>677290.5600000001</v>
      </c>
      <c r="R2026" t="inlineStr">
        <is>
          <t>Antiviral</t>
        </is>
      </c>
      <c r="S2026" s="70" t="n">
        <v>417</v>
      </c>
      <c r="T2026" s="71" t="n">
        <v>213325.39</v>
      </c>
      <c r="U2026" t="inlineStr">
        <is>
          <t>Low</t>
        </is>
      </c>
      <c r="V2026">
        <f>IF(AND(OR(Dashboard!$C$6="All",E2026=Dashboard!$C$6),OR(Dashboard!$F$6="All",G2026=Dashboard!$F$6),OR(Dashboard!$I$6="All",H2026=Dashboard!$I$6)),1,0)</f>
        <v/>
      </c>
    </row>
    <row r="2027">
      <c r="A2027" t="inlineStr">
        <is>
          <t>PF102018</t>
        </is>
      </c>
      <c r="B2027" s="68" t="n">
        <v>45904</v>
      </c>
      <c r="C2027" s="69" t="n">
        <v>2025</v>
      </c>
      <c r="D2027" t="inlineStr">
        <is>
          <t>Sep</t>
        </is>
      </c>
      <c r="E2027" t="inlineStr">
        <is>
          <t>United States</t>
        </is>
      </c>
      <c r="F2027" t="inlineStr">
        <is>
          <t>USA</t>
        </is>
      </c>
      <c r="G2027" t="inlineStr">
        <is>
          <t>Paxlovid</t>
        </is>
      </c>
      <c r="H2027" t="inlineStr">
        <is>
          <t>Government / tender</t>
        </is>
      </c>
      <c r="I2027" t="inlineStr">
        <is>
          <t>Public payer</t>
        </is>
      </c>
      <c r="J2027" t="inlineStr">
        <is>
          <t>Ana Costa</t>
        </is>
      </c>
      <c r="K2027" s="70" t="n">
        <v>2001</v>
      </c>
      <c r="L2027" s="71" t="n">
        <v>1897.52</v>
      </c>
      <c r="M2027" s="71" t="n">
        <v>3796937.52</v>
      </c>
      <c r="N2027" s="71" t="n">
        <v>1139081.26</v>
      </c>
      <c r="O2027" s="71" t="n">
        <v>2657856.26</v>
      </c>
      <c r="P2027" s="71" t="n">
        <v>563277.84</v>
      </c>
      <c r="Q2027" s="71" t="n">
        <v>2094578.42</v>
      </c>
      <c r="R2027" t="inlineStr">
        <is>
          <t>Antiviral</t>
        </is>
      </c>
      <c r="S2027" s="70" t="n">
        <v>1349</v>
      </c>
      <c r="T2027" s="71" t="n">
        <v>717648.35</v>
      </c>
      <c r="U2027" t="inlineStr">
        <is>
          <t>Low</t>
        </is>
      </c>
      <c r="V2027">
        <f>IF(AND(OR(Dashboard!$C$6="All",E2027=Dashboard!$C$6),OR(Dashboard!$F$6="All",G2027=Dashboard!$F$6),OR(Dashboard!$I$6="All",H2027=Dashboard!$I$6)),1,0)</f>
        <v/>
      </c>
    </row>
    <row r="2028">
      <c r="A2028" t="inlineStr">
        <is>
          <t>PF102019</t>
        </is>
      </c>
      <c r="B2028" s="68" t="n">
        <v>45904</v>
      </c>
      <c r="C2028" s="69" t="n">
        <v>2025</v>
      </c>
      <c r="D2028" t="inlineStr">
        <is>
          <t>Sep</t>
        </is>
      </c>
      <c r="E2028" t="inlineStr">
        <is>
          <t>United States</t>
        </is>
      </c>
      <c r="F2028" t="inlineStr">
        <is>
          <t>USA</t>
        </is>
      </c>
      <c r="G2028" t="inlineStr">
        <is>
          <t>Abrysvo</t>
        </is>
      </c>
      <c r="H2028" t="inlineStr">
        <is>
          <t>Retail pharmacy</t>
        </is>
      </c>
      <c r="I2028" t="inlineStr">
        <is>
          <t>Private insurer</t>
        </is>
      </c>
      <c r="J2028" t="inlineStr">
        <is>
          <t>Olivia Brown</t>
        </is>
      </c>
      <c r="K2028" s="70" t="n">
        <v>1583</v>
      </c>
      <c r="L2028" s="71" t="n">
        <v>459.09</v>
      </c>
      <c r="M2028" s="71" t="n">
        <v>726739.47</v>
      </c>
      <c r="N2028" s="71" t="n">
        <v>145347.89</v>
      </c>
      <c r="O2028" s="71" t="n">
        <v>581391.58</v>
      </c>
      <c r="P2028" s="71" t="n">
        <v>127833.6</v>
      </c>
      <c r="Q2028" s="71" t="n">
        <v>453557.98</v>
      </c>
      <c r="R2028" t="inlineStr">
        <is>
          <t>Vaccines</t>
        </is>
      </c>
      <c r="S2028" s="70" t="n">
        <v>1375</v>
      </c>
      <c r="T2028" s="71" t="n">
        <v>100360.42</v>
      </c>
      <c r="U2028" t="inlineStr">
        <is>
          <t>Low</t>
        </is>
      </c>
      <c r="V2028">
        <f>IF(AND(OR(Dashboard!$C$6="All",E2028=Dashboard!$C$6),OR(Dashboard!$F$6="All",G2028=Dashboard!$F$6),OR(Dashboard!$I$6="All",H2028=Dashboard!$I$6)),1,0)</f>
        <v/>
      </c>
    </row>
    <row r="2029">
      <c r="A2029" t="inlineStr">
        <is>
          <t>PF102020</t>
        </is>
      </c>
      <c r="B2029" s="68" t="n">
        <v>45904</v>
      </c>
      <c r="C2029" s="69" t="n">
        <v>2025</v>
      </c>
      <c r="D2029" t="inlineStr">
        <is>
          <t>Sep</t>
        </is>
      </c>
      <c r="E2029" t="inlineStr">
        <is>
          <t>International developed</t>
        </is>
      </c>
      <c r="F2029" t="inlineStr">
        <is>
          <t>Australia</t>
        </is>
      </c>
      <c r="G2029" t="inlineStr">
        <is>
          <t>Vyndaqel</t>
        </is>
      </c>
      <c r="H2029" t="inlineStr">
        <is>
          <t>Hospital</t>
        </is>
      </c>
      <c r="I2029" t="inlineStr">
        <is>
          <t>Public payer</t>
        </is>
      </c>
      <c r="J2029" t="inlineStr">
        <is>
          <t>Sara Rossi</t>
        </is>
      </c>
      <c r="K2029" s="70" t="n">
        <v>1376</v>
      </c>
      <c r="L2029" s="71" t="n">
        <v>5539.93</v>
      </c>
      <c r="M2029" s="71" t="n">
        <v>7622943.68</v>
      </c>
      <c r="N2029" s="71" t="n">
        <v>762294.37</v>
      </c>
      <c r="O2029" s="71" t="n">
        <v>6860649.31</v>
      </c>
      <c r="P2029" s="71" t="n">
        <v>845704.4399999999</v>
      </c>
      <c r="Q2029" s="71" t="n">
        <v>6014944.87</v>
      </c>
      <c r="R2029" t="inlineStr">
        <is>
          <t>Rare disease</t>
        </is>
      </c>
      <c r="S2029" s="70" t="n">
        <v>935</v>
      </c>
      <c r="T2029" s="71" t="n">
        <v>1193637.91</v>
      </c>
      <c r="U2029" t="inlineStr">
        <is>
          <t>Medium</t>
        </is>
      </c>
      <c r="V2029">
        <f>IF(AND(OR(Dashboard!$C$6="All",E2029=Dashboard!$C$6),OR(Dashboard!$F$6="All",G2029=Dashboard!$F$6),OR(Dashboard!$I$6="All",H2029=Dashboard!$I$6)),1,0)</f>
        <v/>
      </c>
    </row>
    <row r="2030">
      <c r="A2030" t="inlineStr">
        <is>
          <t>PF102021</t>
        </is>
      </c>
      <c r="B2030" s="68" t="n">
        <v>45904</v>
      </c>
      <c r="C2030" s="69" t="n">
        <v>2025</v>
      </c>
      <c r="D2030" t="inlineStr">
        <is>
          <t>Sep</t>
        </is>
      </c>
      <c r="E2030" t="inlineStr">
        <is>
          <t>United States</t>
        </is>
      </c>
      <c r="F2030" t="inlineStr">
        <is>
          <t>USA</t>
        </is>
      </c>
      <c r="G2030" t="inlineStr">
        <is>
          <t>Eliquis</t>
        </is>
      </c>
      <c r="H2030" t="inlineStr">
        <is>
          <t>Hospital</t>
        </is>
      </c>
      <c r="I2030" t="inlineStr">
        <is>
          <t>Public payer</t>
        </is>
      </c>
      <c r="J2030" t="inlineStr">
        <is>
          <t>Aisha Bello</t>
        </is>
      </c>
      <c r="K2030" s="70" t="n">
        <v>1505</v>
      </c>
      <c r="L2030" s="71" t="n">
        <v>676.22</v>
      </c>
      <c r="M2030" s="71" t="n">
        <v>1017711.1</v>
      </c>
      <c r="N2030" s="71" t="n">
        <v>254427.77</v>
      </c>
      <c r="O2030" s="71" t="n">
        <v>763283.33</v>
      </c>
      <c r="P2030" s="71" t="n">
        <v>116293.38</v>
      </c>
      <c r="Q2030" s="71" t="n">
        <v>646989.95</v>
      </c>
      <c r="R2030" t="inlineStr">
        <is>
          <t>Cardiology</t>
        </is>
      </c>
      <c r="S2030" s="70" t="n">
        <v>1238</v>
      </c>
      <c r="T2030" s="71" t="n">
        <v>179642.14</v>
      </c>
      <c r="U2030" t="inlineStr">
        <is>
          <t>High</t>
        </is>
      </c>
      <c r="V2030">
        <f>IF(AND(OR(Dashboard!$C$6="All",E2030=Dashboard!$C$6),OR(Dashboard!$F$6="All",G2030=Dashboard!$F$6),OR(Dashboard!$I$6="All",H2030=Dashboard!$I$6)),1,0)</f>
        <v/>
      </c>
    </row>
    <row r="2031">
      <c r="A2031" t="inlineStr">
        <is>
          <t>PF102022</t>
        </is>
      </c>
      <c r="B2031" s="68" t="n">
        <v>45904</v>
      </c>
      <c r="C2031" s="69" t="n">
        <v>2025</v>
      </c>
      <c r="D2031" t="inlineStr">
        <is>
          <t>Sep</t>
        </is>
      </c>
      <c r="E2031" t="inlineStr">
        <is>
          <t>Europe</t>
        </is>
      </c>
      <c r="F2031" t="inlineStr">
        <is>
          <t>Spain</t>
        </is>
      </c>
      <c r="G2031" t="inlineStr">
        <is>
          <t>Abrysvo</t>
        </is>
      </c>
      <c r="H2031" t="inlineStr">
        <is>
          <t>Retail pharmacy</t>
        </is>
      </c>
      <c r="I2031" t="inlineStr">
        <is>
          <t>Private insurer</t>
        </is>
      </c>
      <c r="J2031" t="inlineStr">
        <is>
          <t>Olivia Brown</t>
        </is>
      </c>
      <c r="K2031" s="70" t="n">
        <v>1522</v>
      </c>
      <c r="L2031" s="71" t="n">
        <v>257.19</v>
      </c>
      <c r="M2031" s="71" t="n">
        <v>391443.18</v>
      </c>
      <c r="N2031" s="71" t="n">
        <v>78288.64</v>
      </c>
      <c r="O2031" s="71" t="n">
        <v>313154.54</v>
      </c>
      <c r="P2031" s="71" t="n">
        <v>125051.31</v>
      </c>
      <c r="Q2031" s="71" t="n">
        <v>188103.23</v>
      </c>
      <c r="R2031" t="inlineStr">
        <is>
          <t>Vaccines</t>
        </is>
      </c>
      <c r="S2031" s="70" t="n">
        <v>1416</v>
      </c>
      <c r="T2031" s="71" t="n">
        <v>68290.89</v>
      </c>
      <c r="U2031" t="inlineStr">
        <is>
          <t>Low</t>
        </is>
      </c>
      <c r="V2031">
        <f>IF(AND(OR(Dashboard!$C$6="All",E2031=Dashboard!$C$6),OR(Dashboard!$F$6="All",G2031=Dashboard!$F$6),OR(Dashboard!$I$6="All",H2031=Dashboard!$I$6)),1,0)</f>
        <v/>
      </c>
    </row>
    <row r="2032">
      <c r="A2032" t="inlineStr">
        <is>
          <t>PF102023</t>
        </is>
      </c>
      <c r="B2032" s="68" t="n">
        <v>45904</v>
      </c>
      <c r="C2032" s="69" t="n">
        <v>2025</v>
      </c>
      <c r="D2032" t="inlineStr">
        <is>
          <t>Sep</t>
        </is>
      </c>
      <c r="E2032" t="inlineStr">
        <is>
          <t>International developed</t>
        </is>
      </c>
      <c r="F2032" t="inlineStr">
        <is>
          <t>Canada</t>
        </is>
      </c>
      <c r="G2032" t="inlineStr">
        <is>
          <t>Comirnaty</t>
        </is>
      </c>
      <c r="H2032" t="inlineStr">
        <is>
          <t>Government / tender</t>
        </is>
      </c>
      <c r="I2032" t="inlineStr">
        <is>
          <t>Private insurer</t>
        </is>
      </c>
      <c r="J2032" t="inlineStr">
        <is>
          <t>Carlos Silva</t>
        </is>
      </c>
      <c r="K2032" s="70" t="n">
        <v>1132</v>
      </c>
      <c r="L2032" s="71" t="n">
        <v>108.89</v>
      </c>
      <c r="M2032" s="71" t="n">
        <v>123263.48</v>
      </c>
      <c r="N2032" s="71" t="n">
        <v>6163.17</v>
      </c>
      <c r="O2032" s="71" t="n">
        <v>117100.31</v>
      </c>
      <c r="P2032" s="71" t="n">
        <v>43587.52</v>
      </c>
      <c r="Q2032" s="71" t="n">
        <v>73512.78999999999</v>
      </c>
      <c r="R2032" t="inlineStr">
        <is>
          <t>Vaccines</t>
        </is>
      </c>
      <c r="S2032" s="70" t="n">
        <v>726</v>
      </c>
      <c r="T2032" s="71" t="n">
        <v>25288.42</v>
      </c>
      <c r="U2032" t="inlineStr">
        <is>
          <t>Low</t>
        </is>
      </c>
      <c r="V2032">
        <f>IF(AND(OR(Dashboard!$C$6="All",E2032=Dashboard!$C$6),OR(Dashboard!$F$6="All",G2032=Dashboard!$F$6),OR(Dashboard!$I$6="All",H2032=Dashboard!$I$6)),1,0)</f>
        <v/>
      </c>
    </row>
    <row r="2033">
      <c r="A2033" t="inlineStr">
        <is>
          <t>PF102024</t>
        </is>
      </c>
      <c r="B2033" s="68" t="n">
        <v>45905</v>
      </c>
      <c r="C2033" s="69" t="n">
        <v>2025</v>
      </c>
      <c r="D2033" t="inlineStr">
        <is>
          <t>Sep</t>
        </is>
      </c>
      <c r="E2033" t="inlineStr">
        <is>
          <t>Emerging markets</t>
        </is>
      </c>
      <c r="F2033" t="inlineStr">
        <is>
          <t>China</t>
        </is>
      </c>
      <c r="G2033" t="inlineStr">
        <is>
          <t>Prevnar 20</t>
        </is>
      </c>
      <c r="H2033" t="inlineStr">
        <is>
          <t>Retail pharmacy</t>
        </is>
      </c>
      <c r="I2033" t="inlineStr">
        <is>
          <t>Private insurer</t>
        </is>
      </c>
      <c r="J2033" t="inlineStr">
        <is>
          <t>Noah Smith</t>
        </is>
      </c>
      <c r="K2033" s="70" t="n">
        <v>228</v>
      </c>
      <c r="L2033" s="71" t="n">
        <v>243.93</v>
      </c>
      <c r="M2033" s="71" t="n">
        <v>55616.04</v>
      </c>
      <c r="N2033" s="71" t="n">
        <v>13904.01</v>
      </c>
      <c r="O2033" s="71" t="n">
        <v>41712.03</v>
      </c>
      <c r="P2033" s="71" t="n">
        <v>15580.52</v>
      </c>
      <c r="Q2033" s="71" t="n">
        <v>26131.51</v>
      </c>
      <c r="R2033" t="inlineStr">
        <is>
          <t>Vaccines</t>
        </is>
      </c>
      <c r="S2033" s="70" t="n">
        <v>153</v>
      </c>
      <c r="T2033" s="71" t="n">
        <v>10174.29</v>
      </c>
      <c r="U2033" t="inlineStr">
        <is>
          <t>Low</t>
        </is>
      </c>
      <c r="V2033">
        <f>IF(AND(OR(Dashboard!$C$6="All",E2033=Dashboard!$C$6),OR(Dashboard!$F$6="All",G2033=Dashboard!$F$6),OR(Dashboard!$I$6="All",H2033=Dashboard!$I$6)),1,0)</f>
        <v/>
      </c>
    </row>
    <row r="2034">
      <c r="A2034" t="inlineStr">
        <is>
          <t>PF102025</t>
        </is>
      </c>
      <c r="B2034" s="68" t="n">
        <v>45905</v>
      </c>
      <c r="C2034" s="69" t="n">
        <v>2025</v>
      </c>
      <c r="D2034" t="inlineStr">
        <is>
          <t>Sep</t>
        </is>
      </c>
      <c r="E2034" t="inlineStr">
        <is>
          <t>United States</t>
        </is>
      </c>
      <c r="F2034" t="inlineStr">
        <is>
          <t>USA</t>
        </is>
      </c>
      <c r="G2034" t="inlineStr">
        <is>
          <t>Eliquis</t>
        </is>
      </c>
      <c r="H2034" t="inlineStr">
        <is>
          <t>Government / tender</t>
        </is>
      </c>
      <c r="I2034" t="inlineStr">
        <is>
          <t>Self-pay</t>
        </is>
      </c>
      <c r="J2034" t="inlineStr">
        <is>
          <t>Emma Clarke</t>
        </is>
      </c>
      <c r="K2034" s="70" t="n">
        <v>2061</v>
      </c>
      <c r="L2034" s="71" t="n">
        <v>706.8200000000001</v>
      </c>
      <c r="M2034" s="71" t="n">
        <v>1456756.02</v>
      </c>
      <c r="N2034" s="71" t="n">
        <v>291351.2</v>
      </c>
      <c r="O2034" s="71" t="n">
        <v>1165404.82</v>
      </c>
      <c r="P2034" s="71" t="n">
        <v>152675.52</v>
      </c>
      <c r="Q2034" s="71" t="n">
        <v>1012729.3</v>
      </c>
      <c r="R2034" t="inlineStr">
        <is>
          <t>Cardiology</t>
        </is>
      </c>
      <c r="S2034" s="70" t="n">
        <v>1875</v>
      </c>
      <c r="T2034" s="71" t="n">
        <v>253672.07</v>
      </c>
      <c r="U2034" t="inlineStr">
        <is>
          <t>High</t>
        </is>
      </c>
      <c r="V2034">
        <f>IF(AND(OR(Dashboard!$C$6="All",E2034=Dashboard!$C$6),OR(Dashboard!$F$6="All",G2034=Dashboard!$F$6),OR(Dashboard!$I$6="All",H2034=Dashboard!$I$6)),1,0)</f>
        <v/>
      </c>
    </row>
    <row r="2035">
      <c r="A2035" t="inlineStr">
        <is>
          <t>PF102026</t>
        </is>
      </c>
      <c r="B2035" s="68" t="n">
        <v>45905</v>
      </c>
      <c r="C2035" s="69" t="n">
        <v>2025</v>
      </c>
      <c r="D2035" t="inlineStr">
        <is>
          <t>Sep</t>
        </is>
      </c>
      <c r="E2035" t="inlineStr">
        <is>
          <t>International developed</t>
        </is>
      </c>
      <c r="F2035" t="inlineStr">
        <is>
          <t>Canada</t>
        </is>
      </c>
      <c r="G2035" t="inlineStr">
        <is>
          <t>Paxlovid</t>
        </is>
      </c>
      <c r="H2035" t="inlineStr">
        <is>
          <t>Government / tender</t>
        </is>
      </c>
      <c r="I2035" t="inlineStr">
        <is>
          <t>Private insurer</t>
        </is>
      </c>
      <c r="J2035" t="inlineStr">
        <is>
          <t>Zoya Ahmed</t>
        </is>
      </c>
      <c r="K2035" s="70" t="n">
        <v>1071</v>
      </c>
      <c r="L2035" s="71" t="n">
        <v>1097.51</v>
      </c>
      <c r="M2035" s="71" t="n">
        <v>1175433.21</v>
      </c>
      <c r="N2035" s="71" t="n">
        <v>235086.64</v>
      </c>
      <c r="O2035" s="71" t="n">
        <v>940346.5699999999</v>
      </c>
      <c r="P2035" s="71" t="n">
        <v>295523.92</v>
      </c>
      <c r="Q2035" s="71" t="n">
        <v>644822.65</v>
      </c>
      <c r="R2035" t="inlineStr">
        <is>
          <t>Antiviral</t>
        </is>
      </c>
      <c r="S2035" s="70" t="n">
        <v>683</v>
      </c>
      <c r="T2035" s="71" t="n">
        <v>236402.98</v>
      </c>
      <c r="U2035" t="inlineStr">
        <is>
          <t>Low</t>
        </is>
      </c>
      <c r="V2035">
        <f>IF(AND(OR(Dashboard!$C$6="All",E2035=Dashboard!$C$6),OR(Dashboard!$F$6="All",G2035=Dashboard!$F$6),OR(Dashboard!$I$6="All",H2035=Dashboard!$I$6)),1,0)</f>
        <v/>
      </c>
    </row>
    <row r="2036">
      <c r="A2036" t="inlineStr">
        <is>
          <t>PF102027</t>
        </is>
      </c>
      <c r="B2036" s="68" t="n">
        <v>45905</v>
      </c>
      <c r="C2036" s="69" t="n">
        <v>2025</v>
      </c>
      <c r="D2036" t="inlineStr">
        <is>
          <t>Sep</t>
        </is>
      </c>
      <c r="E2036" t="inlineStr">
        <is>
          <t>Europe</t>
        </is>
      </c>
      <c r="F2036" t="inlineStr">
        <is>
          <t>UK</t>
        </is>
      </c>
      <c r="G2036" t="inlineStr">
        <is>
          <t>Ibrance</t>
        </is>
      </c>
      <c r="H2036" t="inlineStr">
        <is>
          <t>Hospital</t>
        </is>
      </c>
      <c r="I2036" t="inlineStr">
        <is>
          <t>Private insurer</t>
        </is>
      </c>
      <c r="J2036" t="inlineStr">
        <is>
          <t>Sara Rossi</t>
        </is>
      </c>
      <c r="K2036" s="70" t="n">
        <v>2145</v>
      </c>
      <c r="L2036" s="71" t="n">
        <v>2787.06</v>
      </c>
      <c r="M2036" s="71" t="n">
        <v>5978243.7</v>
      </c>
      <c r="N2036" s="71" t="n">
        <v>298912.18</v>
      </c>
      <c r="O2036" s="71" t="n">
        <v>5679331.52</v>
      </c>
      <c r="P2036" s="71" t="n">
        <v>942651.23</v>
      </c>
      <c r="Q2036" s="71" t="n">
        <v>4736680.29</v>
      </c>
      <c r="R2036" t="inlineStr">
        <is>
          <t>Oncology</t>
        </is>
      </c>
      <c r="S2036" s="70" t="n">
        <v>2114</v>
      </c>
      <c r="T2036" s="71" t="n">
        <v>1205092.73</v>
      </c>
      <c r="U2036" t="inlineStr">
        <is>
          <t>High</t>
        </is>
      </c>
      <c r="V2036">
        <f>IF(AND(OR(Dashboard!$C$6="All",E2036=Dashboard!$C$6),OR(Dashboard!$F$6="All",G2036=Dashboard!$F$6),OR(Dashboard!$I$6="All",H2036=Dashboard!$I$6)),1,0)</f>
        <v/>
      </c>
    </row>
    <row r="2037">
      <c r="A2037" t="inlineStr">
        <is>
          <t>PF102028</t>
        </is>
      </c>
      <c r="B2037" s="68" t="n">
        <v>45905</v>
      </c>
      <c r="C2037" s="69" t="n">
        <v>2025</v>
      </c>
      <c r="D2037" t="inlineStr">
        <is>
          <t>Sep</t>
        </is>
      </c>
      <c r="E2037" t="inlineStr">
        <is>
          <t>United States</t>
        </is>
      </c>
      <c r="F2037" t="inlineStr">
        <is>
          <t>USA</t>
        </is>
      </c>
      <c r="G2037" t="inlineStr">
        <is>
          <t>Abrysvo</t>
        </is>
      </c>
      <c r="H2037" t="inlineStr">
        <is>
          <t>Hospital</t>
        </is>
      </c>
      <c r="I2037" t="inlineStr">
        <is>
          <t>Private insurer</t>
        </is>
      </c>
      <c r="J2037" t="inlineStr">
        <is>
          <t>Ana Costa</t>
        </is>
      </c>
      <c r="K2037" s="70" t="n">
        <v>2979</v>
      </c>
      <c r="L2037" s="71" t="n">
        <v>459.62</v>
      </c>
      <c r="M2037" s="71" t="n">
        <v>1369207.98</v>
      </c>
      <c r="N2037" s="71" t="n">
        <v>205381.2</v>
      </c>
      <c r="O2037" s="71" t="n">
        <v>1163826.78</v>
      </c>
      <c r="P2037" s="71" t="n">
        <v>254138.68</v>
      </c>
      <c r="Q2037" s="71" t="n">
        <v>909688.1</v>
      </c>
      <c r="R2037" t="inlineStr">
        <is>
          <t>Vaccines</t>
        </is>
      </c>
      <c r="S2037" s="70" t="n">
        <v>2017</v>
      </c>
      <c r="T2037" s="71" t="n">
        <v>288559.52</v>
      </c>
      <c r="U2037" t="inlineStr">
        <is>
          <t>Low</t>
        </is>
      </c>
      <c r="V2037">
        <f>IF(AND(OR(Dashboard!$C$6="All",E2037=Dashboard!$C$6),OR(Dashboard!$F$6="All",G2037=Dashboard!$F$6),OR(Dashboard!$I$6="All",H2037=Dashboard!$I$6)),1,0)</f>
        <v/>
      </c>
    </row>
    <row r="2038">
      <c r="A2038" t="inlineStr">
        <is>
          <t>PF102029</t>
        </is>
      </c>
      <c r="B2038" s="68" t="n">
        <v>45905</v>
      </c>
      <c r="C2038" s="69" t="n">
        <v>2025</v>
      </c>
      <c r="D2038" t="inlineStr">
        <is>
          <t>Sep</t>
        </is>
      </c>
      <c r="E2038" t="inlineStr">
        <is>
          <t>United States</t>
        </is>
      </c>
      <c r="F2038" t="inlineStr">
        <is>
          <t>USA</t>
        </is>
      </c>
      <c r="G2038" t="inlineStr">
        <is>
          <t>Xeljanz</t>
        </is>
      </c>
      <c r="H2038" t="inlineStr">
        <is>
          <t>Government / tender</t>
        </is>
      </c>
      <c r="I2038" t="inlineStr">
        <is>
          <t>Private insurer</t>
        </is>
      </c>
      <c r="J2038" t="inlineStr">
        <is>
          <t>Zoya Ahmed</t>
        </is>
      </c>
      <c r="K2038" s="70" t="n">
        <v>902</v>
      </c>
      <c r="L2038" s="71" t="n">
        <v>2313.79</v>
      </c>
      <c r="M2038" s="71" t="n">
        <v>2087038.58</v>
      </c>
      <c r="N2038" s="71" t="n">
        <v>313055.79</v>
      </c>
      <c r="O2038" s="71" t="n">
        <v>1773982.79</v>
      </c>
      <c r="P2038" s="71" t="n">
        <v>226730.9</v>
      </c>
      <c r="Q2038" s="71" t="n">
        <v>1547251.89</v>
      </c>
      <c r="R2038" t="inlineStr">
        <is>
          <t>Inflammation</t>
        </is>
      </c>
      <c r="S2038" s="70" t="n">
        <v>816</v>
      </c>
      <c r="T2038" s="71" t="n">
        <v>457241.18</v>
      </c>
      <c r="U2038" t="inlineStr">
        <is>
          <t>High</t>
        </is>
      </c>
      <c r="V2038">
        <f>IF(AND(OR(Dashboard!$C$6="All",E2038=Dashboard!$C$6),OR(Dashboard!$F$6="All",G2038=Dashboard!$F$6),OR(Dashboard!$I$6="All",H2038=Dashboard!$I$6)),1,0)</f>
        <v/>
      </c>
    </row>
    <row r="2039">
      <c r="A2039" t="inlineStr">
        <is>
          <t>PF102030</t>
        </is>
      </c>
      <c r="B2039" s="68" t="n">
        <v>45905</v>
      </c>
      <c r="C2039" s="69" t="n">
        <v>2025</v>
      </c>
      <c r="D2039" t="inlineStr">
        <is>
          <t>Sep</t>
        </is>
      </c>
      <c r="E2039" t="inlineStr">
        <is>
          <t>International developed</t>
        </is>
      </c>
      <c r="F2039" t="inlineStr">
        <is>
          <t>Japan</t>
        </is>
      </c>
      <c r="G2039" t="inlineStr">
        <is>
          <t>Prevnar 20</t>
        </is>
      </c>
      <c r="H2039" t="inlineStr">
        <is>
          <t>Retail pharmacy</t>
        </is>
      </c>
      <c r="I2039" t="inlineStr">
        <is>
          <t>Public payer</t>
        </is>
      </c>
      <c r="J2039" t="inlineStr">
        <is>
          <t>Omar Haddad</t>
        </is>
      </c>
      <c r="K2039" s="70" t="n">
        <v>2709</v>
      </c>
      <c r="L2039" s="71" t="n">
        <v>244.1</v>
      </c>
      <c r="M2039" s="71" t="n">
        <v>661266.9</v>
      </c>
      <c r="N2039" s="71" t="n">
        <v>132253.38</v>
      </c>
      <c r="O2039" s="71" t="n">
        <v>529013.52</v>
      </c>
      <c r="P2039" s="71" t="n">
        <v>190819.68</v>
      </c>
      <c r="Q2039" s="71" t="n">
        <v>338193.84</v>
      </c>
      <c r="R2039" t="inlineStr">
        <is>
          <t>Vaccines</t>
        </is>
      </c>
      <c r="S2039" s="70" t="n">
        <v>2290</v>
      </c>
      <c r="T2039" s="71" t="n">
        <v>118994.67</v>
      </c>
      <c r="U2039" t="inlineStr">
        <is>
          <t>Low</t>
        </is>
      </c>
      <c r="V2039">
        <f>IF(AND(OR(Dashboard!$C$6="All",E2039=Dashboard!$C$6),OR(Dashboard!$F$6="All",G2039=Dashboard!$F$6),OR(Dashboard!$I$6="All",H2039=Dashboard!$I$6)),1,0)</f>
        <v/>
      </c>
    </row>
    <row r="2040">
      <c r="A2040" t="inlineStr">
        <is>
          <t>PF102031</t>
        </is>
      </c>
      <c r="B2040" s="68" t="n">
        <v>45905</v>
      </c>
      <c r="C2040" s="69" t="n">
        <v>2025</v>
      </c>
      <c r="D2040" t="inlineStr">
        <is>
          <t>Sep</t>
        </is>
      </c>
      <c r="E2040" t="inlineStr">
        <is>
          <t>International developed</t>
        </is>
      </c>
      <c r="F2040" t="inlineStr">
        <is>
          <t>Canada</t>
        </is>
      </c>
      <c r="G2040" t="inlineStr">
        <is>
          <t>Eliquis</t>
        </is>
      </c>
      <c r="H2040" t="inlineStr">
        <is>
          <t>Government / tender</t>
        </is>
      </c>
      <c r="I2040" t="inlineStr">
        <is>
          <t>Private insurer</t>
        </is>
      </c>
      <c r="J2040" t="inlineStr">
        <is>
          <t>Emma Clarke</t>
        </is>
      </c>
      <c r="K2040" s="70" t="n">
        <v>941</v>
      </c>
      <c r="L2040" s="71" t="n">
        <v>387.93</v>
      </c>
      <c r="M2040" s="71" t="n">
        <v>365042.13</v>
      </c>
      <c r="N2040" s="71" t="n">
        <v>18252.11</v>
      </c>
      <c r="O2040" s="71" t="n">
        <v>346790.02</v>
      </c>
      <c r="P2040" s="71" t="n">
        <v>71767.36</v>
      </c>
      <c r="Q2040" s="71" t="n">
        <v>275022.66</v>
      </c>
      <c r="R2040" t="inlineStr">
        <is>
          <t>Cardiology</t>
        </is>
      </c>
      <c r="S2040" s="70" t="n">
        <v>784</v>
      </c>
      <c r="T2040" s="71" t="n">
        <v>68771.96000000001</v>
      </c>
      <c r="U2040" t="inlineStr">
        <is>
          <t>High</t>
        </is>
      </c>
      <c r="V2040">
        <f>IF(AND(OR(Dashboard!$C$6="All",E2040=Dashboard!$C$6),OR(Dashboard!$F$6="All",G2040=Dashboard!$F$6),OR(Dashboard!$I$6="All",H2040=Dashboard!$I$6)),1,0)</f>
        <v/>
      </c>
    </row>
    <row r="2041">
      <c r="A2041" t="inlineStr">
        <is>
          <t>PF102032</t>
        </is>
      </c>
      <c r="B2041" s="68" t="n">
        <v>45905</v>
      </c>
      <c r="C2041" s="69" t="n">
        <v>2025</v>
      </c>
      <c r="D2041" t="inlineStr">
        <is>
          <t>Sep</t>
        </is>
      </c>
      <c r="E2041" t="inlineStr">
        <is>
          <t>Emerging markets</t>
        </is>
      </c>
      <c r="F2041" t="inlineStr">
        <is>
          <t>Mexico</t>
        </is>
      </c>
      <c r="G2041" t="inlineStr">
        <is>
          <t>Prevnar 20</t>
        </is>
      </c>
      <c r="H2041" t="inlineStr">
        <is>
          <t>Retail pharmacy</t>
        </is>
      </c>
      <c r="I2041" t="inlineStr">
        <is>
          <t>Public payer</t>
        </is>
      </c>
      <c r="J2041" t="inlineStr">
        <is>
          <t>Sophie Müller</t>
        </is>
      </c>
      <c r="K2041" s="70" t="n">
        <v>831</v>
      </c>
      <c r="L2041" s="71" t="n">
        <v>214.39</v>
      </c>
      <c r="M2041" s="71" t="n">
        <v>178158.09</v>
      </c>
      <c r="N2041" s="71" t="n">
        <v>8907.9</v>
      </c>
      <c r="O2041" s="71" t="n">
        <v>169250.19</v>
      </c>
      <c r="P2041" s="71" t="n">
        <v>57683.13</v>
      </c>
      <c r="Q2041" s="71" t="n">
        <v>111567.06</v>
      </c>
      <c r="R2041" t="inlineStr">
        <is>
          <t>Vaccines</t>
        </is>
      </c>
      <c r="S2041" s="70" t="n">
        <v>629</v>
      </c>
      <c r="T2041" s="71" t="n">
        <v>31854.14</v>
      </c>
      <c r="U2041" t="inlineStr">
        <is>
          <t>Low</t>
        </is>
      </c>
      <c r="V2041">
        <f>IF(AND(OR(Dashboard!$C$6="All",E2041=Dashboard!$C$6),OR(Dashboard!$F$6="All",G2041=Dashboard!$F$6),OR(Dashboard!$I$6="All",H2041=Dashboard!$I$6)),1,0)</f>
        <v/>
      </c>
    </row>
    <row r="2042">
      <c r="A2042" t="inlineStr">
        <is>
          <t>PF102033</t>
        </is>
      </c>
      <c r="B2042" s="68" t="n">
        <v>45906</v>
      </c>
      <c r="C2042" s="69" t="n">
        <v>2025</v>
      </c>
      <c r="D2042" t="inlineStr">
        <is>
          <t>Sep</t>
        </is>
      </c>
      <c r="E2042" t="inlineStr">
        <is>
          <t>Emerging markets</t>
        </is>
      </c>
      <c r="F2042" t="inlineStr">
        <is>
          <t>Brazil</t>
        </is>
      </c>
      <c r="G2042" t="inlineStr">
        <is>
          <t>Paxlovid</t>
        </is>
      </c>
      <c r="H2042" t="inlineStr">
        <is>
          <t>Hospital</t>
        </is>
      </c>
      <c r="I2042" t="inlineStr">
        <is>
          <t>Self-pay</t>
        </is>
      </c>
      <c r="J2042" t="inlineStr">
        <is>
          <t>Emma Clarke</t>
        </is>
      </c>
      <c r="K2042" s="70" t="n">
        <v>2533</v>
      </c>
      <c r="L2042" s="71" t="n">
        <v>1117.66</v>
      </c>
      <c r="M2042" s="71" t="n">
        <v>2831032.78</v>
      </c>
      <c r="N2042" s="71" t="n">
        <v>707758.1899999999</v>
      </c>
      <c r="O2042" s="71" t="n">
        <v>2123274.59</v>
      </c>
      <c r="P2042" s="71" t="n">
        <v>669986.4</v>
      </c>
      <c r="Q2042" s="71" t="n">
        <v>1453288.19</v>
      </c>
      <c r="R2042" t="inlineStr">
        <is>
          <t>Antiviral</t>
        </is>
      </c>
      <c r="S2042" s="70" t="n">
        <v>1934</v>
      </c>
      <c r="T2042" s="71" t="n">
        <v>585008.92</v>
      </c>
      <c r="U2042" t="inlineStr">
        <is>
          <t>Low</t>
        </is>
      </c>
      <c r="V2042">
        <f>IF(AND(OR(Dashboard!$C$6="All",E2042=Dashboard!$C$6),OR(Dashboard!$F$6="All",G2042=Dashboard!$F$6),OR(Dashboard!$I$6="All",H2042=Dashboard!$I$6)),1,0)</f>
        <v/>
      </c>
    </row>
    <row r="2043">
      <c r="A2043" t="inlineStr">
        <is>
          <t>PF102034</t>
        </is>
      </c>
      <c r="B2043" s="68" t="n">
        <v>45906</v>
      </c>
      <c r="C2043" s="69" t="n">
        <v>2025</v>
      </c>
      <c r="D2043" t="inlineStr">
        <is>
          <t>Sep</t>
        </is>
      </c>
      <c r="E2043" t="inlineStr">
        <is>
          <t>United States</t>
        </is>
      </c>
      <c r="F2043" t="inlineStr">
        <is>
          <t>USA</t>
        </is>
      </c>
      <c r="G2043" t="inlineStr">
        <is>
          <t>Abrysvo</t>
        </is>
      </c>
      <c r="H2043" t="inlineStr">
        <is>
          <t>Retail pharmacy</t>
        </is>
      </c>
      <c r="I2043" t="inlineStr">
        <is>
          <t>Private insurer</t>
        </is>
      </c>
      <c r="J2043" t="inlineStr">
        <is>
          <t>Ravindra Patil</t>
        </is>
      </c>
      <c r="K2043" s="70" t="n">
        <v>2064</v>
      </c>
      <c r="L2043" s="71" t="n">
        <v>434.4</v>
      </c>
      <c r="M2043" s="71" t="n">
        <v>896601.6</v>
      </c>
      <c r="N2043" s="71" t="n">
        <v>224150.4</v>
      </c>
      <c r="O2043" s="71" t="n">
        <v>672451.2</v>
      </c>
      <c r="P2043" s="71" t="n">
        <v>171666.41</v>
      </c>
      <c r="Q2043" s="71" t="n">
        <v>500784.79</v>
      </c>
      <c r="R2043" t="inlineStr">
        <is>
          <t>Vaccines</t>
        </is>
      </c>
      <c r="S2043" s="70" t="n">
        <v>1315</v>
      </c>
      <c r="T2043" s="71" t="n">
        <v>121337.9</v>
      </c>
      <c r="U2043" t="inlineStr">
        <is>
          <t>Low</t>
        </is>
      </c>
      <c r="V2043">
        <f>IF(AND(OR(Dashboard!$C$6="All",E2043=Dashboard!$C$6),OR(Dashboard!$F$6="All",G2043=Dashboard!$F$6),OR(Dashboard!$I$6="All",H2043=Dashboard!$I$6)),1,0)</f>
        <v/>
      </c>
    </row>
    <row r="2044">
      <c r="A2044" t="inlineStr">
        <is>
          <t>PF102035</t>
        </is>
      </c>
      <c r="B2044" s="68" t="n">
        <v>45906</v>
      </c>
      <c r="C2044" s="69" t="n">
        <v>2025</v>
      </c>
      <c r="D2044" t="inlineStr">
        <is>
          <t>Sep</t>
        </is>
      </c>
      <c r="E2044" t="inlineStr">
        <is>
          <t>United States</t>
        </is>
      </c>
      <c r="F2044" t="inlineStr">
        <is>
          <t>USA</t>
        </is>
      </c>
      <c r="G2044" t="inlineStr">
        <is>
          <t>Eliquis</t>
        </is>
      </c>
      <c r="H2044" t="inlineStr">
        <is>
          <t>Retail pharmacy</t>
        </is>
      </c>
      <c r="I2044" t="inlineStr">
        <is>
          <t>Self-pay</t>
        </is>
      </c>
      <c r="J2044" t="inlineStr">
        <is>
          <t>Ana Costa</t>
        </is>
      </c>
      <c r="K2044" s="70" t="n">
        <v>1165</v>
      </c>
      <c r="L2044" s="71" t="n">
        <v>632.51</v>
      </c>
      <c r="M2044" s="71" t="n">
        <v>736874.15</v>
      </c>
      <c r="N2044" s="71" t="n">
        <v>147374.83</v>
      </c>
      <c r="O2044" s="71" t="n">
        <v>589499.3199999999</v>
      </c>
      <c r="P2044" s="71" t="n">
        <v>91445.98</v>
      </c>
      <c r="Q2044" s="71" t="n">
        <v>498053.34</v>
      </c>
      <c r="R2044" t="inlineStr">
        <is>
          <t>Cardiology</t>
        </is>
      </c>
      <c r="S2044" s="70" t="n">
        <v>821</v>
      </c>
      <c r="T2044" s="71" t="n">
        <v>131894.6</v>
      </c>
      <c r="U2044" t="inlineStr">
        <is>
          <t>High</t>
        </is>
      </c>
      <c r="V2044">
        <f>IF(AND(OR(Dashboard!$C$6="All",E2044=Dashboard!$C$6),OR(Dashboard!$F$6="All",G2044=Dashboard!$F$6),OR(Dashboard!$I$6="All",H2044=Dashboard!$I$6)),1,0)</f>
        <v/>
      </c>
    </row>
    <row r="2045">
      <c r="A2045" t="inlineStr">
        <is>
          <t>PF102036</t>
        </is>
      </c>
      <c r="B2045" s="68" t="n">
        <v>45906</v>
      </c>
      <c r="C2045" s="69" t="n">
        <v>2025</v>
      </c>
      <c r="D2045" t="inlineStr">
        <is>
          <t>Sep</t>
        </is>
      </c>
      <c r="E2045" t="inlineStr">
        <is>
          <t>Europe</t>
        </is>
      </c>
      <c r="F2045" t="inlineStr">
        <is>
          <t>UK</t>
        </is>
      </c>
      <c r="G2045" t="inlineStr">
        <is>
          <t>Vyndaqel</t>
        </is>
      </c>
      <c r="H2045" t="inlineStr">
        <is>
          <t>Hospital</t>
        </is>
      </c>
      <c r="I2045" t="inlineStr">
        <is>
          <t>Private insurer</t>
        </is>
      </c>
      <c r="J2045" t="inlineStr">
        <is>
          <t>Wei Chen</t>
        </is>
      </c>
      <c r="K2045" s="70" t="n">
        <v>966</v>
      </c>
      <c r="L2045" s="71" t="n">
        <v>5017.92</v>
      </c>
      <c r="M2045" s="71" t="n">
        <v>4847310.72</v>
      </c>
      <c r="N2045" s="71" t="n">
        <v>727096.61</v>
      </c>
      <c r="O2045" s="71" t="n">
        <v>4120214.11</v>
      </c>
      <c r="P2045" s="71" t="n">
        <v>600927.0699999999</v>
      </c>
      <c r="Q2045" s="71" t="n">
        <v>3519287.04</v>
      </c>
      <c r="R2045" t="inlineStr">
        <is>
          <t>Rare disease</t>
        </is>
      </c>
      <c r="S2045" s="70" t="n">
        <v>878</v>
      </c>
      <c r="T2045" s="71" t="n">
        <v>1020283.35</v>
      </c>
      <c r="U2045" t="inlineStr">
        <is>
          <t>Medium</t>
        </is>
      </c>
      <c r="V2045">
        <f>IF(AND(OR(Dashboard!$C$6="All",E2045=Dashboard!$C$6),OR(Dashboard!$F$6="All",G2045=Dashboard!$F$6),OR(Dashboard!$I$6="All",H2045=Dashboard!$I$6)),1,0)</f>
        <v/>
      </c>
    </row>
    <row r="2046">
      <c r="A2046" t="inlineStr">
        <is>
          <t>PF102037</t>
        </is>
      </c>
      <c r="B2046" s="68" t="n">
        <v>45906</v>
      </c>
      <c r="C2046" s="69" t="n">
        <v>2025</v>
      </c>
      <c r="D2046" t="inlineStr">
        <is>
          <t>Sep</t>
        </is>
      </c>
      <c r="E2046" t="inlineStr">
        <is>
          <t>Emerging markets</t>
        </is>
      </c>
      <c r="F2046" t="inlineStr">
        <is>
          <t>Mexico</t>
        </is>
      </c>
      <c r="G2046" t="inlineStr">
        <is>
          <t>Xeljanz</t>
        </is>
      </c>
      <c r="H2046" t="inlineStr">
        <is>
          <t>Retail pharmacy</t>
        </is>
      </c>
      <c r="I2046" t="inlineStr">
        <is>
          <t>Private insurer</t>
        </is>
      </c>
      <c r="J2046" t="inlineStr">
        <is>
          <t>Zoya Ahmed</t>
        </is>
      </c>
      <c r="K2046" s="70" t="n">
        <v>429</v>
      </c>
      <c r="L2046" s="71" t="n">
        <v>1338.55</v>
      </c>
      <c r="M2046" s="71" t="n">
        <v>574237.95</v>
      </c>
      <c r="N2046" s="71" t="n">
        <v>114847.59</v>
      </c>
      <c r="O2046" s="71" t="n">
        <v>459390.36</v>
      </c>
      <c r="P2046" s="71" t="n">
        <v>105739.67</v>
      </c>
      <c r="Q2046" s="71" t="n">
        <v>353650.69</v>
      </c>
      <c r="R2046" t="inlineStr">
        <is>
          <t>Inflammation</t>
        </is>
      </c>
      <c r="S2046" s="70" t="n">
        <v>270</v>
      </c>
      <c r="T2046" s="71" t="n">
        <v>92622.69</v>
      </c>
      <c r="U2046" t="inlineStr">
        <is>
          <t>High</t>
        </is>
      </c>
      <c r="V2046">
        <f>IF(AND(OR(Dashboard!$C$6="All",E2046=Dashboard!$C$6),OR(Dashboard!$F$6="All",G2046=Dashboard!$F$6),OR(Dashboard!$I$6="All",H2046=Dashboard!$I$6)),1,0)</f>
        <v/>
      </c>
    </row>
    <row r="2047">
      <c r="A2047" t="inlineStr">
        <is>
          <t>PF102038</t>
        </is>
      </c>
      <c r="B2047" s="68" t="n">
        <v>45906</v>
      </c>
      <c r="C2047" s="69" t="n">
        <v>2025</v>
      </c>
      <c r="D2047" t="inlineStr">
        <is>
          <t>Sep</t>
        </is>
      </c>
      <c r="E2047" t="inlineStr">
        <is>
          <t>United States</t>
        </is>
      </c>
      <c r="F2047" t="inlineStr">
        <is>
          <t>USA</t>
        </is>
      </c>
      <c r="G2047" t="inlineStr">
        <is>
          <t>Comirnaty</t>
        </is>
      </c>
      <c r="H2047" t="inlineStr">
        <is>
          <t>Retail pharmacy</t>
        </is>
      </c>
      <c r="I2047" t="inlineStr">
        <is>
          <t>Private insurer</t>
        </is>
      </c>
      <c r="J2047" t="inlineStr">
        <is>
          <t>Noah Smith</t>
        </is>
      </c>
      <c r="K2047" s="70" t="n">
        <v>1323</v>
      </c>
      <c r="L2047" s="71" t="n">
        <v>181.79</v>
      </c>
      <c r="M2047" s="71" t="n">
        <v>240508.17</v>
      </c>
      <c r="N2047" s="71" t="n">
        <v>72152.45</v>
      </c>
      <c r="O2047" s="71" t="n">
        <v>168355.72</v>
      </c>
      <c r="P2047" s="71" t="n">
        <v>51708.21</v>
      </c>
      <c r="Q2047" s="71" t="n">
        <v>116647.51</v>
      </c>
      <c r="R2047" t="inlineStr">
        <is>
          <t>Vaccines</t>
        </is>
      </c>
      <c r="S2047" s="70" t="n">
        <v>908</v>
      </c>
      <c r="T2047" s="71" t="n">
        <v>40251.49</v>
      </c>
      <c r="U2047" t="inlineStr">
        <is>
          <t>Low</t>
        </is>
      </c>
      <c r="V2047">
        <f>IF(AND(OR(Dashboard!$C$6="All",E2047=Dashboard!$C$6),OR(Dashboard!$F$6="All",G2047=Dashboard!$F$6),OR(Dashboard!$I$6="All",H2047=Dashboard!$I$6)),1,0)</f>
        <v/>
      </c>
    </row>
    <row r="2048">
      <c r="A2048" t="inlineStr">
        <is>
          <t>PF102039</t>
        </is>
      </c>
      <c r="B2048" s="68" t="n">
        <v>45906</v>
      </c>
      <c r="C2048" s="69" t="n">
        <v>2025</v>
      </c>
      <c r="D2048" t="inlineStr">
        <is>
          <t>Sep</t>
        </is>
      </c>
      <c r="E2048" t="inlineStr">
        <is>
          <t>Emerging markets</t>
        </is>
      </c>
      <c r="F2048" t="inlineStr">
        <is>
          <t>China</t>
        </is>
      </c>
      <c r="G2048" t="inlineStr">
        <is>
          <t>Prevnar 20</t>
        </is>
      </c>
      <c r="H2048" t="inlineStr">
        <is>
          <t>Retail pharmacy</t>
        </is>
      </c>
      <c r="I2048" t="inlineStr">
        <is>
          <t>Public payer</t>
        </is>
      </c>
      <c r="J2048" t="inlineStr">
        <is>
          <t>Mei Lin</t>
        </is>
      </c>
      <c r="K2048" s="70" t="n">
        <v>2806</v>
      </c>
      <c r="L2048" s="71" t="n">
        <v>226.23</v>
      </c>
      <c r="M2048" s="71" t="n">
        <v>634801.38</v>
      </c>
      <c r="N2048" s="71" t="n">
        <v>31740.07</v>
      </c>
      <c r="O2048" s="71" t="n">
        <v>603061.3100000001</v>
      </c>
      <c r="P2048" s="71" t="n">
        <v>187866.65</v>
      </c>
      <c r="Q2048" s="71" t="n">
        <v>415194.66</v>
      </c>
      <c r="R2048" t="inlineStr">
        <is>
          <t>Vaccines</t>
        </is>
      </c>
      <c r="S2048" s="70" t="n">
        <v>1989</v>
      </c>
      <c r="T2048" s="71" t="n">
        <v>121638.43</v>
      </c>
      <c r="U2048" t="inlineStr">
        <is>
          <t>Low</t>
        </is>
      </c>
      <c r="V2048">
        <f>IF(AND(OR(Dashboard!$C$6="All",E2048=Dashboard!$C$6),OR(Dashboard!$F$6="All",G2048=Dashboard!$F$6),OR(Dashboard!$I$6="All",H2048=Dashboard!$I$6)),1,0)</f>
        <v/>
      </c>
    </row>
    <row r="2049">
      <c r="A2049" t="inlineStr">
        <is>
          <t>PF102040</t>
        </is>
      </c>
      <c r="B2049" s="68" t="n">
        <v>45906</v>
      </c>
      <c r="C2049" s="69" t="n">
        <v>2025</v>
      </c>
      <c r="D2049" t="inlineStr">
        <is>
          <t>Sep</t>
        </is>
      </c>
      <c r="E2049" t="inlineStr">
        <is>
          <t>International developed</t>
        </is>
      </c>
      <c r="F2049" t="inlineStr">
        <is>
          <t>Canada</t>
        </is>
      </c>
      <c r="G2049" t="inlineStr">
        <is>
          <t>Vyndaqel</t>
        </is>
      </c>
      <c r="H2049" t="inlineStr">
        <is>
          <t>Retail pharmacy</t>
        </is>
      </c>
      <c r="I2049" t="inlineStr">
        <is>
          <t>Private insurer</t>
        </is>
      </c>
      <c r="J2049" t="inlineStr">
        <is>
          <t>Lucas Martin</t>
        </is>
      </c>
      <c r="K2049" s="70" t="n">
        <v>2097</v>
      </c>
      <c r="L2049" s="71" t="n">
        <v>4819.72</v>
      </c>
      <c r="M2049" s="71" t="n">
        <v>10106952.84</v>
      </c>
      <c r="N2049" s="71" t="n">
        <v>1516042.93</v>
      </c>
      <c r="O2049" s="71" t="n">
        <v>8590909.91</v>
      </c>
      <c r="P2049" s="71" t="n">
        <v>1342518.53</v>
      </c>
      <c r="Q2049" s="71" t="n">
        <v>7248391.38</v>
      </c>
      <c r="R2049" t="inlineStr">
        <is>
          <t>Rare disease</t>
        </is>
      </c>
      <c r="S2049" s="70" t="n">
        <v>1972</v>
      </c>
      <c r="T2049" s="71" t="n">
        <v>2039663.67</v>
      </c>
      <c r="U2049" t="inlineStr">
        <is>
          <t>Medium</t>
        </is>
      </c>
      <c r="V2049">
        <f>IF(AND(OR(Dashboard!$C$6="All",E2049=Dashboard!$C$6),OR(Dashboard!$F$6="All",G2049=Dashboard!$F$6),OR(Dashboard!$I$6="All",H2049=Dashboard!$I$6)),1,0)</f>
        <v/>
      </c>
    </row>
    <row r="2050">
      <c r="A2050" t="inlineStr">
        <is>
          <t>PF102041</t>
        </is>
      </c>
      <c r="B2050" s="68" t="n">
        <v>45906</v>
      </c>
      <c r="C2050" s="69" t="n">
        <v>2025</v>
      </c>
      <c r="D2050" t="inlineStr">
        <is>
          <t>Sep</t>
        </is>
      </c>
      <c r="E2050" t="inlineStr">
        <is>
          <t>Europe</t>
        </is>
      </c>
      <c r="F2050" t="inlineStr">
        <is>
          <t>France</t>
        </is>
      </c>
      <c r="G2050" t="inlineStr">
        <is>
          <t>Eliquis</t>
        </is>
      </c>
      <c r="H2050" t="inlineStr">
        <is>
          <t>Hospital</t>
        </is>
      </c>
      <c r="I2050" t="inlineStr">
        <is>
          <t>Public payer</t>
        </is>
      </c>
      <c r="J2050" t="inlineStr">
        <is>
          <t>Ruhi Shaikh</t>
        </is>
      </c>
      <c r="K2050" s="70" t="n">
        <v>2398</v>
      </c>
      <c r="L2050" s="71" t="n">
        <v>426.46</v>
      </c>
      <c r="M2050" s="71" t="n">
        <v>1022651.08</v>
      </c>
      <c r="N2050" s="71" t="n">
        <v>255662.77</v>
      </c>
      <c r="O2050" s="71" t="n">
        <v>766988.3100000001</v>
      </c>
      <c r="P2050" s="71" t="n">
        <v>177585.35</v>
      </c>
      <c r="Q2050" s="71" t="n">
        <v>589402.96</v>
      </c>
      <c r="R2050" t="inlineStr">
        <is>
          <t>Cardiology</t>
        </is>
      </c>
      <c r="S2050" s="70" t="n">
        <v>2306</v>
      </c>
      <c r="T2050" s="71" t="n">
        <v>172246.21</v>
      </c>
      <c r="U2050" t="inlineStr">
        <is>
          <t>High</t>
        </is>
      </c>
      <c r="V2050">
        <f>IF(AND(OR(Dashboard!$C$6="All",E2050=Dashboard!$C$6),OR(Dashboard!$F$6="All",G2050=Dashboard!$F$6),OR(Dashboard!$I$6="All",H2050=Dashboard!$I$6)),1,0)</f>
        <v/>
      </c>
    </row>
    <row r="2051">
      <c r="A2051" t="inlineStr">
        <is>
          <t>PF102042</t>
        </is>
      </c>
      <c r="B2051" s="68" t="n">
        <v>45906</v>
      </c>
      <c r="C2051" s="69" t="n">
        <v>2025</v>
      </c>
      <c r="D2051" t="inlineStr">
        <is>
          <t>Sep</t>
        </is>
      </c>
      <c r="E2051" t="inlineStr">
        <is>
          <t>Europe</t>
        </is>
      </c>
      <c r="F2051" t="inlineStr">
        <is>
          <t>Italy</t>
        </is>
      </c>
      <c r="G2051" t="inlineStr">
        <is>
          <t>Abrysvo</t>
        </is>
      </c>
      <c r="H2051" t="inlineStr">
        <is>
          <t>Hospital</t>
        </is>
      </c>
      <c r="I2051" t="inlineStr">
        <is>
          <t>Self-pay</t>
        </is>
      </c>
      <c r="J2051" t="inlineStr">
        <is>
          <t>Zoya Ahmed</t>
        </is>
      </c>
      <c r="K2051" s="70" t="n">
        <v>798</v>
      </c>
      <c r="L2051" s="71" t="n">
        <v>304.78</v>
      </c>
      <c r="M2051" s="71" t="n">
        <v>243214.44</v>
      </c>
      <c r="N2051" s="71" t="n">
        <v>36482.17</v>
      </c>
      <c r="O2051" s="71" t="n">
        <v>206732.27</v>
      </c>
      <c r="P2051" s="71" t="n">
        <v>68136.41</v>
      </c>
      <c r="Q2051" s="71" t="n">
        <v>138595.86</v>
      </c>
      <c r="R2051" t="inlineStr">
        <is>
          <t>Vaccines</t>
        </is>
      </c>
      <c r="S2051" s="70" t="n">
        <v>538</v>
      </c>
      <c r="T2051" s="71" t="n">
        <v>37385.82</v>
      </c>
      <c r="U2051" t="inlineStr">
        <is>
          <t>Low</t>
        </is>
      </c>
      <c r="V2051">
        <f>IF(AND(OR(Dashboard!$C$6="All",E2051=Dashboard!$C$6),OR(Dashboard!$F$6="All",G2051=Dashboard!$F$6),OR(Dashboard!$I$6="All",H2051=Dashboard!$I$6)),1,0)</f>
        <v/>
      </c>
    </row>
    <row r="2052">
      <c r="A2052" t="inlineStr">
        <is>
          <t>PF102043</t>
        </is>
      </c>
      <c r="B2052" s="68" t="n">
        <v>45906</v>
      </c>
      <c r="C2052" s="69" t="n">
        <v>2025</v>
      </c>
      <c r="D2052" t="inlineStr">
        <is>
          <t>Sep</t>
        </is>
      </c>
      <c r="E2052" t="inlineStr">
        <is>
          <t>Europe</t>
        </is>
      </c>
      <c r="F2052" t="inlineStr">
        <is>
          <t>UK</t>
        </is>
      </c>
      <c r="G2052" t="inlineStr">
        <is>
          <t>Prevnar 20</t>
        </is>
      </c>
      <c r="H2052" t="inlineStr">
        <is>
          <t>Hospital</t>
        </is>
      </c>
      <c r="I2052" t="inlineStr">
        <is>
          <t>Private insurer</t>
        </is>
      </c>
      <c r="J2052" t="inlineStr">
        <is>
          <t>Arjun Mehta</t>
        </is>
      </c>
      <c r="K2052" s="70" t="n">
        <v>760</v>
      </c>
      <c r="L2052" s="71" t="n">
        <v>248.95</v>
      </c>
      <c r="M2052" s="71" t="n">
        <v>189202</v>
      </c>
      <c r="N2052" s="71" t="n">
        <v>18920.2</v>
      </c>
      <c r="O2052" s="71" t="n">
        <v>170281.8</v>
      </c>
      <c r="P2052" s="71" t="n">
        <v>53017.63</v>
      </c>
      <c r="Q2052" s="71" t="n">
        <v>117264.17</v>
      </c>
      <c r="R2052" t="inlineStr">
        <is>
          <t>Vaccines</t>
        </is>
      </c>
      <c r="S2052" s="70" t="n">
        <v>505</v>
      </c>
      <c r="T2052" s="71" t="n">
        <v>38533.53</v>
      </c>
      <c r="U2052" t="inlineStr">
        <is>
          <t>Low</t>
        </is>
      </c>
      <c r="V2052">
        <f>IF(AND(OR(Dashboard!$C$6="All",E2052=Dashboard!$C$6),OR(Dashboard!$F$6="All",G2052=Dashboard!$F$6),OR(Dashboard!$I$6="All",H2052=Dashboard!$I$6)),1,0)</f>
        <v/>
      </c>
    </row>
    <row r="2053">
      <c r="A2053" t="inlineStr">
        <is>
          <t>PF102044</t>
        </is>
      </c>
      <c r="B2053" s="68" t="n">
        <v>45907</v>
      </c>
      <c r="C2053" s="69" t="n">
        <v>2025</v>
      </c>
      <c r="D2053" t="inlineStr">
        <is>
          <t>Sep</t>
        </is>
      </c>
      <c r="E2053" t="inlineStr">
        <is>
          <t>Europe</t>
        </is>
      </c>
      <c r="F2053" t="inlineStr">
        <is>
          <t>Germany</t>
        </is>
      </c>
      <c r="G2053" t="inlineStr">
        <is>
          <t>Xeljanz</t>
        </is>
      </c>
      <c r="H2053" t="inlineStr">
        <is>
          <t>Retail pharmacy</t>
        </is>
      </c>
      <c r="I2053" t="inlineStr">
        <is>
          <t>Public payer</t>
        </is>
      </c>
      <c r="J2053" t="inlineStr">
        <is>
          <t>Priya Nair</t>
        </is>
      </c>
      <c r="K2053" s="70" t="n">
        <v>2789</v>
      </c>
      <c r="L2053" s="71" t="n">
        <v>1463.96</v>
      </c>
      <c r="M2053" s="71" t="n">
        <v>4082984.44</v>
      </c>
      <c r="N2053" s="71" t="n">
        <v>408298.44</v>
      </c>
      <c r="O2053" s="71" t="n">
        <v>3674686</v>
      </c>
      <c r="P2053" s="71" t="n">
        <v>725949.11</v>
      </c>
      <c r="Q2053" s="71" t="n">
        <v>2948736.89</v>
      </c>
      <c r="R2053" t="inlineStr">
        <is>
          <t>Inflammation</t>
        </is>
      </c>
      <c r="S2053" s="70" t="n">
        <v>1908</v>
      </c>
      <c r="T2053" s="71" t="n">
        <v>587997.79</v>
      </c>
      <c r="U2053" t="inlineStr">
        <is>
          <t>High</t>
        </is>
      </c>
      <c r="V2053">
        <f>IF(AND(OR(Dashboard!$C$6="All",E2053=Dashboard!$C$6),OR(Dashboard!$F$6="All",G2053=Dashboard!$F$6),OR(Dashboard!$I$6="All",H2053=Dashboard!$I$6)),1,0)</f>
        <v/>
      </c>
    </row>
    <row r="2054">
      <c r="A2054" t="inlineStr">
        <is>
          <t>PF102045</t>
        </is>
      </c>
      <c r="B2054" s="68" t="n">
        <v>45907</v>
      </c>
      <c r="C2054" s="69" t="n">
        <v>2025</v>
      </c>
      <c r="D2054" t="inlineStr">
        <is>
          <t>Sep</t>
        </is>
      </c>
      <c r="E2054" t="inlineStr">
        <is>
          <t>United States</t>
        </is>
      </c>
      <c r="F2054" t="inlineStr">
        <is>
          <t>USA</t>
        </is>
      </c>
      <c r="G2054" t="inlineStr">
        <is>
          <t>Prevnar 20</t>
        </is>
      </c>
      <c r="H2054" t="inlineStr">
        <is>
          <t>Government / tender</t>
        </is>
      </c>
      <c r="I2054" t="inlineStr">
        <is>
          <t>Private insurer</t>
        </is>
      </c>
      <c r="J2054" t="inlineStr">
        <is>
          <t>Sara Rossi</t>
        </is>
      </c>
      <c r="K2054" s="70" t="n">
        <v>2669</v>
      </c>
      <c r="L2054" s="71" t="n">
        <v>391.92</v>
      </c>
      <c r="M2054" s="71" t="n">
        <v>1046034.48</v>
      </c>
      <c r="N2054" s="71" t="n">
        <v>261508.62</v>
      </c>
      <c r="O2054" s="71" t="n">
        <v>784525.86</v>
      </c>
      <c r="P2054" s="71" t="n">
        <v>179017.14</v>
      </c>
      <c r="Q2054" s="71" t="n">
        <v>605508.72</v>
      </c>
      <c r="R2054" t="inlineStr">
        <is>
          <t>Vaccines</t>
        </is>
      </c>
      <c r="S2054" s="70" t="n">
        <v>2078</v>
      </c>
      <c r="T2054" s="71" t="n">
        <v>169988.18</v>
      </c>
      <c r="U2054" t="inlineStr">
        <is>
          <t>Low</t>
        </is>
      </c>
      <c r="V2054">
        <f>IF(AND(OR(Dashboard!$C$6="All",E2054=Dashboard!$C$6),OR(Dashboard!$F$6="All",G2054=Dashboard!$F$6),OR(Dashboard!$I$6="All",H2054=Dashboard!$I$6)),1,0)</f>
        <v/>
      </c>
    </row>
    <row r="2055">
      <c r="A2055" t="inlineStr">
        <is>
          <t>PF102046</t>
        </is>
      </c>
      <c r="B2055" s="68" t="n">
        <v>45907</v>
      </c>
      <c r="C2055" s="69" t="n">
        <v>2025</v>
      </c>
      <c r="D2055" t="inlineStr">
        <is>
          <t>Sep</t>
        </is>
      </c>
      <c r="E2055" t="inlineStr">
        <is>
          <t>Europe</t>
        </is>
      </c>
      <c r="F2055" t="inlineStr">
        <is>
          <t>Italy</t>
        </is>
      </c>
      <c r="G2055" t="inlineStr">
        <is>
          <t>Comirnaty</t>
        </is>
      </c>
      <c r="H2055" t="inlineStr">
        <is>
          <t>Hospital</t>
        </is>
      </c>
      <c r="I2055" t="inlineStr">
        <is>
          <t>Self-pay</t>
        </is>
      </c>
      <c r="J2055" t="inlineStr">
        <is>
          <t>Zoya Ahmed</t>
        </is>
      </c>
      <c r="K2055" s="70" t="n">
        <v>1311</v>
      </c>
      <c r="L2055" s="71" t="n">
        <v>104.43</v>
      </c>
      <c r="M2055" s="71" t="n">
        <v>136907.73</v>
      </c>
      <c r="N2055" s="71" t="n">
        <v>20536.16</v>
      </c>
      <c r="O2055" s="71" t="n">
        <v>116371.57</v>
      </c>
      <c r="P2055" s="71" t="n">
        <v>49762.05</v>
      </c>
      <c r="Q2055" s="71" t="n">
        <v>66609.52</v>
      </c>
      <c r="R2055" t="inlineStr">
        <is>
          <t>Vaccines</t>
        </is>
      </c>
      <c r="S2055" s="70" t="n">
        <v>897</v>
      </c>
      <c r="T2055" s="71" t="n">
        <v>24266.14</v>
      </c>
      <c r="U2055" t="inlineStr">
        <is>
          <t>Low</t>
        </is>
      </c>
      <c r="V2055">
        <f>IF(AND(OR(Dashboard!$C$6="All",E2055=Dashboard!$C$6),OR(Dashboard!$F$6="All",G2055=Dashboard!$F$6),OR(Dashboard!$I$6="All",H2055=Dashboard!$I$6)),1,0)</f>
        <v/>
      </c>
    </row>
    <row r="2056">
      <c r="A2056" t="inlineStr">
        <is>
          <t>PF102047</t>
        </is>
      </c>
      <c r="B2056" s="68" t="n">
        <v>45907</v>
      </c>
      <c r="C2056" s="69" t="n">
        <v>2025</v>
      </c>
      <c r="D2056" t="inlineStr">
        <is>
          <t>Sep</t>
        </is>
      </c>
      <c r="E2056" t="inlineStr">
        <is>
          <t>International developed</t>
        </is>
      </c>
      <c r="F2056" t="inlineStr">
        <is>
          <t>Japan</t>
        </is>
      </c>
      <c r="G2056" t="inlineStr">
        <is>
          <t>Eliquis</t>
        </is>
      </c>
      <c r="H2056" t="inlineStr">
        <is>
          <t>Hospital</t>
        </is>
      </c>
      <c r="I2056" t="inlineStr">
        <is>
          <t>Private insurer</t>
        </is>
      </c>
      <c r="J2056" t="inlineStr">
        <is>
          <t>Amir Khan</t>
        </is>
      </c>
      <c r="K2056" s="70" t="n">
        <v>2646</v>
      </c>
      <c r="L2056" s="71" t="n">
        <v>427.18</v>
      </c>
      <c r="M2056" s="71" t="n">
        <v>1130318.28</v>
      </c>
      <c r="N2056" s="71" t="n">
        <v>226063.66</v>
      </c>
      <c r="O2056" s="71" t="n">
        <v>904254.62</v>
      </c>
      <c r="P2056" s="71" t="n">
        <v>204428.43</v>
      </c>
      <c r="Q2056" s="71" t="n">
        <v>699826.1899999999</v>
      </c>
      <c r="R2056" t="inlineStr">
        <is>
          <t>Cardiology</t>
        </is>
      </c>
      <c r="S2056" s="70" t="n">
        <v>2253</v>
      </c>
      <c r="T2056" s="71" t="n">
        <v>185054.41</v>
      </c>
      <c r="U2056" t="inlineStr">
        <is>
          <t>High</t>
        </is>
      </c>
      <c r="V2056">
        <f>IF(AND(OR(Dashboard!$C$6="All",E2056=Dashboard!$C$6),OR(Dashboard!$F$6="All",G2056=Dashboard!$F$6),OR(Dashboard!$I$6="All",H2056=Dashboard!$I$6)),1,0)</f>
        <v/>
      </c>
    </row>
    <row r="2057">
      <c r="A2057" t="inlineStr">
        <is>
          <t>PF102048</t>
        </is>
      </c>
      <c r="B2057" s="68" t="n">
        <v>45907</v>
      </c>
      <c r="C2057" s="69" t="n">
        <v>2025</v>
      </c>
      <c r="D2057" t="inlineStr">
        <is>
          <t>Sep</t>
        </is>
      </c>
      <c r="E2057" t="inlineStr">
        <is>
          <t>United States</t>
        </is>
      </c>
      <c r="F2057" t="inlineStr">
        <is>
          <t>USA</t>
        </is>
      </c>
      <c r="G2057" t="inlineStr">
        <is>
          <t>Ibrance</t>
        </is>
      </c>
      <c r="H2057" t="inlineStr">
        <is>
          <t>Hospital</t>
        </is>
      </c>
      <c r="I2057" t="inlineStr">
        <is>
          <t>Private insurer</t>
        </is>
      </c>
      <c r="J2057" t="inlineStr">
        <is>
          <t>Hiroshi Tanaka</t>
        </is>
      </c>
      <c r="K2057" s="70" t="n">
        <v>1337</v>
      </c>
      <c r="L2057" s="71" t="n">
        <v>4227.81</v>
      </c>
      <c r="M2057" s="71" t="n">
        <v>5652581.97</v>
      </c>
      <c r="N2057" s="71" t="n">
        <v>1695774.59</v>
      </c>
      <c r="O2057" s="71" t="n">
        <v>3956807.38</v>
      </c>
      <c r="P2057" s="71" t="n">
        <v>560347.8</v>
      </c>
      <c r="Q2057" s="71" t="n">
        <v>3396459.58</v>
      </c>
      <c r="R2057" t="inlineStr">
        <is>
          <t>Oncology</t>
        </is>
      </c>
      <c r="S2057" s="70" t="n">
        <v>1184</v>
      </c>
      <c r="T2057" s="71" t="n">
        <v>955596.42</v>
      </c>
      <c r="U2057" t="inlineStr">
        <is>
          <t>High</t>
        </is>
      </c>
      <c r="V2057">
        <f>IF(AND(OR(Dashboard!$C$6="All",E2057=Dashboard!$C$6),OR(Dashboard!$F$6="All",G2057=Dashboard!$F$6),OR(Dashboard!$I$6="All",H2057=Dashboard!$I$6)),1,0)</f>
        <v/>
      </c>
    </row>
    <row r="2058">
      <c r="A2058" t="inlineStr">
        <is>
          <t>PF102049</t>
        </is>
      </c>
      <c r="B2058" s="68" t="n">
        <v>45907</v>
      </c>
      <c r="C2058" s="69" t="n">
        <v>2025</v>
      </c>
      <c r="D2058" t="inlineStr">
        <is>
          <t>Sep</t>
        </is>
      </c>
      <c r="E2058" t="inlineStr">
        <is>
          <t>International developed</t>
        </is>
      </c>
      <c r="F2058" t="inlineStr">
        <is>
          <t>Japan</t>
        </is>
      </c>
      <c r="G2058" t="inlineStr">
        <is>
          <t>Prevnar 20</t>
        </is>
      </c>
      <c r="H2058" t="inlineStr">
        <is>
          <t>Hospital</t>
        </is>
      </c>
      <c r="I2058" t="inlineStr">
        <is>
          <t>Private insurer</t>
        </is>
      </c>
      <c r="J2058" t="inlineStr">
        <is>
          <t>Hiroshi Tanaka</t>
        </is>
      </c>
      <c r="K2058" s="70" t="n">
        <v>2810</v>
      </c>
      <c r="L2058" s="71" t="n">
        <v>225.17</v>
      </c>
      <c r="M2058" s="71" t="n">
        <v>632727.7</v>
      </c>
      <c r="N2058" s="71" t="n">
        <v>94909.14999999999</v>
      </c>
      <c r="O2058" s="71" t="n">
        <v>537818.55</v>
      </c>
      <c r="P2058" s="71" t="n">
        <v>195581.15</v>
      </c>
      <c r="Q2058" s="71" t="n">
        <v>342237.4</v>
      </c>
      <c r="R2058" t="inlineStr">
        <is>
          <t>Vaccines</t>
        </is>
      </c>
      <c r="S2058" s="70" t="n">
        <v>2806</v>
      </c>
      <c r="T2058" s="71" t="n">
        <v>114493.55</v>
      </c>
      <c r="U2058" t="inlineStr">
        <is>
          <t>Low</t>
        </is>
      </c>
      <c r="V2058">
        <f>IF(AND(OR(Dashboard!$C$6="All",E2058=Dashboard!$C$6),OR(Dashboard!$F$6="All",G2058=Dashboard!$F$6),OR(Dashboard!$I$6="All",H2058=Dashboard!$I$6)),1,0)</f>
        <v/>
      </c>
    </row>
    <row r="2059">
      <c r="A2059" t="inlineStr">
        <is>
          <t>PF102050</t>
        </is>
      </c>
      <c r="B2059" s="68" t="n">
        <v>45908</v>
      </c>
      <c r="C2059" s="69" t="n">
        <v>2025</v>
      </c>
      <c r="D2059" t="inlineStr">
        <is>
          <t>Sep</t>
        </is>
      </c>
      <c r="E2059" t="inlineStr">
        <is>
          <t>United States</t>
        </is>
      </c>
      <c r="F2059" t="inlineStr">
        <is>
          <t>USA</t>
        </is>
      </c>
      <c r="G2059" t="inlineStr">
        <is>
          <t>Paxlovid</t>
        </is>
      </c>
      <c r="H2059" t="inlineStr">
        <is>
          <t>Hospital</t>
        </is>
      </c>
      <c r="I2059" t="inlineStr">
        <is>
          <t>Private insurer</t>
        </is>
      </c>
      <c r="J2059" t="inlineStr">
        <is>
          <t>Ruhi Shaikh</t>
        </is>
      </c>
      <c r="K2059" s="70" t="n">
        <v>925</v>
      </c>
      <c r="L2059" s="71" t="n">
        <v>1659.52</v>
      </c>
      <c r="M2059" s="71" t="n">
        <v>1535056</v>
      </c>
      <c r="N2059" s="71" t="n">
        <v>537269.6</v>
      </c>
      <c r="O2059" s="71" t="n">
        <v>997786.4</v>
      </c>
      <c r="P2059" s="71" t="n">
        <v>252081.47</v>
      </c>
      <c r="Q2059" s="71" t="n">
        <v>745704.9300000001</v>
      </c>
      <c r="R2059" t="inlineStr">
        <is>
          <t>Antiviral</t>
        </is>
      </c>
      <c r="S2059" s="70" t="n">
        <v>582</v>
      </c>
      <c r="T2059" s="71" t="n">
        <v>235383.18</v>
      </c>
      <c r="U2059" t="inlineStr">
        <is>
          <t>Low</t>
        </is>
      </c>
      <c r="V2059">
        <f>IF(AND(OR(Dashboard!$C$6="All",E2059=Dashboard!$C$6),OR(Dashboard!$F$6="All",G2059=Dashboard!$F$6),OR(Dashboard!$I$6="All",H2059=Dashboard!$I$6)),1,0)</f>
        <v/>
      </c>
    </row>
    <row r="2060">
      <c r="A2060" t="inlineStr">
        <is>
          <t>PF102051</t>
        </is>
      </c>
      <c r="B2060" s="68" t="n">
        <v>45908</v>
      </c>
      <c r="C2060" s="69" t="n">
        <v>2025</v>
      </c>
      <c r="D2060" t="inlineStr">
        <is>
          <t>Sep</t>
        </is>
      </c>
      <c r="E2060" t="inlineStr">
        <is>
          <t>Emerging markets</t>
        </is>
      </c>
      <c r="F2060" t="inlineStr">
        <is>
          <t>Mexico</t>
        </is>
      </c>
      <c r="G2060" t="inlineStr">
        <is>
          <t>Eliquis</t>
        </is>
      </c>
      <c r="H2060" t="inlineStr">
        <is>
          <t>Hospital</t>
        </is>
      </c>
      <c r="I2060" t="inlineStr">
        <is>
          <t>Public payer</t>
        </is>
      </c>
      <c r="J2060" t="inlineStr">
        <is>
          <t>Ravindra Patil</t>
        </is>
      </c>
      <c r="K2060" s="70" t="n">
        <v>1941</v>
      </c>
      <c r="L2060" s="71" t="n">
        <v>387.34</v>
      </c>
      <c r="M2060" s="71" t="n">
        <v>751826.9399999999</v>
      </c>
      <c r="N2060" s="71" t="n">
        <v>187956.73</v>
      </c>
      <c r="O2060" s="71" t="n">
        <v>563870.21</v>
      </c>
      <c r="P2060" s="71" t="n">
        <v>150084</v>
      </c>
      <c r="Q2060" s="71" t="n">
        <v>413786.21</v>
      </c>
      <c r="R2060" t="inlineStr">
        <is>
          <t>Cardiology</t>
        </is>
      </c>
      <c r="S2060" s="70" t="n">
        <v>1215</v>
      </c>
      <c r="T2060" s="71" t="n">
        <v>113061.05</v>
      </c>
      <c r="U2060" t="inlineStr">
        <is>
          <t>High</t>
        </is>
      </c>
      <c r="V2060">
        <f>IF(AND(OR(Dashboard!$C$6="All",E2060=Dashboard!$C$6),OR(Dashboard!$F$6="All",G2060=Dashboard!$F$6),OR(Dashboard!$I$6="All",H2060=Dashboard!$I$6)),1,0)</f>
        <v/>
      </c>
    </row>
    <row r="2061">
      <c r="A2061" t="inlineStr">
        <is>
          <t>PF102052</t>
        </is>
      </c>
      <c r="B2061" s="68" t="n">
        <v>45908</v>
      </c>
      <c r="C2061" s="69" t="n">
        <v>2025</v>
      </c>
      <c r="D2061" t="inlineStr">
        <is>
          <t>Sep</t>
        </is>
      </c>
      <c r="E2061" t="inlineStr">
        <is>
          <t>International developed</t>
        </is>
      </c>
      <c r="F2061" t="inlineStr">
        <is>
          <t>Japan</t>
        </is>
      </c>
      <c r="G2061" t="inlineStr">
        <is>
          <t>Ibrance</t>
        </is>
      </c>
      <c r="H2061" t="inlineStr">
        <is>
          <t>Hospital</t>
        </is>
      </c>
      <c r="I2061" t="inlineStr">
        <is>
          <t>Private insurer</t>
        </is>
      </c>
      <c r="J2061" t="inlineStr">
        <is>
          <t>Omar Haddad</t>
        </is>
      </c>
      <c r="K2061" s="70" t="n">
        <v>2337</v>
      </c>
      <c r="L2061" s="71" t="n">
        <v>2950.82</v>
      </c>
      <c r="M2061" s="71" t="n">
        <v>6896066.34</v>
      </c>
      <c r="N2061" s="71" t="n">
        <v>1379213.27</v>
      </c>
      <c r="O2061" s="71" t="n">
        <v>5516853.07</v>
      </c>
      <c r="P2061" s="71" t="n">
        <v>995870.6</v>
      </c>
      <c r="Q2061" s="71" t="n">
        <v>4520982.47</v>
      </c>
      <c r="R2061" t="inlineStr">
        <is>
          <t>Oncology</t>
        </is>
      </c>
      <c r="S2061" s="70" t="n">
        <v>1465</v>
      </c>
      <c r="T2061" s="71" t="n">
        <v>1380742.34</v>
      </c>
      <c r="U2061" t="inlineStr">
        <is>
          <t>High</t>
        </is>
      </c>
      <c r="V2061">
        <f>IF(AND(OR(Dashboard!$C$6="All",E2061=Dashboard!$C$6),OR(Dashboard!$F$6="All",G2061=Dashboard!$F$6),OR(Dashboard!$I$6="All",H2061=Dashboard!$I$6)),1,0)</f>
        <v/>
      </c>
    </row>
    <row r="2062">
      <c r="A2062" t="inlineStr">
        <is>
          <t>PF102053</t>
        </is>
      </c>
      <c r="B2062" s="68" t="n">
        <v>45908</v>
      </c>
      <c r="C2062" s="69" t="n">
        <v>2025</v>
      </c>
      <c r="D2062" t="inlineStr">
        <is>
          <t>Sep</t>
        </is>
      </c>
      <c r="E2062" t="inlineStr">
        <is>
          <t>United States</t>
        </is>
      </c>
      <c r="F2062" t="inlineStr">
        <is>
          <t>USA</t>
        </is>
      </c>
      <c r="G2062" t="inlineStr">
        <is>
          <t>Paxlovid</t>
        </is>
      </c>
      <c r="H2062" t="inlineStr">
        <is>
          <t>Hospital</t>
        </is>
      </c>
      <c r="I2062" t="inlineStr">
        <is>
          <t>Public payer</t>
        </is>
      </c>
      <c r="J2062" t="inlineStr">
        <is>
          <t>Noah Smith</t>
        </is>
      </c>
      <c r="K2062" s="70" t="n">
        <v>1117</v>
      </c>
      <c r="L2062" s="71" t="n">
        <v>1800.94</v>
      </c>
      <c r="M2062" s="71" t="n">
        <v>2011649.98</v>
      </c>
      <c r="N2062" s="71" t="n">
        <v>502912.49</v>
      </c>
      <c r="O2062" s="71" t="n">
        <v>1508737.49</v>
      </c>
      <c r="P2062" s="71" t="n">
        <v>297430.75</v>
      </c>
      <c r="Q2062" s="71" t="n">
        <v>1211306.74</v>
      </c>
      <c r="R2062" t="inlineStr">
        <is>
          <t>Antiviral</t>
        </is>
      </c>
      <c r="S2062" s="70" t="n">
        <v>1044</v>
      </c>
      <c r="T2062" s="71" t="n">
        <v>321939.07</v>
      </c>
      <c r="U2062" t="inlineStr">
        <is>
          <t>Low</t>
        </is>
      </c>
      <c r="V2062">
        <f>IF(AND(OR(Dashboard!$C$6="All",E2062=Dashboard!$C$6),OR(Dashboard!$F$6="All",G2062=Dashboard!$F$6),OR(Dashboard!$I$6="All",H2062=Dashboard!$I$6)),1,0)</f>
        <v/>
      </c>
    </row>
    <row r="2063">
      <c r="A2063" t="inlineStr">
        <is>
          <t>PF102054</t>
        </is>
      </c>
      <c r="B2063" s="68" t="n">
        <v>45908</v>
      </c>
      <c r="C2063" s="69" t="n">
        <v>2025</v>
      </c>
      <c r="D2063" t="inlineStr">
        <is>
          <t>Sep</t>
        </is>
      </c>
      <c r="E2063" t="inlineStr">
        <is>
          <t>Emerging markets</t>
        </is>
      </c>
      <c r="F2063" t="inlineStr">
        <is>
          <t>Mexico</t>
        </is>
      </c>
      <c r="G2063" t="inlineStr">
        <is>
          <t>Paxlovid</t>
        </is>
      </c>
      <c r="H2063" t="inlineStr">
        <is>
          <t>Government / tender</t>
        </is>
      </c>
      <c r="I2063" t="inlineStr">
        <is>
          <t>Private insurer</t>
        </is>
      </c>
      <c r="J2063" t="inlineStr">
        <is>
          <t>Kofi Mensah</t>
        </is>
      </c>
      <c r="K2063" s="70" t="n">
        <v>1446</v>
      </c>
      <c r="L2063" s="71" t="n">
        <v>1066.9</v>
      </c>
      <c r="M2063" s="71" t="n">
        <v>1542737.4</v>
      </c>
      <c r="N2063" s="71" t="n">
        <v>308547.48</v>
      </c>
      <c r="O2063" s="71" t="n">
        <v>1234189.92</v>
      </c>
      <c r="P2063" s="71" t="n">
        <v>407018.31</v>
      </c>
      <c r="Q2063" s="71" t="n">
        <v>827171.61</v>
      </c>
      <c r="R2063" t="inlineStr">
        <is>
          <t>Antiviral</t>
        </is>
      </c>
      <c r="S2063" s="70" t="n">
        <v>1327</v>
      </c>
      <c r="T2063" s="71" t="n">
        <v>194057.55</v>
      </c>
      <c r="U2063" t="inlineStr">
        <is>
          <t>Low</t>
        </is>
      </c>
      <c r="V2063">
        <f>IF(AND(OR(Dashboard!$C$6="All",E2063=Dashboard!$C$6),OR(Dashboard!$F$6="All",G2063=Dashboard!$F$6),OR(Dashboard!$I$6="All",H2063=Dashboard!$I$6)),1,0)</f>
        <v/>
      </c>
    </row>
    <row r="2064">
      <c r="A2064" t="inlineStr">
        <is>
          <t>PF102055</t>
        </is>
      </c>
      <c r="B2064" s="68" t="n">
        <v>45908</v>
      </c>
      <c r="C2064" s="69" t="n">
        <v>2025</v>
      </c>
      <c r="D2064" t="inlineStr">
        <is>
          <t>Sep</t>
        </is>
      </c>
      <c r="E2064" t="inlineStr">
        <is>
          <t>Emerging markets</t>
        </is>
      </c>
      <c r="F2064" t="inlineStr">
        <is>
          <t>China</t>
        </is>
      </c>
      <c r="G2064" t="inlineStr">
        <is>
          <t>Prevnar 20</t>
        </is>
      </c>
      <c r="H2064" t="inlineStr">
        <is>
          <t>Government / tender</t>
        </is>
      </c>
      <c r="I2064" t="inlineStr">
        <is>
          <t>Private insurer</t>
        </is>
      </c>
      <c r="J2064" t="inlineStr">
        <is>
          <t>Priya Nair</t>
        </is>
      </c>
      <c r="K2064" s="70" t="n">
        <v>1890</v>
      </c>
      <c r="L2064" s="71" t="n">
        <v>236.94</v>
      </c>
      <c r="M2064" s="71" t="n">
        <v>447816.6</v>
      </c>
      <c r="N2064" s="71" t="n">
        <v>44781.66</v>
      </c>
      <c r="O2064" s="71" t="n">
        <v>403034.94</v>
      </c>
      <c r="P2064" s="71" t="n">
        <v>135168</v>
      </c>
      <c r="Q2064" s="71" t="n">
        <v>267866.94</v>
      </c>
      <c r="R2064" t="inlineStr">
        <is>
          <t>Vaccines</t>
        </is>
      </c>
      <c r="S2064" s="70" t="n">
        <v>1452</v>
      </c>
      <c r="T2064" s="71" t="n">
        <v>70285.50999999999</v>
      </c>
      <c r="U2064" t="inlineStr">
        <is>
          <t>Low</t>
        </is>
      </c>
      <c r="V2064">
        <f>IF(AND(OR(Dashboard!$C$6="All",E2064=Dashboard!$C$6),OR(Dashboard!$F$6="All",G2064=Dashboard!$F$6),OR(Dashboard!$I$6="All",H2064=Dashboard!$I$6)),1,0)</f>
        <v/>
      </c>
    </row>
    <row r="2065">
      <c r="A2065" t="inlineStr">
        <is>
          <t>PF102056</t>
        </is>
      </c>
      <c r="B2065" s="68" t="n">
        <v>45908</v>
      </c>
      <c r="C2065" s="69" t="n">
        <v>2025</v>
      </c>
      <c r="D2065" t="inlineStr">
        <is>
          <t>Sep</t>
        </is>
      </c>
      <c r="E2065" t="inlineStr">
        <is>
          <t>International developed</t>
        </is>
      </c>
      <c r="F2065" t="inlineStr">
        <is>
          <t>Japan</t>
        </is>
      </c>
      <c r="G2065" t="inlineStr">
        <is>
          <t>Comirnaty</t>
        </is>
      </c>
      <c r="H2065" t="inlineStr">
        <is>
          <t>Retail pharmacy</t>
        </is>
      </c>
      <c r="I2065" t="inlineStr">
        <is>
          <t>Self-pay</t>
        </is>
      </c>
      <c r="J2065" t="inlineStr">
        <is>
          <t>Amir Khan</t>
        </is>
      </c>
      <c r="K2065" s="70" t="n">
        <v>2610</v>
      </c>
      <c r="L2065" s="71" t="n">
        <v>112.59</v>
      </c>
      <c r="M2065" s="71" t="n">
        <v>293859.9</v>
      </c>
      <c r="N2065" s="71" t="n">
        <v>29385.99</v>
      </c>
      <c r="O2065" s="71" t="n">
        <v>264473.91</v>
      </c>
      <c r="P2065" s="71" t="n">
        <v>97324.94</v>
      </c>
      <c r="Q2065" s="71" t="n">
        <v>167148.97</v>
      </c>
      <c r="R2065" t="inlineStr">
        <is>
          <t>Vaccines</t>
        </is>
      </c>
      <c r="S2065" s="70" t="n">
        <v>2059</v>
      </c>
      <c r="T2065" s="71" t="n">
        <v>35578.71</v>
      </c>
      <c r="U2065" t="inlineStr">
        <is>
          <t>Low</t>
        </is>
      </c>
      <c r="V2065">
        <f>IF(AND(OR(Dashboard!$C$6="All",E2065=Dashboard!$C$6),OR(Dashboard!$F$6="All",G2065=Dashboard!$F$6),OR(Dashboard!$I$6="All",H2065=Dashboard!$I$6)),1,0)</f>
        <v/>
      </c>
    </row>
    <row r="2066">
      <c r="A2066" t="inlineStr">
        <is>
          <t>PF102057</t>
        </is>
      </c>
      <c r="B2066" s="68" t="n">
        <v>45908</v>
      </c>
      <c r="C2066" s="69" t="n">
        <v>2025</v>
      </c>
      <c r="D2066" t="inlineStr">
        <is>
          <t>Sep</t>
        </is>
      </c>
      <c r="E2066" t="inlineStr">
        <is>
          <t>Emerging markets</t>
        </is>
      </c>
      <c r="F2066" t="inlineStr">
        <is>
          <t>India</t>
        </is>
      </c>
      <c r="G2066" t="inlineStr">
        <is>
          <t>Ibrance</t>
        </is>
      </c>
      <c r="H2066" t="inlineStr">
        <is>
          <t>Hospital</t>
        </is>
      </c>
      <c r="I2066" t="inlineStr">
        <is>
          <t>Public payer</t>
        </is>
      </c>
      <c r="J2066" t="inlineStr">
        <is>
          <t>Shraddha Kulkarni</t>
        </is>
      </c>
      <c r="K2066" s="70" t="n">
        <v>793</v>
      </c>
      <c r="L2066" s="71" t="n">
        <v>2738.5</v>
      </c>
      <c r="M2066" s="71" t="n">
        <v>2171630.5</v>
      </c>
      <c r="N2066" s="71" t="n">
        <v>108581.53</v>
      </c>
      <c r="O2066" s="71" t="n">
        <v>2063048.97</v>
      </c>
      <c r="P2066" s="71" t="n">
        <v>347209.04</v>
      </c>
      <c r="Q2066" s="71" t="n">
        <v>1715839.93</v>
      </c>
      <c r="R2066" t="inlineStr">
        <is>
          <t>Oncology</t>
        </is>
      </c>
      <c r="S2066" s="70" t="n">
        <v>586</v>
      </c>
      <c r="T2066" s="71" t="n">
        <v>273134.09</v>
      </c>
      <c r="U2066" t="inlineStr">
        <is>
          <t>High</t>
        </is>
      </c>
      <c r="V2066">
        <f>IF(AND(OR(Dashboard!$C$6="All",E2066=Dashboard!$C$6),OR(Dashboard!$F$6="All",G2066=Dashboard!$F$6),OR(Dashboard!$I$6="All",H2066=Dashboard!$I$6)),1,0)</f>
        <v/>
      </c>
    </row>
    <row r="2067">
      <c r="A2067" t="inlineStr">
        <is>
          <t>PF102058</t>
        </is>
      </c>
      <c r="B2067" s="68" t="n">
        <v>45908</v>
      </c>
      <c r="C2067" s="69" t="n">
        <v>2025</v>
      </c>
      <c r="D2067" t="inlineStr">
        <is>
          <t>Sep</t>
        </is>
      </c>
      <c r="E2067" t="inlineStr">
        <is>
          <t>United States</t>
        </is>
      </c>
      <c r="F2067" t="inlineStr">
        <is>
          <t>USA</t>
        </is>
      </c>
      <c r="G2067" t="inlineStr">
        <is>
          <t>Xeljanz</t>
        </is>
      </c>
      <c r="H2067" t="inlineStr">
        <is>
          <t>Government / tender</t>
        </is>
      </c>
      <c r="I2067" t="inlineStr">
        <is>
          <t>Private insurer</t>
        </is>
      </c>
      <c r="J2067" t="inlineStr">
        <is>
          <t>Wei Chen</t>
        </is>
      </c>
      <c r="K2067" s="70" t="n">
        <v>968</v>
      </c>
      <c r="L2067" s="71" t="n">
        <v>2018.46</v>
      </c>
      <c r="M2067" s="71" t="n">
        <v>1953869.28</v>
      </c>
      <c r="N2067" s="71" t="n">
        <v>488467.32</v>
      </c>
      <c r="O2067" s="71" t="n">
        <v>1465401.96</v>
      </c>
      <c r="P2067" s="71" t="n">
        <v>237694.09</v>
      </c>
      <c r="Q2067" s="71" t="n">
        <v>1227707.87</v>
      </c>
      <c r="R2067" t="inlineStr">
        <is>
          <t>Inflammation</t>
        </is>
      </c>
      <c r="S2067" s="70" t="n">
        <v>661</v>
      </c>
      <c r="T2067" s="71" t="n">
        <v>386286.78</v>
      </c>
      <c r="U2067" t="inlineStr">
        <is>
          <t>High</t>
        </is>
      </c>
      <c r="V2067">
        <f>IF(AND(OR(Dashboard!$C$6="All",E2067=Dashboard!$C$6),OR(Dashboard!$F$6="All",G2067=Dashboard!$F$6),OR(Dashboard!$I$6="All",H2067=Dashboard!$I$6)),1,0)</f>
        <v/>
      </c>
    </row>
    <row r="2068">
      <c r="A2068" t="inlineStr">
        <is>
          <t>PF102059</t>
        </is>
      </c>
      <c r="B2068" s="68" t="n">
        <v>45908</v>
      </c>
      <c r="C2068" s="69" t="n">
        <v>2025</v>
      </c>
      <c r="D2068" t="inlineStr">
        <is>
          <t>Sep</t>
        </is>
      </c>
      <c r="E2068" t="inlineStr">
        <is>
          <t>Emerging markets</t>
        </is>
      </c>
      <c r="F2068" t="inlineStr">
        <is>
          <t>Mexico</t>
        </is>
      </c>
      <c r="G2068" t="inlineStr">
        <is>
          <t>Comirnaty</t>
        </is>
      </c>
      <c r="H2068" t="inlineStr">
        <is>
          <t>Hospital</t>
        </is>
      </c>
      <c r="I2068" t="inlineStr">
        <is>
          <t>Private insurer</t>
        </is>
      </c>
      <c r="J2068" t="inlineStr">
        <is>
          <t>Hiroshi Tanaka</t>
        </is>
      </c>
      <c r="K2068" s="70" t="n">
        <v>329</v>
      </c>
      <c r="L2068" s="71" t="n">
        <v>115.43</v>
      </c>
      <c r="M2068" s="71" t="n">
        <v>37976.47</v>
      </c>
      <c r="N2068" s="71" t="n">
        <v>3797.65</v>
      </c>
      <c r="O2068" s="71" t="n">
        <v>34178.82</v>
      </c>
      <c r="P2068" s="71" t="n">
        <v>12426.01</v>
      </c>
      <c r="Q2068" s="71" t="n">
        <v>21752.81</v>
      </c>
      <c r="R2068" t="inlineStr">
        <is>
          <t>Vaccines</t>
        </is>
      </c>
      <c r="S2068" s="70" t="n">
        <v>313</v>
      </c>
      <c r="T2068" s="71" t="n">
        <v>8351.83</v>
      </c>
      <c r="U2068" t="inlineStr">
        <is>
          <t>Low</t>
        </is>
      </c>
      <c r="V2068">
        <f>IF(AND(OR(Dashboard!$C$6="All",E2068=Dashboard!$C$6),OR(Dashboard!$F$6="All",G2068=Dashboard!$F$6),OR(Dashboard!$I$6="All",H2068=Dashboard!$I$6)),1,0)</f>
        <v/>
      </c>
    </row>
    <row r="2069">
      <c r="A2069" t="inlineStr">
        <is>
          <t>PF102060</t>
        </is>
      </c>
      <c r="B2069" s="68" t="n">
        <v>45908</v>
      </c>
      <c r="C2069" s="69" t="n">
        <v>2025</v>
      </c>
      <c r="D2069" t="inlineStr">
        <is>
          <t>Sep</t>
        </is>
      </c>
      <c r="E2069" t="inlineStr">
        <is>
          <t>Europe</t>
        </is>
      </c>
      <c r="F2069" t="inlineStr">
        <is>
          <t>UK</t>
        </is>
      </c>
      <c r="G2069" t="inlineStr">
        <is>
          <t>Paxlovid</t>
        </is>
      </c>
      <c r="H2069" t="inlineStr">
        <is>
          <t>Government / tender</t>
        </is>
      </c>
      <c r="I2069" t="inlineStr">
        <is>
          <t>Private insurer</t>
        </is>
      </c>
      <c r="J2069" t="inlineStr">
        <is>
          <t>Sara Rossi</t>
        </is>
      </c>
      <c r="K2069" s="70" t="n">
        <v>518</v>
      </c>
      <c r="L2069" s="71" t="n">
        <v>1197.81</v>
      </c>
      <c r="M2069" s="71" t="n">
        <v>620465.58</v>
      </c>
      <c r="N2069" s="71" t="n">
        <v>124093.12</v>
      </c>
      <c r="O2069" s="71" t="n">
        <v>496372.46</v>
      </c>
      <c r="P2069" s="71" t="n">
        <v>145181.89</v>
      </c>
      <c r="Q2069" s="71" t="n">
        <v>351190.57</v>
      </c>
      <c r="R2069" t="inlineStr">
        <is>
          <t>Antiviral</t>
        </is>
      </c>
      <c r="S2069" s="70" t="n">
        <v>368</v>
      </c>
      <c r="T2069" s="71" t="n">
        <v>89657.59</v>
      </c>
      <c r="U2069" t="inlineStr">
        <is>
          <t>Low</t>
        </is>
      </c>
      <c r="V2069">
        <f>IF(AND(OR(Dashboard!$C$6="All",E2069=Dashboard!$C$6),OR(Dashboard!$F$6="All",G2069=Dashboard!$F$6),OR(Dashboard!$I$6="All",H2069=Dashboard!$I$6)),1,0)</f>
        <v/>
      </c>
    </row>
    <row r="2070">
      <c r="A2070" t="inlineStr">
        <is>
          <t>PF102061</t>
        </is>
      </c>
      <c r="B2070" s="68" t="n">
        <v>45908</v>
      </c>
      <c r="C2070" s="69" t="n">
        <v>2025</v>
      </c>
      <c r="D2070" t="inlineStr">
        <is>
          <t>Sep</t>
        </is>
      </c>
      <c r="E2070" t="inlineStr">
        <is>
          <t>United States</t>
        </is>
      </c>
      <c r="F2070" t="inlineStr">
        <is>
          <t>USA</t>
        </is>
      </c>
      <c r="G2070" t="inlineStr">
        <is>
          <t>Xeljanz</t>
        </is>
      </c>
      <c r="H2070" t="inlineStr">
        <is>
          <t>Retail pharmacy</t>
        </is>
      </c>
      <c r="I2070" t="inlineStr">
        <is>
          <t>Private insurer</t>
        </is>
      </c>
      <c r="J2070" t="inlineStr">
        <is>
          <t>Mei Lin</t>
        </is>
      </c>
      <c r="K2070" s="70" t="n">
        <v>2323</v>
      </c>
      <c r="L2070" s="71" t="n">
        <v>2095.36</v>
      </c>
      <c r="M2070" s="71" t="n">
        <v>4867521.28</v>
      </c>
      <c r="N2070" s="71" t="n">
        <v>730128.1899999999</v>
      </c>
      <c r="O2070" s="71" t="n">
        <v>4137393.09</v>
      </c>
      <c r="P2070" s="71" t="n">
        <v>579968.7</v>
      </c>
      <c r="Q2070" s="71" t="n">
        <v>3557424.39</v>
      </c>
      <c r="R2070" t="inlineStr">
        <is>
          <t>Inflammation</t>
        </is>
      </c>
      <c r="S2070" s="70" t="n">
        <v>1479</v>
      </c>
      <c r="T2070" s="71" t="n">
        <v>1045723.56</v>
      </c>
      <c r="U2070" t="inlineStr">
        <is>
          <t>High</t>
        </is>
      </c>
      <c r="V2070">
        <f>IF(AND(OR(Dashboard!$C$6="All",E2070=Dashboard!$C$6),OR(Dashboard!$F$6="All",G2070=Dashboard!$F$6),OR(Dashboard!$I$6="All",H2070=Dashboard!$I$6)),1,0)</f>
        <v/>
      </c>
    </row>
    <row r="2071">
      <c r="A2071" t="inlineStr">
        <is>
          <t>PF102062</t>
        </is>
      </c>
      <c r="B2071" s="68" t="n">
        <v>45908</v>
      </c>
      <c r="C2071" s="69" t="n">
        <v>2025</v>
      </c>
      <c r="D2071" t="inlineStr">
        <is>
          <t>Sep</t>
        </is>
      </c>
      <c r="E2071" t="inlineStr">
        <is>
          <t>Europe</t>
        </is>
      </c>
      <c r="F2071" t="inlineStr">
        <is>
          <t>Italy</t>
        </is>
      </c>
      <c r="G2071" t="inlineStr">
        <is>
          <t>Abrysvo</t>
        </is>
      </c>
      <c r="H2071" t="inlineStr">
        <is>
          <t>Government / tender</t>
        </is>
      </c>
      <c r="I2071" t="inlineStr">
        <is>
          <t>Private insurer</t>
        </is>
      </c>
      <c r="J2071" t="inlineStr">
        <is>
          <t>Ana Costa</t>
        </is>
      </c>
      <c r="K2071" s="70" t="n">
        <v>1818</v>
      </c>
      <c r="L2071" s="71" t="n">
        <v>305.63</v>
      </c>
      <c r="M2071" s="71" t="n">
        <v>555635.34</v>
      </c>
      <c r="N2071" s="71" t="n">
        <v>55563.53</v>
      </c>
      <c r="O2071" s="71" t="n">
        <v>500071.81</v>
      </c>
      <c r="P2071" s="71" t="n">
        <v>157566.34</v>
      </c>
      <c r="Q2071" s="71" t="n">
        <v>342505.47</v>
      </c>
      <c r="R2071" t="inlineStr">
        <is>
          <t>Vaccines</t>
        </is>
      </c>
      <c r="S2071" s="70" t="n">
        <v>1178</v>
      </c>
      <c r="T2071" s="71" t="n">
        <v>67625.33</v>
      </c>
      <c r="U2071" t="inlineStr">
        <is>
          <t>Low</t>
        </is>
      </c>
      <c r="V2071">
        <f>IF(AND(OR(Dashboard!$C$6="All",E2071=Dashboard!$C$6),OR(Dashboard!$F$6="All",G2071=Dashboard!$F$6),OR(Dashboard!$I$6="All",H2071=Dashboard!$I$6)),1,0)</f>
        <v/>
      </c>
    </row>
    <row r="2072">
      <c r="A2072" t="inlineStr">
        <is>
          <t>PF102063</t>
        </is>
      </c>
      <c r="B2072" s="68" t="n">
        <v>45909</v>
      </c>
      <c r="C2072" s="69" t="n">
        <v>2025</v>
      </c>
      <c r="D2072" t="inlineStr">
        <is>
          <t>Sep</t>
        </is>
      </c>
      <c r="E2072" t="inlineStr">
        <is>
          <t>United States</t>
        </is>
      </c>
      <c r="F2072" t="inlineStr">
        <is>
          <t>USA</t>
        </is>
      </c>
      <c r="G2072" t="inlineStr">
        <is>
          <t>Comirnaty</t>
        </is>
      </c>
      <c r="H2072" t="inlineStr">
        <is>
          <t>Retail pharmacy</t>
        </is>
      </c>
      <c r="I2072" t="inlineStr">
        <is>
          <t>Public payer</t>
        </is>
      </c>
      <c r="J2072" t="inlineStr">
        <is>
          <t>Carlos Silva</t>
        </is>
      </c>
      <c r="K2072" s="70" t="n">
        <v>1347</v>
      </c>
      <c r="L2072" s="71" t="n">
        <v>176.48</v>
      </c>
      <c r="M2072" s="71" t="n">
        <v>237718.56</v>
      </c>
      <c r="N2072" s="71" t="n">
        <v>83201.5</v>
      </c>
      <c r="O2072" s="71" t="n">
        <v>154517.06</v>
      </c>
      <c r="P2072" s="71" t="n">
        <v>53527.85</v>
      </c>
      <c r="Q2072" s="71" t="n">
        <v>100989.21</v>
      </c>
      <c r="R2072" t="inlineStr">
        <is>
          <t>Vaccines</t>
        </is>
      </c>
      <c r="S2072" s="70" t="n">
        <v>1134</v>
      </c>
      <c r="T2072" s="71" t="n">
        <v>36647.06</v>
      </c>
      <c r="U2072" t="inlineStr">
        <is>
          <t>Low</t>
        </is>
      </c>
      <c r="V2072">
        <f>IF(AND(OR(Dashboard!$C$6="All",E2072=Dashboard!$C$6),OR(Dashboard!$F$6="All",G2072=Dashboard!$F$6),OR(Dashboard!$I$6="All",H2072=Dashboard!$I$6)),1,0)</f>
        <v/>
      </c>
    </row>
    <row r="2073">
      <c r="A2073" t="inlineStr">
        <is>
          <t>PF102064</t>
        </is>
      </c>
      <c r="B2073" s="68" t="n">
        <v>45909</v>
      </c>
      <c r="C2073" s="69" t="n">
        <v>2025</v>
      </c>
      <c r="D2073" t="inlineStr">
        <is>
          <t>Sep</t>
        </is>
      </c>
      <c r="E2073" t="inlineStr">
        <is>
          <t>International developed</t>
        </is>
      </c>
      <c r="F2073" t="inlineStr">
        <is>
          <t>Canada</t>
        </is>
      </c>
      <c r="G2073" t="inlineStr">
        <is>
          <t>Ibrance</t>
        </is>
      </c>
      <c r="H2073" t="inlineStr">
        <is>
          <t>Retail pharmacy</t>
        </is>
      </c>
      <c r="I2073" t="inlineStr">
        <is>
          <t>Public payer</t>
        </is>
      </c>
      <c r="J2073" t="inlineStr">
        <is>
          <t>Mei Lin</t>
        </is>
      </c>
      <c r="K2073" s="70" t="n">
        <v>439</v>
      </c>
      <c r="L2073" s="71" t="n">
        <v>3073.49</v>
      </c>
      <c r="M2073" s="71" t="n">
        <v>1349262.11</v>
      </c>
      <c r="N2073" s="71" t="n">
        <v>67463.11</v>
      </c>
      <c r="O2073" s="71" t="n">
        <v>1281799</v>
      </c>
      <c r="P2073" s="71" t="n">
        <v>198565.61</v>
      </c>
      <c r="Q2073" s="71" t="n">
        <v>1083233.39</v>
      </c>
      <c r="R2073" t="inlineStr">
        <is>
          <t>Oncology</t>
        </is>
      </c>
      <c r="S2073" s="70" t="n">
        <v>395</v>
      </c>
      <c r="T2073" s="71" t="n">
        <v>254499.48</v>
      </c>
      <c r="U2073" t="inlineStr">
        <is>
          <t>High</t>
        </is>
      </c>
      <c r="V2073">
        <f>IF(AND(OR(Dashboard!$C$6="All",E2073=Dashboard!$C$6),OR(Dashboard!$F$6="All",G2073=Dashboard!$F$6),OR(Dashboard!$I$6="All",H2073=Dashboard!$I$6)),1,0)</f>
        <v/>
      </c>
    </row>
    <row r="2074">
      <c r="A2074" t="inlineStr">
        <is>
          <t>PF102065</t>
        </is>
      </c>
      <c r="B2074" s="68" t="n">
        <v>45909</v>
      </c>
      <c r="C2074" s="69" t="n">
        <v>2025</v>
      </c>
      <c r="D2074" t="inlineStr">
        <is>
          <t>Sep</t>
        </is>
      </c>
      <c r="E2074" t="inlineStr">
        <is>
          <t>United States</t>
        </is>
      </c>
      <c r="F2074" t="inlineStr">
        <is>
          <t>USA</t>
        </is>
      </c>
      <c r="G2074" t="inlineStr">
        <is>
          <t>Paxlovid</t>
        </is>
      </c>
      <c r="H2074" t="inlineStr">
        <is>
          <t>Hospital</t>
        </is>
      </c>
      <c r="I2074" t="inlineStr">
        <is>
          <t>Private insurer</t>
        </is>
      </c>
      <c r="J2074" t="inlineStr">
        <is>
          <t>Ana Costa</t>
        </is>
      </c>
      <c r="K2074" s="70" t="n">
        <v>366</v>
      </c>
      <c r="L2074" s="71" t="n">
        <v>1729.06</v>
      </c>
      <c r="M2074" s="71" t="n">
        <v>632835.96</v>
      </c>
      <c r="N2074" s="71" t="n">
        <v>189850.79</v>
      </c>
      <c r="O2074" s="71" t="n">
        <v>442985.17</v>
      </c>
      <c r="P2074" s="71" t="n">
        <v>100156.2</v>
      </c>
      <c r="Q2074" s="71" t="n">
        <v>342828.97</v>
      </c>
      <c r="R2074" t="inlineStr">
        <is>
          <t>Antiviral</t>
        </is>
      </c>
      <c r="S2074" s="70" t="n">
        <v>323</v>
      </c>
      <c r="T2074" s="71" t="n">
        <v>80918.53999999999</v>
      </c>
      <c r="U2074" t="inlineStr">
        <is>
          <t>Low</t>
        </is>
      </c>
      <c r="V2074">
        <f>IF(AND(OR(Dashboard!$C$6="All",E2074=Dashboard!$C$6),OR(Dashboard!$F$6="All",G2074=Dashboard!$F$6),OR(Dashboard!$I$6="All",H2074=Dashboard!$I$6)),1,0)</f>
        <v/>
      </c>
    </row>
    <row r="2075">
      <c r="A2075" t="inlineStr">
        <is>
          <t>PF102066</t>
        </is>
      </c>
      <c r="B2075" s="68" t="n">
        <v>45909</v>
      </c>
      <c r="C2075" s="69" t="n">
        <v>2025</v>
      </c>
      <c r="D2075" t="inlineStr">
        <is>
          <t>Sep</t>
        </is>
      </c>
      <c r="E2075" t="inlineStr">
        <is>
          <t>Emerging markets</t>
        </is>
      </c>
      <c r="F2075" t="inlineStr">
        <is>
          <t>Mexico</t>
        </is>
      </c>
      <c r="G2075" t="inlineStr">
        <is>
          <t>Paxlovid</t>
        </is>
      </c>
      <c r="H2075" t="inlineStr">
        <is>
          <t>Government / tender</t>
        </is>
      </c>
      <c r="I2075" t="inlineStr">
        <is>
          <t>Public payer</t>
        </is>
      </c>
      <c r="J2075" t="inlineStr">
        <is>
          <t>Sara Rossi</t>
        </is>
      </c>
      <c r="K2075" s="70" t="n">
        <v>1393</v>
      </c>
      <c r="L2075" s="71" t="n">
        <v>1013.31</v>
      </c>
      <c r="M2075" s="71" t="n">
        <v>1411540.83</v>
      </c>
      <c r="N2075" s="71" t="n">
        <v>282308.17</v>
      </c>
      <c r="O2075" s="71" t="n">
        <v>1129232.66</v>
      </c>
      <c r="P2075" s="71" t="n">
        <v>393131.04</v>
      </c>
      <c r="Q2075" s="71" t="n">
        <v>736101.62</v>
      </c>
      <c r="R2075" t="inlineStr">
        <is>
          <t>Antiviral</t>
        </is>
      </c>
      <c r="S2075" s="70" t="n">
        <v>1372</v>
      </c>
      <c r="T2075" s="71" t="n">
        <v>198592.87</v>
      </c>
      <c r="U2075" t="inlineStr">
        <is>
          <t>Low</t>
        </is>
      </c>
      <c r="V2075">
        <f>IF(AND(OR(Dashboard!$C$6="All",E2075=Dashboard!$C$6),OR(Dashboard!$F$6="All",G2075=Dashboard!$F$6),OR(Dashboard!$I$6="All",H2075=Dashboard!$I$6)),1,0)</f>
        <v/>
      </c>
    </row>
    <row r="2076">
      <c r="A2076" t="inlineStr">
        <is>
          <t>PF102067</t>
        </is>
      </c>
      <c r="B2076" s="68" t="n">
        <v>45909</v>
      </c>
      <c r="C2076" s="69" t="n">
        <v>2025</v>
      </c>
      <c r="D2076" t="inlineStr">
        <is>
          <t>Sep</t>
        </is>
      </c>
      <c r="E2076" t="inlineStr">
        <is>
          <t>United States</t>
        </is>
      </c>
      <c r="F2076" t="inlineStr">
        <is>
          <t>USA</t>
        </is>
      </c>
      <c r="G2076" t="inlineStr">
        <is>
          <t>Eliquis</t>
        </is>
      </c>
      <c r="H2076" t="inlineStr">
        <is>
          <t>Government / tender</t>
        </is>
      </c>
      <c r="I2076" t="inlineStr">
        <is>
          <t>Private insurer</t>
        </is>
      </c>
      <c r="J2076" t="inlineStr">
        <is>
          <t>Omar Haddad</t>
        </is>
      </c>
      <c r="K2076" s="70" t="n">
        <v>785</v>
      </c>
      <c r="L2076" s="71" t="n">
        <v>652.27</v>
      </c>
      <c r="M2076" s="71" t="n">
        <v>512031.95</v>
      </c>
      <c r="N2076" s="71" t="n">
        <v>76804.78999999999</v>
      </c>
      <c r="O2076" s="71" t="n">
        <v>435227.16</v>
      </c>
      <c r="P2076" s="71" t="n">
        <v>60881.59</v>
      </c>
      <c r="Q2076" s="71" t="n">
        <v>374345.57</v>
      </c>
      <c r="R2076" t="inlineStr">
        <is>
          <t>Cardiology</t>
        </is>
      </c>
      <c r="S2076" s="70" t="n">
        <v>628</v>
      </c>
      <c r="T2076" s="71" t="n">
        <v>105784.01</v>
      </c>
      <c r="U2076" t="inlineStr">
        <is>
          <t>High</t>
        </is>
      </c>
      <c r="V2076">
        <f>IF(AND(OR(Dashboard!$C$6="All",E2076=Dashboard!$C$6),OR(Dashboard!$F$6="All",G2076=Dashboard!$F$6),OR(Dashboard!$I$6="All",H2076=Dashboard!$I$6)),1,0)</f>
        <v/>
      </c>
    </row>
    <row r="2077">
      <c r="A2077" t="inlineStr">
        <is>
          <t>PF102068</t>
        </is>
      </c>
      <c r="B2077" s="68" t="n">
        <v>45909</v>
      </c>
      <c r="C2077" s="69" t="n">
        <v>2025</v>
      </c>
      <c r="D2077" t="inlineStr">
        <is>
          <t>Sep</t>
        </is>
      </c>
      <c r="E2077" t="inlineStr">
        <is>
          <t>United States</t>
        </is>
      </c>
      <c r="F2077" t="inlineStr">
        <is>
          <t>USA</t>
        </is>
      </c>
      <c r="G2077" t="inlineStr">
        <is>
          <t>Xeljanz</t>
        </is>
      </c>
      <c r="H2077" t="inlineStr">
        <is>
          <t>Government / tender</t>
        </is>
      </c>
      <c r="I2077" t="inlineStr">
        <is>
          <t>Private insurer</t>
        </is>
      </c>
      <c r="J2077" t="inlineStr">
        <is>
          <t>Arjun Mehta</t>
        </is>
      </c>
      <c r="K2077" s="70" t="n">
        <v>501</v>
      </c>
      <c r="L2077" s="71" t="n">
        <v>2366.43</v>
      </c>
      <c r="M2077" s="71" t="n">
        <v>1185581.43</v>
      </c>
      <c r="N2077" s="71" t="n">
        <v>177837.21</v>
      </c>
      <c r="O2077" s="71" t="n">
        <v>1007744.22</v>
      </c>
      <c r="P2077" s="71" t="n">
        <v>130896.02</v>
      </c>
      <c r="Q2077" s="71" t="n">
        <v>876848.2</v>
      </c>
      <c r="R2077" t="inlineStr">
        <is>
          <t>Inflammation</t>
        </is>
      </c>
      <c r="S2077" s="70" t="n">
        <v>317</v>
      </c>
      <c r="T2077" s="71" t="n">
        <v>183126.26</v>
      </c>
      <c r="U2077" t="inlineStr">
        <is>
          <t>High</t>
        </is>
      </c>
      <c r="V2077">
        <f>IF(AND(OR(Dashboard!$C$6="All",E2077=Dashboard!$C$6),OR(Dashboard!$F$6="All",G2077=Dashboard!$F$6),OR(Dashboard!$I$6="All",H2077=Dashboard!$I$6)),1,0)</f>
        <v/>
      </c>
    </row>
    <row r="2078">
      <c r="A2078" t="inlineStr">
        <is>
          <t>PF102069</t>
        </is>
      </c>
      <c r="B2078" s="68" t="n">
        <v>45909</v>
      </c>
      <c r="C2078" s="69" t="n">
        <v>2025</v>
      </c>
      <c r="D2078" t="inlineStr">
        <is>
          <t>Sep</t>
        </is>
      </c>
      <c r="E2078" t="inlineStr">
        <is>
          <t>United States</t>
        </is>
      </c>
      <c r="F2078" t="inlineStr">
        <is>
          <t>USA</t>
        </is>
      </c>
      <c r="G2078" t="inlineStr">
        <is>
          <t>Abrysvo</t>
        </is>
      </c>
      <c r="H2078" t="inlineStr">
        <is>
          <t>Government / tender</t>
        </is>
      </c>
      <c r="I2078" t="inlineStr">
        <is>
          <t>Self-pay</t>
        </is>
      </c>
      <c r="J2078" t="inlineStr">
        <is>
          <t>Carlos Silva</t>
        </is>
      </c>
      <c r="K2078" s="70" t="n">
        <v>493</v>
      </c>
      <c r="L2078" s="71" t="n">
        <v>471.07</v>
      </c>
      <c r="M2078" s="71" t="n">
        <v>232237.51</v>
      </c>
      <c r="N2078" s="71" t="n">
        <v>81283.13</v>
      </c>
      <c r="O2078" s="71" t="n">
        <v>150954.38</v>
      </c>
      <c r="P2078" s="71" t="n">
        <v>40508.82</v>
      </c>
      <c r="Q2078" s="71" t="n">
        <v>110445.56</v>
      </c>
      <c r="R2078" t="inlineStr">
        <is>
          <t>Vaccines</t>
        </is>
      </c>
      <c r="S2078" s="70" t="n">
        <v>383</v>
      </c>
      <c r="T2078" s="71" t="n">
        <v>39811.68</v>
      </c>
      <c r="U2078" t="inlineStr">
        <is>
          <t>Low</t>
        </is>
      </c>
      <c r="V2078">
        <f>IF(AND(OR(Dashboard!$C$6="All",E2078=Dashboard!$C$6),OR(Dashboard!$F$6="All",G2078=Dashboard!$F$6),OR(Dashboard!$I$6="All",H2078=Dashboard!$I$6)),1,0)</f>
        <v/>
      </c>
    </row>
    <row r="2079">
      <c r="A2079" t="inlineStr">
        <is>
          <t>PF102070</t>
        </is>
      </c>
      <c r="B2079" s="68" t="n">
        <v>45909</v>
      </c>
      <c r="C2079" s="69" t="n">
        <v>2025</v>
      </c>
      <c r="D2079" t="inlineStr">
        <is>
          <t>Sep</t>
        </is>
      </c>
      <c r="E2079" t="inlineStr">
        <is>
          <t>Europe</t>
        </is>
      </c>
      <c r="F2079" t="inlineStr">
        <is>
          <t>France</t>
        </is>
      </c>
      <c r="G2079" t="inlineStr">
        <is>
          <t>Paxlovid</t>
        </is>
      </c>
      <c r="H2079" t="inlineStr">
        <is>
          <t>Retail pharmacy</t>
        </is>
      </c>
      <c r="I2079" t="inlineStr">
        <is>
          <t>Public payer</t>
        </is>
      </c>
      <c r="J2079" t="inlineStr">
        <is>
          <t>Yuki Sato</t>
        </is>
      </c>
      <c r="K2079" s="70" t="n">
        <v>2138</v>
      </c>
      <c r="L2079" s="71" t="n">
        <v>1042.41</v>
      </c>
      <c r="M2079" s="71" t="n">
        <v>2228672.58</v>
      </c>
      <c r="N2079" s="71" t="n">
        <v>334300.89</v>
      </c>
      <c r="O2079" s="71" t="n">
        <v>1894371.69</v>
      </c>
      <c r="P2079" s="71" t="n">
        <v>576626.08</v>
      </c>
      <c r="Q2079" s="71" t="n">
        <v>1317745.61</v>
      </c>
      <c r="R2079" t="inlineStr">
        <is>
          <t>Antiviral</t>
        </is>
      </c>
      <c r="S2079" s="70" t="n">
        <v>1795</v>
      </c>
      <c r="T2079" s="71" t="n">
        <v>315565.98</v>
      </c>
      <c r="U2079" t="inlineStr">
        <is>
          <t>Low</t>
        </is>
      </c>
      <c r="V2079">
        <f>IF(AND(OR(Dashboard!$C$6="All",E2079=Dashboard!$C$6),OR(Dashboard!$F$6="All",G2079=Dashboard!$F$6),OR(Dashboard!$I$6="All",H2079=Dashboard!$I$6)),1,0)</f>
        <v/>
      </c>
    </row>
    <row r="2080">
      <c r="A2080" t="inlineStr">
        <is>
          <t>PF102071</t>
        </is>
      </c>
      <c r="B2080" s="68" t="n">
        <v>45909</v>
      </c>
      <c r="C2080" s="69" t="n">
        <v>2025</v>
      </c>
      <c r="D2080" t="inlineStr">
        <is>
          <t>Sep</t>
        </is>
      </c>
      <c r="E2080" t="inlineStr">
        <is>
          <t>United States</t>
        </is>
      </c>
      <c r="F2080" t="inlineStr">
        <is>
          <t>USA</t>
        </is>
      </c>
      <c r="G2080" t="inlineStr">
        <is>
          <t>Prevnar 20</t>
        </is>
      </c>
      <c r="H2080" t="inlineStr">
        <is>
          <t>Retail pharmacy</t>
        </is>
      </c>
      <c r="I2080" t="inlineStr">
        <is>
          <t>Public payer</t>
        </is>
      </c>
      <c r="J2080" t="inlineStr">
        <is>
          <t>Ravindra Patil</t>
        </is>
      </c>
      <c r="K2080" s="70" t="n">
        <v>302</v>
      </c>
      <c r="L2080" s="71" t="n">
        <v>404.64</v>
      </c>
      <c r="M2080" s="71" t="n">
        <v>122201.28</v>
      </c>
      <c r="N2080" s="71" t="n">
        <v>36660.38</v>
      </c>
      <c r="O2080" s="71" t="n">
        <v>85540.89999999999</v>
      </c>
      <c r="P2080" s="71" t="n">
        <v>21126.71</v>
      </c>
      <c r="Q2080" s="71" t="n">
        <v>64414.19</v>
      </c>
      <c r="R2080" t="inlineStr">
        <is>
          <t>Vaccines</t>
        </is>
      </c>
      <c r="S2080" s="70" t="n">
        <v>280</v>
      </c>
      <c r="T2080" s="71" t="n">
        <v>18606.52</v>
      </c>
      <c r="U2080" t="inlineStr">
        <is>
          <t>Low</t>
        </is>
      </c>
      <c r="V2080">
        <f>IF(AND(OR(Dashboard!$C$6="All",E2080=Dashboard!$C$6),OR(Dashboard!$F$6="All",G2080=Dashboard!$F$6),OR(Dashboard!$I$6="All",H2080=Dashboard!$I$6)),1,0)</f>
        <v/>
      </c>
    </row>
    <row r="2081">
      <c r="A2081" t="inlineStr">
        <is>
          <t>PF102072</t>
        </is>
      </c>
      <c r="B2081" s="68" t="n">
        <v>45910</v>
      </c>
      <c r="C2081" s="69" t="n">
        <v>2025</v>
      </c>
      <c r="D2081" t="inlineStr">
        <is>
          <t>Sep</t>
        </is>
      </c>
      <c r="E2081" t="inlineStr">
        <is>
          <t>Europe</t>
        </is>
      </c>
      <c r="F2081" t="inlineStr">
        <is>
          <t>Italy</t>
        </is>
      </c>
      <c r="G2081" t="inlineStr">
        <is>
          <t>Ibrance</t>
        </is>
      </c>
      <c r="H2081" t="inlineStr">
        <is>
          <t>Retail pharmacy</t>
        </is>
      </c>
      <c r="I2081" t="inlineStr">
        <is>
          <t>Private insurer</t>
        </is>
      </c>
      <c r="J2081" t="inlineStr">
        <is>
          <t>Carlos Silva</t>
        </is>
      </c>
      <c r="K2081" s="70" t="n">
        <v>2075</v>
      </c>
      <c r="L2081" s="71" t="n">
        <v>2728.37</v>
      </c>
      <c r="M2081" s="71" t="n">
        <v>5661367.75</v>
      </c>
      <c r="N2081" s="71" t="n">
        <v>283068.39</v>
      </c>
      <c r="O2081" s="71" t="n">
        <v>5378299.36</v>
      </c>
      <c r="P2081" s="71" t="n">
        <v>910243.45</v>
      </c>
      <c r="Q2081" s="71" t="n">
        <v>4468055.91</v>
      </c>
      <c r="R2081" t="inlineStr">
        <is>
          <t>Oncology</t>
        </is>
      </c>
      <c r="S2081" s="70" t="n">
        <v>1339</v>
      </c>
      <c r="T2081" s="71" t="n">
        <v>710010.66</v>
      </c>
      <c r="U2081" t="inlineStr">
        <is>
          <t>High</t>
        </is>
      </c>
      <c r="V2081">
        <f>IF(AND(OR(Dashboard!$C$6="All",E2081=Dashboard!$C$6),OR(Dashboard!$F$6="All",G2081=Dashboard!$F$6),OR(Dashboard!$I$6="All",H2081=Dashboard!$I$6)),1,0)</f>
        <v/>
      </c>
    </row>
    <row r="2082">
      <c r="A2082" t="inlineStr">
        <is>
          <t>PF102073</t>
        </is>
      </c>
      <c r="B2082" s="68" t="n">
        <v>45910</v>
      </c>
      <c r="C2082" s="69" t="n">
        <v>2025</v>
      </c>
      <c r="D2082" t="inlineStr">
        <is>
          <t>Sep</t>
        </is>
      </c>
      <c r="E2082" t="inlineStr">
        <is>
          <t>United States</t>
        </is>
      </c>
      <c r="F2082" t="inlineStr">
        <is>
          <t>USA</t>
        </is>
      </c>
      <c r="G2082" t="inlineStr">
        <is>
          <t>Paxlovid</t>
        </is>
      </c>
      <c r="H2082" t="inlineStr">
        <is>
          <t>Retail pharmacy</t>
        </is>
      </c>
      <c r="I2082" t="inlineStr">
        <is>
          <t>Public payer</t>
        </is>
      </c>
      <c r="J2082" t="inlineStr">
        <is>
          <t>Mei Lin</t>
        </is>
      </c>
      <c r="K2082" s="70" t="n">
        <v>1742</v>
      </c>
      <c r="L2082" s="71" t="n">
        <v>1920.06</v>
      </c>
      <c r="M2082" s="71" t="n">
        <v>3344744.52</v>
      </c>
      <c r="N2082" s="71" t="n">
        <v>668948.9</v>
      </c>
      <c r="O2082" s="71" t="n">
        <v>2675795.62</v>
      </c>
      <c r="P2082" s="71" t="n">
        <v>461758.04</v>
      </c>
      <c r="Q2082" s="71" t="n">
        <v>2214037.58</v>
      </c>
      <c r="R2082" t="inlineStr">
        <is>
          <t>Antiviral</t>
        </is>
      </c>
      <c r="S2082" s="70" t="n">
        <v>1189</v>
      </c>
      <c r="T2082" s="71" t="n">
        <v>456548.67</v>
      </c>
      <c r="U2082" t="inlineStr">
        <is>
          <t>Low</t>
        </is>
      </c>
      <c r="V2082">
        <f>IF(AND(OR(Dashboard!$C$6="All",E2082=Dashboard!$C$6),OR(Dashboard!$F$6="All",G2082=Dashboard!$F$6),OR(Dashboard!$I$6="All",H2082=Dashboard!$I$6)),1,0)</f>
        <v/>
      </c>
    </row>
    <row r="2083">
      <c r="A2083" t="inlineStr">
        <is>
          <t>PF102074</t>
        </is>
      </c>
      <c r="B2083" s="68" t="n">
        <v>45910</v>
      </c>
      <c r="C2083" s="69" t="n">
        <v>2025</v>
      </c>
      <c r="D2083" t="inlineStr">
        <is>
          <t>Sep</t>
        </is>
      </c>
      <c r="E2083" t="inlineStr">
        <is>
          <t>Europe</t>
        </is>
      </c>
      <c r="F2083" t="inlineStr">
        <is>
          <t>France</t>
        </is>
      </c>
      <c r="G2083" t="inlineStr">
        <is>
          <t>Eliquis</t>
        </is>
      </c>
      <c r="H2083" t="inlineStr">
        <is>
          <t>Government / tender</t>
        </is>
      </c>
      <c r="I2083" t="inlineStr">
        <is>
          <t>Self-pay</t>
        </is>
      </c>
      <c r="J2083" t="inlineStr">
        <is>
          <t>Ravindra Patil</t>
        </is>
      </c>
      <c r="K2083" s="70" t="n">
        <v>1361</v>
      </c>
      <c r="L2083" s="71" t="n">
        <v>448.22</v>
      </c>
      <c r="M2083" s="71" t="n">
        <v>610027.42</v>
      </c>
      <c r="N2083" s="71" t="n">
        <v>30501.37</v>
      </c>
      <c r="O2083" s="71" t="n">
        <v>579526.05</v>
      </c>
      <c r="P2083" s="71" t="n">
        <v>100662.78</v>
      </c>
      <c r="Q2083" s="71" t="n">
        <v>478863.27</v>
      </c>
      <c r="R2083" t="inlineStr">
        <is>
          <t>Cardiology</t>
        </is>
      </c>
      <c r="S2083" s="70" t="n">
        <v>1201</v>
      </c>
      <c r="T2083" s="71" t="n">
        <v>94719.7</v>
      </c>
      <c r="U2083" t="inlineStr">
        <is>
          <t>High</t>
        </is>
      </c>
      <c r="V2083">
        <f>IF(AND(OR(Dashboard!$C$6="All",E2083=Dashboard!$C$6),OR(Dashboard!$F$6="All",G2083=Dashboard!$F$6),OR(Dashboard!$I$6="All",H2083=Dashboard!$I$6)),1,0)</f>
        <v/>
      </c>
    </row>
    <row r="2084">
      <c r="A2084" t="inlineStr">
        <is>
          <t>PF102075</t>
        </is>
      </c>
      <c r="B2084" s="68" t="n">
        <v>45910</v>
      </c>
      <c r="C2084" s="69" t="n">
        <v>2025</v>
      </c>
      <c r="D2084" t="inlineStr">
        <is>
          <t>Sep</t>
        </is>
      </c>
      <c r="E2084" t="inlineStr">
        <is>
          <t>United States</t>
        </is>
      </c>
      <c r="F2084" t="inlineStr">
        <is>
          <t>USA</t>
        </is>
      </c>
      <c r="G2084" t="inlineStr">
        <is>
          <t>Eliquis</t>
        </is>
      </c>
      <c r="H2084" t="inlineStr">
        <is>
          <t>Retail pharmacy</t>
        </is>
      </c>
      <c r="I2084" t="inlineStr">
        <is>
          <t>Private insurer</t>
        </is>
      </c>
      <c r="J2084" t="inlineStr">
        <is>
          <t>Aisha Bello</t>
        </is>
      </c>
      <c r="K2084" s="70" t="n">
        <v>342</v>
      </c>
      <c r="L2084" s="71" t="n">
        <v>633.39</v>
      </c>
      <c r="M2084" s="71" t="n">
        <v>216619.38</v>
      </c>
      <c r="N2084" s="71" t="n">
        <v>32492.91</v>
      </c>
      <c r="O2084" s="71" t="n">
        <v>184126.47</v>
      </c>
      <c r="P2084" s="71" t="n">
        <v>24994.99</v>
      </c>
      <c r="Q2084" s="71" t="n">
        <v>159131.48</v>
      </c>
      <c r="R2084" t="inlineStr">
        <is>
          <t>Cardiology</t>
        </is>
      </c>
      <c r="S2084" s="70" t="n">
        <v>328</v>
      </c>
      <c r="T2084" s="71" t="n">
        <v>26873.43</v>
      </c>
      <c r="U2084" t="inlineStr">
        <is>
          <t>High</t>
        </is>
      </c>
      <c r="V2084">
        <f>IF(AND(OR(Dashboard!$C$6="All",E2084=Dashboard!$C$6),OR(Dashboard!$F$6="All",G2084=Dashboard!$F$6),OR(Dashboard!$I$6="All",H2084=Dashboard!$I$6)),1,0)</f>
        <v/>
      </c>
    </row>
    <row r="2085">
      <c r="A2085" t="inlineStr">
        <is>
          <t>PF102076</t>
        </is>
      </c>
      <c r="B2085" s="68" t="n">
        <v>45910</v>
      </c>
      <c r="C2085" s="69" t="n">
        <v>2025</v>
      </c>
      <c r="D2085" t="inlineStr">
        <is>
          <t>Sep</t>
        </is>
      </c>
      <c r="E2085" t="inlineStr">
        <is>
          <t>International developed</t>
        </is>
      </c>
      <c r="F2085" t="inlineStr">
        <is>
          <t>Australia</t>
        </is>
      </c>
      <c r="G2085" t="inlineStr">
        <is>
          <t>Abrysvo</t>
        </is>
      </c>
      <c r="H2085" t="inlineStr">
        <is>
          <t>Government / tender</t>
        </is>
      </c>
      <c r="I2085" t="inlineStr">
        <is>
          <t>Self-pay</t>
        </is>
      </c>
      <c r="J2085" t="inlineStr">
        <is>
          <t>Shraddha Kulkarni</t>
        </is>
      </c>
      <c r="K2085" s="70" t="n">
        <v>343</v>
      </c>
      <c r="L2085" s="71" t="n">
        <v>305.21</v>
      </c>
      <c r="M2085" s="71" t="n">
        <v>104687.03</v>
      </c>
      <c r="N2085" s="71" t="n">
        <v>10468.7</v>
      </c>
      <c r="O2085" s="71" t="n">
        <v>94218.33</v>
      </c>
      <c r="P2085" s="71" t="n">
        <v>27937.54</v>
      </c>
      <c r="Q2085" s="71" t="n">
        <v>66280.78999999999</v>
      </c>
      <c r="R2085" t="inlineStr">
        <is>
          <t>Vaccines</t>
        </is>
      </c>
      <c r="S2085" s="70" t="n">
        <v>235</v>
      </c>
      <c r="T2085" s="71" t="n">
        <v>21960.35</v>
      </c>
      <c r="U2085" t="inlineStr">
        <is>
          <t>Low</t>
        </is>
      </c>
      <c r="V2085">
        <f>IF(AND(OR(Dashboard!$C$6="All",E2085=Dashboard!$C$6),OR(Dashboard!$F$6="All",G2085=Dashboard!$F$6),OR(Dashboard!$I$6="All",H2085=Dashboard!$I$6)),1,0)</f>
        <v/>
      </c>
    </row>
    <row r="2086">
      <c r="A2086" t="inlineStr">
        <is>
          <t>PF102077</t>
        </is>
      </c>
      <c r="B2086" s="68" t="n">
        <v>45910</v>
      </c>
      <c r="C2086" s="69" t="n">
        <v>2025</v>
      </c>
      <c r="D2086" t="inlineStr">
        <is>
          <t>Sep</t>
        </is>
      </c>
      <c r="E2086" t="inlineStr">
        <is>
          <t>Europe</t>
        </is>
      </c>
      <c r="F2086" t="inlineStr">
        <is>
          <t>Spain</t>
        </is>
      </c>
      <c r="G2086" t="inlineStr">
        <is>
          <t>Ibrance</t>
        </is>
      </c>
      <c r="H2086" t="inlineStr">
        <is>
          <t>Hospital</t>
        </is>
      </c>
      <c r="I2086" t="inlineStr">
        <is>
          <t>Private insurer</t>
        </is>
      </c>
      <c r="J2086" t="inlineStr">
        <is>
          <t>Mei Lin</t>
        </is>
      </c>
      <c r="K2086" s="70" t="n">
        <v>807</v>
      </c>
      <c r="L2086" s="71" t="n">
        <v>3176.22</v>
      </c>
      <c r="M2086" s="71" t="n">
        <v>2563209.54</v>
      </c>
      <c r="N2086" s="71" t="n">
        <v>512641.91</v>
      </c>
      <c r="O2086" s="71" t="n">
        <v>2050567.63</v>
      </c>
      <c r="P2086" s="71" t="n">
        <v>341197.57</v>
      </c>
      <c r="Q2086" s="71" t="n">
        <v>1709370.06</v>
      </c>
      <c r="R2086" t="inlineStr">
        <is>
          <t>Oncology</t>
        </is>
      </c>
      <c r="S2086" s="70" t="n">
        <v>634</v>
      </c>
      <c r="T2086" s="71" t="n">
        <v>331651.64</v>
      </c>
      <c r="U2086" t="inlineStr">
        <is>
          <t>High</t>
        </is>
      </c>
      <c r="V2086">
        <f>IF(AND(OR(Dashboard!$C$6="All",E2086=Dashboard!$C$6),OR(Dashboard!$F$6="All",G2086=Dashboard!$F$6),OR(Dashboard!$I$6="All",H2086=Dashboard!$I$6)),1,0)</f>
        <v/>
      </c>
    </row>
    <row r="2087">
      <c r="A2087" t="inlineStr">
        <is>
          <t>PF102078</t>
        </is>
      </c>
      <c r="B2087" s="68" t="n">
        <v>45910</v>
      </c>
      <c r="C2087" s="69" t="n">
        <v>2025</v>
      </c>
      <c r="D2087" t="inlineStr">
        <is>
          <t>Sep</t>
        </is>
      </c>
      <c r="E2087" t="inlineStr">
        <is>
          <t>United States</t>
        </is>
      </c>
      <c r="F2087" t="inlineStr">
        <is>
          <t>USA</t>
        </is>
      </c>
      <c r="G2087" t="inlineStr">
        <is>
          <t>Eliquis</t>
        </is>
      </c>
      <c r="H2087" t="inlineStr">
        <is>
          <t>Retail pharmacy</t>
        </is>
      </c>
      <c r="I2087" t="inlineStr">
        <is>
          <t>Self-pay</t>
        </is>
      </c>
      <c r="J2087" t="inlineStr">
        <is>
          <t>Hiroshi Tanaka</t>
        </is>
      </c>
      <c r="K2087" s="70" t="n">
        <v>1088</v>
      </c>
      <c r="L2087" s="71" t="n">
        <v>689.92</v>
      </c>
      <c r="M2087" s="71" t="n">
        <v>750632.96</v>
      </c>
      <c r="N2087" s="71" t="n">
        <v>150126.59</v>
      </c>
      <c r="O2087" s="71" t="n">
        <v>600506.37</v>
      </c>
      <c r="P2087" s="71" t="n">
        <v>80013.78999999999</v>
      </c>
      <c r="Q2087" s="71" t="n">
        <v>520492.58</v>
      </c>
      <c r="R2087" t="inlineStr">
        <is>
          <t>Cardiology</t>
        </is>
      </c>
      <c r="S2087" s="70" t="n">
        <v>980</v>
      </c>
      <c r="T2087" s="71" t="n">
        <v>143464.42</v>
      </c>
      <c r="U2087" t="inlineStr">
        <is>
          <t>High</t>
        </is>
      </c>
      <c r="V2087">
        <f>IF(AND(OR(Dashboard!$C$6="All",E2087=Dashboard!$C$6),OR(Dashboard!$F$6="All",G2087=Dashboard!$F$6),OR(Dashboard!$I$6="All",H2087=Dashboard!$I$6)),1,0)</f>
        <v/>
      </c>
    </row>
    <row r="2088">
      <c r="A2088" t="inlineStr">
        <is>
          <t>PF102079</t>
        </is>
      </c>
      <c r="B2088" s="68" t="n">
        <v>45910</v>
      </c>
      <c r="C2088" s="69" t="n">
        <v>2025</v>
      </c>
      <c r="D2088" t="inlineStr">
        <is>
          <t>Sep</t>
        </is>
      </c>
      <c r="E2088" t="inlineStr">
        <is>
          <t>Europe</t>
        </is>
      </c>
      <c r="F2088" t="inlineStr">
        <is>
          <t>France</t>
        </is>
      </c>
      <c r="G2088" t="inlineStr">
        <is>
          <t>Vyndaqel</t>
        </is>
      </c>
      <c r="H2088" t="inlineStr">
        <is>
          <t>Government / tender</t>
        </is>
      </c>
      <c r="I2088" t="inlineStr">
        <is>
          <t>Public payer</t>
        </is>
      </c>
      <c r="J2088" t="inlineStr">
        <is>
          <t>Kofi Mensah</t>
        </is>
      </c>
      <c r="K2088" s="70" t="n">
        <v>1828</v>
      </c>
      <c r="L2088" s="71" t="n">
        <v>4764.33</v>
      </c>
      <c r="M2088" s="71" t="n">
        <v>8709195.24</v>
      </c>
      <c r="N2088" s="71" t="n">
        <v>1306379.29</v>
      </c>
      <c r="O2088" s="71" t="n">
        <v>7402815.95</v>
      </c>
      <c r="P2088" s="71" t="n">
        <v>1181232.46</v>
      </c>
      <c r="Q2088" s="71" t="n">
        <v>6221583.49</v>
      </c>
      <c r="R2088" t="inlineStr">
        <is>
          <t>Rare disease</t>
        </is>
      </c>
      <c r="S2088" s="70" t="n">
        <v>1666</v>
      </c>
      <c r="T2088" s="71" t="n">
        <v>1298071.36</v>
      </c>
      <c r="U2088" t="inlineStr">
        <is>
          <t>Medium</t>
        </is>
      </c>
      <c r="V2088">
        <f>IF(AND(OR(Dashboard!$C$6="All",E2088=Dashboard!$C$6),OR(Dashboard!$F$6="All",G2088=Dashboard!$F$6),OR(Dashboard!$I$6="All",H2088=Dashboard!$I$6)),1,0)</f>
        <v/>
      </c>
    </row>
    <row r="2089">
      <c r="A2089" t="inlineStr">
        <is>
          <t>PF102080</t>
        </is>
      </c>
      <c r="B2089" s="68" t="n">
        <v>45910</v>
      </c>
      <c r="C2089" s="69" t="n">
        <v>2025</v>
      </c>
      <c r="D2089" t="inlineStr">
        <is>
          <t>Sep</t>
        </is>
      </c>
      <c r="E2089" t="inlineStr">
        <is>
          <t>United States</t>
        </is>
      </c>
      <c r="F2089" t="inlineStr">
        <is>
          <t>USA</t>
        </is>
      </c>
      <c r="G2089" t="inlineStr">
        <is>
          <t>Eliquis</t>
        </is>
      </c>
      <c r="H2089" t="inlineStr">
        <is>
          <t>Retail pharmacy</t>
        </is>
      </c>
      <c r="I2089" t="inlineStr">
        <is>
          <t>Self-pay</t>
        </is>
      </c>
      <c r="J2089" t="inlineStr">
        <is>
          <t>Sophie Müller</t>
        </is>
      </c>
      <c r="K2089" s="70" t="n">
        <v>1319</v>
      </c>
      <c r="L2089" s="71" t="n">
        <v>661.5700000000001</v>
      </c>
      <c r="M2089" s="71" t="n">
        <v>872610.83</v>
      </c>
      <c r="N2089" s="71" t="n">
        <v>261783.25</v>
      </c>
      <c r="O2089" s="71" t="n">
        <v>610827.58</v>
      </c>
      <c r="P2089" s="71" t="n">
        <v>101564.54</v>
      </c>
      <c r="Q2089" s="71" t="n">
        <v>509263.04</v>
      </c>
      <c r="R2089" t="inlineStr">
        <is>
          <t>Cardiology</t>
        </is>
      </c>
      <c r="S2089" s="70" t="n">
        <v>839</v>
      </c>
      <c r="T2089" s="71" t="n">
        <v>131066.94</v>
      </c>
      <c r="U2089" t="inlineStr">
        <is>
          <t>High</t>
        </is>
      </c>
      <c r="V2089">
        <f>IF(AND(OR(Dashboard!$C$6="All",E2089=Dashboard!$C$6),OR(Dashboard!$F$6="All",G2089=Dashboard!$F$6),OR(Dashboard!$I$6="All",H2089=Dashboard!$I$6)),1,0)</f>
        <v/>
      </c>
    </row>
    <row r="2090">
      <c r="A2090" t="inlineStr">
        <is>
          <t>PF102081</t>
        </is>
      </c>
      <c r="B2090" s="68" t="n">
        <v>45910</v>
      </c>
      <c r="C2090" s="69" t="n">
        <v>2025</v>
      </c>
      <c r="D2090" t="inlineStr">
        <is>
          <t>Sep</t>
        </is>
      </c>
      <c r="E2090" t="inlineStr">
        <is>
          <t>Europe</t>
        </is>
      </c>
      <c r="F2090" t="inlineStr">
        <is>
          <t>France</t>
        </is>
      </c>
      <c r="G2090" t="inlineStr">
        <is>
          <t>Eliquis</t>
        </is>
      </c>
      <c r="H2090" t="inlineStr">
        <is>
          <t>Retail pharmacy</t>
        </is>
      </c>
      <c r="I2090" t="inlineStr">
        <is>
          <t>Public payer</t>
        </is>
      </c>
      <c r="J2090" t="inlineStr">
        <is>
          <t>Emma Clarke</t>
        </is>
      </c>
      <c r="K2090" s="70" t="n">
        <v>1734</v>
      </c>
      <c r="L2090" s="71" t="n">
        <v>405.61</v>
      </c>
      <c r="M2090" s="71" t="n">
        <v>703327.74</v>
      </c>
      <c r="N2090" s="71" t="n">
        <v>175831.93</v>
      </c>
      <c r="O2090" s="71" t="n">
        <v>527495.8100000001</v>
      </c>
      <c r="P2090" s="71" t="n">
        <v>135622.88</v>
      </c>
      <c r="Q2090" s="71" t="n">
        <v>391872.93</v>
      </c>
      <c r="R2090" t="inlineStr">
        <is>
          <t>Cardiology</t>
        </is>
      </c>
      <c r="S2090" s="70" t="n">
        <v>1154</v>
      </c>
      <c r="T2090" s="71" t="n">
        <v>119538.79</v>
      </c>
      <c r="U2090" t="inlineStr">
        <is>
          <t>High</t>
        </is>
      </c>
      <c r="V2090">
        <f>IF(AND(OR(Dashboard!$C$6="All",E2090=Dashboard!$C$6),OR(Dashboard!$F$6="All",G2090=Dashboard!$F$6),OR(Dashboard!$I$6="All",H2090=Dashboard!$I$6)),1,0)</f>
        <v/>
      </c>
    </row>
    <row r="2091">
      <c r="A2091" t="inlineStr">
        <is>
          <t>PF102082</t>
        </is>
      </c>
      <c r="B2091" s="68" t="n">
        <v>45910</v>
      </c>
      <c r="C2091" s="69" t="n">
        <v>2025</v>
      </c>
      <c r="D2091" t="inlineStr">
        <is>
          <t>Sep</t>
        </is>
      </c>
      <c r="E2091" t="inlineStr">
        <is>
          <t>International developed</t>
        </is>
      </c>
      <c r="F2091" t="inlineStr">
        <is>
          <t>Japan</t>
        </is>
      </c>
      <c r="G2091" t="inlineStr">
        <is>
          <t>Ibrance</t>
        </is>
      </c>
      <c r="H2091" t="inlineStr">
        <is>
          <t>Retail pharmacy</t>
        </is>
      </c>
      <c r="I2091" t="inlineStr">
        <is>
          <t>Private insurer</t>
        </is>
      </c>
      <c r="J2091" t="inlineStr">
        <is>
          <t>Sophie Müller</t>
        </is>
      </c>
      <c r="K2091" s="70" t="n">
        <v>205</v>
      </c>
      <c r="L2091" s="71" t="n">
        <v>3187.25</v>
      </c>
      <c r="M2091" s="71" t="n">
        <v>653386.25</v>
      </c>
      <c r="N2091" s="71" t="n">
        <v>98007.94</v>
      </c>
      <c r="O2091" s="71" t="n">
        <v>555378.3100000001</v>
      </c>
      <c r="P2091" s="71" t="n">
        <v>88902.64999999999</v>
      </c>
      <c r="Q2091" s="71" t="n">
        <v>466475.66</v>
      </c>
      <c r="R2091" t="inlineStr">
        <is>
          <t>Oncology</t>
        </is>
      </c>
      <c r="S2091" s="70" t="n">
        <v>179</v>
      </c>
      <c r="T2091" s="71" t="n">
        <v>138156.34</v>
      </c>
      <c r="U2091" t="inlineStr">
        <is>
          <t>High</t>
        </is>
      </c>
      <c r="V2091">
        <f>IF(AND(OR(Dashboard!$C$6="All",E2091=Dashboard!$C$6),OR(Dashboard!$F$6="All",G2091=Dashboard!$F$6),OR(Dashboard!$I$6="All",H2091=Dashboard!$I$6)),1,0)</f>
        <v/>
      </c>
    </row>
    <row r="2092">
      <c r="A2092" t="inlineStr">
        <is>
          <t>PF102083</t>
        </is>
      </c>
      <c r="B2092" s="68" t="n">
        <v>45910</v>
      </c>
      <c r="C2092" s="69" t="n">
        <v>2025</v>
      </c>
      <c r="D2092" t="inlineStr">
        <is>
          <t>Sep</t>
        </is>
      </c>
      <c r="E2092" t="inlineStr">
        <is>
          <t>United States</t>
        </is>
      </c>
      <c r="F2092" t="inlineStr">
        <is>
          <t>USA</t>
        </is>
      </c>
      <c r="G2092" t="inlineStr">
        <is>
          <t>Xeljanz</t>
        </is>
      </c>
      <c r="H2092" t="inlineStr">
        <is>
          <t>Retail pharmacy</t>
        </is>
      </c>
      <c r="I2092" t="inlineStr">
        <is>
          <t>Private insurer</t>
        </is>
      </c>
      <c r="J2092" t="inlineStr">
        <is>
          <t>Yuki Sato</t>
        </is>
      </c>
      <c r="K2092" s="70" t="n">
        <v>2137</v>
      </c>
      <c r="L2092" s="71" t="n">
        <v>2090.4</v>
      </c>
      <c r="M2092" s="71" t="n">
        <v>4467184.8</v>
      </c>
      <c r="N2092" s="71" t="n">
        <v>1340155.44</v>
      </c>
      <c r="O2092" s="71" t="n">
        <v>3127029.36</v>
      </c>
      <c r="P2092" s="71" t="n">
        <v>535334.38</v>
      </c>
      <c r="Q2092" s="71" t="n">
        <v>2591694.98</v>
      </c>
      <c r="R2092" t="inlineStr">
        <is>
          <t>Inflammation</t>
        </is>
      </c>
      <c r="S2092" s="70" t="n">
        <v>1476</v>
      </c>
      <c r="T2092" s="71" t="n">
        <v>901984.76</v>
      </c>
      <c r="U2092" t="inlineStr">
        <is>
          <t>High</t>
        </is>
      </c>
      <c r="V2092">
        <f>IF(AND(OR(Dashboard!$C$6="All",E2092=Dashboard!$C$6),OR(Dashboard!$F$6="All",G2092=Dashboard!$F$6),OR(Dashboard!$I$6="All",H2092=Dashboard!$I$6)),1,0)</f>
        <v/>
      </c>
    </row>
    <row r="2093">
      <c r="A2093" t="inlineStr">
        <is>
          <t>PF102084</t>
        </is>
      </c>
      <c r="B2093" s="68" t="n">
        <v>45910</v>
      </c>
      <c r="C2093" s="69" t="n">
        <v>2025</v>
      </c>
      <c r="D2093" t="inlineStr">
        <is>
          <t>Sep</t>
        </is>
      </c>
      <c r="E2093" t="inlineStr">
        <is>
          <t>United States</t>
        </is>
      </c>
      <c r="F2093" t="inlineStr">
        <is>
          <t>USA</t>
        </is>
      </c>
      <c r="G2093" t="inlineStr">
        <is>
          <t>Vyndaqel</t>
        </is>
      </c>
      <c r="H2093" t="inlineStr">
        <is>
          <t>Retail pharmacy</t>
        </is>
      </c>
      <c r="I2093" t="inlineStr">
        <is>
          <t>Self-pay</t>
        </is>
      </c>
      <c r="J2093" t="inlineStr">
        <is>
          <t>Noah Smith</t>
        </is>
      </c>
      <c r="K2093" s="70" t="n">
        <v>90</v>
      </c>
      <c r="L2093" s="71" t="n">
        <v>7494.05</v>
      </c>
      <c r="M2093" s="71" t="n">
        <v>674464.5</v>
      </c>
      <c r="N2093" s="71" t="n">
        <v>168616.12</v>
      </c>
      <c r="O2093" s="71" t="n">
        <v>505848.38</v>
      </c>
      <c r="P2093" s="71" t="n">
        <v>56760.47</v>
      </c>
      <c r="Q2093" s="71" t="n">
        <v>449087.91</v>
      </c>
      <c r="R2093" t="inlineStr">
        <is>
          <t>Rare disease</t>
        </is>
      </c>
      <c r="S2093" s="70" t="n">
        <v>74</v>
      </c>
      <c r="T2093" s="71" t="n">
        <v>100481.09</v>
      </c>
      <c r="U2093" t="inlineStr">
        <is>
          <t>Medium</t>
        </is>
      </c>
      <c r="V2093">
        <f>IF(AND(OR(Dashboard!$C$6="All",E2093=Dashboard!$C$6),OR(Dashboard!$F$6="All",G2093=Dashboard!$F$6),OR(Dashboard!$I$6="All",H2093=Dashboard!$I$6)),1,0)</f>
        <v/>
      </c>
    </row>
    <row r="2094">
      <c r="A2094" t="inlineStr">
        <is>
          <t>PF102085</t>
        </is>
      </c>
      <c r="B2094" s="68" t="n">
        <v>45910</v>
      </c>
      <c r="C2094" s="69" t="n">
        <v>2025</v>
      </c>
      <c r="D2094" t="inlineStr">
        <is>
          <t>Sep</t>
        </is>
      </c>
      <c r="E2094" t="inlineStr">
        <is>
          <t>International developed</t>
        </is>
      </c>
      <c r="F2094" t="inlineStr">
        <is>
          <t>Japan</t>
        </is>
      </c>
      <c r="G2094" t="inlineStr">
        <is>
          <t>Comirnaty</t>
        </is>
      </c>
      <c r="H2094" t="inlineStr">
        <is>
          <t>Retail pharmacy</t>
        </is>
      </c>
      <c r="I2094" t="inlineStr">
        <is>
          <t>Private insurer</t>
        </is>
      </c>
      <c r="J2094" t="inlineStr">
        <is>
          <t>Liam O'Brien</t>
        </is>
      </c>
      <c r="K2094" s="70" t="n">
        <v>1275</v>
      </c>
      <c r="L2094" s="71" t="n">
        <v>99.63</v>
      </c>
      <c r="M2094" s="71" t="n">
        <v>127028.25</v>
      </c>
      <c r="N2094" s="71" t="n">
        <v>25405.65</v>
      </c>
      <c r="O2094" s="71" t="n">
        <v>101622.6</v>
      </c>
      <c r="P2094" s="71" t="n">
        <v>48246.9</v>
      </c>
      <c r="Q2094" s="71" t="n">
        <v>53375.7</v>
      </c>
      <c r="R2094" t="inlineStr">
        <is>
          <t>Vaccines</t>
        </is>
      </c>
      <c r="S2094" s="70" t="n">
        <v>1241</v>
      </c>
      <c r="T2094" s="71" t="n">
        <v>18972.11</v>
      </c>
      <c r="U2094" t="inlineStr">
        <is>
          <t>Low</t>
        </is>
      </c>
      <c r="V2094">
        <f>IF(AND(OR(Dashboard!$C$6="All",E2094=Dashboard!$C$6),OR(Dashboard!$F$6="All",G2094=Dashboard!$F$6),OR(Dashboard!$I$6="All",H2094=Dashboard!$I$6)),1,0)</f>
        <v/>
      </c>
    </row>
    <row r="2095">
      <c r="A2095" t="inlineStr">
        <is>
          <t>PF102086</t>
        </is>
      </c>
      <c r="B2095" s="68" t="n">
        <v>45911</v>
      </c>
      <c r="C2095" s="69" t="n">
        <v>2025</v>
      </c>
      <c r="D2095" t="inlineStr">
        <is>
          <t>Sep</t>
        </is>
      </c>
      <c r="E2095" t="inlineStr">
        <is>
          <t>United States</t>
        </is>
      </c>
      <c r="F2095" t="inlineStr">
        <is>
          <t>USA</t>
        </is>
      </c>
      <c r="G2095" t="inlineStr">
        <is>
          <t>Ibrance</t>
        </is>
      </c>
      <c r="H2095" t="inlineStr">
        <is>
          <t>Government / tender</t>
        </is>
      </c>
      <c r="I2095" t="inlineStr">
        <is>
          <t>Public payer</t>
        </is>
      </c>
      <c r="J2095" t="inlineStr">
        <is>
          <t>Priya Nair</t>
        </is>
      </c>
      <c r="K2095" s="70" t="n">
        <v>1435</v>
      </c>
      <c r="L2095" s="71" t="n">
        <v>4345.46</v>
      </c>
      <c r="M2095" s="71" t="n">
        <v>6235735.1</v>
      </c>
      <c r="N2095" s="71" t="n">
        <v>935360.27</v>
      </c>
      <c r="O2095" s="71" t="n">
        <v>5300374.83</v>
      </c>
      <c r="P2095" s="71" t="n">
        <v>638857.04</v>
      </c>
      <c r="Q2095" s="71" t="n">
        <v>4661517.79</v>
      </c>
      <c r="R2095" t="inlineStr">
        <is>
          <t>Oncology</t>
        </is>
      </c>
      <c r="S2095" s="70" t="n">
        <v>1343</v>
      </c>
      <c r="T2095" s="71" t="n">
        <v>907960.59</v>
      </c>
      <c r="U2095" t="inlineStr">
        <is>
          <t>High</t>
        </is>
      </c>
      <c r="V2095">
        <f>IF(AND(OR(Dashboard!$C$6="All",E2095=Dashboard!$C$6),OR(Dashboard!$F$6="All",G2095=Dashboard!$F$6),OR(Dashboard!$I$6="All",H2095=Dashboard!$I$6)),1,0)</f>
        <v/>
      </c>
    </row>
    <row r="2096">
      <c r="A2096" t="inlineStr">
        <is>
          <t>PF102087</t>
        </is>
      </c>
      <c r="B2096" s="68" t="n">
        <v>45911</v>
      </c>
      <c r="C2096" s="69" t="n">
        <v>2025</v>
      </c>
      <c r="D2096" t="inlineStr">
        <is>
          <t>Sep</t>
        </is>
      </c>
      <c r="E2096" t="inlineStr">
        <is>
          <t>Europe</t>
        </is>
      </c>
      <c r="F2096" t="inlineStr">
        <is>
          <t>Italy</t>
        </is>
      </c>
      <c r="G2096" t="inlineStr">
        <is>
          <t>Xeljanz</t>
        </is>
      </c>
      <c r="H2096" t="inlineStr">
        <is>
          <t>Retail pharmacy</t>
        </is>
      </c>
      <c r="I2096" t="inlineStr">
        <is>
          <t>Public payer</t>
        </is>
      </c>
      <c r="J2096" t="inlineStr">
        <is>
          <t>Yuki Sato</t>
        </is>
      </c>
      <c r="K2096" s="70" t="n">
        <v>2640</v>
      </c>
      <c r="L2096" s="71" t="n">
        <v>1483.8</v>
      </c>
      <c r="M2096" s="71" t="n">
        <v>3917232</v>
      </c>
      <c r="N2096" s="71" t="n">
        <v>587584.8</v>
      </c>
      <c r="O2096" s="71" t="n">
        <v>3329647.2</v>
      </c>
      <c r="P2096" s="71" t="n">
        <v>667120.95</v>
      </c>
      <c r="Q2096" s="71" t="n">
        <v>2662526.25</v>
      </c>
      <c r="R2096" t="inlineStr">
        <is>
          <t>Inflammation</t>
        </is>
      </c>
      <c r="S2096" s="70" t="n">
        <v>1809</v>
      </c>
      <c r="T2096" s="71" t="n">
        <v>638267.61</v>
      </c>
      <c r="U2096" t="inlineStr">
        <is>
          <t>High</t>
        </is>
      </c>
      <c r="V2096">
        <f>IF(AND(OR(Dashboard!$C$6="All",E2096=Dashboard!$C$6),OR(Dashboard!$F$6="All",G2096=Dashboard!$F$6),OR(Dashboard!$I$6="All",H2096=Dashboard!$I$6)),1,0)</f>
        <v/>
      </c>
    </row>
    <row r="2097">
      <c r="A2097" t="inlineStr">
        <is>
          <t>PF102088</t>
        </is>
      </c>
      <c r="B2097" s="68" t="n">
        <v>45911</v>
      </c>
      <c r="C2097" s="69" t="n">
        <v>2025</v>
      </c>
      <c r="D2097" t="inlineStr">
        <is>
          <t>Sep</t>
        </is>
      </c>
      <c r="E2097" t="inlineStr">
        <is>
          <t>United States</t>
        </is>
      </c>
      <c r="F2097" t="inlineStr">
        <is>
          <t>USA</t>
        </is>
      </c>
      <c r="G2097" t="inlineStr">
        <is>
          <t>Ibrance</t>
        </is>
      </c>
      <c r="H2097" t="inlineStr">
        <is>
          <t>Government / tender</t>
        </is>
      </c>
      <c r="I2097" t="inlineStr">
        <is>
          <t>Public payer</t>
        </is>
      </c>
      <c r="J2097" t="inlineStr">
        <is>
          <t>Priya Nair</t>
        </is>
      </c>
      <c r="K2097" s="70" t="n">
        <v>780</v>
      </c>
      <c r="L2097" s="71" t="n">
        <v>4793.73</v>
      </c>
      <c r="M2097" s="71" t="n">
        <v>3739109.4</v>
      </c>
      <c r="N2097" s="71" t="n">
        <v>1308688.29</v>
      </c>
      <c r="O2097" s="71" t="n">
        <v>2430421.11</v>
      </c>
      <c r="P2097" s="71" t="n">
        <v>339362.21</v>
      </c>
      <c r="Q2097" s="71" t="n">
        <v>2091058.9</v>
      </c>
      <c r="R2097" t="inlineStr">
        <is>
          <t>Oncology</t>
        </is>
      </c>
      <c r="S2097" s="70" t="n">
        <v>761</v>
      </c>
      <c r="T2097" s="71" t="n">
        <v>555073.52</v>
      </c>
      <c r="U2097" t="inlineStr">
        <is>
          <t>High</t>
        </is>
      </c>
      <c r="V2097">
        <f>IF(AND(OR(Dashboard!$C$6="All",E2097=Dashboard!$C$6),OR(Dashboard!$F$6="All",G2097=Dashboard!$F$6),OR(Dashboard!$I$6="All",H2097=Dashboard!$I$6)),1,0)</f>
        <v/>
      </c>
    </row>
    <row r="2098">
      <c r="A2098" t="inlineStr">
        <is>
          <t>PF102089</t>
        </is>
      </c>
      <c r="B2098" s="68" t="n">
        <v>45911</v>
      </c>
      <c r="C2098" s="69" t="n">
        <v>2025</v>
      </c>
      <c r="D2098" t="inlineStr">
        <is>
          <t>Sep</t>
        </is>
      </c>
      <c r="E2098" t="inlineStr">
        <is>
          <t>Emerging markets</t>
        </is>
      </c>
      <c r="F2098" t="inlineStr">
        <is>
          <t>Mexico</t>
        </is>
      </c>
      <c r="G2098" t="inlineStr">
        <is>
          <t>Xeljanz</t>
        </is>
      </c>
      <c r="H2098" t="inlineStr">
        <is>
          <t>Retail pharmacy</t>
        </is>
      </c>
      <c r="I2098" t="inlineStr">
        <is>
          <t>Private insurer</t>
        </is>
      </c>
      <c r="J2098" t="inlineStr">
        <is>
          <t>Liam O'Brien</t>
        </is>
      </c>
      <c r="K2098" s="70" t="n">
        <v>369</v>
      </c>
      <c r="L2098" s="71" t="n">
        <v>1275.85</v>
      </c>
      <c r="M2098" s="71" t="n">
        <v>470788.65</v>
      </c>
      <c r="N2098" s="71" t="n">
        <v>47078.87</v>
      </c>
      <c r="O2098" s="71" t="n">
        <v>423709.78</v>
      </c>
      <c r="P2098" s="71" t="n">
        <v>92067.31</v>
      </c>
      <c r="Q2098" s="71" t="n">
        <v>331642.47</v>
      </c>
      <c r="R2098" t="inlineStr">
        <is>
          <t>Inflammation</t>
        </is>
      </c>
      <c r="S2098" s="70" t="n">
        <v>366</v>
      </c>
      <c r="T2098" s="71" t="n">
        <v>85065.17999999999</v>
      </c>
      <c r="U2098" t="inlineStr">
        <is>
          <t>High</t>
        </is>
      </c>
      <c r="V2098">
        <f>IF(AND(OR(Dashboard!$C$6="All",E2098=Dashboard!$C$6),OR(Dashboard!$F$6="All",G2098=Dashboard!$F$6),OR(Dashboard!$I$6="All",H2098=Dashboard!$I$6)),1,0)</f>
        <v/>
      </c>
    </row>
    <row r="2099">
      <c r="A2099" t="inlineStr">
        <is>
          <t>PF102090</t>
        </is>
      </c>
      <c r="B2099" s="68" t="n">
        <v>45911</v>
      </c>
      <c r="C2099" s="69" t="n">
        <v>2025</v>
      </c>
      <c r="D2099" t="inlineStr">
        <is>
          <t>Sep</t>
        </is>
      </c>
      <c r="E2099" t="inlineStr">
        <is>
          <t>Europe</t>
        </is>
      </c>
      <c r="F2099" t="inlineStr">
        <is>
          <t>Italy</t>
        </is>
      </c>
      <c r="G2099" t="inlineStr">
        <is>
          <t>Eliquis</t>
        </is>
      </c>
      <c r="H2099" t="inlineStr">
        <is>
          <t>Hospital</t>
        </is>
      </c>
      <c r="I2099" t="inlineStr">
        <is>
          <t>Public payer</t>
        </is>
      </c>
      <c r="J2099" t="inlineStr">
        <is>
          <t>Hiroshi Tanaka</t>
        </is>
      </c>
      <c r="K2099" s="70" t="n">
        <v>1663</v>
      </c>
      <c r="L2099" s="71" t="n">
        <v>452.55</v>
      </c>
      <c r="M2099" s="71" t="n">
        <v>752590.65</v>
      </c>
      <c r="N2099" s="71" t="n">
        <v>75259.07000000001</v>
      </c>
      <c r="O2099" s="71" t="n">
        <v>677331.58</v>
      </c>
      <c r="P2099" s="71" t="n">
        <v>125845.71</v>
      </c>
      <c r="Q2099" s="71" t="n">
        <v>551485.87</v>
      </c>
      <c r="R2099" t="inlineStr">
        <is>
          <t>Cardiology</t>
        </is>
      </c>
      <c r="S2099" s="70" t="n">
        <v>1301</v>
      </c>
      <c r="T2099" s="71" t="n">
        <v>116715.29</v>
      </c>
      <c r="U2099" t="inlineStr">
        <is>
          <t>High</t>
        </is>
      </c>
      <c r="V2099">
        <f>IF(AND(OR(Dashboard!$C$6="All",E2099=Dashboard!$C$6),OR(Dashboard!$F$6="All",G2099=Dashboard!$F$6),OR(Dashboard!$I$6="All",H2099=Dashboard!$I$6)),1,0)</f>
        <v/>
      </c>
    </row>
    <row r="2100">
      <c r="A2100" t="inlineStr">
        <is>
          <t>PF102091</t>
        </is>
      </c>
      <c r="B2100" s="68" t="n">
        <v>45911</v>
      </c>
      <c r="C2100" s="69" t="n">
        <v>2025</v>
      </c>
      <c r="D2100" t="inlineStr">
        <is>
          <t>Sep</t>
        </is>
      </c>
      <c r="E2100" t="inlineStr">
        <is>
          <t>United States</t>
        </is>
      </c>
      <c r="F2100" t="inlineStr">
        <is>
          <t>USA</t>
        </is>
      </c>
      <c r="G2100" t="inlineStr">
        <is>
          <t>Comirnaty</t>
        </is>
      </c>
      <c r="H2100" t="inlineStr">
        <is>
          <t>Retail pharmacy</t>
        </is>
      </c>
      <c r="I2100" t="inlineStr">
        <is>
          <t>Private insurer</t>
        </is>
      </c>
      <c r="J2100" t="inlineStr">
        <is>
          <t>Omar Haddad</t>
        </is>
      </c>
      <c r="K2100" s="70" t="n">
        <v>2560</v>
      </c>
      <c r="L2100" s="71" t="n">
        <v>160.03</v>
      </c>
      <c r="M2100" s="71" t="n">
        <v>409676.8</v>
      </c>
      <c r="N2100" s="71" t="n">
        <v>61451.52</v>
      </c>
      <c r="O2100" s="71" t="n">
        <v>348225.28</v>
      </c>
      <c r="P2100" s="71" t="n">
        <v>99105.13</v>
      </c>
      <c r="Q2100" s="71" t="n">
        <v>249120.15</v>
      </c>
      <c r="R2100" t="inlineStr">
        <is>
          <t>Vaccines</t>
        </is>
      </c>
      <c r="S2100" s="70" t="n">
        <v>1772</v>
      </c>
      <c r="T2100" s="71" t="n">
        <v>68627.74000000001</v>
      </c>
      <c r="U2100" t="inlineStr">
        <is>
          <t>Low</t>
        </is>
      </c>
      <c r="V2100">
        <f>IF(AND(OR(Dashboard!$C$6="All",E2100=Dashboard!$C$6),OR(Dashboard!$F$6="All",G2100=Dashboard!$F$6),OR(Dashboard!$I$6="All",H2100=Dashboard!$I$6)),1,0)</f>
        <v/>
      </c>
    </row>
    <row r="2101">
      <c r="A2101" t="inlineStr">
        <is>
          <t>PF102092</t>
        </is>
      </c>
      <c r="B2101" s="68" t="n">
        <v>45911</v>
      </c>
      <c r="C2101" s="69" t="n">
        <v>2025</v>
      </c>
      <c r="D2101" t="inlineStr">
        <is>
          <t>Sep</t>
        </is>
      </c>
      <c r="E2101" t="inlineStr">
        <is>
          <t>United States</t>
        </is>
      </c>
      <c r="F2101" t="inlineStr">
        <is>
          <t>USA</t>
        </is>
      </c>
      <c r="G2101" t="inlineStr">
        <is>
          <t>Eliquis</t>
        </is>
      </c>
      <c r="H2101" t="inlineStr">
        <is>
          <t>Hospital</t>
        </is>
      </c>
      <c r="I2101" t="inlineStr">
        <is>
          <t>Public payer</t>
        </is>
      </c>
      <c r="J2101" t="inlineStr">
        <is>
          <t>Noah Smith</t>
        </is>
      </c>
      <c r="K2101" s="70" t="n">
        <v>1337</v>
      </c>
      <c r="L2101" s="71" t="n">
        <v>730.9400000000001</v>
      </c>
      <c r="M2101" s="71" t="n">
        <v>977266.78</v>
      </c>
      <c r="N2101" s="71" t="n">
        <v>146590.02</v>
      </c>
      <c r="O2101" s="71" t="n">
        <v>830676.76</v>
      </c>
      <c r="P2101" s="71" t="n">
        <v>104257.22</v>
      </c>
      <c r="Q2101" s="71" t="n">
        <v>726419.54</v>
      </c>
      <c r="R2101" t="inlineStr">
        <is>
          <t>Cardiology</t>
        </is>
      </c>
      <c r="S2101" s="70" t="n">
        <v>1105</v>
      </c>
      <c r="T2101" s="71" t="n">
        <v>135611.54</v>
      </c>
      <c r="U2101" t="inlineStr">
        <is>
          <t>High</t>
        </is>
      </c>
      <c r="V2101">
        <f>IF(AND(OR(Dashboard!$C$6="All",E2101=Dashboard!$C$6),OR(Dashboard!$F$6="All",G2101=Dashboard!$F$6),OR(Dashboard!$I$6="All",H2101=Dashboard!$I$6)),1,0)</f>
        <v/>
      </c>
    </row>
    <row r="2102">
      <c r="A2102" t="inlineStr">
        <is>
          <t>PF102093</t>
        </is>
      </c>
      <c r="B2102" s="68" t="n">
        <v>45911</v>
      </c>
      <c r="C2102" s="69" t="n">
        <v>2025</v>
      </c>
      <c r="D2102" t="inlineStr">
        <is>
          <t>Sep</t>
        </is>
      </c>
      <c r="E2102" t="inlineStr">
        <is>
          <t>International developed</t>
        </is>
      </c>
      <c r="F2102" t="inlineStr">
        <is>
          <t>Australia</t>
        </is>
      </c>
      <c r="G2102" t="inlineStr">
        <is>
          <t>Xeljanz</t>
        </is>
      </c>
      <c r="H2102" t="inlineStr">
        <is>
          <t>Retail pharmacy</t>
        </is>
      </c>
      <c r="I2102" t="inlineStr">
        <is>
          <t>Public payer</t>
        </is>
      </c>
      <c r="J2102" t="inlineStr">
        <is>
          <t>Ruhi Shaikh</t>
        </is>
      </c>
      <c r="K2102" s="70" t="n">
        <v>335</v>
      </c>
      <c r="L2102" s="71" t="n">
        <v>1328.17</v>
      </c>
      <c r="M2102" s="71" t="n">
        <v>444936.95</v>
      </c>
      <c r="N2102" s="71" t="n">
        <v>88987.39</v>
      </c>
      <c r="O2102" s="71" t="n">
        <v>355949.56</v>
      </c>
      <c r="P2102" s="71" t="n">
        <v>81245.17999999999</v>
      </c>
      <c r="Q2102" s="71" t="n">
        <v>274704.38</v>
      </c>
      <c r="R2102" t="inlineStr">
        <is>
          <t>Inflammation</t>
        </is>
      </c>
      <c r="S2102" s="70" t="n">
        <v>228</v>
      </c>
      <c r="T2102" s="71" t="n">
        <v>63719.39</v>
      </c>
      <c r="U2102" t="inlineStr">
        <is>
          <t>High</t>
        </is>
      </c>
      <c r="V2102">
        <f>IF(AND(OR(Dashboard!$C$6="All",E2102=Dashboard!$C$6),OR(Dashboard!$F$6="All",G2102=Dashboard!$F$6),OR(Dashboard!$I$6="All",H2102=Dashboard!$I$6)),1,0)</f>
        <v/>
      </c>
    </row>
    <row r="2103">
      <c r="A2103" t="inlineStr">
        <is>
          <t>PF102094</t>
        </is>
      </c>
      <c r="B2103" s="68" t="n">
        <v>45911</v>
      </c>
      <c r="C2103" s="69" t="n">
        <v>2025</v>
      </c>
      <c r="D2103" t="inlineStr">
        <is>
          <t>Sep</t>
        </is>
      </c>
      <c r="E2103" t="inlineStr">
        <is>
          <t>United States</t>
        </is>
      </c>
      <c r="F2103" t="inlineStr">
        <is>
          <t>USA</t>
        </is>
      </c>
      <c r="G2103" t="inlineStr">
        <is>
          <t>Paxlovid</t>
        </is>
      </c>
      <c r="H2103" t="inlineStr">
        <is>
          <t>Hospital</t>
        </is>
      </c>
      <c r="I2103" t="inlineStr">
        <is>
          <t>Public payer</t>
        </is>
      </c>
      <c r="J2103" t="inlineStr">
        <is>
          <t>Lucas Martin</t>
        </is>
      </c>
      <c r="K2103" s="70" t="n">
        <v>664</v>
      </c>
      <c r="L2103" s="71" t="n">
        <v>1598.42</v>
      </c>
      <c r="M2103" s="71" t="n">
        <v>1061350.88</v>
      </c>
      <c r="N2103" s="71" t="n">
        <v>212270.18</v>
      </c>
      <c r="O2103" s="71" t="n">
        <v>849080.7</v>
      </c>
      <c r="P2103" s="71" t="n">
        <v>181235.53</v>
      </c>
      <c r="Q2103" s="71" t="n">
        <v>667845.17</v>
      </c>
      <c r="R2103" t="inlineStr">
        <is>
          <t>Antiviral</t>
        </is>
      </c>
      <c r="S2103" s="70" t="n">
        <v>498</v>
      </c>
      <c r="T2103" s="71" t="n">
        <v>151687.59</v>
      </c>
      <c r="U2103" t="inlineStr">
        <is>
          <t>Low</t>
        </is>
      </c>
      <c r="V2103">
        <f>IF(AND(OR(Dashboard!$C$6="All",E2103=Dashboard!$C$6),OR(Dashboard!$F$6="All",G2103=Dashboard!$F$6),OR(Dashboard!$I$6="All",H2103=Dashboard!$I$6)),1,0)</f>
        <v/>
      </c>
    </row>
    <row r="2104">
      <c r="A2104" t="inlineStr">
        <is>
          <t>PF102095</t>
        </is>
      </c>
      <c r="B2104" s="68" t="n">
        <v>45911</v>
      </c>
      <c r="C2104" s="69" t="n">
        <v>2025</v>
      </c>
      <c r="D2104" t="inlineStr">
        <is>
          <t>Sep</t>
        </is>
      </c>
      <c r="E2104" t="inlineStr">
        <is>
          <t>Europe</t>
        </is>
      </c>
      <c r="F2104" t="inlineStr">
        <is>
          <t>Germany</t>
        </is>
      </c>
      <c r="G2104" t="inlineStr">
        <is>
          <t>Eliquis</t>
        </is>
      </c>
      <c r="H2104" t="inlineStr">
        <is>
          <t>Government / tender</t>
        </is>
      </c>
      <c r="I2104" t="inlineStr">
        <is>
          <t>Private insurer</t>
        </is>
      </c>
      <c r="J2104" t="inlineStr">
        <is>
          <t>Ana Costa</t>
        </is>
      </c>
      <c r="K2104" s="70" t="n">
        <v>1625</v>
      </c>
      <c r="L2104" s="71" t="n">
        <v>397.84</v>
      </c>
      <c r="M2104" s="71" t="n">
        <v>646490</v>
      </c>
      <c r="N2104" s="71" t="n">
        <v>161622.5</v>
      </c>
      <c r="O2104" s="71" t="n">
        <v>484867.5</v>
      </c>
      <c r="P2104" s="71" t="n">
        <v>123273.47</v>
      </c>
      <c r="Q2104" s="71" t="n">
        <v>361594.03</v>
      </c>
      <c r="R2104" t="inlineStr">
        <is>
          <t>Cardiology</t>
        </is>
      </c>
      <c r="S2104" s="70" t="n">
        <v>1265</v>
      </c>
      <c r="T2104" s="71" t="n">
        <v>125718.14</v>
      </c>
      <c r="U2104" t="inlineStr">
        <is>
          <t>High</t>
        </is>
      </c>
      <c r="V2104">
        <f>IF(AND(OR(Dashboard!$C$6="All",E2104=Dashboard!$C$6),OR(Dashboard!$F$6="All",G2104=Dashboard!$F$6),OR(Dashboard!$I$6="All",H2104=Dashboard!$I$6)),1,0)</f>
        <v/>
      </c>
    </row>
    <row r="2105">
      <c r="A2105" t="inlineStr">
        <is>
          <t>PF102096</t>
        </is>
      </c>
      <c r="B2105" s="68" t="n">
        <v>45911</v>
      </c>
      <c r="C2105" s="69" t="n">
        <v>2025</v>
      </c>
      <c r="D2105" t="inlineStr">
        <is>
          <t>Sep</t>
        </is>
      </c>
      <c r="E2105" t="inlineStr">
        <is>
          <t>International developed</t>
        </is>
      </c>
      <c r="F2105" t="inlineStr">
        <is>
          <t>Japan</t>
        </is>
      </c>
      <c r="G2105" t="inlineStr">
        <is>
          <t>Abrysvo</t>
        </is>
      </c>
      <c r="H2105" t="inlineStr">
        <is>
          <t>Hospital</t>
        </is>
      </c>
      <c r="I2105" t="inlineStr">
        <is>
          <t>Private insurer</t>
        </is>
      </c>
      <c r="J2105" t="inlineStr">
        <is>
          <t>Omar Haddad</t>
        </is>
      </c>
      <c r="K2105" s="70" t="n">
        <v>2736</v>
      </c>
      <c r="L2105" s="71" t="n">
        <v>301.98</v>
      </c>
      <c r="M2105" s="71" t="n">
        <v>826217.28</v>
      </c>
      <c r="N2105" s="71" t="n">
        <v>82621.73</v>
      </c>
      <c r="O2105" s="71" t="n">
        <v>743595.55</v>
      </c>
      <c r="P2105" s="71" t="n">
        <v>234370.47</v>
      </c>
      <c r="Q2105" s="71" t="n">
        <v>509225.08</v>
      </c>
      <c r="R2105" t="inlineStr">
        <is>
          <t>Vaccines</t>
        </is>
      </c>
      <c r="S2105" s="70" t="n">
        <v>2650</v>
      </c>
      <c r="T2105" s="71" t="n">
        <v>104163.36</v>
      </c>
      <c r="U2105" t="inlineStr">
        <is>
          <t>Low</t>
        </is>
      </c>
      <c r="V2105">
        <f>IF(AND(OR(Dashboard!$C$6="All",E2105=Dashboard!$C$6),OR(Dashboard!$F$6="All",G2105=Dashboard!$F$6),OR(Dashboard!$I$6="All",H2105=Dashboard!$I$6)),1,0)</f>
        <v/>
      </c>
    </row>
    <row r="2106">
      <c r="A2106" t="inlineStr">
        <is>
          <t>PF102097</t>
        </is>
      </c>
      <c r="B2106" s="68" t="n">
        <v>45911</v>
      </c>
      <c r="C2106" s="69" t="n">
        <v>2025</v>
      </c>
      <c r="D2106" t="inlineStr">
        <is>
          <t>Sep</t>
        </is>
      </c>
      <c r="E2106" t="inlineStr">
        <is>
          <t>United States</t>
        </is>
      </c>
      <c r="F2106" t="inlineStr">
        <is>
          <t>USA</t>
        </is>
      </c>
      <c r="G2106" t="inlineStr">
        <is>
          <t>Vyndaqel</t>
        </is>
      </c>
      <c r="H2106" t="inlineStr">
        <is>
          <t>Retail pharmacy</t>
        </is>
      </c>
      <c r="I2106" t="inlineStr">
        <is>
          <t>Private insurer</t>
        </is>
      </c>
      <c r="J2106" t="inlineStr">
        <is>
          <t>Ruhi Shaikh</t>
        </is>
      </c>
      <c r="K2106" s="70" t="n">
        <v>1199</v>
      </c>
      <c r="L2106" s="71" t="n">
        <v>9122.98</v>
      </c>
      <c r="M2106" s="71" t="n">
        <v>10938453.02</v>
      </c>
      <c r="N2106" s="71" t="n">
        <v>2187690.6</v>
      </c>
      <c r="O2106" s="71" t="n">
        <v>8750762.42</v>
      </c>
      <c r="P2106" s="71" t="n">
        <v>732408.5600000001</v>
      </c>
      <c r="Q2106" s="71" t="n">
        <v>8018353.86</v>
      </c>
      <c r="R2106" t="inlineStr">
        <is>
          <t>Rare disease</t>
        </is>
      </c>
      <c r="S2106" s="70" t="n">
        <v>902</v>
      </c>
      <c r="T2106" s="71" t="n">
        <v>2056460.31</v>
      </c>
      <c r="U2106" t="inlineStr">
        <is>
          <t>Medium</t>
        </is>
      </c>
      <c r="V2106">
        <f>IF(AND(OR(Dashboard!$C$6="All",E2106=Dashboard!$C$6),OR(Dashboard!$F$6="All",G2106=Dashboard!$F$6),OR(Dashboard!$I$6="All",H2106=Dashboard!$I$6)),1,0)</f>
        <v/>
      </c>
    </row>
    <row r="2107">
      <c r="A2107" t="inlineStr">
        <is>
          <t>PF102098</t>
        </is>
      </c>
      <c r="B2107" s="68" t="n">
        <v>45911</v>
      </c>
      <c r="C2107" s="69" t="n">
        <v>2025</v>
      </c>
      <c r="D2107" t="inlineStr">
        <is>
          <t>Sep</t>
        </is>
      </c>
      <c r="E2107" t="inlineStr">
        <is>
          <t>Europe</t>
        </is>
      </c>
      <c r="F2107" t="inlineStr">
        <is>
          <t>Germany</t>
        </is>
      </c>
      <c r="G2107" t="inlineStr">
        <is>
          <t>Ibrance</t>
        </is>
      </c>
      <c r="H2107" t="inlineStr">
        <is>
          <t>Government / tender</t>
        </is>
      </c>
      <c r="I2107" t="inlineStr">
        <is>
          <t>Public payer</t>
        </is>
      </c>
      <c r="J2107" t="inlineStr">
        <is>
          <t>Olivia Brown</t>
        </is>
      </c>
      <c r="K2107" s="70" t="n">
        <v>2838</v>
      </c>
      <c r="L2107" s="71" t="n">
        <v>2974.29</v>
      </c>
      <c r="M2107" s="71" t="n">
        <v>8441035.02</v>
      </c>
      <c r="N2107" s="71" t="n">
        <v>1266155.25</v>
      </c>
      <c r="O2107" s="71" t="n">
        <v>7174879.77</v>
      </c>
      <c r="P2107" s="71" t="n">
        <v>1201255.99</v>
      </c>
      <c r="Q2107" s="71" t="n">
        <v>5973623.78</v>
      </c>
      <c r="R2107" t="inlineStr">
        <is>
          <t>Oncology</t>
        </is>
      </c>
      <c r="S2107" s="70" t="n">
        <v>2151</v>
      </c>
      <c r="T2107" s="71" t="n">
        <v>1311692.14</v>
      </c>
      <c r="U2107" t="inlineStr">
        <is>
          <t>High</t>
        </is>
      </c>
      <c r="V2107">
        <f>IF(AND(OR(Dashboard!$C$6="All",E2107=Dashboard!$C$6),OR(Dashboard!$F$6="All",G2107=Dashboard!$F$6),OR(Dashboard!$I$6="All",H2107=Dashboard!$I$6)),1,0)</f>
        <v/>
      </c>
    </row>
    <row r="2108">
      <c r="A2108" t="inlineStr">
        <is>
          <t>PF102099</t>
        </is>
      </c>
      <c r="B2108" s="68" t="n">
        <v>45912</v>
      </c>
      <c r="C2108" s="69" t="n">
        <v>2025</v>
      </c>
      <c r="D2108" t="inlineStr">
        <is>
          <t>Sep</t>
        </is>
      </c>
      <c r="E2108" t="inlineStr">
        <is>
          <t>United States</t>
        </is>
      </c>
      <c r="F2108" t="inlineStr">
        <is>
          <t>USA</t>
        </is>
      </c>
      <c r="G2108" t="inlineStr">
        <is>
          <t>Ibrance</t>
        </is>
      </c>
      <c r="H2108" t="inlineStr">
        <is>
          <t>Hospital</t>
        </is>
      </c>
      <c r="I2108" t="inlineStr">
        <is>
          <t>Public payer</t>
        </is>
      </c>
      <c r="J2108" t="inlineStr">
        <is>
          <t>Noah Smith</t>
        </is>
      </c>
      <c r="K2108" s="70" t="n">
        <v>2023</v>
      </c>
      <c r="L2108" s="71" t="n">
        <v>4371.28</v>
      </c>
      <c r="M2108" s="71" t="n">
        <v>8843099.439999999</v>
      </c>
      <c r="N2108" s="71" t="n">
        <v>3095084.8</v>
      </c>
      <c r="O2108" s="71" t="n">
        <v>5748014.64</v>
      </c>
      <c r="P2108" s="71" t="n">
        <v>867568.74</v>
      </c>
      <c r="Q2108" s="71" t="n">
        <v>4880445.9</v>
      </c>
      <c r="R2108" t="inlineStr">
        <is>
          <t>Oncology</t>
        </is>
      </c>
      <c r="S2108" s="70" t="n">
        <v>1266</v>
      </c>
      <c r="T2108" s="71" t="n">
        <v>1941562.95</v>
      </c>
      <c r="U2108" t="inlineStr">
        <is>
          <t>High</t>
        </is>
      </c>
      <c r="V2108">
        <f>IF(AND(OR(Dashboard!$C$6="All",E2108=Dashboard!$C$6),OR(Dashboard!$F$6="All",G2108=Dashboard!$F$6),OR(Dashboard!$I$6="All",H2108=Dashboard!$I$6)),1,0)</f>
        <v/>
      </c>
    </row>
    <row r="2109">
      <c r="A2109" t="inlineStr">
        <is>
          <t>PF102100</t>
        </is>
      </c>
      <c r="B2109" s="68" t="n">
        <v>45912</v>
      </c>
      <c r="C2109" s="69" t="n">
        <v>2025</v>
      </c>
      <c r="D2109" t="inlineStr">
        <is>
          <t>Sep</t>
        </is>
      </c>
      <c r="E2109" t="inlineStr">
        <is>
          <t>United States</t>
        </is>
      </c>
      <c r="F2109" t="inlineStr">
        <is>
          <t>USA</t>
        </is>
      </c>
      <c r="G2109" t="inlineStr">
        <is>
          <t>Paxlovid</t>
        </is>
      </c>
      <c r="H2109" t="inlineStr">
        <is>
          <t>Hospital</t>
        </is>
      </c>
      <c r="I2109" t="inlineStr">
        <is>
          <t>Public payer</t>
        </is>
      </c>
      <c r="J2109" t="inlineStr">
        <is>
          <t>Arjun Mehta</t>
        </is>
      </c>
      <c r="K2109" s="70" t="n">
        <v>2117</v>
      </c>
      <c r="L2109" s="71" t="n">
        <v>1710.62</v>
      </c>
      <c r="M2109" s="71" t="n">
        <v>3621382.54</v>
      </c>
      <c r="N2109" s="71" t="n">
        <v>543207.38</v>
      </c>
      <c r="O2109" s="71" t="n">
        <v>3078175.16</v>
      </c>
      <c r="P2109" s="71" t="n">
        <v>571685.62</v>
      </c>
      <c r="Q2109" s="71" t="n">
        <v>2506489.54</v>
      </c>
      <c r="R2109" t="inlineStr">
        <is>
          <t>Antiviral</t>
        </is>
      </c>
      <c r="S2109" s="70" t="n">
        <v>1798</v>
      </c>
      <c r="T2109" s="71" t="n">
        <v>612217.8199999999</v>
      </c>
      <c r="U2109" t="inlineStr">
        <is>
          <t>Low</t>
        </is>
      </c>
      <c r="V2109">
        <f>IF(AND(OR(Dashboard!$C$6="All",E2109=Dashboard!$C$6),OR(Dashboard!$F$6="All",G2109=Dashboard!$F$6),OR(Dashboard!$I$6="All",H2109=Dashboard!$I$6)),1,0)</f>
        <v/>
      </c>
    </row>
    <row r="2110">
      <c r="A2110" t="inlineStr">
        <is>
          <t>PF102101</t>
        </is>
      </c>
      <c r="B2110" s="68" t="n">
        <v>45912</v>
      </c>
      <c r="C2110" s="69" t="n">
        <v>2025</v>
      </c>
      <c r="D2110" t="inlineStr">
        <is>
          <t>Sep</t>
        </is>
      </c>
      <c r="E2110" t="inlineStr">
        <is>
          <t>Emerging markets</t>
        </is>
      </c>
      <c r="F2110" t="inlineStr">
        <is>
          <t>Brazil</t>
        </is>
      </c>
      <c r="G2110" t="inlineStr">
        <is>
          <t>Prevnar 20</t>
        </is>
      </c>
      <c r="H2110" t="inlineStr">
        <is>
          <t>Hospital</t>
        </is>
      </c>
      <c r="I2110" t="inlineStr">
        <is>
          <t>Private insurer</t>
        </is>
      </c>
      <c r="J2110" t="inlineStr">
        <is>
          <t>Priya Nair</t>
        </is>
      </c>
      <c r="K2110" s="70" t="n">
        <v>242</v>
      </c>
      <c r="L2110" s="71" t="n">
        <v>212.19</v>
      </c>
      <c r="M2110" s="71" t="n">
        <v>51349.98</v>
      </c>
      <c r="N2110" s="71" t="n">
        <v>2567.5</v>
      </c>
      <c r="O2110" s="71" t="n">
        <v>48782.48</v>
      </c>
      <c r="P2110" s="71" t="n">
        <v>16518.71</v>
      </c>
      <c r="Q2110" s="71" t="n">
        <v>32263.77</v>
      </c>
      <c r="R2110" t="inlineStr">
        <is>
          <t>Vaccines</t>
        </is>
      </c>
      <c r="S2110" s="70" t="n">
        <v>167</v>
      </c>
      <c r="T2110" s="71" t="n">
        <v>9432.709999999999</v>
      </c>
      <c r="U2110" t="inlineStr">
        <is>
          <t>Low</t>
        </is>
      </c>
      <c r="V2110">
        <f>IF(AND(OR(Dashboard!$C$6="All",E2110=Dashboard!$C$6),OR(Dashboard!$F$6="All",G2110=Dashboard!$F$6),OR(Dashboard!$I$6="All",H2110=Dashboard!$I$6)),1,0)</f>
        <v/>
      </c>
    </row>
    <row r="2111">
      <c r="A2111" t="inlineStr">
        <is>
          <t>PF102102</t>
        </is>
      </c>
      <c r="B2111" s="68" t="n">
        <v>45912</v>
      </c>
      <c r="C2111" s="69" t="n">
        <v>2025</v>
      </c>
      <c r="D2111" t="inlineStr">
        <is>
          <t>Sep</t>
        </is>
      </c>
      <c r="E2111" t="inlineStr">
        <is>
          <t>United States</t>
        </is>
      </c>
      <c r="F2111" t="inlineStr">
        <is>
          <t>USA</t>
        </is>
      </c>
      <c r="G2111" t="inlineStr">
        <is>
          <t>Eliquis</t>
        </is>
      </c>
      <c r="H2111" t="inlineStr">
        <is>
          <t>Hospital</t>
        </is>
      </c>
      <c r="I2111" t="inlineStr">
        <is>
          <t>Public payer</t>
        </is>
      </c>
      <c r="J2111" t="inlineStr">
        <is>
          <t>Ravindra Patil</t>
        </is>
      </c>
      <c r="K2111" s="70" t="n">
        <v>645</v>
      </c>
      <c r="L2111" s="71" t="n">
        <v>618.9299999999999</v>
      </c>
      <c r="M2111" s="71" t="n">
        <v>399209.85</v>
      </c>
      <c r="N2111" s="71" t="n">
        <v>119762.96</v>
      </c>
      <c r="O2111" s="71" t="n">
        <v>279446.89</v>
      </c>
      <c r="P2111" s="71" t="n">
        <v>50040.04</v>
      </c>
      <c r="Q2111" s="71" t="n">
        <v>229406.85</v>
      </c>
      <c r="R2111" t="inlineStr">
        <is>
          <t>Cardiology</t>
        </is>
      </c>
      <c r="S2111" s="70" t="n">
        <v>599</v>
      </c>
      <c r="T2111" s="71" t="n">
        <v>63468.24</v>
      </c>
      <c r="U2111" t="inlineStr">
        <is>
          <t>High</t>
        </is>
      </c>
      <c r="V2111">
        <f>IF(AND(OR(Dashboard!$C$6="All",E2111=Dashboard!$C$6),OR(Dashboard!$F$6="All",G2111=Dashboard!$F$6),OR(Dashboard!$I$6="All",H2111=Dashboard!$I$6)),1,0)</f>
        <v/>
      </c>
    </row>
    <row r="2112">
      <c r="A2112" t="inlineStr">
        <is>
          <t>PF102103</t>
        </is>
      </c>
      <c r="B2112" s="68" t="n">
        <v>45912</v>
      </c>
      <c r="C2112" s="69" t="n">
        <v>2025</v>
      </c>
      <c r="D2112" t="inlineStr">
        <is>
          <t>Sep</t>
        </is>
      </c>
      <c r="E2112" t="inlineStr">
        <is>
          <t>United States</t>
        </is>
      </c>
      <c r="F2112" t="inlineStr">
        <is>
          <t>USA</t>
        </is>
      </c>
      <c r="G2112" t="inlineStr">
        <is>
          <t>Xeljanz</t>
        </is>
      </c>
      <c r="H2112" t="inlineStr">
        <is>
          <t>Retail pharmacy</t>
        </is>
      </c>
      <c r="I2112" t="inlineStr">
        <is>
          <t>Self-pay</t>
        </is>
      </c>
      <c r="J2112" t="inlineStr">
        <is>
          <t>Shraddha Kulkarni</t>
        </is>
      </c>
      <c r="K2112" s="70" t="n">
        <v>2755</v>
      </c>
      <c r="L2112" s="71" t="n">
        <v>2098.08</v>
      </c>
      <c r="M2112" s="71" t="n">
        <v>5780210.4</v>
      </c>
      <c r="N2112" s="71" t="n">
        <v>1156042.08</v>
      </c>
      <c r="O2112" s="71" t="n">
        <v>4624168.32</v>
      </c>
      <c r="P2112" s="71" t="n">
        <v>685341.5699999999</v>
      </c>
      <c r="Q2112" s="71" t="n">
        <v>3938826.75</v>
      </c>
      <c r="R2112" t="inlineStr">
        <is>
          <t>Inflammation</t>
        </is>
      </c>
      <c r="S2112" s="70" t="n">
        <v>2548</v>
      </c>
      <c r="T2112" s="71" t="n">
        <v>765243.23</v>
      </c>
      <c r="U2112" t="inlineStr">
        <is>
          <t>High</t>
        </is>
      </c>
      <c r="V2112">
        <f>IF(AND(OR(Dashboard!$C$6="All",E2112=Dashboard!$C$6),OR(Dashboard!$F$6="All",G2112=Dashboard!$F$6),OR(Dashboard!$I$6="All",H2112=Dashboard!$I$6)),1,0)</f>
        <v/>
      </c>
    </row>
    <row r="2113">
      <c r="A2113" t="inlineStr">
        <is>
          <t>PF102104</t>
        </is>
      </c>
      <c r="B2113" s="68" t="n">
        <v>45912</v>
      </c>
      <c r="C2113" s="69" t="n">
        <v>2025</v>
      </c>
      <c r="D2113" t="inlineStr">
        <is>
          <t>Sep</t>
        </is>
      </c>
      <c r="E2113" t="inlineStr">
        <is>
          <t>Europe</t>
        </is>
      </c>
      <c r="F2113" t="inlineStr">
        <is>
          <t>Italy</t>
        </is>
      </c>
      <c r="G2113" t="inlineStr">
        <is>
          <t>Eliquis</t>
        </is>
      </c>
      <c r="H2113" t="inlineStr">
        <is>
          <t>Hospital</t>
        </is>
      </c>
      <c r="I2113" t="inlineStr">
        <is>
          <t>Private insurer</t>
        </is>
      </c>
      <c r="J2113" t="inlineStr">
        <is>
          <t>Amir Khan</t>
        </is>
      </c>
      <c r="K2113" s="70" t="n">
        <v>55</v>
      </c>
      <c r="L2113" s="71" t="n">
        <v>446.65</v>
      </c>
      <c r="M2113" s="71" t="n">
        <v>24565.75</v>
      </c>
      <c r="N2113" s="71" t="n">
        <v>1228.29</v>
      </c>
      <c r="O2113" s="71" t="n">
        <v>23337.46</v>
      </c>
      <c r="P2113" s="71" t="n">
        <v>4011.24</v>
      </c>
      <c r="Q2113" s="71" t="n">
        <v>19326.22</v>
      </c>
      <c r="R2113" t="inlineStr">
        <is>
          <t>Cardiology</t>
        </is>
      </c>
      <c r="S2113" s="70" t="n">
        <v>40</v>
      </c>
      <c r="T2113" s="71" t="n">
        <v>3325.8</v>
      </c>
      <c r="U2113" t="inlineStr">
        <is>
          <t>High</t>
        </is>
      </c>
      <c r="V2113">
        <f>IF(AND(OR(Dashboard!$C$6="All",E2113=Dashboard!$C$6),OR(Dashboard!$F$6="All",G2113=Dashboard!$F$6),OR(Dashboard!$I$6="All",H2113=Dashboard!$I$6)),1,0)</f>
        <v/>
      </c>
    </row>
    <row r="2114">
      <c r="A2114" t="inlineStr">
        <is>
          <t>PF102105</t>
        </is>
      </c>
      <c r="B2114" s="68" t="n">
        <v>45912</v>
      </c>
      <c r="C2114" s="69" t="n">
        <v>2025</v>
      </c>
      <c r="D2114" t="inlineStr">
        <is>
          <t>Sep</t>
        </is>
      </c>
      <c r="E2114" t="inlineStr">
        <is>
          <t>Europe</t>
        </is>
      </c>
      <c r="F2114" t="inlineStr">
        <is>
          <t>Spain</t>
        </is>
      </c>
      <c r="G2114" t="inlineStr">
        <is>
          <t>Prevnar 20</t>
        </is>
      </c>
      <c r="H2114" t="inlineStr">
        <is>
          <t>Retail pharmacy</t>
        </is>
      </c>
      <c r="I2114" t="inlineStr">
        <is>
          <t>Self-pay</t>
        </is>
      </c>
      <c r="J2114" t="inlineStr">
        <is>
          <t>Hiroshi Tanaka</t>
        </is>
      </c>
      <c r="K2114" s="70" t="n">
        <v>2773</v>
      </c>
      <c r="L2114" s="71" t="n">
        <v>250.36</v>
      </c>
      <c r="M2114" s="71" t="n">
        <v>694248.28</v>
      </c>
      <c r="N2114" s="71" t="n">
        <v>34712.41</v>
      </c>
      <c r="O2114" s="71" t="n">
        <v>659535.87</v>
      </c>
      <c r="P2114" s="71" t="n">
        <v>187965.35</v>
      </c>
      <c r="Q2114" s="71" t="n">
        <v>471570.52</v>
      </c>
      <c r="R2114" t="inlineStr">
        <is>
          <t>Vaccines</t>
        </is>
      </c>
      <c r="S2114" s="70" t="n">
        <v>1822</v>
      </c>
      <c r="T2114" s="71" t="n">
        <v>142688.46</v>
      </c>
      <c r="U2114" t="inlineStr">
        <is>
          <t>Low</t>
        </is>
      </c>
      <c r="V2114">
        <f>IF(AND(OR(Dashboard!$C$6="All",E2114=Dashboard!$C$6),OR(Dashboard!$F$6="All",G2114=Dashboard!$F$6),OR(Dashboard!$I$6="All",H2114=Dashboard!$I$6)),1,0)</f>
        <v/>
      </c>
    </row>
    <row r="2115">
      <c r="A2115" t="inlineStr">
        <is>
          <t>PF102106</t>
        </is>
      </c>
      <c r="B2115" s="68" t="n">
        <v>45912</v>
      </c>
      <c r="C2115" s="69" t="n">
        <v>2025</v>
      </c>
      <c r="D2115" t="inlineStr">
        <is>
          <t>Sep</t>
        </is>
      </c>
      <c r="E2115" t="inlineStr">
        <is>
          <t>United States</t>
        </is>
      </c>
      <c r="F2115" t="inlineStr">
        <is>
          <t>USA</t>
        </is>
      </c>
      <c r="G2115" t="inlineStr">
        <is>
          <t>Abrysvo</t>
        </is>
      </c>
      <c r="H2115" t="inlineStr">
        <is>
          <t>Government / tender</t>
        </is>
      </c>
      <c r="I2115" t="inlineStr">
        <is>
          <t>Public payer</t>
        </is>
      </c>
      <c r="J2115" t="inlineStr">
        <is>
          <t>Sophie Müller</t>
        </is>
      </c>
      <c r="K2115" s="70" t="n">
        <v>1245</v>
      </c>
      <c r="L2115" s="71" t="n">
        <v>430.38</v>
      </c>
      <c r="M2115" s="71" t="n">
        <v>535823.1</v>
      </c>
      <c r="N2115" s="71" t="n">
        <v>160746.93</v>
      </c>
      <c r="O2115" s="71" t="n">
        <v>375076.17</v>
      </c>
      <c r="P2115" s="71" t="n">
        <v>101470.13</v>
      </c>
      <c r="Q2115" s="71" t="n">
        <v>273606.04</v>
      </c>
      <c r="R2115" t="inlineStr">
        <is>
          <t>Vaccines</t>
        </is>
      </c>
      <c r="S2115" s="70" t="n">
        <v>805</v>
      </c>
      <c r="T2115" s="71" t="n">
        <v>90656.82000000001</v>
      </c>
      <c r="U2115" t="inlineStr">
        <is>
          <t>Low</t>
        </is>
      </c>
      <c r="V2115">
        <f>IF(AND(OR(Dashboard!$C$6="All",E2115=Dashboard!$C$6),OR(Dashboard!$F$6="All",G2115=Dashboard!$F$6),OR(Dashboard!$I$6="All",H2115=Dashboard!$I$6)),1,0)</f>
        <v/>
      </c>
    </row>
    <row r="2116">
      <c r="A2116" t="inlineStr">
        <is>
          <t>PF102107</t>
        </is>
      </c>
      <c r="B2116" s="68" t="n">
        <v>45912</v>
      </c>
      <c r="C2116" s="69" t="n">
        <v>2025</v>
      </c>
      <c r="D2116" t="inlineStr">
        <is>
          <t>Sep</t>
        </is>
      </c>
      <c r="E2116" t="inlineStr">
        <is>
          <t>United States</t>
        </is>
      </c>
      <c r="F2116" t="inlineStr">
        <is>
          <t>USA</t>
        </is>
      </c>
      <c r="G2116" t="inlineStr">
        <is>
          <t>Ibrance</t>
        </is>
      </c>
      <c r="H2116" t="inlineStr">
        <is>
          <t>Retail pharmacy</t>
        </is>
      </c>
      <c r="I2116" t="inlineStr">
        <is>
          <t>Public payer</t>
        </is>
      </c>
      <c r="J2116" t="inlineStr">
        <is>
          <t>Arjun Mehta</t>
        </is>
      </c>
      <c r="K2116" s="70" t="n">
        <v>2388</v>
      </c>
      <c r="L2116" s="71" t="n">
        <v>4630.67</v>
      </c>
      <c r="M2116" s="71" t="n">
        <v>11058039.96</v>
      </c>
      <c r="N2116" s="71" t="n">
        <v>2764509.99</v>
      </c>
      <c r="O2116" s="71" t="n">
        <v>8293529.97</v>
      </c>
      <c r="P2116" s="71" t="n">
        <v>1039339.79</v>
      </c>
      <c r="Q2116" s="71" t="n">
        <v>7254190.18</v>
      </c>
      <c r="R2116" t="inlineStr">
        <is>
          <t>Oncology</t>
        </is>
      </c>
      <c r="S2116" s="70" t="n">
        <v>1835</v>
      </c>
      <c r="T2116" s="71" t="n">
        <v>1785268.24</v>
      </c>
      <c r="U2116" t="inlineStr">
        <is>
          <t>High</t>
        </is>
      </c>
      <c r="V2116">
        <f>IF(AND(OR(Dashboard!$C$6="All",E2116=Dashboard!$C$6),OR(Dashboard!$F$6="All",G2116=Dashboard!$F$6),OR(Dashboard!$I$6="All",H2116=Dashboard!$I$6)),1,0)</f>
        <v/>
      </c>
    </row>
    <row r="2117">
      <c r="A2117" t="inlineStr">
        <is>
          <t>PF102108</t>
        </is>
      </c>
      <c r="B2117" s="68" t="n">
        <v>45912</v>
      </c>
      <c r="C2117" s="69" t="n">
        <v>2025</v>
      </c>
      <c r="D2117" t="inlineStr">
        <is>
          <t>Sep</t>
        </is>
      </c>
      <c r="E2117" t="inlineStr">
        <is>
          <t>United States</t>
        </is>
      </c>
      <c r="F2117" t="inlineStr">
        <is>
          <t>USA</t>
        </is>
      </c>
      <c r="G2117" t="inlineStr">
        <is>
          <t>Paxlovid</t>
        </is>
      </c>
      <c r="H2117" t="inlineStr">
        <is>
          <t>Retail pharmacy</t>
        </is>
      </c>
      <c r="I2117" t="inlineStr">
        <is>
          <t>Public payer</t>
        </is>
      </c>
      <c r="J2117" t="inlineStr">
        <is>
          <t>Arjun Mehta</t>
        </is>
      </c>
      <c r="K2117" s="70" t="n">
        <v>594</v>
      </c>
      <c r="L2117" s="71" t="n">
        <v>1697.82</v>
      </c>
      <c r="M2117" s="71" t="n">
        <v>1008505.08</v>
      </c>
      <c r="N2117" s="71" t="n">
        <v>252126.27</v>
      </c>
      <c r="O2117" s="71" t="n">
        <v>756378.8100000001</v>
      </c>
      <c r="P2117" s="71" t="n">
        <v>168991.68</v>
      </c>
      <c r="Q2117" s="71" t="n">
        <v>587387.13</v>
      </c>
      <c r="R2117" t="inlineStr">
        <is>
          <t>Antiviral</t>
        </is>
      </c>
      <c r="S2117" s="70" t="n">
        <v>405</v>
      </c>
      <c r="T2117" s="71" t="n">
        <v>198011.9</v>
      </c>
      <c r="U2117" t="inlineStr">
        <is>
          <t>Low</t>
        </is>
      </c>
      <c r="V2117">
        <f>IF(AND(OR(Dashboard!$C$6="All",E2117=Dashboard!$C$6),OR(Dashboard!$F$6="All",G2117=Dashboard!$F$6),OR(Dashboard!$I$6="All",H2117=Dashboard!$I$6)),1,0)</f>
        <v/>
      </c>
    </row>
    <row r="2118">
      <c r="A2118" t="inlineStr">
        <is>
          <t>PF102109</t>
        </is>
      </c>
      <c r="B2118" s="68" t="n">
        <v>45912</v>
      </c>
      <c r="C2118" s="69" t="n">
        <v>2025</v>
      </c>
      <c r="D2118" t="inlineStr">
        <is>
          <t>Sep</t>
        </is>
      </c>
      <c r="E2118" t="inlineStr">
        <is>
          <t>Europe</t>
        </is>
      </c>
      <c r="F2118" t="inlineStr">
        <is>
          <t>Spain</t>
        </is>
      </c>
      <c r="G2118" t="inlineStr">
        <is>
          <t>Comirnaty</t>
        </is>
      </c>
      <c r="H2118" t="inlineStr">
        <is>
          <t>Retail pharmacy</t>
        </is>
      </c>
      <c r="I2118" t="inlineStr">
        <is>
          <t>Public payer</t>
        </is>
      </c>
      <c r="J2118" t="inlineStr">
        <is>
          <t>Emma Clarke</t>
        </is>
      </c>
      <c r="K2118" s="70" t="n">
        <v>1655</v>
      </c>
      <c r="L2118" s="71" t="n">
        <v>110.97</v>
      </c>
      <c r="M2118" s="71" t="n">
        <v>183655.35</v>
      </c>
      <c r="N2118" s="71" t="n">
        <v>36731.07</v>
      </c>
      <c r="O2118" s="71" t="n">
        <v>146924.28</v>
      </c>
      <c r="P2118" s="71" t="n">
        <v>63503.72</v>
      </c>
      <c r="Q2118" s="71" t="n">
        <v>83420.56</v>
      </c>
      <c r="R2118" t="inlineStr">
        <is>
          <t>Vaccines</t>
        </is>
      </c>
      <c r="S2118" s="70" t="n">
        <v>1390</v>
      </c>
      <c r="T2118" s="71" t="n">
        <v>36031.06</v>
      </c>
      <c r="U2118" t="inlineStr">
        <is>
          <t>Low</t>
        </is>
      </c>
      <c r="V2118">
        <f>IF(AND(OR(Dashboard!$C$6="All",E2118=Dashboard!$C$6),OR(Dashboard!$F$6="All",G2118=Dashboard!$F$6),OR(Dashboard!$I$6="All",H2118=Dashboard!$I$6)),1,0)</f>
        <v/>
      </c>
    </row>
    <row r="2119">
      <c r="A2119" t="inlineStr">
        <is>
          <t>PF102110</t>
        </is>
      </c>
      <c r="B2119" s="68" t="n">
        <v>45913</v>
      </c>
      <c r="C2119" s="69" t="n">
        <v>2025</v>
      </c>
      <c r="D2119" t="inlineStr">
        <is>
          <t>Sep</t>
        </is>
      </c>
      <c r="E2119" t="inlineStr">
        <is>
          <t>Europe</t>
        </is>
      </c>
      <c r="F2119" t="inlineStr">
        <is>
          <t>Italy</t>
        </is>
      </c>
      <c r="G2119" t="inlineStr">
        <is>
          <t>Eliquis</t>
        </is>
      </c>
      <c r="H2119" t="inlineStr">
        <is>
          <t>Government / tender</t>
        </is>
      </c>
      <c r="I2119" t="inlineStr">
        <is>
          <t>Private insurer</t>
        </is>
      </c>
      <c r="J2119" t="inlineStr">
        <is>
          <t>Olivia Brown</t>
        </is>
      </c>
      <c r="K2119" s="70" t="n">
        <v>1025</v>
      </c>
      <c r="L2119" s="71" t="n">
        <v>445.62</v>
      </c>
      <c r="M2119" s="71" t="n">
        <v>456760.5</v>
      </c>
      <c r="N2119" s="71" t="n">
        <v>68514.07000000001</v>
      </c>
      <c r="O2119" s="71" t="n">
        <v>388246.43</v>
      </c>
      <c r="P2119" s="71" t="n">
        <v>76002.09</v>
      </c>
      <c r="Q2119" s="71" t="n">
        <v>312244.34</v>
      </c>
      <c r="R2119" t="inlineStr">
        <is>
          <t>Cardiology</t>
        </is>
      </c>
      <c r="S2119" s="70" t="n">
        <v>791</v>
      </c>
      <c r="T2119" s="71" t="n">
        <v>77119.52</v>
      </c>
      <c r="U2119" t="inlineStr">
        <is>
          <t>High</t>
        </is>
      </c>
      <c r="V2119">
        <f>IF(AND(OR(Dashboard!$C$6="All",E2119=Dashboard!$C$6),OR(Dashboard!$F$6="All",G2119=Dashboard!$F$6),OR(Dashboard!$I$6="All",H2119=Dashboard!$I$6)),1,0)</f>
        <v/>
      </c>
    </row>
    <row r="2120">
      <c r="A2120" t="inlineStr">
        <is>
          <t>PF102111</t>
        </is>
      </c>
      <c r="B2120" s="68" t="n">
        <v>45913</v>
      </c>
      <c r="C2120" s="69" t="n">
        <v>2025</v>
      </c>
      <c r="D2120" t="inlineStr">
        <is>
          <t>Sep</t>
        </is>
      </c>
      <c r="E2120" t="inlineStr">
        <is>
          <t>Europe</t>
        </is>
      </c>
      <c r="F2120" t="inlineStr">
        <is>
          <t>France</t>
        </is>
      </c>
      <c r="G2120" t="inlineStr">
        <is>
          <t>Vyndaqel</t>
        </is>
      </c>
      <c r="H2120" t="inlineStr">
        <is>
          <t>Government / tender</t>
        </is>
      </c>
      <c r="I2120" t="inlineStr">
        <is>
          <t>Private insurer</t>
        </is>
      </c>
      <c r="J2120" t="inlineStr">
        <is>
          <t>Arjun Mehta</t>
        </is>
      </c>
      <c r="K2120" s="70" t="n">
        <v>665</v>
      </c>
      <c r="L2120" s="71" t="n">
        <v>4979.24</v>
      </c>
      <c r="M2120" s="71" t="n">
        <v>3311194.6</v>
      </c>
      <c r="N2120" s="71" t="n">
        <v>827798.65</v>
      </c>
      <c r="O2120" s="71" t="n">
        <v>2483395.95</v>
      </c>
      <c r="P2120" s="71" t="n">
        <v>406364.11</v>
      </c>
      <c r="Q2120" s="71" t="n">
        <v>2077031.84</v>
      </c>
      <c r="R2120" t="inlineStr">
        <is>
          <t>Rare disease</t>
        </is>
      </c>
      <c r="S2120" s="70" t="n">
        <v>430</v>
      </c>
      <c r="T2120" s="71" t="n">
        <v>436889.98</v>
      </c>
      <c r="U2120" t="inlineStr">
        <is>
          <t>Medium</t>
        </is>
      </c>
      <c r="V2120">
        <f>IF(AND(OR(Dashboard!$C$6="All",E2120=Dashboard!$C$6),OR(Dashboard!$F$6="All",G2120=Dashboard!$F$6),OR(Dashboard!$I$6="All",H2120=Dashboard!$I$6)),1,0)</f>
        <v/>
      </c>
    </row>
    <row r="2121">
      <c r="A2121" t="inlineStr">
        <is>
          <t>PF102112</t>
        </is>
      </c>
      <c r="B2121" s="68" t="n">
        <v>45913</v>
      </c>
      <c r="C2121" s="69" t="n">
        <v>2025</v>
      </c>
      <c r="D2121" t="inlineStr">
        <is>
          <t>Sep</t>
        </is>
      </c>
      <c r="E2121" t="inlineStr">
        <is>
          <t>United States</t>
        </is>
      </c>
      <c r="F2121" t="inlineStr">
        <is>
          <t>USA</t>
        </is>
      </c>
      <c r="G2121" t="inlineStr">
        <is>
          <t>Eliquis</t>
        </is>
      </c>
      <c r="H2121" t="inlineStr">
        <is>
          <t>Retail pharmacy</t>
        </is>
      </c>
      <c r="I2121" t="inlineStr">
        <is>
          <t>Private insurer</t>
        </is>
      </c>
      <c r="J2121" t="inlineStr">
        <is>
          <t>Sophie Müller</t>
        </is>
      </c>
      <c r="K2121" s="70" t="n">
        <v>1210</v>
      </c>
      <c r="L2121" s="71" t="n">
        <v>678.1799999999999</v>
      </c>
      <c r="M2121" s="71" t="n">
        <v>820597.8</v>
      </c>
      <c r="N2121" s="71" t="n">
        <v>246179.34</v>
      </c>
      <c r="O2121" s="71" t="n">
        <v>574418.46</v>
      </c>
      <c r="P2121" s="71" t="n">
        <v>90297.49000000001</v>
      </c>
      <c r="Q2121" s="71" t="n">
        <v>484120.97</v>
      </c>
      <c r="R2121" t="inlineStr">
        <is>
          <t>Cardiology</t>
        </is>
      </c>
      <c r="S2121" s="70" t="n">
        <v>1065</v>
      </c>
      <c r="T2121" s="71" t="n">
        <v>159966.29</v>
      </c>
      <c r="U2121" t="inlineStr">
        <is>
          <t>High</t>
        </is>
      </c>
      <c r="V2121">
        <f>IF(AND(OR(Dashboard!$C$6="All",E2121=Dashboard!$C$6),OR(Dashboard!$F$6="All",G2121=Dashboard!$F$6),OR(Dashboard!$I$6="All",H2121=Dashboard!$I$6)),1,0)</f>
        <v/>
      </c>
    </row>
    <row r="2122">
      <c r="A2122" t="inlineStr">
        <is>
          <t>PF102113</t>
        </is>
      </c>
      <c r="B2122" s="68" t="n">
        <v>45913</v>
      </c>
      <c r="C2122" s="69" t="n">
        <v>2025</v>
      </c>
      <c r="D2122" t="inlineStr">
        <is>
          <t>Sep</t>
        </is>
      </c>
      <c r="E2122" t="inlineStr">
        <is>
          <t>United States</t>
        </is>
      </c>
      <c r="F2122" t="inlineStr">
        <is>
          <t>USA</t>
        </is>
      </c>
      <c r="G2122" t="inlineStr">
        <is>
          <t>Eliquis</t>
        </is>
      </c>
      <c r="H2122" t="inlineStr">
        <is>
          <t>Government / tender</t>
        </is>
      </c>
      <c r="I2122" t="inlineStr">
        <is>
          <t>Private insurer</t>
        </is>
      </c>
      <c r="J2122" t="inlineStr">
        <is>
          <t>Zoya Ahmed</t>
        </is>
      </c>
      <c r="K2122" s="70" t="n">
        <v>2784</v>
      </c>
      <c r="L2122" s="71" t="n">
        <v>703.25</v>
      </c>
      <c r="M2122" s="71" t="n">
        <v>1957848</v>
      </c>
      <c r="N2122" s="71" t="n">
        <v>587354.4</v>
      </c>
      <c r="O2122" s="71" t="n">
        <v>1370493.6</v>
      </c>
      <c r="P2122" s="71" t="n">
        <v>211902.8</v>
      </c>
      <c r="Q2122" s="71" t="n">
        <v>1158590.8</v>
      </c>
      <c r="R2122" t="inlineStr">
        <is>
          <t>Cardiology</t>
        </is>
      </c>
      <c r="S2122" s="70" t="n">
        <v>1748</v>
      </c>
      <c r="T2122" s="71" t="n">
        <v>311796.46</v>
      </c>
      <c r="U2122" t="inlineStr">
        <is>
          <t>High</t>
        </is>
      </c>
      <c r="V2122">
        <f>IF(AND(OR(Dashboard!$C$6="All",E2122=Dashboard!$C$6),OR(Dashboard!$F$6="All",G2122=Dashboard!$F$6),OR(Dashboard!$I$6="All",H2122=Dashboard!$I$6)),1,0)</f>
        <v/>
      </c>
    </row>
    <row r="2123">
      <c r="A2123" t="inlineStr">
        <is>
          <t>PF102114</t>
        </is>
      </c>
      <c r="B2123" s="68" t="n">
        <v>45913</v>
      </c>
      <c r="C2123" s="69" t="n">
        <v>2025</v>
      </c>
      <c r="D2123" t="inlineStr">
        <is>
          <t>Sep</t>
        </is>
      </c>
      <c r="E2123" t="inlineStr">
        <is>
          <t>Europe</t>
        </is>
      </c>
      <c r="F2123" t="inlineStr">
        <is>
          <t>Germany</t>
        </is>
      </c>
      <c r="G2123" t="inlineStr">
        <is>
          <t>Abrysvo</t>
        </is>
      </c>
      <c r="H2123" t="inlineStr">
        <is>
          <t>Retail pharmacy</t>
        </is>
      </c>
      <c r="I2123" t="inlineStr">
        <is>
          <t>Public payer</t>
        </is>
      </c>
      <c r="J2123" t="inlineStr">
        <is>
          <t>Liam O'Brien</t>
        </is>
      </c>
      <c r="K2123" s="70" t="n">
        <v>408</v>
      </c>
      <c r="L2123" s="71" t="n">
        <v>261.35</v>
      </c>
      <c r="M2123" s="71" t="n">
        <v>106630.8</v>
      </c>
      <c r="N2123" s="71" t="n">
        <v>21326.16</v>
      </c>
      <c r="O2123" s="71" t="n">
        <v>85304.64</v>
      </c>
      <c r="P2123" s="71" t="n">
        <v>33373.56</v>
      </c>
      <c r="Q2123" s="71" t="n">
        <v>51931.08</v>
      </c>
      <c r="R2123" t="inlineStr">
        <is>
          <t>Vaccines</t>
        </is>
      </c>
      <c r="S2123" s="70" t="n">
        <v>266</v>
      </c>
      <c r="T2123" s="71" t="n">
        <v>21630.69</v>
      </c>
      <c r="U2123" t="inlineStr">
        <is>
          <t>Low</t>
        </is>
      </c>
      <c r="V2123">
        <f>IF(AND(OR(Dashboard!$C$6="All",E2123=Dashboard!$C$6),OR(Dashboard!$F$6="All",G2123=Dashboard!$F$6),OR(Dashboard!$I$6="All",H2123=Dashboard!$I$6)),1,0)</f>
        <v/>
      </c>
    </row>
    <row r="2124">
      <c r="A2124" t="inlineStr">
        <is>
          <t>PF102115</t>
        </is>
      </c>
      <c r="B2124" s="68" t="n">
        <v>45913</v>
      </c>
      <c r="C2124" s="69" t="n">
        <v>2025</v>
      </c>
      <c r="D2124" t="inlineStr">
        <is>
          <t>Sep</t>
        </is>
      </c>
      <c r="E2124" t="inlineStr">
        <is>
          <t>United States</t>
        </is>
      </c>
      <c r="F2124" t="inlineStr">
        <is>
          <t>USA</t>
        </is>
      </c>
      <c r="G2124" t="inlineStr">
        <is>
          <t>Eliquis</t>
        </is>
      </c>
      <c r="H2124" t="inlineStr">
        <is>
          <t>Government / tender</t>
        </is>
      </c>
      <c r="I2124" t="inlineStr">
        <is>
          <t>Public payer</t>
        </is>
      </c>
      <c r="J2124" t="inlineStr">
        <is>
          <t>Yuki Sato</t>
        </is>
      </c>
      <c r="K2124" s="70" t="n">
        <v>2501</v>
      </c>
      <c r="L2124" s="71" t="n">
        <v>624.05</v>
      </c>
      <c r="M2124" s="71" t="n">
        <v>1560749.05</v>
      </c>
      <c r="N2124" s="71" t="n">
        <v>546262.17</v>
      </c>
      <c r="O2124" s="71" t="n">
        <v>1014486.88</v>
      </c>
      <c r="P2124" s="71" t="n">
        <v>193904.57</v>
      </c>
      <c r="Q2124" s="71" t="n">
        <v>820582.3100000001</v>
      </c>
      <c r="R2124" t="inlineStr">
        <is>
          <t>Cardiology</t>
        </is>
      </c>
      <c r="S2124" s="70" t="n">
        <v>1754</v>
      </c>
      <c r="T2124" s="71" t="n">
        <v>188304.12</v>
      </c>
      <c r="U2124" t="inlineStr">
        <is>
          <t>High</t>
        </is>
      </c>
      <c r="V2124">
        <f>IF(AND(OR(Dashboard!$C$6="All",E2124=Dashboard!$C$6),OR(Dashboard!$F$6="All",G2124=Dashboard!$F$6),OR(Dashboard!$I$6="All",H2124=Dashboard!$I$6)),1,0)</f>
        <v/>
      </c>
    </row>
    <row r="2125">
      <c r="A2125" t="inlineStr">
        <is>
          <t>PF102116</t>
        </is>
      </c>
      <c r="B2125" s="68" t="n">
        <v>45913</v>
      </c>
      <c r="C2125" s="69" t="n">
        <v>2025</v>
      </c>
      <c r="D2125" t="inlineStr">
        <is>
          <t>Sep</t>
        </is>
      </c>
      <c r="E2125" t="inlineStr">
        <is>
          <t>United States</t>
        </is>
      </c>
      <c r="F2125" t="inlineStr">
        <is>
          <t>USA</t>
        </is>
      </c>
      <c r="G2125" t="inlineStr">
        <is>
          <t>Xeljanz</t>
        </is>
      </c>
      <c r="H2125" t="inlineStr">
        <is>
          <t>Retail pharmacy</t>
        </is>
      </c>
      <c r="I2125" t="inlineStr">
        <is>
          <t>Public payer</t>
        </is>
      </c>
      <c r="J2125" t="inlineStr">
        <is>
          <t>Priya Nair</t>
        </is>
      </c>
      <c r="K2125" s="70" t="n">
        <v>320</v>
      </c>
      <c r="L2125" s="71" t="n">
        <v>2210.9</v>
      </c>
      <c r="M2125" s="71" t="n">
        <v>707488</v>
      </c>
      <c r="N2125" s="71" t="n">
        <v>176872</v>
      </c>
      <c r="O2125" s="71" t="n">
        <v>530616</v>
      </c>
      <c r="P2125" s="71" t="n">
        <v>83173.89999999999</v>
      </c>
      <c r="Q2125" s="71" t="n">
        <v>447442.1</v>
      </c>
      <c r="R2125" t="inlineStr">
        <is>
          <t>Inflammation</t>
        </is>
      </c>
      <c r="S2125" s="70" t="n">
        <v>261</v>
      </c>
      <c r="T2125" s="71" t="n">
        <v>88589.48</v>
      </c>
      <c r="U2125" t="inlineStr">
        <is>
          <t>High</t>
        </is>
      </c>
      <c r="V2125">
        <f>IF(AND(OR(Dashboard!$C$6="All",E2125=Dashboard!$C$6),OR(Dashboard!$F$6="All",G2125=Dashboard!$F$6),OR(Dashboard!$I$6="All",H2125=Dashboard!$I$6)),1,0)</f>
        <v/>
      </c>
    </row>
    <row r="2126">
      <c r="A2126" t="inlineStr">
        <is>
          <t>PF102117</t>
        </is>
      </c>
      <c r="B2126" s="68" t="n">
        <v>45913</v>
      </c>
      <c r="C2126" s="69" t="n">
        <v>2025</v>
      </c>
      <c r="D2126" t="inlineStr">
        <is>
          <t>Sep</t>
        </is>
      </c>
      <c r="E2126" t="inlineStr">
        <is>
          <t>United States</t>
        </is>
      </c>
      <c r="F2126" t="inlineStr">
        <is>
          <t>USA</t>
        </is>
      </c>
      <c r="G2126" t="inlineStr">
        <is>
          <t>Prevnar 20</t>
        </is>
      </c>
      <c r="H2126" t="inlineStr">
        <is>
          <t>Retail pharmacy</t>
        </is>
      </c>
      <c r="I2126" t="inlineStr">
        <is>
          <t>Public payer</t>
        </is>
      </c>
      <c r="J2126" t="inlineStr">
        <is>
          <t>Omar Haddad</t>
        </is>
      </c>
      <c r="K2126" s="70" t="n">
        <v>2007</v>
      </c>
      <c r="L2126" s="71" t="n">
        <v>381.79</v>
      </c>
      <c r="M2126" s="71" t="n">
        <v>766252.53</v>
      </c>
      <c r="N2126" s="71" t="n">
        <v>268188.39</v>
      </c>
      <c r="O2126" s="71" t="n">
        <v>498064.14</v>
      </c>
      <c r="P2126" s="71" t="n">
        <v>133944.99</v>
      </c>
      <c r="Q2126" s="71" t="n">
        <v>364119.15</v>
      </c>
      <c r="R2126" t="inlineStr">
        <is>
          <t>Vaccines</t>
        </is>
      </c>
      <c r="S2126" s="70" t="n">
        <v>1611</v>
      </c>
      <c r="T2126" s="71" t="n">
        <v>93412.07000000001</v>
      </c>
      <c r="U2126" t="inlineStr">
        <is>
          <t>Low</t>
        </is>
      </c>
      <c r="V2126">
        <f>IF(AND(OR(Dashboard!$C$6="All",E2126=Dashboard!$C$6),OR(Dashboard!$F$6="All",G2126=Dashboard!$F$6),OR(Dashboard!$I$6="All",H2126=Dashboard!$I$6)),1,0)</f>
        <v/>
      </c>
    </row>
    <row r="2127">
      <c r="A2127" t="inlineStr">
        <is>
          <t>PF102118</t>
        </is>
      </c>
      <c r="B2127" s="68" t="n">
        <v>45913</v>
      </c>
      <c r="C2127" s="69" t="n">
        <v>2025</v>
      </c>
      <c r="D2127" t="inlineStr">
        <is>
          <t>Sep</t>
        </is>
      </c>
      <c r="E2127" t="inlineStr">
        <is>
          <t>United States</t>
        </is>
      </c>
      <c r="F2127" t="inlineStr">
        <is>
          <t>USA</t>
        </is>
      </c>
      <c r="G2127" t="inlineStr">
        <is>
          <t>Comirnaty</t>
        </is>
      </c>
      <c r="H2127" t="inlineStr">
        <is>
          <t>Government / tender</t>
        </is>
      </c>
      <c r="I2127" t="inlineStr">
        <is>
          <t>Private insurer</t>
        </is>
      </c>
      <c r="J2127" t="inlineStr">
        <is>
          <t>Arjun Mehta</t>
        </is>
      </c>
      <c r="K2127" s="70" t="n">
        <v>1418</v>
      </c>
      <c r="L2127" s="71" t="n">
        <v>186.66</v>
      </c>
      <c r="M2127" s="71" t="n">
        <v>264683.88</v>
      </c>
      <c r="N2127" s="71" t="n">
        <v>39702.58</v>
      </c>
      <c r="O2127" s="71" t="n">
        <v>224981.3</v>
      </c>
      <c r="P2127" s="71" t="n">
        <v>54744.23</v>
      </c>
      <c r="Q2127" s="71" t="n">
        <v>170237.07</v>
      </c>
      <c r="R2127" t="inlineStr">
        <is>
          <t>Vaccines</t>
        </is>
      </c>
      <c r="S2127" s="70" t="n">
        <v>947</v>
      </c>
      <c r="T2127" s="71" t="n">
        <v>38323.57</v>
      </c>
      <c r="U2127" t="inlineStr">
        <is>
          <t>Low</t>
        </is>
      </c>
      <c r="V2127">
        <f>IF(AND(OR(Dashboard!$C$6="All",E2127=Dashboard!$C$6),OR(Dashboard!$F$6="All",G2127=Dashboard!$F$6),OR(Dashboard!$I$6="All",H2127=Dashboard!$I$6)),1,0)</f>
        <v/>
      </c>
    </row>
    <row r="2128">
      <c r="A2128" t="inlineStr">
        <is>
          <t>PF102119</t>
        </is>
      </c>
      <c r="B2128" s="68" t="n">
        <v>45913</v>
      </c>
      <c r="C2128" s="69" t="n">
        <v>2025</v>
      </c>
      <c r="D2128" t="inlineStr">
        <is>
          <t>Sep</t>
        </is>
      </c>
      <c r="E2128" t="inlineStr">
        <is>
          <t>United States</t>
        </is>
      </c>
      <c r="F2128" t="inlineStr">
        <is>
          <t>USA</t>
        </is>
      </c>
      <c r="G2128" t="inlineStr">
        <is>
          <t>Vyndaqel</t>
        </is>
      </c>
      <c r="H2128" t="inlineStr">
        <is>
          <t>Retail pharmacy</t>
        </is>
      </c>
      <c r="I2128" t="inlineStr">
        <is>
          <t>Self-pay</t>
        </is>
      </c>
      <c r="J2128" t="inlineStr">
        <is>
          <t>Sara Rossi</t>
        </is>
      </c>
      <c r="K2128" s="70" t="n">
        <v>1541</v>
      </c>
      <c r="L2128" s="71" t="n">
        <v>8229.459999999999</v>
      </c>
      <c r="M2128" s="71" t="n">
        <v>12681597.86</v>
      </c>
      <c r="N2128" s="71" t="n">
        <v>2536319.57</v>
      </c>
      <c r="O2128" s="71" t="n">
        <v>10145278.29</v>
      </c>
      <c r="P2128" s="71" t="n">
        <v>963945.96</v>
      </c>
      <c r="Q2128" s="71" t="n">
        <v>9181332.33</v>
      </c>
      <c r="R2128" t="inlineStr">
        <is>
          <t>Rare disease</t>
        </is>
      </c>
      <c r="S2128" s="70" t="n">
        <v>1348</v>
      </c>
      <c r="T2128" s="71" t="n">
        <v>1596486.29</v>
      </c>
      <c r="U2128" t="inlineStr">
        <is>
          <t>Medium</t>
        </is>
      </c>
      <c r="V2128">
        <f>IF(AND(OR(Dashboard!$C$6="All",E2128=Dashboard!$C$6),OR(Dashboard!$F$6="All",G2128=Dashboard!$F$6),OR(Dashboard!$I$6="All",H2128=Dashboard!$I$6)),1,0)</f>
        <v/>
      </c>
    </row>
    <row r="2129">
      <c r="A2129" t="inlineStr">
        <is>
          <t>PF102120</t>
        </is>
      </c>
      <c r="B2129" s="68" t="n">
        <v>45913</v>
      </c>
      <c r="C2129" s="69" t="n">
        <v>2025</v>
      </c>
      <c r="D2129" t="inlineStr">
        <is>
          <t>Sep</t>
        </is>
      </c>
      <c r="E2129" t="inlineStr">
        <is>
          <t>Emerging markets</t>
        </is>
      </c>
      <c r="F2129" t="inlineStr">
        <is>
          <t>Brazil</t>
        </is>
      </c>
      <c r="G2129" t="inlineStr">
        <is>
          <t>Xeljanz</t>
        </is>
      </c>
      <c r="H2129" t="inlineStr">
        <is>
          <t>Retail pharmacy</t>
        </is>
      </c>
      <c r="I2129" t="inlineStr">
        <is>
          <t>Public payer</t>
        </is>
      </c>
      <c r="J2129" t="inlineStr">
        <is>
          <t>Kofi Mensah</t>
        </is>
      </c>
      <c r="K2129" s="70" t="n">
        <v>1025</v>
      </c>
      <c r="L2129" s="71" t="n">
        <v>1322.26</v>
      </c>
      <c r="M2129" s="71" t="n">
        <v>1355316.5</v>
      </c>
      <c r="N2129" s="71" t="n">
        <v>203297.48</v>
      </c>
      <c r="O2129" s="71" t="n">
        <v>1152019.02</v>
      </c>
      <c r="P2129" s="71" t="n">
        <v>268366.21</v>
      </c>
      <c r="Q2129" s="71" t="n">
        <v>883652.8100000001</v>
      </c>
      <c r="R2129" t="inlineStr">
        <is>
          <t>Inflammation</t>
        </is>
      </c>
      <c r="S2129" s="70" t="n">
        <v>952</v>
      </c>
      <c r="T2129" s="71" t="n">
        <v>297634.2</v>
      </c>
      <c r="U2129" t="inlineStr">
        <is>
          <t>High</t>
        </is>
      </c>
      <c r="V2129">
        <f>IF(AND(OR(Dashboard!$C$6="All",E2129=Dashboard!$C$6),OR(Dashboard!$F$6="All",G2129=Dashboard!$F$6),OR(Dashboard!$I$6="All",H2129=Dashboard!$I$6)),1,0)</f>
        <v/>
      </c>
    </row>
    <row r="2130">
      <c r="A2130" t="inlineStr">
        <is>
          <t>PF102121</t>
        </is>
      </c>
      <c r="B2130" s="68" t="n">
        <v>45914</v>
      </c>
      <c r="C2130" s="69" t="n">
        <v>2025</v>
      </c>
      <c r="D2130" t="inlineStr">
        <is>
          <t>Sep</t>
        </is>
      </c>
      <c r="E2130" t="inlineStr">
        <is>
          <t>United States</t>
        </is>
      </c>
      <c r="F2130" t="inlineStr">
        <is>
          <t>USA</t>
        </is>
      </c>
      <c r="G2130" t="inlineStr">
        <is>
          <t>Prevnar 20</t>
        </is>
      </c>
      <c r="H2130" t="inlineStr">
        <is>
          <t>Government / tender</t>
        </is>
      </c>
      <c r="I2130" t="inlineStr">
        <is>
          <t>Self-pay</t>
        </is>
      </c>
      <c r="J2130" t="inlineStr">
        <is>
          <t>Zoya Ahmed</t>
        </is>
      </c>
      <c r="K2130" s="70" t="n">
        <v>568</v>
      </c>
      <c r="L2130" s="71" t="n">
        <v>381.94</v>
      </c>
      <c r="M2130" s="71" t="n">
        <v>216941.92</v>
      </c>
      <c r="N2130" s="71" t="n">
        <v>75929.67</v>
      </c>
      <c r="O2130" s="71" t="n">
        <v>141012.25</v>
      </c>
      <c r="P2130" s="71" t="n">
        <v>37729.58</v>
      </c>
      <c r="Q2130" s="71" t="n">
        <v>103282.67</v>
      </c>
      <c r="R2130" t="inlineStr">
        <is>
          <t>Vaccines</t>
        </is>
      </c>
      <c r="S2130" s="70" t="n">
        <v>415</v>
      </c>
      <c r="T2130" s="71" t="n">
        <v>28029.06</v>
      </c>
      <c r="U2130" t="inlineStr">
        <is>
          <t>Low</t>
        </is>
      </c>
      <c r="V2130">
        <f>IF(AND(OR(Dashboard!$C$6="All",E2130=Dashboard!$C$6),OR(Dashboard!$F$6="All",G2130=Dashboard!$F$6),OR(Dashboard!$I$6="All",H2130=Dashboard!$I$6)),1,0)</f>
        <v/>
      </c>
    </row>
    <row r="2131">
      <c r="A2131" t="inlineStr">
        <is>
          <t>PF102122</t>
        </is>
      </c>
      <c r="B2131" s="68" t="n">
        <v>45914</v>
      </c>
      <c r="C2131" s="69" t="n">
        <v>2025</v>
      </c>
      <c r="D2131" t="inlineStr">
        <is>
          <t>Sep</t>
        </is>
      </c>
      <c r="E2131" t="inlineStr">
        <is>
          <t>International developed</t>
        </is>
      </c>
      <c r="F2131" t="inlineStr">
        <is>
          <t>Canada</t>
        </is>
      </c>
      <c r="G2131" t="inlineStr">
        <is>
          <t>Comirnaty</t>
        </is>
      </c>
      <c r="H2131" t="inlineStr">
        <is>
          <t>Government / tender</t>
        </is>
      </c>
      <c r="I2131" t="inlineStr">
        <is>
          <t>Private insurer</t>
        </is>
      </c>
      <c r="J2131" t="inlineStr">
        <is>
          <t>Emma Clarke</t>
        </is>
      </c>
      <c r="K2131" s="70" t="n">
        <v>2033</v>
      </c>
      <c r="L2131" s="71" t="n">
        <v>119.05</v>
      </c>
      <c r="M2131" s="71" t="n">
        <v>242028.65</v>
      </c>
      <c r="N2131" s="71" t="n">
        <v>60507.16</v>
      </c>
      <c r="O2131" s="71" t="n">
        <v>181521.49</v>
      </c>
      <c r="P2131" s="71" t="n">
        <v>80276.08</v>
      </c>
      <c r="Q2131" s="71" t="n">
        <v>101245.41</v>
      </c>
      <c r="R2131" t="inlineStr">
        <is>
          <t>Vaccines</t>
        </is>
      </c>
      <c r="S2131" s="70" t="n">
        <v>1377</v>
      </c>
      <c r="T2131" s="71" t="n">
        <v>35701.86</v>
      </c>
      <c r="U2131" t="inlineStr">
        <is>
          <t>Low</t>
        </is>
      </c>
      <c r="V2131">
        <f>IF(AND(OR(Dashboard!$C$6="All",E2131=Dashboard!$C$6),OR(Dashboard!$F$6="All",G2131=Dashboard!$F$6),OR(Dashboard!$I$6="All",H2131=Dashboard!$I$6)),1,0)</f>
        <v/>
      </c>
    </row>
    <row r="2132">
      <c r="A2132" t="inlineStr">
        <is>
          <t>PF102123</t>
        </is>
      </c>
      <c r="B2132" s="68" t="n">
        <v>45914</v>
      </c>
      <c r="C2132" s="69" t="n">
        <v>2025</v>
      </c>
      <c r="D2132" t="inlineStr">
        <is>
          <t>Sep</t>
        </is>
      </c>
      <c r="E2132" t="inlineStr">
        <is>
          <t>United States</t>
        </is>
      </c>
      <c r="F2132" t="inlineStr">
        <is>
          <t>USA</t>
        </is>
      </c>
      <c r="G2132" t="inlineStr">
        <is>
          <t>Vyndaqel</t>
        </is>
      </c>
      <c r="H2132" t="inlineStr">
        <is>
          <t>Hospital</t>
        </is>
      </c>
      <c r="I2132" t="inlineStr">
        <is>
          <t>Private insurer</t>
        </is>
      </c>
      <c r="J2132" t="inlineStr">
        <is>
          <t>Ruhi Shaikh</t>
        </is>
      </c>
      <c r="K2132" s="70" t="n">
        <v>1873</v>
      </c>
      <c r="L2132" s="71" t="n">
        <v>7524.51</v>
      </c>
      <c r="M2132" s="71" t="n">
        <v>14093407.23</v>
      </c>
      <c r="N2132" s="71" t="n">
        <v>4228022.17</v>
      </c>
      <c r="O2132" s="71" t="n">
        <v>9865385.060000001</v>
      </c>
      <c r="P2132" s="71" t="n">
        <v>1178501.43</v>
      </c>
      <c r="Q2132" s="71" t="n">
        <v>8686883.630000001</v>
      </c>
      <c r="R2132" t="inlineStr">
        <is>
          <t>Rare disease</t>
        </is>
      </c>
      <c r="S2132" s="70" t="n">
        <v>1179</v>
      </c>
      <c r="T2132" s="71" t="n">
        <v>1832585.94</v>
      </c>
      <c r="U2132" t="inlineStr">
        <is>
          <t>Medium</t>
        </is>
      </c>
      <c r="V2132">
        <f>IF(AND(OR(Dashboard!$C$6="All",E2132=Dashboard!$C$6),OR(Dashboard!$F$6="All",G2132=Dashboard!$F$6),OR(Dashboard!$I$6="All",H2132=Dashboard!$I$6)),1,0)</f>
        <v/>
      </c>
    </row>
    <row r="2133">
      <c r="A2133" t="inlineStr">
        <is>
          <t>PF102124</t>
        </is>
      </c>
      <c r="B2133" s="68" t="n">
        <v>45914</v>
      </c>
      <c r="C2133" s="69" t="n">
        <v>2025</v>
      </c>
      <c r="D2133" t="inlineStr">
        <is>
          <t>Sep</t>
        </is>
      </c>
      <c r="E2133" t="inlineStr">
        <is>
          <t>United States</t>
        </is>
      </c>
      <c r="F2133" t="inlineStr">
        <is>
          <t>USA</t>
        </is>
      </c>
      <c r="G2133" t="inlineStr">
        <is>
          <t>Prevnar 20</t>
        </is>
      </c>
      <c r="H2133" t="inlineStr">
        <is>
          <t>Government / tender</t>
        </is>
      </c>
      <c r="I2133" t="inlineStr">
        <is>
          <t>Public payer</t>
        </is>
      </c>
      <c r="J2133" t="inlineStr">
        <is>
          <t>Omar Haddad</t>
        </is>
      </c>
      <c r="K2133" s="70" t="n">
        <v>2629</v>
      </c>
      <c r="L2133" s="71" t="n">
        <v>373.95</v>
      </c>
      <c r="M2133" s="71" t="n">
        <v>983114.55</v>
      </c>
      <c r="N2133" s="71" t="n">
        <v>245778.64</v>
      </c>
      <c r="O2133" s="71" t="n">
        <v>737335.91</v>
      </c>
      <c r="P2133" s="71" t="n">
        <v>176419.98</v>
      </c>
      <c r="Q2133" s="71" t="n">
        <v>560915.9300000001</v>
      </c>
      <c r="R2133" t="inlineStr">
        <is>
          <t>Vaccines</t>
        </is>
      </c>
      <c r="S2133" s="70" t="n">
        <v>2455</v>
      </c>
      <c r="T2133" s="71" t="n">
        <v>195350.65</v>
      </c>
      <c r="U2133" t="inlineStr">
        <is>
          <t>Low</t>
        </is>
      </c>
      <c r="V2133">
        <f>IF(AND(OR(Dashboard!$C$6="All",E2133=Dashboard!$C$6),OR(Dashboard!$F$6="All",G2133=Dashboard!$F$6),OR(Dashboard!$I$6="All",H2133=Dashboard!$I$6)),1,0)</f>
        <v/>
      </c>
    </row>
    <row r="2134">
      <c r="A2134" t="inlineStr">
        <is>
          <t>PF102125</t>
        </is>
      </c>
      <c r="B2134" s="68" t="n">
        <v>45914</v>
      </c>
      <c r="C2134" s="69" t="n">
        <v>2025</v>
      </c>
      <c r="D2134" t="inlineStr">
        <is>
          <t>Sep</t>
        </is>
      </c>
      <c r="E2134" t="inlineStr">
        <is>
          <t>United States</t>
        </is>
      </c>
      <c r="F2134" t="inlineStr">
        <is>
          <t>USA</t>
        </is>
      </c>
      <c r="G2134" t="inlineStr">
        <is>
          <t>Paxlovid</t>
        </is>
      </c>
      <c r="H2134" t="inlineStr">
        <is>
          <t>Government / tender</t>
        </is>
      </c>
      <c r="I2134" t="inlineStr">
        <is>
          <t>Private insurer</t>
        </is>
      </c>
      <c r="J2134" t="inlineStr">
        <is>
          <t>Sara Rossi</t>
        </is>
      </c>
      <c r="K2134" s="70" t="n">
        <v>2689</v>
      </c>
      <c r="L2134" s="71" t="n">
        <v>1918.3</v>
      </c>
      <c r="M2134" s="71" t="n">
        <v>5158308.7</v>
      </c>
      <c r="N2134" s="71" t="n">
        <v>1547492.61</v>
      </c>
      <c r="O2134" s="71" t="n">
        <v>3610816.09</v>
      </c>
      <c r="P2134" s="71" t="n">
        <v>730869.65</v>
      </c>
      <c r="Q2134" s="71" t="n">
        <v>2879946.44</v>
      </c>
      <c r="R2134" t="inlineStr">
        <is>
          <t>Antiviral</t>
        </is>
      </c>
      <c r="S2134" s="70" t="n">
        <v>2556</v>
      </c>
      <c r="T2134" s="71" t="n">
        <v>905572.01</v>
      </c>
      <c r="U2134" t="inlineStr">
        <is>
          <t>Low</t>
        </is>
      </c>
      <c r="V2134">
        <f>IF(AND(OR(Dashboard!$C$6="All",E2134=Dashboard!$C$6),OR(Dashboard!$F$6="All",G2134=Dashboard!$F$6),OR(Dashboard!$I$6="All",H2134=Dashboard!$I$6)),1,0)</f>
        <v/>
      </c>
    </row>
    <row r="2135">
      <c r="A2135" t="inlineStr">
        <is>
          <t>PF102126</t>
        </is>
      </c>
      <c r="B2135" s="68" t="n">
        <v>45914</v>
      </c>
      <c r="C2135" s="69" t="n">
        <v>2025</v>
      </c>
      <c r="D2135" t="inlineStr">
        <is>
          <t>Sep</t>
        </is>
      </c>
      <c r="E2135" t="inlineStr">
        <is>
          <t>Europe</t>
        </is>
      </c>
      <c r="F2135" t="inlineStr">
        <is>
          <t>Germany</t>
        </is>
      </c>
      <c r="G2135" t="inlineStr">
        <is>
          <t>Eliquis</t>
        </is>
      </c>
      <c r="H2135" t="inlineStr">
        <is>
          <t>Retail pharmacy</t>
        </is>
      </c>
      <c r="I2135" t="inlineStr">
        <is>
          <t>Private insurer</t>
        </is>
      </c>
      <c r="J2135" t="inlineStr">
        <is>
          <t>Wei Chen</t>
        </is>
      </c>
      <c r="K2135" s="70" t="n">
        <v>1827</v>
      </c>
      <c r="L2135" s="71" t="n">
        <v>442.92</v>
      </c>
      <c r="M2135" s="71" t="n">
        <v>809214.84</v>
      </c>
      <c r="N2135" s="71" t="n">
        <v>121382.23</v>
      </c>
      <c r="O2135" s="71" t="n">
        <v>687832.61</v>
      </c>
      <c r="P2135" s="71" t="n">
        <v>133066.82</v>
      </c>
      <c r="Q2135" s="71" t="n">
        <v>554765.79</v>
      </c>
      <c r="R2135" t="inlineStr">
        <is>
          <t>Cardiology</t>
        </is>
      </c>
      <c r="S2135" s="70" t="n">
        <v>1302</v>
      </c>
      <c r="T2135" s="71" t="n">
        <v>160809.65</v>
      </c>
      <c r="U2135" t="inlineStr">
        <is>
          <t>High</t>
        </is>
      </c>
      <c r="V2135">
        <f>IF(AND(OR(Dashboard!$C$6="All",E2135=Dashboard!$C$6),OR(Dashboard!$F$6="All",G2135=Dashboard!$F$6),OR(Dashboard!$I$6="All",H2135=Dashboard!$I$6)),1,0)</f>
        <v/>
      </c>
    </row>
    <row r="2136">
      <c r="A2136" t="inlineStr">
        <is>
          <t>PF102127</t>
        </is>
      </c>
      <c r="B2136" s="68" t="n">
        <v>45914</v>
      </c>
      <c r="C2136" s="69" t="n">
        <v>2025</v>
      </c>
      <c r="D2136" t="inlineStr">
        <is>
          <t>Sep</t>
        </is>
      </c>
      <c r="E2136" t="inlineStr">
        <is>
          <t>United States</t>
        </is>
      </c>
      <c r="F2136" t="inlineStr">
        <is>
          <t>USA</t>
        </is>
      </c>
      <c r="G2136" t="inlineStr">
        <is>
          <t>Paxlovid</t>
        </is>
      </c>
      <c r="H2136" t="inlineStr">
        <is>
          <t>Hospital</t>
        </is>
      </c>
      <c r="I2136" t="inlineStr">
        <is>
          <t>Public payer</t>
        </is>
      </c>
      <c r="J2136" t="inlineStr">
        <is>
          <t>Mei Lin</t>
        </is>
      </c>
      <c r="K2136" s="70" t="n">
        <v>598</v>
      </c>
      <c r="L2136" s="71" t="n">
        <v>1610.61</v>
      </c>
      <c r="M2136" s="71" t="n">
        <v>963144.78</v>
      </c>
      <c r="N2136" s="71" t="n">
        <v>288943.43</v>
      </c>
      <c r="O2136" s="71" t="n">
        <v>674201.35</v>
      </c>
      <c r="P2136" s="71" t="n">
        <v>163932.89</v>
      </c>
      <c r="Q2136" s="71" t="n">
        <v>510268.46</v>
      </c>
      <c r="R2136" t="inlineStr">
        <is>
          <t>Antiviral</t>
        </is>
      </c>
      <c r="S2136" s="70" t="n">
        <v>442</v>
      </c>
      <c r="T2136" s="71" t="n">
        <v>125242.05</v>
      </c>
      <c r="U2136" t="inlineStr">
        <is>
          <t>Low</t>
        </is>
      </c>
      <c r="V2136">
        <f>IF(AND(OR(Dashboard!$C$6="All",E2136=Dashboard!$C$6),OR(Dashboard!$F$6="All",G2136=Dashboard!$F$6),OR(Dashboard!$I$6="All",H2136=Dashboard!$I$6)),1,0)</f>
        <v/>
      </c>
    </row>
    <row r="2137">
      <c r="A2137" t="inlineStr">
        <is>
          <t>PF102128</t>
        </is>
      </c>
      <c r="B2137" s="68" t="n">
        <v>45914</v>
      </c>
      <c r="C2137" s="69" t="n">
        <v>2025</v>
      </c>
      <c r="D2137" t="inlineStr">
        <is>
          <t>Sep</t>
        </is>
      </c>
      <c r="E2137" t="inlineStr">
        <is>
          <t>Emerging markets</t>
        </is>
      </c>
      <c r="F2137" t="inlineStr">
        <is>
          <t>Brazil</t>
        </is>
      </c>
      <c r="G2137" t="inlineStr">
        <is>
          <t>Paxlovid</t>
        </is>
      </c>
      <c r="H2137" t="inlineStr">
        <is>
          <t>Hospital</t>
        </is>
      </c>
      <c r="I2137" t="inlineStr">
        <is>
          <t>Private insurer</t>
        </is>
      </c>
      <c r="J2137" t="inlineStr">
        <is>
          <t>Zoya Ahmed</t>
        </is>
      </c>
      <c r="K2137" s="70" t="n">
        <v>2789</v>
      </c>
      <c r="L2137" s="71" t="n">
        <v>1105.97</v>
      </c>
      <c r="M2137" s="71" t="n">
        <v>3084550.33</v>
      </c>
      <c r="N2137" s="71" t="n">
        <v>308455.03</v>
      </c>
      <c r="O2137" s="71" t="n">
        <v>2776095.3</v>
      </c>
      <c r="P2137" s="71" t="n">
        <v>773551.24</v>
      </c>
      <c r="Q2137" s="71" t="n">
        <v>2002544.06</v>
      </c>
      <c r="R2137" t="inlineStr">
        <is>
          <t>Antiviral</t>
        </is>
      </c>
      <c r="S2137" s="70" t="n">
        <v>1804</v>
      </c>
      <c r="T2137" s="71" t="n">
        <v>554548.62</v>
      </c>
      <c r="U2137" t="inlineStr">
        <is>
          <t>Low</t>
        </is>
      </c>
      <c r="V2137">
        <f>IF(AND(OR(Dashboard!$C$6="All",E2137=Dashboard!$C$6),OR(Dashboard!$F$6="All",G2137=Dashboard!$F$6),OR(Dashboard!$I$6="All",H2137=Dashboard!$I$6)),1,0)</f>
        <v/>
      </c>
    </row>
    <row r="2138">
      <c r="A2138" t="inlineStr">
        <is>
          <t>PF102129</t>
        </is>
      </c>
      <c r="B2138" s="68" t="n">
        <v>45914</v>
      </c>
      <c r="C2138" s="69" t="n">
        <v>2025</v>
      </c>
      <c r="D2138" t="inlineStr">
        <is>
          <t>Sep</t>
        </is>
      </c>
      <c r="E2138" t="inlineStr">
        <is>
          <t>United States</t>
        </is>
      </c>
      <c r="F2138" t="inlineStr">
        <is>
          <t>USA</t>
        </is>
      </c>
      <c r="G2138" t="inlineStr">
        <is>
          <t>Ibrance</t>
        </is>
      </c>
      <c r="H2138" t="inlineStr">
        <is>
          <t>Hospital</t>
        </is>
      </c>
      <c r="I2138" t="inlineStr">
        <is>
          <t>Private insurer</t>
        </is>
      </c>
      <c r="J2138" t="inlineStr">
        <is>
          <t>Sara Rossi</t>
        </is>
      </c>
      <c r="K2138" s="70" t="n">
        <v>2965</v>
      </c>
      <c r="L2138" s="71" t="n">
        <v>4270.06</v>
      </c>
      <c r="M2138" s="71" t="n">
        <v>12660727.9</v>
      </c>
      <c r="N2138" s="71" t="n">
        <v>3165181.98</v>
      </c>
      <c r="O2138" s="71" t="n">
        <v>9495545.92</v>
      </c>
      <c r="P2138" s="71" t="n">
        <v>1270882.6</v>
      </c>
      <c r="Q2138" s="71" t="n">
        <v>8224663.32</v>
      </c>
      <c r="R2138" t="inlineStr">
        <is>
          <t>Oncology</t>
        </is>
      </c>
      <c r="S2138" s="70" t="n">
        <v>2029</v>
      </c>
      <c r="T2138" s="71" t="n">
        <v>1529518.37</v>
      </c>
      <c r="U2138" t="inlineStr">
        <is>
          <t>High</t>
        </is>
      </c>
      <c r="V2138">
        <f>IF(AND(OR(Dashboard!$C$6="All",E2138=Dashboard!$C$6),OR(Dashboard!$F$6="All",G2138=Dashboard!$F$6),OR(Dashboard!$I$6="All",H2138=Dashboard!$I$6)),1,0)</f>
        <v/>
      </c>
    </row>
    <row r="2139">
      <c r="A2139" t="inlineStr">
        <is>
          <t>PF102130</t>
        </is>
      </c>
      <c r="B2139" s="68" t="n">
        <v>45914</v>
      </c>
      <c r="C2139" s="69" t="n">
        <v>2025</v>
      </c>
      <c r="D2139" t="inlineStr">
        <is>
          <t>Sep</t>
        </is>
      </c>
      <c r="E2139" t="inlineStr">
        <is>
          <t>Europe</t>
        </is>
      </c>
      <c r="F2139" t="inlineStr">
        <is>
          <t>Italy</t>
        </is>
      </c>
      <c r="G2139" t="inlineStr">
        <is>
          <t>Eliquis</t>
        </is>
      </c>
      <c r="H2139" t="inlineStr">
        <is>
          <t>Government / tender</t>
        </is>
      </c>
      <c r="I2139" t="inlineStr">
        <is>
          <t>Private insurer</t>
        </is>
      </c>
      <c r="J2139" t="inlineStr">
        <is>
          <t>Aisha Bello</t>
        </is>
      </c>
      <c r="K2139" s="70" t="n">
        <v>2573</v>
      </c>
      <c r="L2139" s="71" t="n">
        <v>400.36</v>
      </c>
      <c r="M2139" s="71" t="n">
        <v>1030126.28</v>
      </c>
      <c r="N2139" s="71" t="n">
        <v>103012.63</v>
      </c>
      <c r="O2139" s="71" t="n">
        <v>927113.65</v>
      </c>
      <c r="P2139" s="71" t="n">
        <v>191591.43</v>
      </c>
      <c r="Q2139" s="71" t="n">
        <v>735522.22</v>
      </c>
      <c r="R2139" t="inlineStr">
        <is>
          <t>Cardiology</t>
        </is>
      </c>
      <c r="S2139" s="70" t="n">
        <v>1675</v>
      </c>
      <c r="T2139" s="71" t="n">
        <v>172966.83</v>
      </c>
      <c r="U2139" t="inlineStr">
        <is>
          <t>High</t>
        </is>
      </c>
      <c r="V2139">
        <f>IF(AND(OR(Dashboard!$C$6="All",E2139=Dashboard!$C$6),OR(Dashboard!$F$6="All",G2139=Dashboard!$F$6),OR(Dashboard!$I$6="All",H2139=Dashboard!$I$6)),1,0)</f>
        <v/>
      </c>
    </row>
    <row r="2140">
      <c r="A2140" t="inlineStr">
        <is>
          <t>PF102131</t>
        </is>
      </c>
      <c r="B2140" s="68" t="n">
        <v>45915</v>
      </c>
      <c r="C2140" s="69" t="n">
        <v>2025</v>
      </c>
      <c r="D2140" t="inlineStr">
        <is>
          <t>Sep</t>
        </is>
      </c>
      <c r="E2140" t="inlineStr">
        <is>
          <t>United States</t>
        </is>
      </c>
      <c r="F2140" t="inlineStr">
        <is>
          <t>USA</t>
        </is>
      </c>
      <c r="G2140" t="inlineStr">
        <is>
          <t>Abrysvo</t>
        </is>
      </c>
      <c r="H2140" t="inlineStr">
        <is>
          <t>Retail pharmacy</t>
        </is>
      </c>
      <c r="I2140" t="inlineStr">
        <is>
          <t>Private insurer</t>
        </is>
      </c>
      <c r="J2140" t="inlineStr">
        <is>
          <t>Omar Haddad</t>
        </is>
      </c>
      <c r="K2140" s="70" t="n">
        <v>1240</v>
      </c>
      <c r="L2140" s="71" t="n">
        <v>460.18</v>
      </c>
      <c r="M2140" s="71" t="n">
        <v>570623.2</v>
      </c>
      <c r="N2140" s="71" t="n">
        <v>171186.96</v>
      </c>
      <c r="O2140" s="71" t="n">
        <v>399436.24</v>
      </c>
      <c r="P2140" s="71" t="n">
        <v>101317.98</v>
      </c>
      <c r="Q2140" s="71" t="n">
        <v>298118.26</v>
      </c>
      <c r="R2140" t="inlineStr">
        <is>
          <t>Vaccines</t>
        </is>
      </c>
      <c r="S2140" s="70" t="n">
        <v>1089</v>
      </c>
      <c r="T2140" s="71" t="n">
        <v>125514.27</v>
      </c>
      <c r="U2140" t="inlineStr">
        <is>
          <t>Low</t>
        </is>
      </c>
      <c r="V2140">
        <f>IF(AND(OR(Dashboard!$C$6="All",E2140=Dashboard!$C$6),OR(Dashboard!$F$6="All",G2140=Dashboard!$F$6),OR(Dashboard!$I$6="All",H2140=Dashboard!$I$6)),1,0)</f>
        <v/>
      </c>
    </row>
    <row r="2141">
      <c r="A2141" t="inlineStr">
        <is>
          <t>PF102132</t>
        </is>
      </c>
      <c r="B2141" s="68" t="n">
        <v>45915</v>
      </c>
      <c r="C2141" s="69" t="n">
        <v>2025</v>
      </c>
      <c r="D2141" t="inlineStr">
        <is>
          <t>Sep</t>
        </is>
      </c>
      <c r="E2141" t="inlineStr">
        <is>
          <t>International developed</t>
        </is>
      </c>
      <c r="F2141" t="inlineStr">
        <is>
          <t>Australia</t>
        </is>
      </c>
      <c r="G2141" t="inlineStr">
        <is>
          <t>Comirnaty</t>
        </is>
      </c>
      <c r="H2141" t="inlineStr">
        <is>
          <t>Retail pharmacy</t>
        </is>
      </c>
      <c r="I2141" t="inlineStr">
        <is>
          <t>Private insurer</t>
        </is>
      </c>
      <c r="J2141" t="inlineStr">
        <is>
          <t>Aisha Bello</t>
        </is>
      </c>
      <c r="K2141" s="70" t="n">
        <v>406</v>
      </c>
      <c r="L2141" s="71" t="n">
        <v>102.13</v>
      </c>
      <c r="M2141" s="71" t="n">
        <v>41464.78</v>
      </c>
      <c r="N2141" s="71" t="n">
        <v>6219.72</v>
      </c>
      <c r="O2141" s="71" t="n">
        <v>35245.06</v>
      </c>
      <c r="P2141" s="71" t="n">
        <v>15838.63</v>
      </c>
      <c r="Q2141" s="71" t="n">
        <v>19406.43</v>
      </c>
      <c r="R2141" t="inlineStr">
        <is>
          <t>Vaccines</t>
        </is>
      </c>
      <c r="S2141" s="70" t="n">
        <v>283</v>
      </c>
      <c r="T2141" s="71" t="n">
        <v>6355.85</v>
      </c>
      <c r="U2141" t="inlineStr">
        <is>
          <t>Low</t>
        </is>
      </c>
      <c r="V2141">
        <f>IF(AND(OR(Dashboard!$C$6="All",E2141=Dashboard!$C$6),OR(Dashboard!$F$6="All",G2141=Dashboard!$F$6),OR(Dashboard!$I$6="All",H2141=Dashboard!$I$6)),1,0)</f>
        <v/>
      </c>
    </row>
    <row r="2142">
      <c r="A2142" t="inlineStr">
        <is>
          <t>PF102133</t>
        </is>
      </c>
      <c r="B2142" s="68" t="n">
        <v>45915</v>
      </c>
      <c r="C2142" s="69" t="n">
        <v>2025</v>
      </c>
      <c r="D2142" t="inlineStr">
        <is>
          <t>Sep</t>
        </is>
      </c>
      <c r="E2142" t="inlineStr">
        <is>
          <t>Emerging markets</t>
        </is>
      </c>
      <c r="F2142" t="inlineStr">
        <is>
          <t>China</t>
        </is>
      </c>
      <c r="G2142" t="inlineStr">
        <is>
          <t>Ibrance</t>
        </is>
      </c>
      <c r="H2142" t="inlineStr">
        <is>
          <t>Hospital</t>
        </is>
      </c>
      <c r="I2142" t="inlineStr">
        <is>
          <t>Private insurer</t>
        </is>
      </c>
      <c r="J2142" t="inlineStr">
        <is>
          <t>Hiroshi Tanaka</t>
        </is>
      </c>
      <c r="K2142" s="70" t="n">
        <v>2804</v>
      </c>
      <c r="L2142" s="71" t="n">
        <v>3118.18</v>
      </c>
      <c r="M2142" s="71" t="n">
        <v>8743376.720000001</v>
      </c>
      <c r="N2142" s="71" t="n">
        <v>874337.67</v>
      </c>
      <c r="O2142" s="71" t="n">
        <v>7869039.05</v>
      </c>
      <c r="P2142" s="71" t="n">
        <v>1246990.62</v>
      </c>
      <c r="Q2142" s="71" t="n">
        <v>6622048.43</v>
      </c>
      <c r="R2142" t="inlineStr">
        <is>
          <t>Oncology</t>
        </is>
      </c>
      <c r="S2142" s="70" t="n">
        <v>2211</v>
      </c>
      <c r="T2142" s="71" t="n">
        <v>1238622.42</v>
      </c>
      <c r="U2142" t="inlineStr">
        <is>
          <t>High</t>
        </is>
      </c>
      <c r="V2142">
        <f>IF(AND(OR(Dashboard!$C$6="All",E2142=Dashboard!$C$6),OR(Dashboard!$F$6="All",G2142=Dashboard!$F$6),OR(Dashboard!$I$6="All",H2142=Dashboard!$I$6)),1,0)</f>
        <v/>
      </c>
    </row>
    <row r="2143">
      <c r="A2143" t="inlineStr">
        <is>
          <t>PF102134</t>
        </is>
      </c>
      <c r="B2143" s="68" t="n">
        <v>45915</v>
      </c>
      <c r="C2143" s="69" t="n">
        <v>2025</v>
      </c>
      <c r="D2143" t="inlineStr">
        <is>
          <t>Sep</t>
        </is>
      </c>
      <c r="E2143" t="inlineStr">
        <is>
          <t>United States</t>
        </is>
      </c>
      <c r="F2143" t="inlineStr">
        <is>
          <t>USA</t>
        </is>
      </c>
      <c r="G2143" t="inlineStr">
        <is>
          <t>Ibrance</t>
        </is>
      </c>
      <c r="H2143" t="inlineStr">
        <is>
          <t>Retail pharmacy</t>
        </is>
      </c>
      <c r="I2143" t="inlineStr">
        <is>
          <t>Public payer</t>
        </is>
      </c>
      <c r="J2143" t="inlineStr">
        <is>
          <t>Shraddha Kulkarni</t>
        </is>
      </c>
      <c r="K2143" s="70" t="n">
        <v>1408</v>
      </c>
      <c r="L2143" s="71" t="n">
        <v>4475.06</v>
      </c>
      <c r="M2143" s="71" t="n">
        <v>6300884.48</v>
      </c>
      <c r="N2143" s="71" t="n">
        <v>945132.67</v>
      </c>
      <c r="O2143" s="71" t="n">
        <v>5355751.81</v>
      </c>
      <c r="P2143" s="71" t="n">
        <v>614684.24</v>
      </c>
      <c r="Q2143" s="71" t="n">
        <v>4741067.57</v>
      </c>
      <c r="R2143" t="inlineStr">
        <is>
          <t>Oncology</t>
        </is>
      </c>
      <c r="S2143" s="70" t="n">
        <v>1075</v>
      </c>
      <c r="T2143" s="71" t="n">
        <v>814540.61</v>
      </c>
      <c r="U2143" t="inlineStr">
        <is>
          <t>High</t>
        </is>
      </c>
      <c r="V2143">
        <f>IF(AND(OR(Dashboard!$C$6="All",E2143=Dashboard!$C$6),OR(Dashboard!$F$6="All",G2143=Dashboard!$F$6),OR(Dashboard!$I$6="All",H2143=Dashboard!$I$6)),1,0)</f>
        <v/>
      </c>
    </row>
    <row r="2144">
      <c r="A2144" t="inlineStr">
        <is>
          <t>PF102135</t>
        </is>
      </c>
      <c r="B2144" s="68" t="n">
        <v>45915</v>
      </c>
      <c r="C2144" s="69" t="n">
        <v>2025</v>
      </c>
      <c r="D2144" t="inlineStr">
        <is>
          <t>Sep</t>
        </is>
      </c>
      <c r="E2144" t="inlineStr">
        <is>
          <t>United States</t>
        </is>
      </c>
      <c r="F2144" t="inlineStr">
        <is>
          <t>USA</t>
        </is>
      </c>
      <c r="G2144" t="inlineStr">
        <is>
          <t>Eliquis</t>
        </is>
      </c>
      <c r="H2144" t="inlineStr">
        <is>
          <t>Hospital</t>
        </is>
      </c>
      <c r="I2144" t="inlineStr">
        <is>
          <t>Self-pay</t>
        </is>
      </c>
      <c r="J2144" t="inlineStr">
        <is>
          <t>Zoya Ahmed</t>
        </is>
      </c>
      <c r="K2144" s="70" t="n">
        <v>218</v>
      </c>
      <c r="L2144" s="71" t="n">
        <v>653.71</v>
      </c>
      <c r="M2144" s="71" t="n">
        <v>142508.78</v>
      </c>
      <c r="N2144" s="71" t="n">
        <v>21376.32</v>
      </c>
      <c r="O2144" s="71" t="n">
        <v>121132.46</v>
      </c>
      <c r="P2144" s="71" t="n">
        <v>15839.22</v>
      </c>
      <c r="Q2144" s="71" t="n">
        <v>105293.24</v>
      </c>
      <c r="R2144" t="inlineStr">
        <is>
          <t>Cardiology</t>
        </is>
      </c>
      <c r="S2144" s="70" t="n">
        <v>204</v>
      </c>
      <c r="T2144" s="71" t="n">
        <v>24444.97</v>
      </c>
      <c r="U2144" t="inlineStr">
        <is>
          <t>High</t>
        </is>
      </c>
      <c r="V2144">
        <f>IF(AND(OR(Dashboard!$C$6="All",E2144=Dashboard!$C$6),OR(Dashboard!$F$6="All",G2144=Dashboard!$F$6),OR(Dashboard!$I$6="All",H2144=Dashboard!$I$6)),1,0)</f>
        <v/>
      </c>
    </row>
    <row r="2145">
      <c r="A2145" t="inlineStr">
        <is>
          <t>PF102136</t>
        </is>
      </c>
      <c r="B2145" s="68" t="n">
        <v>45915</v>
      </c>
      <c r="C2145" s="69" t="n">
        <v>2025</v>
      </c>
      <c r="D2145" t="inlineStr">
        <is>
          <t>Sep</t>
        </is>
      </c>
      <c r="E2145" t="inlineStr">
        <is>
          <t>Emerging markets</t>
        </is>
      </c>
      <c r="F2145" t="inlineStr">
        <is>
          <t>Brazil</t>
        </is>
      </c>
      <c r="G2145" t="inlineStr">
        <is>
          <t>Eliquis</t>
        </is>
      </c>
      <c r="H2145" t="inlineStr">
        <is>
          <t>Retail pharmacy</t>
        </is>
      </c>
      <c r="I2145" t="inlineStr">
        <is>
          <t>Self-pay</t>
        </is>
      </c>
      <c r="J2145" t="inlineStr">
        <is>
          <t>Arjun Mehta</t>
        </is>
      </c>
      <c r="K2145" s="70" t="n">
        <v>1183</v>
      </c>
      <c r="L2145" s="71" t="n">
        <v>414.63</v>
      </c>
      <c r="M2145" s="71" t="n">
        <v>490507.29</v>
      </c>
      <c r="N2145" s="71" t="n">
        <v>24525.36</v>
      </c>
      <c r="O2145" s="71" t="n">
        <v>465981.93</v>
      </c>
      <c r="P2145" s="71" t="n">
        <v>89077.32000000001</v>
      </c>
      <c r="Q2145" s="71" t="n">
        <v>376904.61</v>
      </c>
      <c r="R2145" t="inlineStr">
        <is>
          <t>Cardiology</t>
        </is>
      </c>
      <c r="S2145" s="70" t="n">
        <v>810</v>
      </c>
      <c r="T2145" s="71" t="n">
        <v>90080.95</v>
      </c>
      <c r="U2145" t="inlineStr">
        <is>
          <t>High</t>
        </is>
      </c>
      <c r="V2145">
        <f>IF(AND(OR(Dashboard!$C$6="All",E2145=Dashboard!$C$6),OR(Dashboard!$F$6="All",G2145=Dashboard!$F$6),OR(Dashboard!$I$6="All",H2145=Dashboard!$I$6)),1,0)</f>
        <v/>
      </c>
    </row>
    <row r="2146">
      <c r="A2146" t="inlineStr">
        <is>
          <t>PF102137</t>
        </is>
      </c>
      <c r="B2146" s="68" t="n">
        <v>45915</v>
      </c>
      <c r="C2146" s="69" t="n">
        <v>2025</v>
      </c>
      <c r="D2146" t="inlineStr">
        <is>
          <t>Sep</t>
        </is>
      </c>
      <c r="E2146" t="inlineStr">
        <is>
          <t>International developed</t>
        </is>
      </c>
      <c r="F2146" t="inlineStr">
        <is>
          <t>Australia</t>
        </is>
      </c>
      <c r="G2146" t="inlineStr">
        <is>
          <t>Comirnaty</t>
        </is>
      </c>
      <c r="H2146" t="inlineStr">
        <is>
          <t>Retail pharmacy</t>
        </is>
      </c>
      <c r="I2146" t="inlineStr">
        <is>
          <t>Private insurer</t>
        </is>
      </c>
      <c r="J2146" t="inlineStr">
        <is>
          <t>Omar Haddad</t>
        </is>
      </c>
      <c r="K2146" s="70" t="n">
        <v>2790</v>
      </c>
      <c r="L2146" s="71" t="n">
        <v>111.42</v>
      </c>
      <c r="M2146" s="71" t="n">
        <v>310861.8</v>
      </c>
      <c r="N2146" s="71" t="n">
        <v>62172.36</v>
      </c>
      <c r="O2146" s="71" t="n">
        <v>248689.44</v>
      </c>
      <c r="P2146" s="71" t="n">
        <v>106921.97</v>
      </c>
      <c r="Q2146" s="71" t="n">
        <v>141767.47</v>
      </c>
      <c r="R2146" t="inlineStr">
        <is>
          <t>Vaccines</t>
        </is>
      </c>
      <c r="S2146" s="70" t="n">
        <v>2000</v>
      </c>
      <c r="T2146" s="71" t="n">
        <v>40357.13</v>
      </c>
      <c r="U2146" t="inlineStr">
        <is>
          <t>Low</t>
        </is>
      </c>
      <c r="V2146">
        <f>IF(AND(OR(Dashboard!$C$6="All",E2146=Dashboard!$C$6),OR(Dashboard!$F$6="All",G2146=Dashboard!$F$6),OR(Dashboard!$I$6="All",H2146=Dashboard!$I$6)),1,0)</f>
        <v/>
      </c>
    </row>
    <row r="2147">
      <c r="A2147" t="inlineStr">
        <is>
          <t>PF102138</t>
        </is>
      </c>
      <c r="B2147" s="68" t="n">
        <v>45915</v>
      </c>
      <c r="C2147" s="69" t="n">
        <v>2025</v>
      </c>
      <c r="D2147" t="inlineStr">
        <is>
          <t>Sep</t>
        </is>
      </c>
      <c r="E2147" t="inlineStr">
        <is>
          <t>United States</t>
        </is>
      </c>
      <c r="F2147" t="inlineStr">
        <is>
          <t>USA</t>
        </is>
      </c>
      <c r="G2147" t="inlineStr">
        <is>
          <t>Prevnar 20</t>
        </is>
      </c>
      <c r="H2147" t="inlineStr">
        <is>
          <t>Retail pharmacy</t>
        </is>
      </c>
      <c r="I2147" t="inlineStr">
        <is>
          <t>Public payer</t>
        </is>
      </c>
      <c r="J2147" t="inlineStr">
        <is>
          <t>Emma Clarke</t>
        </is>
      </c>
      <c r="K2147" s="70" t="n">
        <v>2819</v>
      </c>
      <c r="L2147" s="71" t="n">
        <v>350.27</v>
      </c>
      <c r="M2147" s="71" t="n">
        <v>987411.13</v>
      </c>
      <c r="N2147" s="71" t="n">
        <v>296223.34</v>
      </c>
      <c r="O2147" s="71" t="n">
        <v>691187.79</v>
      </c>
      <c r="P2147" s="71" t="n">
        <v>198014.43</v>
      </c>
      <c r="Q2147" s="71" t="n">
        <v>493173.36</v>
      </c>
      <c r="R2147" t="inlineStr">
        <is>
          <t>Vaccines</t>
        </is>
      </c>
      <c r="S2147" s="70" t="n">
        <v>2751</v>
      </c>
      <c r="T2147" s="71" t="n">
        <v>129265.42</v>
      </c>
      <c r="U2147" t="inlineStr">
        <is>
          <t>Low</t>
        </is>
      </c>
      <c r="V2147">
        <f>IF(AND(OR(Dashboard!$C$6="All",E2147=Dashboard!$C$6),OR(Dashboard!$F$6="All",G2147=Dashboard!$F$6),OR(Dashboard!$I$6="All",H2147=Dashboard!$I$6)),1,0)</f>
        <v/>
      </c>
    </row>
    <row r="2148">
      <c r="A2148" t="inlineStr">
        <is>
          <t>PF102139</t>
        </is>
      </c>
      <c r="B2148" s="68" t="n">
        <v>45915</v>
      </c>
      <c r="C2148" s="69" t="n">
        <v>2025</v>
      </c>
      <c r="D2148" t="inlineStr">
        <is>
          <t>Sep</t>
        </is>
      </c>
      <c r="E2148" t="inlineStr">
        <is>
          <t>United States</t>
        </is>
      </c>
      <c r="F2148" t="inlineStr">
        <is>
          <t>USA</t>
        </is>
      </c>
      <c r="G2148" t="inlineStr">
        <is>
          <t>Eliquis</t>
        </is>
      </c>
      <c r="H2148" t="inlineStr">
        <is>
          <t>Hospital</t>
        </is>
      </c>
      <c r="I2148" t="inlineStr">
        <is>
          <t>Private insurer</t>
        </is>
      </c>
      <c r="J2148" t="inlineStr">
        <is>
          <t>Yuki Sato</t>
        </is>
      </c>
      <c r="K2148" s="70" t="n">
        <v>2638</v>
      </c>
      <c r="L2148" s="71" t="n">
        <v>665.25</v>
      </c>
      <c r="M2148" s="71" t="n">
        <v>1754929.5</v>
      </c>
      <c r="N2148" s="71" t="n">
        <v>526478.85</v>
      </c>
      <c r="O2148" s="71" t="n">
        <v>1228450.65</v>
      </c>
      <c r="P2148" s="71" t="n">
        <v>207356.14</v>
      </c>
      <c r="Q2148" s="71" t="n">
        <v>1021094.51</v>
      </c>
      <c r="R2148" t="inlineStr">
        <is>
          <t>Cardiology</t>
        </is>
      </c>
      <c r="S2148" s="70" t="n">
        <v>1710</v>
      </c>
      <c r="T2148" s="71" t="n">
        <v>343409.08</v>
      </c>
      <c r="U2148" t="inlineStr">
        <is>
          <t>High</t>
        </is>
      </c>
      <c r="V2148">
        <f>IF(AND(OR(Dashboard!$C$6="All",E2148=Dashboard!$C$6),OR(Dashboard!$F$6="All",G2148=Dashboard!$F$6),OR(Dashboard!$I$6="All",H2148=Dashboard!$I$6)),1,0)</f>
        <v/>
      </c>
    </row>
    <row r="2149">
      <c r="A2149" t="inlineStr">
        <is>
          <t>PF102140</t>
        </is>
      </c>
      <c r="B2149" s="68" t="n">
        <v>45915</v>
      </c>
      <c r="C2149" s="69" t="n">
        <v>2025</v>
      </c>
      <c r="D2149" t="inlineStr">
        <is>
          <t>Sep</t>
        </is>
      </c>
      <c r="E2149" t="inlineStr">
        <is>
          <t>United States</t>
        </is>
      </c>
      <c r="F2149" t="inlineStr">
        <is>
          <t>USA</t>
        </is>
      </c>
      <c r="G2149" t="inlineStr">
        <is>
          <t>Comirnaty</t>
        </is>
      </c>
      <c r="H2149" t="inlineStr">
        <is>
          <t>Retail pharmacy</t>
        </is>
      </c>
      <c r="I2149" t="inlineStr">
        <is>
          <t>Self-pay</t>
        </is>
      </c>
      <c r="J2149" t="inlineStr">
        <is>
          <t>Mei Lin</t>
        </is>
      </c>
      <c r="K2149" s="70" t="n">
        <v>1823</v>
      </c>
      <c r="L2149" s="71" t="n">
        <v>176.18</v>
      </c>
      <c r="M2149" s="71" t="n">
        <v>321176.14</v>
      </c>
      <c r="N2149" s="71" t="n">
        <v>112411.65</v>
      </c>
      <c r="O2149" s="71" t="n">
        <v>208764.49</v>
      </c>
      <c r="P2149" s="71" t="n">
        <v>68452.19</v>
      </c>
      <c r="Q2149" s="71" t="n">
        <v>140312.3</v>
      </c>
      <c r="R2149" t="inlineStr">
        <is>
          <t>Vaccines</t>
        </is>
      </c>
      <c r="S2149" s="70" t="n">
        <v>1748</v>
      </c>
      <c r="T2149" s="71" t="n">
        <v>56630.89</v>
      </c>
      <c r="U2149" t="inlineStr">
        <is>
          <t>Low</t>
        </is>
      </c>
      <c r="V2149">
        <f>IF(AND(OR(Dashboard!$C$6="All",E2149=Dashboard!$C$6),OR(Dashboard!$F$6="All",G2149=Dashboard!$F$6),OR(Dashboard!$I$6="All",H2149=Dashboard!$I$6)),1,0)</f>
        <v/>
      </c>
    </row>
    <row r="2150">
      <c r="A2150" t="inlineStr">
        <is>
          <t>PF102141</t>
        </is>
      </c>
      <c r="B2150" s="68" t="n">
        <v>45915</v>
      </c>
      <c r="C2150" s="69" t="n">
        <v>2025</v>
      </c>
      <c r="D2150" t="inlineStr">
        <is>
          <t>Sep</t>
        </is>
      </c>
      <c r="E2150" t="inlineStr">
        <is>
          <t>International developed</t>
        </is>
      </c>
      <c r="F2150" t="inlineStr">
        <is>
          <t>Australia</t>
        </is>
      </c>
      <c r="G2150" t="inlineStr">
        <is>
          <t>Paxlovid</t>
        </is>
      </c>
      <c r="H2150" t="inlineStr">
        <is>
          <t>Retail pharmacy</t>
        </is>
      </c>
      <c r="I2150" t="inlineStr">
        <is>
          <t>Public payer</t>
        </is>
      </c>
      <c r="J2150" t="inlineStr">
        <is>
          <t>Shraddha Kulkarni</t>
        </is>
      </c>
      <c r="K2150" s="70" t="n">
        <v>773</v>
      </c>
      <c r="L2150" s="71" t="n">
        <v>1197.74</v>
      </c>
      <c r="M2150" s="71" t="n">
        <v>925853.02</v>
      </c>
      <c r="N2150" s="71" t="n">
        <v>92585.3</v>
      </c>
      <c r="O2150" s="71" t="n">
        <v>833267.72</v>
      </c>
      <c r="P2150" s="71" t="n">
        <v>218016.16</v>
      </c>
      <c r="Q2150" s="71" t="n">
        <v>615251.5600000001</v>
      </c>
      <c r="R2150" t="inlineStr">
        <is>
          <t>Antiviral</t>
        </is>
      </c>
      <c r="S2150" s="70" t="n">
        <v>541</v>
      </c>
      <c r="T2150" s="71" t="n">
        <v>193768.51</v>
      </c>
      <c r="U2150" t="inlineStr">
        <is>
          <t>Low</t>
        </is>
      </c>
      <c r="V2150">
        <f>IF(AND(OR(Dashboard!$C$6="All",E2150=Dashboard!$C$6),OR(Dashboard!$F$6="All",G2150=Dashboard!$F$6),OR(Dashboard!$I$6="All",H2150=Dashboard!$I$6)),1,0)</f>
        <v/>
      </c>
    </row>
    <row r="2151">
      <c r="A2151" t="inlineStr">
        <is>
          <t>PF102142</t>
        </is>
      </c>
      <c r="B2151" s="68" t="n">
        <v>45915</v>
      </c>
      <c r="C2151" s="69" t="n">
        <v>2025</v>
      </c>
      <c r="D2151" t="inlineStr">
        <is>
          <t>Sep</t>
        </is>
      </c>
      <c r="E2151" t="inlineStr">
        <is>
          <t>United States</t>
        </is>
      </c>
      <c r="F2151" t="inlineStr">
        <is>
          <t>USA</t>
        </is>
      </c>
      <c r="G2151" t="inlineStr">
        <is>
          <t>Paxlovid</t>
        </is>
      </c>
      <c r="H2151" t="inlineStr">
        <is>
          <t>Hospital</t>
        </is>
      </c>
      <c r="I2151" t="inlineStr">
        <is>
          <t>Public payer</t>
        </is>
      </c>
      <c r="J2151" t="inlineStr">
        <is>
          <t>Priya Nair</t>
        </is>
      </c>
      <c r="K2151" s="70" t="n">
        <v>1235</v>
      </c>
      <c r="L2151" s="71" t="n">
        <v>1729.98</v>
      </c>
      <c r="M2151" s="71" t="n">
        <v>2136525.3</v>
      </c>
      <c r="N2151" s="71" t="n">
        <v>640957.59</v>
      </c>
      <c r="O2151" s="71" t="n">
        <v>1495567.71</v>
      </c>
      <c r="P2151" s="71" t="n">
        <v>343638.69</v>
      </c>
      <c r="Q2151" s="71" t="n">
        <v>1151929.02</v>
      </c>
      <c r="R2151" t="inlineStr">
        <is>
          <t>Antiviral</t>
        </is>
      </c>
      <c r="S2151" s="70" t="n">
        <v>838</v>
      </c>
      <c r="T2151" s="71" t="n">
        <v>262584.93</v>
      </c>
      <c r="U2151" t="inlineStr">
        <is>
          <t>Low</t>
        </is>
      </c>
      <c r="V2151">
        <f>IF(AND(OR(Dashboard!$C$6="All",E2151=Dashboard!$C$6),OR(Dashboard!$F$6="All",G2151=Dashboard!$F$6),OR(Dashboard!$I$6="All",H2151=Dashboard!$I$6)),1,0)</f>
        <v/>
      </c>
    </row>
    <row r="2152">
      <c r="A2152" t="inlineStr">
        <is>
          <t>PF102143</t>
        </is>
      </c>
      <c r="B2152" s="68" t="n">
        <v>45915</v>
      </c>
      <c r="C2152" s="69" t="n">
        <v>2025</v>
      </c>
      <c r="D2152" t="inlineStr">
        <is>
          <t>Sep</t>
        </is>
      </c>
      <c r="E2152" t="inlineStr">
        <is>
          <t>Europe</t>
        </is>
      </c>
      <c r="F2152" t="inlineStr">
        <is>
          <t>Italy</t>
        </is>
      </c>
      <c r="G2152" t="inlineStr">
        <is>
          <t>Ibrance</t>
        </is>
      </c>
      <c r="H2152" t="inlineStr">
        <is>
          <t>Retail pharmacy</t>
        </is>
      </c>
      <c r="I2152" t="inlineStr">
        <is>
          <t>Public payer</t>
        </is>
      </c>
      <c r="J2152" t="inlineStr">
        <is>
          <t>Liam O'Brien</t>
        </is>
      </c>
      <c r="K2152" s="70" t="n">
        <v>2492</v>
      </c>
      <c r="L2152" s="71" t="n">
        <v>3144.63</v>
      </c>
      <c r="M2152" s="71" t="n">
        <v>7836417.96</v>
      </c>
      <c r="N2152" s="71" t="n">
        <v>783641.8</v>
      </c>
      <c r="O2152" s="71" t="n">
        <v>7052776.16</v>
      </c>
      <c r="P2152" s="71" t="n">
        <v>1087883.23</v>
      </c>
      <c r="Q2152" s="71" t="n">
        <v>5964892.93</v>
      </c>
      <c r="R2152" t="inlineStr">
        <is>
          <t>Oncology</t>
        </is>
      </c>
      <c r="S2152" s="70" t="n">
        <v>1853</v>
      </c>
      <c r="T2152" s="71" t="n">
        <v>1436090.81</v>
      </c>
      <c r="U2152" t="inlineStr">
        <is>
          <t>High</t>
        </is>
      </c>
      <c r="V2152">
        <f>IF(AND(OR(Dashboard!$C$6="All",E2152=Dashboard!$C$6),OR(Dashboard!$F$6="All",G2152=Dashboard!$F$6),OR(Dashboard!$I$6="All",H2152=Dashboard!$I$6)),1,0)</f>
        <v/>
      </c>
    </row>
    <row r="2153">
      <c r="A2153" t="inlineStr">
        <is>
          <t>PF102144</t>
        </is>
      </c>
      <c r="B2153" s="68" t="n">
        <v>45915</v>
      </c>
      <c r="C2153" s="69" t="n">
        <v>2025</v>
      </c>
      <c r="D2153" t="inlineStr">
        <is>
          <t>Sep</t>
        </is>
      </c>
      <c r="E2153" t="inlineStr">
        <is>
          <t>United States</t>
        </is>
      </c>
      <c r="F2153" t="inlineStr">
        <is>
          <t>USA</t>
        </is>
      </c>
      <c r="G2153" t="inlineStr">
        <is>
          <t>Eliquis</t>
        </is>
      </c>
      <c r="H2153" t="inlineStr">
        <is>
          <t>Retail pharmacy</t>
        </is>
      </c>
      <c r="I2153" t="inlineStr">
        <is>
          <t>Public payer</t>
        </is>
      </c>
      <c r="J2153" t="inlineStr">
        <is>
          <t>Carlos Silva</t>
        </is>
      </c>
      <c r="K2153" s="70" t="n">
        <v>1489</v>
      </c>
      <c r="L2153" s="71" t="n">
        <v>698.88</v>
      </c>
      <c r="M2153" s="71" t="n">
        <v>1040632.32</v>
      </c>
      <c r="N2153" s="71" t="n">
        <v>208126.46</v>
      </c>
      <c r="O2153" s="71" t="n">
        <v>832505.86</v>
      </c>
      <c r="P2153" s="71" t="n">
        <v>114616.89</v>
      </c>
      <c r="Q2153" s="71" t="n">
        <v>717888.97</v>
      </c>
      <c r="R2153" t="inlineStr">
        <is>
          <t>Cardiology</t>
        </is>
      </c>
      <c r="S2153" s="70" t="n">
        <v>1339</v>
      </c>
      <c r="T2153" s="71" t="n">
        <v>209009.89</v>
      </c>
      <c r="U2153" t="inlineStr">
        <is>
          <t>High</t>
        </is>
      </c>
      <c r="V2153">
        <f>IF(AND(OR(Dashboard!$C$6="All",E2153=Dashboard!$C$6),OR(Dashboard!$F$6="All",G2153=Dashboard!$F$6),OR(Dashboard!$I$6="All",H2153=Dashboard!$I$6)),1,0)</f>
        <v/>
      </c>
    </row>
    <row r="2154">
      <c r="A2154" t="inlineStr">
        <is>
          <t>PF102145</t>
        </is>
      </c>
      <c r="B2154" s="68" t="n">
        <v>45916</v>
      </c>
      <c r="C2154" s="69" t="n">
        <v>2025</v>
      </c>
      <c r="D2154" t="inlineStr">
        <is>
          <t>Sep</t>
        </is>
      </c>
      <c r="E2154" t="inlineStr">
        <is>
          <t>International developed</t>
        </is>
      </c>
      <c r="F2154" t="inlineStr">
        <is>
          <t>Japan</t>
        </is>
      </c>
      <c r="G2154" t="inlineStr">
        <is>
          <t>Prevnar 20</t>
        </is>
      </c>
      <c r="H2154" t="inlineStr">
        <is>
          <t>Government / tender</t>
        </is>
      </c>
      <c r="I2154" t="inlineStr">
        <is>
          <t>Private insurer</t>
        </is>
      </c>
      <c r="J2154" t="inlineStr">
        <is>
          <t>Priya Nair</t>
        </is>
      </c>
      <c r="K2154" s="70" t="n">
        <v>77</v>
      </c>
      <c r="L2154" s="71" t="n">
        <v>235.57</v>
      </c>
      <c r="M2154" s="71" t="n">
        <v>18138.89</v>
      </c>
      <c r="N2154" s="71" t="n">
        <v>4534.72</v>
      </c>
      <c r="O2154" s="71" t="n">
        <v>13604.17</v>
      </c>
      <c r="P2154" s="71" t="n">
        <v>5375.05</v>
      </c>
      <c r="Q2154" s="71" t="n">
        <v>8229.120000000001</v>
      </c>
      <c r="R2154" t="inlineStr">
        <is>
          <t>Vaccines</t>
        </is>
      </c>
      <c r="S2154" s="70" t="n">
        <v>69</v>
      </c>
      <c r="T2154" s="71" t="n">
        <v>2202.9</v>
      </c>
      <c r="U2154" t="inlineStr">
        <is>
          <t>Low</t>
        </is>
      </c>
      <c r="V2154">
        <f>IF(AND(OR(Dashboard!$C$6="All",E2154=Dashboard!$C$6),OR(Dashboard!$F$6="All",G2154=Dashboard!$F$6),OR(Dashboard!$I$6="All",H2154=Dashboard!$I$6)),1,0)</f>
        <v/>
      </c>
    </row>
    <row r="2155">
      <c r="A2155" t="inlineStr">
        <is>
          <t>PF102146</t>
        </is>
      </c>
      <c r="B2155" s="68" t="n">
        <v>45916</v>
      </c>
      <c r="C2155" s="69" t="n">
        <v>2025</v>
      </c>
      <c r="D2155" t="inlineStr">
        <is>
          <t>Sep</t>
        </is>
      </c>
      <c r="E2155" t="inlineStr">
        <is>
          <t>Emerging markets</t>
        </is>
      </c>
      <c r="F2155" t="inlineStr">
        <is>
          <t>India</t>
        </is>
      </c>
      <c r="G2155" t="inlineStr">
        <is>
          <t>Ibrance</t>
        </is>
      </c>
      <c r="H2155" t="inlineStr">
        <is>
          <t>Retail pharmacy</t>
        </is>
      </c>
      <c r="I2155" t="inlineStr">
        <is>
          <t>Public payer</t>
        </is>
      </c>
      <c r="J2155" t="inlineStr">
        <is>
          <t>Priya Nair</t>
        </is>
      </c>
      <c r="K2155" s="70" t="n">
        <v>1917</v>
      </c>
      <c r="L2155" s="71" t="n">
        <v>2780.2</v>
      </c>
      <c r="M2155" s="71" t="n">
        <v>5329643.4</v>
      </c>
      <c r="N2155" s="71" t="n">
        <v>532964.34</v>
      </c>
      <c r="O2155" s="71" t="n">
        <v>4796679.06</v>
      </c>
      <c r="P2155" s="71" t="n">
        <v>821075.21</v>
      </c>
      <c r="Q2155" s="71" t="n">
        <v>3975603.85</v>
      </c>
      <c r="R2155" t="inlineStr">
        <is>
          <t>Oncology</t>
        </is>
      </c>
      <c r="S2155" s="70" t="n">
        <v>1324</v>
      </c>
      <c r="T2155" s="71" t="n">
        <v>757315</v>
      </c>
      <c r="U2155" t="inlineStr">
        <is>
          <t>High</t>
        </is>
      </c>
      <c r="V2155">
        <f>IF(AND(OR(Dashboard!$C$6="All",E2155=Dashboard!$C$6),OR(Dashboard!$F$6="All",G2155=Dashboard!$F$6),OR(Dashboard!$I$6="All",H2155=Dashboard!$I$6)),1,0)</f>
        <v/>
      </c>
    </row>
    <row r="2156">
      <c r="A2156" t="inlineStr">
        <is>
          <t>PF102147</t>
        </is>
      </c>
      <c r="B2156" s="68" t="n">
        <v>45916</v>
      </c>
      <c r="C2156" s="69" t="n">
        <v>2025</v>
      </c>
      <c r="D2156" t="inlineStr">
        <is>
          <t>Sep</t>
        </is>
      </c>
      <c r="E2156" t="inlineStr">
        <is>
          <t>Europe</t>
        </is>
      </c>
      <c r="F2156" t="inlineStr">
        <is>
          <t>UK</t>
        </is>
      </c>
      <c r="G2156" t="inlineStr">
        <is>
          <t>Xeljanz</t>
        </is>
      </c>
      <c r="H2156" t="inlineStr">
        <is>
          <t>Hospital</t>
        </is>
      </c>
      <c r="I2156" t="inlineStr">
        <is>
          <t>Public payer</t>
        </is>
      </c>
      <c r="J2156" t="inlineStr">
        <is>
          <t>Ana Costa</t>
        </is>
      </c>
      <c r="K2156" s="70" t="n">
        <v>2199</v>
      </c>
      <c r="L2156" s="71" t="n">
        <v>1437.12</v>
      </c>
      <c r="M2156" s="71" t="n">
        <v>3160226.88</v>
      </c>
      <c r="N2156" s="71" t="n">
        <v>474034.03</v>
      </c>
      <c r="O2156" s="71" t="n">
        <v>2686192.85</v>
      </c>
      <c r="P2156" s="71" t="n">
        <v>548739.27</v>
      </c>
      <c r="Q2156" s="71" t="n">
        <v>2137453.58</v>
      </c>
      <c r="R2156" t="inlineStr">
        <is>
          <t>Inflammation</t>
        </is>
      </c>
      <c r="S2156" s="70" t="n">
        <v>1555</v>
      </c>
      <c r="T2156" s="71" t="n">
        <v>543460.77</v>
      </c>
      <c r="U2156" t="inlineStr">
        <is>
          <t>High</t>
        </is>
      </c>
      <c r="V2156">
        <f>IF(AND(OR(Dashboard!$C$6="All",E2156=Dashboard!$C$6),OR(Dashboard!$F$6="All",G2156=Dashboard!$F$6),OR(Dashboard!$I$6="All",H2156=Dashboard!$I$6)),1,0)</f>
        <v/>
      </c>
    </row>
    <row r="2157">
      <c r="A2157" t="inlineStr">
        <is>
          <t>PF102148</t>
        </is>
      </c>
      <c r="B2157" s="68" t="n">
        <v>45916</v>
      </c>
      <c r="C2157" s="69" t="n">
        <v>2025</v>
      </c>
      <c r="D2157" t="inlineStr">
        <is>
          <t>Sep</t>
        </is>
      </c>
      <c r="E2157" t="inlineStr">
        <is>
          <t>Europe</t>
        </is>
      </c>
      <c r="F2157" t="inlineStr">
        <is>
          <t>Germany</t>
        </is>
      </c>
      <c r="G2157" t="inlineStr">
        <is>
          <t>Comirnaty</t>
        </is>
      </c>
      <c r="H2157" t="inlineStr">
        <is>
          <t>Government / tender</t>
        </is>
      </c>
      <c r="I2157" t="inlineStr">
        <is>
          <t>Private insurer</t>
        </is>
      </c>
      <c r="J2157" t="inlineStr">
        <is>
          <t>Omar Haddad</t>
        </is>
      </c>
      <c r="K2157" s="70" t="n">
        <v>166</v>
      </c>
      <c r="L2157" s="71" t="n">
        <v>115.49</v>
      </c>
      <c r="M2157" s="71" t="n">
        <v>19171.34</v>
      </c>
      <c r="N2157" s="71" t="n">
        <v>2875.7</v>
      </c>
      <c r="O2157" s="71" t="n">
        <v>16295.64</v>
      </c>
      <c r="P2157" s="71" t="n">
        <v>6478.72</v>
      </c>
      <c r="Q2157" s="71" t="n">
        <v>9816.92</v>
      </c>
      <c r="R2157" t="inlineStr">
        <is>
          <t>Vaccines</t>
        </is>
      </c>
      <c r="S2157" s="70" t="n">
        <v>138</v>
      </c>
      <c r="T2157" s="71" t="n">
        <v>3113.92</v>
      </c>
      <c r="U2157" t="inlineStr">
        <is>
          <t>Low</t>
        </is>
      </c>
      <c r="V2157">
        <f>IF(AND(OR(Dashboard!$C$6="All",E2157=Dashboard!$C$6),OR(Dashboard!$F$6="All",G2157=Dashboard!$F$6),OR(Dashboard!$I$6="All",H2157=Dashboard!$I$6)),1,0)</f>
        <v/>
      </c>
    </row>
    <row r="2158">
      <c r="A2158" t="inlineStr">
        <is>
          <t>PF102149</t>
        </is>
      </c>
      <c r="B2158" s="68" t="n">
        <v>45916</v>
      </c>
      <c r="C2158" s="69" t="n">
        <v>2025</v>
      </c>
      <c r="D2158" t="inlineStr">
        <is>
          <t>Sep</t>
        </is>
      </c>
      <c r="E2158" t="inlineStr">
        <is>
          <t>Europe</t>
        </is>
      </c>
      <c r="F2158" t="inlineStr">
        <is>
          <t>Spain</t>
        </is>
      </c>
      <c r="G2158" t="inlineStr">
        <is>
          <t>Eliquis</t>
        </is>
      </c>
      <c r="H2158" t="inlineStr">
        <is>
          <t>Hospital</t>
        </is>
      </c>
      <c r="I2158" t="inlineStr">
        <is>
          <t>Public payer</t>
        </is>
      </c>
      <c r="J2158" t="inlineStr">
        <is>
          <t>Carlos Silva</t>
        </is>
      </c>
      <c r="K2158" s="70" t="n">
        <v>1754</v>
      </c>
      <c r="L2158" s="71" t="n">
        <v>382.34</v>
      </c>
      <c r="M2158" s="71" t="n">
        <v>670624.36</v>
      </c>
      <c r="N2158" s="71" t="n">
        <v>100593.65</v>
      </c>
      <c r="O2158" s="71" t="n">
        <v>570030.71</v>
      </c>
      <c r="P2158" s="71" t="n">
        <v>129035.55</v>
      </c>
      <c r="Q2158" s="71" t="n">
        <v>440995.16</v>
      </c>
      <c r="R2158" t="inlineStr">
        <is>
          <t>Cardiology</t>
        </is>
      </c>
      <c r="S2158" s="70" t="n">
        <v>1585</v>
      </c>
      <c r="T2158" s="71" t="n">
        <v>137846.24</v>
      </c>
      <c r="U2158" t="inlineStr">
        <is>
          <t>High</t>
        </is>
      </c>
      <c r="V2158">
        <f>IF(AND(OR(Dashboard!$C$6="All",E2158=Dashboard!$C$6),OR(Dashboard!$F$6="All",G2158=Dashboard!$F$6),OR(Dashboard!$I$6="All",H2158=Dashboard!$I$6)),1,0)</f>
        <v/>
      </c>
    </row>
    <row r="2159">
      <c r="A2159" t="inlineStr">
        <is>
          <t>PF102150</t>
        </is>
      </c>
      <c r="B2159" s="68" t="n">
        <v>45916</v>
      </c>
      <c r="C2159" s="69" t="n">
        <v>2025</v>
      </c>
      <c r="D2159" t="inlineStr">
        <is>
          <t>Sep</t>
        </is>
      </c>
      <c r="E2159" t="inlineStr">
        <is>
          <t>Emerging markets</t>
        </is>
      </c>
      <c r="F2159" t="inlineStr">
        <is>
          <t>Mexico</t>
        </is>
      </c>
      <c r="G2159" t="inlineStr">
        <is>
          <t>Eliquis</t>
        </is>
      </c>
      <c r="H2159" t="inlineStr">
        <is>
          <t>Government / tender</t>
        </is>
      </c>
      <c r="I2159" t="inlineStr">
        <is>
          <t>Private insurer</t>
        </is>
      </c>
      <c r="J2159" t="inlineStr">
        <is>
          <t>Wei Chen</t>
        </is>
      </c>
      <c r="K2159" s="70" t="n">
        <v>141</v>
      </c>
      <c r="L2159" s="71" t="n">
        <v>448.95</v>
      </c>
      <c r="M2159" s="71" t="n">
        <v>63301.95</v>
      </c>
      <c r="N2159" s="71" t="n">
        <v>12660.39</v>
      </c>
      <c r="O2159" s="71" t="n">
        <v>50641.56</v>
      </c>
      <c r="P2159" s="71" t="n">
        <v>10380.69</v>
      </c>
      <c r="Q2159" s="71" t="n">
        <v>40260.87</v>
      </c>
      <c r="R2159" t="inlineStr">
        <is>
          <t>Cardiology</t>
        </is>
      </c>
      <c r="S2159" s="70" t="n">
        <v>90</v>
      </c>
      <c r="T2159" s="71" t="n">
        <v>10921.52</v>
      </c>
      <c r="U2159" t="inlineStr">
        <is>
          <t>High</t>
        </is>
      </c>
      <c r="V2159">
        <f>IF(AND(OR(Dashboard!$C$6="All",E2159=Dashboard!$C$6),OR(Dashboard!$F$6="All",G2159=Dashboard!$F$6),OR(Dashboard!$I$6="All",H2159=Dashboard!$I$6)),1,0)</f>
        <v/>
      </c>
    </row>
    <row r="2160">
      <c r="A2160" t="inlineStr">
        <is>
          <t>PF102151</t>
        </is>
      </c>
      <c r="B2160" s="68" t="n">
        <v>45916</v>
      </c>
      <c r="C2160" s="69" t="n">
        <v>2025</v>
      </c>
      <c r="D2160" t="inlineStr">
        <is>
          <t>Sep</t>
        </is>
      </c>
      <c r="E2160" t="inlineStr">
        <is>
          <t>International developed</t>
        </is>
      </c>
      <c r="F2160" t="inlineStr">
        <is>
          <t>Japan</t>
        </is>
      </c>
      <c r="G2160" t="inlineStr">
        <is>
          <t>Eliquis</t>
        </is>
      </c>
      <c r="H2160" t="inlineStr">
        <is>
          <t>Hospital</t>
        </is>
      </c>
      <c r="I2160" t="inlineStr">
        <is>
          <t>Public payer</t>
        </is>
      </c>
      <c r="J2160" t="inlineStr">
        <is>
          <t>Omar Haddad</t>
        </is>
      </c>
      <c r="K2160" s="70" t="n">
        <v>2551</v>
      </c>
      <c r="L2160" s="71" t="n">
        <v>381.6</v>
      </c>
      <c r="M2160" s="71" t="n">
        <v>973461.6</v>
      </c>
      <c r="N2160" s="71" t="n">
        <v>146019.24</v>
      </c>
      <c r="O2160" s="71" t="n">
        <v>827442.36</v>
      </c>
      <c r="P2160" s="71" t="n">
        <v>187481.32</v>
      </c>
      <c r="Q2160" s="71" t="n">
        <v>639961.04</v>
      </c>
      <c r="R2160" t="inlineStr">
        <is>
          <t>Cardiology</t>
        </is>
      </c>
      <c r="S2160" s="70" t="n">
        <v>1882</v>
      </c>
      <c r="T2160" s="71" t="n">
        <v>166756.4</v>
      </c>
      <c r="U2160" t="inlineStr">
        <is>
          <t>High</t>
        </is>
      </c>
      <c r="V2160">
        <f>IF(AND(OR(Dashboard!$C$6="All",E2160=Dashboard!$C$6),OR(Dashboard!$F$6="All",G2160=Dashboard!$F$6),OR(Dashboard!$I$6="All",H2160=Dashboard!$I$6)),1,0)</f>
        <v/>
      </c>
    </row>
    <row r="2161">
      <c r="A2161" t="inlineStr">
        <is>
          <t>PF102152</t>
        </is>
      </c>
      <c r="B2161" s="68" t="n">
        <v>45916</v>
      </c>
      <c r="C2161" s="69" t="n">
        <v>2025</v>
      </c>
      <c r="D2161" t="inlineStr">
        <is>
          <t>Sep</t>
        </is>
      </c>
      <c r="E2161" t="inlineStr">
        <is>
          <t>United States</t>
        </is>
      </c>
      <c r="F2161" t="inlineStr">
        <is>
          <t>USA</t>
        </is>
      </c>
      <c r="G2161" t="inlineStr">
        <is>
          <t>Ibrance</t>
        </is>
      </c>
      <c r="H2161" t="inlineStr">
        <is>
          <t>Retail pharmacy</t>
        </is>
      </c>
      <c r="I2161" t="inlineStr">
        <is>
          <t>Private insurer</t>
        </is>
      </c>
      <c r="J2161" t="inlineStr">
        <is>
          <t>Sophie Müller</t>
        </is>
      </c>
      <c r="K2161" s="70" t="n">
        <v>561</v>
      </c>
      <c r="L2161" s="71" t="n">
        <v>4737.34</v>
      </c>
      <c r="M2161" s="71" t="n">
        <v>2657647.74</v>
      </c>
      <c r="N2161" s="71" t="n">
        <v>930176.71</v>
      </c>
      <c r="O2161" s="71" t="n">
        <v>1727471.03</v>
      </c>
      <c r="P2161" s="71" t="n">
        <v>249691.04</v>
      </c>
      <c r="Q2161" s="71" t="n">
        <v>1477779.99</v>
      </c>
      <c r="R2161" t="inlineStr">
        <is>
          <t>Oncology</t>
        </is>
      </c>
      <c r="S2161" s="70" t="n">
        <v>385</v>
      </c>
      <c r="T2161" s="71" t="n">
        <v>504824.97</v>
      </c>
      <c r="U2161" t="inlineStr">
        <is>
          <t>High</t>
        </is>
      </c>
      <c r="V2161">
        <f>IF(AND(OR(Dashboard!$C$6="All",E2161=Dashboard!$C$6),OR(Dashboard!$F$6="All",G2161=Dashboard!$F$6),OR(Dashboard!$I$6="All",H2161=Dashboard!$I$6)),1,0)</f>
        <v/>
      </c>
    </row>
    <row r="2162">
      <c r="A2162" t="inlineStr">
        <is>
          <t>PF102153</t>
        </is>
      </c>
      <c r="B2162" s="68" t="n">
        <v>45916</v>
      </c>
      <c r="C2162" s="69" t="n">
        <v>2025</v>
      </c>
      <c r="D2162" t="inlineStr">
        <is>
          <t>Sep</t>
        </is>
      </c>
      <c r="E2162" t="inlineStr">
        <is>
          <t>Europe</t>
        </is>
      </c>
      <c r="F2162" t="inlineStr">
        <is>
          <t>Italy</t>
        </is>
      </c>
      <c r="G2162" t="inlineStr">
        <is>
          <t>Eliquis</t>
        </is>
      </c>
      <c r="H2162" t="inlineStr">
        <is>
          <t>Government / tender</t>
        </is>
      </c>
      <c r="I2162" t="inlineStr">
        <is>
          <t>Private insurer</t>
        </is>
      </c>
      <c r="J2162" t="inlineStr">
        <is>
          <t>Kofi Mensah</t>
        </is>
      </c>
      <c r="K2162" s="70" t="n">
        <v>1586</v>
      </c>
      <c r="L2162" s="71" t="n">
        <v>459.26</v>
      </c>
      <c r="M2162" s="71" t="n">
        <v>728386.36</v>
      </c>
      <c r="N2162" s="71" t="n">
        <v>109257.95</v>
      </c>
      <c r="O2162" s="71" t="n">
        <v>619128.41</v>
      </c>
      <c r="P2162" s="71" t="n">
        <v>116307.27</v>
      </c>
      <c r="Q2162" s="71" t="n">
        <v>502821.14</v>
      </c>
      <c r="R2162" t="inlineStr">
        <is>
          <t>Cardiology</t>
        </is>
      </c>
      <c r="S2162" s="70" t="n">
        <v>1521</v>
      </c>
      <c r="T2162" s="71" t="n">
        <v>106953.2</v>
      </c>
      <c r="U2162" t="inlineStr">
        <is>
          <t>High</t>
        </is>
      </c>
      <c r="V2162">
        <f>IF(AND(OR(Dashboard!$C$6="All",E2162=Dashboard!$C$6),OR(Dashboard!$F$6="All",G2162=Dashboard!$F$6),OR(Dashboard!$I$6="All",H2162=Dashboard!$I$6)),1,0)</f>
        <v/>
      </c>
    </row>
    <row r="2163">
      <c r="A2163" t="inlineStr">
        <is>
          <t>PF102154</t>
        </is>
      </c>
      <c r="B2163" s="68" t="n">
        <v>45917</v>
      </c>
      <c r="C2163" s="69" t="n">
        <v>2025</v>
      </c>
      <c r="D2163" t="inlineStr">
        <is>
          <t>Sep</t>
        </is>
      </c>
      <c r="E2163" t="inlineStr">
        <is>
          <t>United States</t>
        </is>
      </c>
      <c r="F2163" t="inlineStr">
        <is>
          <t>USA</t>
        </is>
      </c>
      <c r="G2163" t="inlineStr">
        <is>
          <t>Xeljanz</t>
        </is>
      </c>
      <c r="H2163" t="inlineStr">
        <is>
          <t>Government / tender</t>
        </is>
      </c>
      <c r="I2163" t="inlineStr">
        <is>
          <t>Private insurer</t>
        </is>
      </c>
      <c r="J2163" t="inlineStr">
        <is>
          <t>Zoya Ahmed</t>
        </is>
      </c>
      <c r="K2163" s="70" t="n">
        <v>1332</v>
      </c>
      <c r="L2163" s="71" t="n">
        <v>2244.32</v>
      </c>
      <c r="M2163" s="71" t="n">
        <v>2989434.24</v>
      </c>
      <c r="N2163" s="71" t="n">
        <v>747358.5600000001</v>
      </c>
      <c r="O2163" s="71" t="n">
        <v>2242075.68</v>
      </c>
      <c r="P2163" s="71" t="n">
        <v>332951.81</v>
      </c>
      <c r="Q2163" s="71" t="n">
        <v>1909123.87</v>
      </c>
      <c r="R2163" t="inlineStr">
        <is>
          <t>Inflammation</t>
        </is>
      </c>
      <c r="S2163" s="70" t="n">
        <v>1069</v>
      </c>
      <c r="T2163" s="71" t="n">
        <v>480061.88</v>
      </c>
      <c r="U2163" t="inlineStr">
        <is>
          <t>High</t>
        </is>
      </c>
      <c r="V2163">
        <f>IF(AND(OR(Dashboard!$C$6="All",E2163=Dashboard!$C$6),OR(Dashboard!$F$6="All",G2163=Dashboard!$F$6),OR(Dashboard!$I$6="All",H2163=Dashboard!$I$6)),1,0)</f>
        <v/>
      </c>
    </row>
    <row r="2164">
      <c r="A2164" t="inlineStr">
        <is>
          <t>PF102155</t>
        </is>
      </c>
      <c r="B2164" s="68" t="n">
        <v>45917</v>
      </c>
      <c r="C2164" s="69" t="n">
        <v>2025</v>
      </c>
      <c r="D2164" t="inlineStr">
        <is>
          <t>Sep</t>
        </is>
      </c>
      <c r="E2164" t="inlineStr">
        <is>
          <t>United States</t>
        </is>
      </c>
      <c r="F2164" t="inlineStr">
        <is>
          <t>USA</t>
        </is>
      </c>
      <c r="G2164" t="inlineStr">
        <is>
          <t>Comirnaty</t>
        </is>
      </c>
      <c r="H2164" t="inlineStr">
        <is>
          <t>Government / tender</t>
        </is>
      </c>
      <c r="I2164" t="inlineStr">
        <is>
          <t>Self-pay</t>
        </is>
      </c>
      <c r="J2164" t="inlineStr">
        <is>
          <t>Sara Rossi</t>
        </is>
      </c>
      <c r="K2164" s="70" t="n">
        <v>2958</v>
      </c>
      <c r="L2164" s="71" t="n">
        <v>187.09</v>
      </c>
      <c r="M2164" s="71" t="n">
        <v>553412.22</v>
      </c>
      <c r="N2164" s="71" t="n">
        <v>193694.28</v>
      </c>
      <c r="O2164" s="71" t="n">
        <v>359717.94</v>
      </c>
      <c r="P2164" s="71" t="n">
        <v>111179.36</v>
      </c>
      <c r="Q2164" s="71" t="n">
        <v>248538.58</v>
      </c>
      <c r="R2164" t="inlineStr">
        <is>
          <t>Vaccines</t>
        </is>
      </c>
      <c r="S2164" s="70" t="n">
        <v>1985</v>
      </c>
      <c r="T2164" s="71" t="n">
        <v>73840.25999999999</v>
      </c>
      <c r="U2164" t="inlineStr">
        <is>
          <t>Low</t>
        </is>
      </c>
      <c r="V2164">
        <f>IF(AND(OR(Dashboard!$C$6="All",E2164=Dashboard!$C$6),OR(Dashboard!$F$6="All",G2164=Dashboard!$F$6),OR(Dashboard!$I$6="All",H2164=Dashboard!$I$6)),1,0)</f>
        <v/>
      </c>
    </row>
    <row r="2165">
      <c r="A2165" t="inlineStr">
        <is>
          <t>PF102156</t>
        </is>
      </c>
      <c r="B2165" s="68" t="n">
        <v>45917</v>
      </c>
      <c r="C2165" s="69" t="n">
        <v>2025</v>
      </c>
      <c r="D2165" t="inlineStr">
        <is>
          <t>Sep</t>
        </is>
      </c>
      <c r="E2165" t="inlineStr">
        <is>
          <t>United States</t>
        </is>
      </c>
      <c r="F2165" t="inlineStr">
        <is>
          <t>USA</t>
        </is>
      </c>
      <c r="G2165" t="inlineStr">
        <is>
          <t>Vyndaqel</t>
        </is>
      </c>
      <c r="H2165" t="inlineStr">
        <is>
          <t>Hospital</t>
        </is>
      </c>
      <c r="I2165" t="inlineStr">
        <is>
          <t>Private insurer</t>
        </is>
      </c>
      <c r="J2165" t="inlineStr">
        <is>
          <t>Ana Costa</t>
        </is>
      </c>
      <c r="K2165" s="70" t="n">
        <v>1855</v>
      </c>
      <c r="L2165" s="71" t="n">
        <v>8189.68</v>
      </c>
      <c r="M2165" s="71" t="n">
        <v>15191856.4</v>
      </c>
      <c r="N2165" s="71" t="n">
        <v>3797964.1</v>
      </c>
      <c r="O2165" s="71" t="n">
        <v>11393892.3</v>
      </c>
      <c r="P2165" s="71" t="n">
        <v>1194650.82</v>
      </c>
      <c r="Q2165" s="71" t="n">
        <v>10199241.48</v>
      </c>
      <c r="R2165" t="inlineStr">
        <is>
          <t>Rare disease</t>
        </is>
      </c>
      <c r="S2165" s="70" t="n">
        <v>1563</v>
      </c>
      <c r="T2165" s="71" t="n">
        <v>1832492.33</v>
      </c>
      <c r="U2165" t="inlineStr">
        <is>
          <t>Medium</t>
        </is>
      </c>
      <c r="V2165">
        <f>IF(AND(OR(Dashboard!$C$6="All",E2165=Dashboard!$C$6),OR(Dashboard!$F$6="All",G2165=Dashboard!$F$6),OR(Dashboard!$I$6="All",H2165=Dashboard!$I$6)),1,0)</f>
        <v/>
      </c>
    </row>
    <row r="2166">
      <c r="A2166" t="inlineStr">
        <is>
          <t>PF102157</t>
        </is>
      </c>
      <c r="B2166" s="68" t="n">
        <v>45917</v>
      </c>
      <c r="C2166" s="69" t="n">
        <v>2025</v>
      </c>
      <c r="D2166" t="inlineStr">
        <is>
          <t>Sep</t>
        </is>
      </c>
      <c r="E2166" t="inlineStr">
        <is>
          <t>Europe</t>
        </is>
      </c>
      <c r="F2166" t="inlineStr">
        <is>
          <t>UK</t>
        </is>
      </c>
      <c r="G2166" t="inlineStr">
        <is>
          <t>Prevnar 20</t>
        </is>
      </c>
      <c r="H2166" t="inlineStr">
        <is>
          <t>Government / tender</t>
        </is>
      </c>
      <c r="I2166" t="inlineStr">
        <is>
          <t>Public payer</t>
        </is>
      </c>
      <c r="J2166" t="inlineStr">
        <is>
          <t>Aisha Bello</t>
        </is>
      </c>
      <c r="K2166" s="70" t="n">
        <v>751</v>
      </c>
      <c r="L2166" s="71" t="n">
        <v>248.75</v>
      </c>
      <c r="M2166" s="71" t="n">
        <v>186811.25</v>
      </c>
      <c r="N2166" s="71" t="n">
        <v>9340.559999999999</v>
      </c>
      <c r="O2166" s="71" t="n">
        <v>177470.69</v>
      </c>
      <c r="P2166" s="71" t="n">
        <v>52870.49</v>
      </c>
      <c r="Q2166" s="71" t="n">
        <v>124600.2</v>
      </c>
      <c r="R2166" t="inlineStr">
        <is>
          <t>Vaccines</t>
        </is>
      </c>
      <c r="S2166" s="70" t="n">
        <v>714</v>
      </c>
      <c r="T2166" s="71" t="n">
        <v>23454.47</v>
      </c>
      <c r="U2166" t="inlineStr">
        <is>
          <t>Low</t>
        </is>
      </c>
      <c r="V2166">
        <f>IF(AND(OR(Dashboard!$C$6="All",E2166=Dashboard!$C$6),OR(Dashboard!$F$6="All",G2166=Dashboard!$F$6),OR(Dashboard!$I$6="All",H2166=Dashboard!$I$6)),1,0)</f>
        <v/>
      </c>
    </row>
    <row r="2167">
      <c r="A2167" t="inlineStr">
        <is>
          <t>PF102158</t>
        </is>
      </c>
      <c r="B2167" s="68" t="n">
        <v>45917</v>
      </c>
      <c r="C2167" s="69" t="n">
        <v>2025</v>
      </c>
      <c r="D2167" t="inlineStr">
        <is>
          <t>Sep</t>
        </is>
      </c>
      <c r="E2167" t="inlineStr">
        <is>
          <t>United States</t>
        </is>
      </c>
      <c r="F2167" t="inlineStr">
        <is>
          <t>USA</t>
        </is>
      </c>
      <c r="G2167" t="inlineStr">
        <is>
          <t>Eliquis</t>
        </is>
      </c>
      <c r="H2167" t="inlineStr">
        <is>
          <t>Government / tender</t>
        </is>
      </c>
      <c r="I2167" t="inlineStr">
        <is>
          <t>Private insurer</t>
        </is>
      </c>
      <c r="J2167" t="inlineStr">
        <is>
          <t>Noah Smith</t>
        </is>
      </c>
      <c r="K2167" s="70" t="n">
        <v>877</v>
      </c>
      <c r="L2167" s="71" t="n">
        <v>610.74</v>
      </c>
      <c r="M2167" s="71" t="n">
        <v>535618.98</v>
      </c>
      <c r="N2167" s="71" t="n">
        <v>80342.85000000001</v>
      </c>
      <c r="O2167" s="71" t="n">
        <v>455276.13</v>
      </c>
      <c r="P2167" s="71" t="n">
        <v>67821.61</v>
      </c>
      <c r="Q2167" s="71" t="n">
        <v>387454.52</v>
      </c>
      <c r="R2167" t="inlineStr">
        <is>
          <t>Cardiology</t>
        </is>
      </c>
      <c r="S2167" s="70" t="n">
        <v>727</v>
      </c>
      <c r="T2167" s="71" t="n">
        <v>100654.3</v>
      </c>
      <c r="U2167" t="inlineStr">
        <is>
          <t>High</t>
        </is>
      </c>
      <c r="V2167">
        <f>IF(AND(OR(Dashboard!$C$6="All",E2167=Dashboard!$C$6),OR(Dashboard!$F$6="All",G2167=Dashboard!$F$6),OR(Dashboard!$I$6="All",H2167=Dashboard!$I$6)),1,0)</f>
        <v/>
      </c>
    </row>
    <row r="2168">
      <c r="A2168" t="inlineStr">
        <is>
          <t>PF102159</t>
        </is>
      </c>
      <c r="B2168" s="68" t="n">
        <v>45917</v>
      </c>
      <c r="C2168" s="69" t="n">
        <v>2025</v>
      </c>
      <c r="D2168" t="inlineStr">
        <is>
          <t>Sep</t>
        </is>
      </c>
      <c r="E2168" t="inlineStr">
        <is>
          <t>United States</t>
        </is>
      </c>
      <c r="F2168" t="inlineStr">
        <is>
          <t>USA</t>
        </is>
      </c>
      <c r="G2168" t="inlineStr">
        <is>
          <t>Ibrance</t>
        </is>
      </c>
      <c r="H2168" t="inlineStr">
        <is>
          <t>Government / tender</t>
        </is>
      </c>
      <c r="I2168" t="inlineStr">
        <is>
          <t>Private insurer</t>
        </is>
      </c>
      <c r="J2168" t="inlineStr">
        <is>
          <t>Carlos Silva</t>
        </is>
      </c>
      <c r="K2168" s="70" t="n">
        <v>1103</v>
      </c>
      <c r="L2168" s="71" t="n">
        <v>4477.1</v>
      </c>
      <c r="M2168" s="71" t="n">
        <v>4938241.3</v>
      </c>
      <c r="N2168" s="71" t="n">
        <v>740736.2</v>
      </c>
      <c r="O2168" s="71" t="n">
        <v>4197505.1</v>
      </c>
      <c r="P2168" s="71" t="n">
        <v>479966.38</v>
      </c>
      <c r="Q2168" s="71" t="n">
        <v>3717538.72</v>
      </c>
      <c r="R2168" t="inlineStr">
        <is>
          <t>Oncology</t>
        </is>
      </c>
      <c r="S2168" s="70" t="n">
        <v>691</v>
      </c>
      <c r="T2168" s="71" t="n">
        <v>689957.91</v>
      </c>
      <c r="U2168" t="inlineStr">
        <is>
          <t>High</t>
        </is>
      </c>
      <c r="V2168">
        <f>IF(AND(OR(Dashboard!$C$6="All",E2168=Dashboard!$C$6),OR(Dashboard!$F$6="All",G2168=Dashboard!$F$6),OR(Dashboard!$I$6="All",H2168=Dashboard!$I$6)),1,0)</f>
        <v/>
      </c>
    </row>
    <row r="2169">
      <c r="A2169" t="inlineStr">
        <is>
          <t>PF102160</t>
        </is>
      </c>
      <c r="B2169" s="68" t="n">
        <v>45917</v>
      </c>
      <c r="C2169" s="69" t="n">
        <v>2025</v>
      </c>
      <c r="D2169" t="inlineStr">
        <is>
          <t>Sep</t>
        </is>
      </c>
      <c r="E2169" t="inlineStr">
        <is>
          <t>United States</t>
        </is>
      </c>
      <c r="F2169" t="inlineStr">
        <is>
          <t>USA</t>
        </is>
      </c>
      <c r="G2169" t="inlineStr">
        <is>
          <t>Vyndaqel</t>
        </is>
      </c>
      <c r="H2169" t="inlineStr">
        <is>
          <t>Retail pharmacy</t>
        </is>
      </c>
      <c r="I2169" t="inlineStr">
        <is>
          <t>Private insurer</t>
        </is>
      </c>
      <c r="J2169" t="inlineStr">
        <is>
          <t>Aisha Bello</t>
        </is>
      </c>
      <c r="K2169" s="70" t="n">
        <v>2816</v>
      </c>
      <c r="L2169" s="71" t="n">
        <v>9057.1</v>
      </c>
      <c r="M2169" s="71" t="n">
        <v>25504793.6</v>
      </c>
      <c r="N2169" s="71" t="n">
        <v>5100958.72</v>
      </c>
      <c r="O2169" s="71" t="n">
        <v>20403834.88</v>
      </c>
      <c r="P2169" s="71" t="n">
        <v>1750287.11</v>
      </c>
      <c r="Q2169" s="71" t="n">
        <v>18653547.77</v>
      </c>
      <c r="R2169" t="inlineStr">
        <is>
          <t>Rare disease</t>
        </is>
      </c>
      <c r="S2169" s="70" t="n">
        <v>1770</v>
      </c>
      <c r="T2169" s="71" t="n">
        <v>3553374.46</v>
      </c>
      <c r="U2169" t="inlineStr">
        <is>
          <t>Medium</t>
        </is>
      </c>
      <c r="V2169">
        <f>IF(AND(OR(Dashboard!$C$6="All",E2169=Dashboard!$C$6),OR(Dashboard!$F$6="All",G2169=Dashboard!$F$6),OR(Dashboard!$I$6="All",H2169=Dashboard!$I$6)),1,0)</f>
        <v/>
      </c>
    </row>
    <row r="2170">
      <c r="A2170" t="inlineStr">
        <is>
          <t>PF102161</t>
        </is>
      </c>
      <c r="B2170" s="68" t="n">
        <v>45917</v>
      </c>
      <c r="C2170" s="69" t="n">
        <v>2025</v>
      </c>
      <c r="D2170" t="inlineStr">
        <is>
          <t>Sep</t>
        </is>
      </c>
      <c r="E2170" t="inlineStr">
        <is>
          <t>Emerging markets</t>
        </is>
      </c>
      <c r="F2170" t="inlineStr">
        <is>
          <t>India</t>
        </is>
      </c>
      <c r="G2170" t="inlineStr">
        <is>
          <t>Prevnar 20</t>
        </is>
      </c>
      <c r="H2170" t="inlineStr">
        <is>
          <t>Government / tender</t>
        </is>
      </c>
      <c r="I2170" t="inlineStr">
        <is>
          <t>Private insurer</t>
        </is>
      </c>
      <c r="J2170" t="inlineStr">
        <is>
          <t>Sara Rossi</t>
        </is>
      </c>
      <c r="K2170" s="70" t="n">
        <v>347</v>
      </c>
      <c r="L2170" s="71" t="n">
        <v>237.36</v>
      </c>
      <c r="M2170" s="71" t="n">
        <v>82363.92</v>
      </c>
      <c r="N2170" s="71" t="n">
        <v>16472.78</v>
      </c>
      <c r="O2170" s="71" t="n">
        <v>65891.14</v>
      </c>
      <c r="P2170" s="71" t="n">
        <v>23687.4</v>
      </c>
      <c r="Q2170" s="71" t="n">
        <v>42203.74</v>
      </c>
      <c r="R2170" t="inlineStr">
        <is>
          <t>Vaccines</t>
        </is>
      </c>
      <c r="S2170" s="70" t="n">
        <v>287</v>
      </c>
      <c r="T2170" s="71" t="n">
        <v>17065.38</v>
      </c>
      <c r="U2170" t="inlineStr">
        <is>
          <t>Low</t>
        </is>
      </c>
      <c r="V2170">
        <f>IF(AND(OR(Dashboard!$C$6="All",E2170=Dashboard!$C$6),OR(Dashboard!$F$6="All",G2170=Dashboard!$F$6),OR(Dashboard!$I$6="All",H2170=Dashboard!$I$6)),1,0)</f>
        <v/>
      </c>
    </row>
    <row r="2171">
      <c r="A2171" t="inlineStr">
        <is>
          <t>PF102162</t>
        </is>
      </c>
      <c r="B2171" s="68" t="n">
        <v>45917</v>
      </c>
      <c r="C2171" s="69" t="n">
        <v>2025</v>
      </c>
      <c r="D2171" t="inlineStr">
        <is>
          <t>Sep</t>
        </is>
      </c>
      <c r="E2171" t="inlineStr">
        <is>
          <t>United States</t>
        </is>
      </c>
      <c r="F2171" t="inlineStr">
        <is>
          <t>USA</t>
        </is>
      </c>
      <c r="G2171" t="inlineStr">
        <is>
          <t>Comirnaty</t>
        </is>
      </c>
      <c r="H2171" t="inlineStr">
        <is>
          <t>Retail pharmacy</t>
        </is>
      </c>
      <c r="I2171" t="inlineStr">
        <is>
          <t>Self-pay</t>
        </is>
      </c>
      <c r="J2171" t="inlineStr">
        <is>
          <t>Kofi Mensah</t>
        </is>
      </c>
      <c r="K2171" s="70" t="n">
        <v>1833</v>
      </c>
      <c r="L2171" s="71" t="n">
        <v>159.49</v>
      </c>
      <c r="M2171" s="71" t="n">
        <v>292345.17</v>
      </c>
      <c r="N2171" s="71" t="n">
        <v>73086.28999999999</v>
      </c>
      <c r="O2171" s="71" t="n">
        <v>219258.88</v>
      </c>
      <c r="P2171" s="71" t="n">
        <v>71950.34</v>
      </c>
      <c r="Q2171" s="71" t="n">
        <v>147308.54</v>
      </c>
      <c r="R2171" t="inlineStr">
        <is>
          <t>Vaccines</t>
        </is>
      </c>
      <c r="S2171" s="70" t="n">
        <v>1212</v>
      </c>
      <c r="T2171" s="71" t="n">
        <v>58756.5</v>
      </c>
      <c r="U2171" t="inlineStr">
        <is>
          <t>Low</t>
        </is>
      </c>
      <c r="V2171">
        <f>IF(AND(OR(Dashboard!$C$6="All",E2171=Dashboard!$C$6),OR(Dashboard!$F$6="All",G2171=Dashboard!$F$6),OR(Dashboard!$I$6="All",H2171=Dashboard!$I$6)),1,0)</f>
        <v/>
      </c>
    </row>
    <row r="2172">
      <c r="A2172" t="inlineStr">
        <is>
          <t>PF102163</t>
        </is>
      </c>
      <c r="B2172" s="68" t="n">
        <v>45918</v>
      </c>
      <c r="C2172" s="69" t="n">
        <v>2025</v>
      </c>
      <c r="D2172" t="inlineStr">
        <is>
          <t>Sep</t>
        </is>
      </c>
      <c r="E2172" t="inlineStr">
        <is>
          <t>International developed</t>
        </is>
      </c>
      <c r="F2172" t="inlineStr">
        <is>
          <t>Australia</t>
        </is>
      </c>
      <c r="G2172" t="inlineStr">
        <is>
          <t>Xeljanz</t>
        </is>
      </c>
      <c r="H2172" t="inlineStr">
        <is>
          <t>Hospital</t>
        </is>
      </c>
      <c r="I2172" t="inlineStr">
        <is>
          <t>Private insurer</t>
        </is>
      </c>
      <c r="J2172" t="inlineStr">
        <is>
          <t>Shraddha Kulkarni</t>
        </is>
      </c>
      <c r="K2172" s="70" t="n">
        <v>945</v>
      </c>
      <c r="L2172" s="71" t="n">
        <v>1525.24</v>
      </c>
      <c r="M2172" s="71" t="n">
        <v>1441351.8</v>
      </c>
      <c r="N2172" s="71" t="n">
        <v>288270.36</v>
      </c>
      <c r="O2172" s="71" t="n">
        <v>1153081.44</v>
      </c>
      <c r="P2172" s="71" t="n">
        <v>239051.02</v>
      </c>
      <c r="Q2172" s="71" t="n">
        <v>914030.42</v>
      </c>
      <c r="R2172" t="inlineStr">
        <is>
          <t>Inflammation</t>
        </is>
      </c>
      <c r="S2172" s="70" t="n">
        <v>638</v>
      </c>
      <c r="T2172" s="71" t="n">
        <v>263503.16</v>
      </c>
      <c r="U2172" t="inlineStr">
        <is>
          <t>High</t>
        </is>
      </c>
      <c r="V2172">
        <f>IF(AND(OR(Dashboard!$C$6="All",E2172=Dashboard!$C$6),OR(Dashboard!$F$6="All",G2172=Dashboard!$F$6),OR(Dashboard!$I$6="All",H2172=Dashboard!$I$6)),1,0)</f>
        <v/>
      </c>
    </row>
    <row r="2173">
      <c r="A2173" t="inlineStr">
        <is>
          <t>PF102164</t>
        </is>
      </c>
      <c r="B2173" s="68" t="n">
        <v>45918</v>
      </c>
      <c r="C2173" s="69" t="n">
        <v>2025</v>
      </c>
      <c r="D2173" t="inlineStr">
        <is>
          <t>Sep</t>
        </is>
      </c>
      <c r="E2173" t="inlineStr">
        <is>
          <t>United States</t>
        </is>
      </c>
      <c r="F2173" t="inlineStr">
        <is>
          <t>USA</t>
        </is>
      </c>
      <c r="G2173" t="inlineStr">
        <is>
          <t>Paxlovid</t>
        </is>
      </c>
      <c r="H2173" t="inlineStr">
        <is>
          <t>Hospital</t>
        </is>
      </c>
      <c r="I2173" t="inlineStr">
        <is>
          <t>Private insurer</t>
        </is>
      </c>
      <c r="J2173" t="inlineStr">
        <is>
          <t>Priya Nair</t>
        </is>
      </c>
      <c r="K2173" s="70" t="n">
        <v>740</v>
      </c>
      <c r="L2173" s="71" t="n">
        <v>1606.16</v>
      </c>
      <c r="M2173" s="71" t="n">
        <v>1188558.4</v>
      </c>
      <c r="N2173" s="71" t="n">
        <v>297139.6</v>
      </c>
      <c r="O2173" s="71" t="n">
        <v>891418.8</v>
      </c>
      <c r="P2173" s="71" t="n">
        <v>206500.49</v>
      </c>
      <c r="Q2173" s="71" t="n">
        <v>684918.3100000001</v>
      </c>
      <c r="R2173" t="inlineStr">
        <is>
          <t>Antiviral</t>
        </is>
      </c>
      <c r="S2173" s="70" t="n">
        <v>735</v>
      </c>
      <c r="T2173" s="71" t="n">
        <v>253652.2</v>
      </c>
      <c r="U2173" t="inlineStr">
        <is>
          <t>Low</t>
        </is>
      </c>
      <c r="V2173">
        <f>IF(AND(OR(Dashboard!$C$6="All",E2173=Dashboard!$C$6),OR(Dashboard!$F$6="All",G2173=Dashboard!$F$6),OR(Dashboard!$I$6="All",H2173=Dashboard!$I$6)),1,0)</f>
        <v/>
      </c>
    </row>
    <row r="2174">
      <c r="A2174" t="inlineStr">
        <is>
          <t>PF102165</t>
        </is>
      </c>
      <c r="B2174" s="68" t="n">
        <v>45918</v>
      </c>
      <c r="C2174" s="69" t="n">
        <v>2025</v>
      </c>
      <c r="D2174" t="inlineStr">
        <is>
          <t>Sep</t>
        </is>
      </c>
      <c r="E2174" t="inlineStr">
        <is>
          <t>International developed</t>
        </is>
      </c>
      <c r="F2174" t="inlineStr">
        <is>
          <t>Japan</t>
        </is>
      </c>
      <c r="G2174" t="inlineStr">
        <is>
          <t>Prevnar 20</t>
        </is>
      </c>
      <c r="H2174" t="inlineStr">
        <is>
          <t>Hospital</t>
        </is>
      </c>
      <c r="I2174" t="inlineStr">
        <is>
          <t>Private insurer</t>
        </is>
      </c>
      <c r="J2174" t="inlineStr">
        <is>
          <t>Sara Rossi</t>
        </is>
      </c>
      <c r="K2174" s="70" t="n">
        <v>1927</v>
      </c>
      <c r="L2174" s="71" t="n">
        <v>236.19</v>
      </c>
      <c r="M2174" s="71" t="n">
        <v>455138.13</v>
      </c>
      <c r="N2174" s="71" t="n">
        <v>113784.53</v>
      </c>
      <c r="O2174" s="71" t="n">
        <v>341353.6</v>
      </c>
      <c r="P2174" s="71" t="n">
        <v>132683.91</v>
      </c>
      <c r="Q2174" s="71" t="n">
        <v>208669.69</v>
      </c>
      <c r="R2174" t="inlineStr">
        <is>
          <t>Vaccines</t>
        </is>
      </c>
      <c r="S2174" s="70" t="n">
        <v>1807</v>
      </c>
      <c r="T2174" s="71" t="n">
        <v>74413.41</v>
      </c>
      <c r="U2174" t="inlineStr">
        <is>
          <t>Low</t>
        </is>
      </c>
      <c r="V2174">
        <f>IF(AND(OR(Dashboard!$C$6="All",E2174=Dashboard!$C$6),OR(Dashboard!$F$6="All",G2174=Dashboard!$F$6),OR(Dashboard!$I$6="All",H2174=Dashboard!$I$6)),1,0)</f>
        <v/>
      </c>
    </row>
    <row r="2175">
      <c r="A2175" t="inlineStr">
        <is>
          <t>PF102166</t>
        </is>
      </c>
      <c r="B2175" s="68" t="n">
        <v>45918</v>
      </c>
      <c r="C2175" s="69" t="n">
        <v>2025</v>
      </c>
      <c r="D2175" t="inlineStr">
        <is>
          <t>Sep</t>
        </is>
      </c>
      <c r="E2175" t="inlineStr">
        <is>
          <t>Europe</t>
        </is>
      </c>
      <c r="F2175" t="inlineStr">
        <is>
          <t>UK</t>
        </is>
      </c>
      <c r="G2175" t="inlineStr">
        <is>
          <t>Ibrance</t>
        </is>
      </c>
      <c r="H2175" t="inlineStr">
        <is>
          <t>Government / tender</t>
        </is>
      </c>
      <c r="I2175" t="inlineStr">
        <is>
          <t>Private insurer</t>
        </is>
      </c>
      <c r="J2175" t="inlineStr">
        <is>
          <t>Ruhi Shaikh</t>
        </is>
      </c>
      <c r="K2175" s="70" t="n">
        <v>1333</v>
      </c>
      <c r="L2175" s="71" t="n">
        <v>2726.49</v>
      </c>
      <c r="M2175" s="71" t="n">
        <v>3634411.17</v>
      </c>
      <c r="N2175" s="71" t="n">
        <v>726882.23</v>
      </c>
      <c r="O2175" s="71" t="n">
        <v>2907528.94</v>
      </c>
      <c r="P2175" s="71" t="n">
        <v>583719.34</v>
      </c>
      <c r="Q2175" s="71" t="n">
        <v>2323809.6</v>
      </c>
      <c r="R2175" t="inlineStr">
        <is>
          <t>Oncology</t>
        </is>
      </c>
      <c r="S2175" s="70" t="n">
        <v>914</v>
      </c>
      <c r="T2175" s="71" t="n">
        <v>603698.76</v>
      </c>
      <c r="U2175" t="inlineStr">
        <is>
          <t>High</t>
        </is>
      </c>
      <c r="V2175">
        <f>IF(AND(OR(Dashboard!$C$6="All",E2175=Dashboard!$C$6),OR(Dashboard!$F$6="All",G2175=Dashboard!$F$6),OR(Dashboard!$I$6="All",H2175=Dashboard!$I$6)),1,0)</f>
        <v/>
      </c>
    </row>
    <row r="2176">
      <c r="A2176" t="inlineStr">
        <is>
          <t>PF102167</t>
        </is>
      </c>
      <c r="B2176" s="68" t="n">
        <v>45918</v>
      </c>
      <c r="C2176" s="69" t="n">
        <v>2025</v>
      </c>
      <c r="D2176" t="inlineStr">
        <is>
          <t>Sep</t>
        </is>
      </c>
      <c r="E2176" t="inlineStr">
        <is>
          <t>Europe</t>
        </is>
      </c>
      <c r="F2176" t="inlineStr">
        <is>
          <t>Germany</t>
        </is>
      </c>
      <c r="G2176" t="inlineStr">
        <is>
          <t>Prevnar 20</t>
        </is>
      </c>
      <c r="H2176" t="inlineStr">
        <is>
          <t>Hospital</t>
        </is>
      </c>
      <c r="I2176" t="inlineStr">
        <is>
          <t>Self-pay</t>
        </is>
      </c>
      <c r="J2176" t="inlineStr">
        <is>
          <t>Ana Costa</t>
        </is>
      </c>
      <c r="K2176" s="70" t="n">
        <v>1901</v>
      </c>
      <c r="L2176" s="71" t="n">
        <v>239.67</v>
      </c>
      <c r="M2176" s="71" t="n">
        <v>455612.67</v>
      </c>
      <c r="N2176" s="71" t="n">
        <v>45561.27</v>
      </c>
      <c r="O2176" s="71" t="n">
        <v>410051.4</v>
      </c>
      <c r="P2176" s="71" t="n">
        <v>131776.64</v>
      </c>
      <c r="Q2176" s="71" t="n">
        <v>278274.76</v>
      </c>
      <c r="R2176" t="inlineStr">
        <is>
          <t>Vaccines</t>
        </is>
      </c>
      <c r="S2176" s="70" t="n">
        <v>1790</v>
      </c>
      <c r="T2176" s="71" t="n">
        <v>75196.99000000001</v>
      </c>
      <c r="U2176" t="inlineStr">
        <is>
          <t>Low</t>
        </is>
      </c>
      <c r="V2176">
        <f>IF(AND(OR(Dashboard!$C$6="All",E2176=Dashboard!$C$6),OR(Dashboard!$F$6="All",G2176=Dashboard!$F$6),OR(Dashboard!$I$6="All",H2176=Dashboard!$I$6)),1,0)</f>
        <v/>
      </c>
    </row>
    <row r="2177">
      <c r="A2177" t="inlineStr">
        <is>
          <t>PF102168</t>
        </is>
      </c>
      <c r="B2177" s="68" t="n">
        <v>45918</v>
      </c>
      <c r="C2177" s="69" t="n">
        <v>2025</v>
      </c>
      <c r="D2177" t="inlineStr">
        <is>
          <t>Sep</t>
        </is>
      </c>
      <c r="E2177" t="inlineStr">
        <is>
          <t>Emerging markets</t>
        </is>
      </c>
      <c r="F2177" t="inlineStr">
        <is>
          <t>Brazil</t>
        </is>
      </c>
      <c r="G2177" t="inlineStr">
        <is>
          <t>Eliquis</t>
        </is>
      </c>
      <c r="H2177" t="inlineStr">
        <is>
          <t>Government / tender</t>
        </is>
      </c>
      <c r="I2177" t="inlineStr">
        <is>
          <t>Private insurer</t>
        </is>
      </c>
      <c r="J2177" t="inlineStr">
        <is>
          <t>Hiroshi Tanaka</t>
        </is>
      </c>
      <c r="K2177" s="70" t="n">
        <v>1075</v>
      </c>
      <c r="L2177" s="71" t="n">
        <v>411.33</v>
      </c>
      <c r="M2177" s="71" t="n">
        <v>442179.75</v>
      </c>
      <c r="N2177" s="71" t="n">
        <v>110544.94</v>
      </c>
      <c r="O2177" s="71" t="n">
        <v>331634.81</v>
      </c>
      <c r="P2177" s="71" t="n">
        <v>82332.75999999999</v>
      </c>
      <c r="Q2177" s="71" t="n">
        <v>249302.05</v>
      </c>
      <c r="R2177" t="inlineStr">
        <is>
          <t>Cardiology</t>
        </is>
      </c>
      <c r="S2177" s="70" t="n">
        <v>712</v>
      </c>
      <c r="T2177" s="71" t="n">
        <v>62753.22</v>
      </c>
      <c r="U2177" t="inlineStr">
        <is>
          <t>High</t>
        </is>
      </c>
      <c r="V2177">
        <f>IF(AND(OR(Dashboard!$C$6="All",E2177=Dashboard!$C$6),OR(Dashboard!$F$6="All",G2177=Dashboard!$F$6),OR(Dashboard!$I$6="All",H2177=Dashboard!$I$6)),1,0)</f>
        <v/>
      </c>
    </row>
    <row r="2178">
      <c r="A2178" t="inlineStr">
        <is>
          <t>PF102169</t>
        </is>
      </c>
      <c r="B2178" s="68" t="n">
        <v>45918</v>
      </c>
      <c r="C2178" s="69" t="n">
        <v>2025</v>
      </c>
      <c r="D2178" t="inlineStr">
        <is>
          <t>Sep</t>
        </is>
      </c>
      <c r="E2178" t="inlineStr">
        <is>
          <t>United States</t>
        </is>
      </c>
      <c r="F2178" t="inlineStr">
        <is>
          <t>USA</t>
        </is>
      </c>
      <c r="G2178" t="inlineStr">
        <is>
          <t>Prevnar 20</t>
        </is>
      </c>
      <c r="H2178" t="inlineStr">
        <is>
          <t>Hospital</t>
        </is>
      </c>
      <c r="I2178" t="inlineStr">
        <is>
          <t>Public payer</t>
        </is>
      </c>
      <c r="J2178" t="inlineStr">
        <is>
          <t>Ravindra Patil</t>
        </is>
      </c>
      <c r="K2178" s="70" t="n">
        <v>1619</v>
      </c>
      <c r="L2178" s="71" t="n">
        <v>382.85</v>
      </c>
      <c r="M2178" s="71" t="n">
        <v>619834.15</v>
      </c>
      <c r="N2178" s="71" t="n">
        <v>154958.54</v>
      </c>
      <c r="O2178" s="71" t="n">
        <v>464875.61</v>
      </c>
      <c r="P2178" s="71" t="n">
        <v>114548.84</v>
      </c>
      <c r="Q2178" s="71" t="n">
        <v>350326.77</v>
      </c>
      <c r="R2178" t="inlineStr">
        <is>
          <t>Vaccines</t>
        </is>
      </c>
      <c r="S2178" s="70" t="n">
        <v>1154</v>
      </c>
      <c r="T2178" s="71" t="n">
        <v>127239.22</v>
      </c>
      <c r="U2178" t="inlineStr">
        <is>
          <t>Low</t>
        </is>
      </c>
      <c r="V2178">
        <f>IF(AND(OR(Dashboard!$C$6="All",E2178=Dashboard!$C$6),OR(Dashboard!$F$6="All",G2178=Dashboard!$F$6),OR(Dashboard!$I$6="All",H2178=Dashboard!$I$6)),1,0)</f>
        <v/>
      </c>
    </row>
    <row r="2179">
      <c r="A2179" t="inlineStr">
        <is>
          <t>PF102170</t>
        </is>
      </c>
      <c r="B2179" s="68" t="n">
        <v>45918</v>
      </c>
      <c r="C2179" s="69" t="n">
        <v>2025</v>
      </c>
      <c r="D2179" t="inlineStr">
        <is>
          <t>Sep</t>
        </is>
      </c>
      <c r="E2179" t="inlineStr">
        <is>
          <t>Europe</t>
        </is>
      </c>
      <c r="F2179" t="inlineStr">
        <is>
          <t>Germany</t>
        </is>
      </c>
      <c r="G2179" t="inlineStr">
        <is>
          <t>Paxlovid</t>
        </is>
      </c>
      <c r="H2179" t="inlineStr">
        <is>
          <t>Retail pharmacy</t>
        </is>
      </c>
      <c r="I2179" t="inlineStr">
        <is>
          <t>Public payer</t>
        </is>
      </c>
      <c r="J2179" t="inlineStr">
        <is>
          <t>Priya Nair</t>
        </is>
      </c>
      <c r="K2179" s="70" t="n">
        <v>217</v>
      </c>
      <c r="L2179" s="71" t="n">
        <v>1174.41</v>
      </c>
      <c r="M2179" s="71" t="n">
        <v>254846.97</v>
      </c>
      <c r="N2179" s="71" t="n">
        <v>25484.7</v>
      </c>
      <c r="O2179" s="71" t="n">
        <v>229362.27</v>
      </c>
      <c r="P2179" s="71" t="n">
        <v>59230.96</v>
      </c>
      <c r="Q2179" s="71" t="n">
        <v>170131.31</v>
      </c>
      <c r="R2179" t="inlineStr">
        <is>
          <t>Antiviral</t>
        </is>
      </c>
      <c r="S2179" s="70" t="n">
        <v>142</v>
      </c>
      <c r="T2179" s="71" t="n">
        <v>33482.95</v>
      </c>
      <c r="U2179" t="inlineStr">
        <is>
          <t>Low</t>
        </is>
      </c>
      <c r="V2179">
        <f>IF(AND(OR(Dashboard!$C$6="All",E2179=Dashboard!$C$6),OR(Dashboard!$F$6="All",G2179=Dashboard!$F$6),OR(Dashboard!$I$6="All",H2179=Dashboard!$I$6)),1,0)</f>
        <v/>
      </c>
    </row>
    <row r="2180">
      <c r="A2180" t="inlineStr">
        <is>
          <t>PF102171</t>
        </is>
      </c>
      <c r="B2180" s="68" t="n">
        <v>45918</v>
      </c>
      <c r="C2180" s="69" t="n">
        <v>2025</v>
      </c>
      <c r="D2180" t="inlineStr">
        <is>
          <t>Sep</t>
        </is>
      </c>
      <c r="E2180" t="inlineStr">
        <is>
          <t>United States</t>
        </is>
      </c>
      <c r="F2180" t="inlineStr">
        <is>
          <t>USA</t>
        </is>
      </c>
      <c r="G2180" t="inlineStr">
        <is>
          <t>Ibrance</t>
        </is>
      </c>
      <c r="H2180" t="inlineStr">
        <is>
          <t>Retail pharmacy</t>
        </is>
      </c>
      <c r="I2180" t="inlineStr">
        <is>
          <t>Private insurer</t>
        </is>
      </c>
      <c r="J2180" t="inlineStr">
        <is>
          <t>Kofi Mensah</t>
        </is>
      </c>
      <c r="K2180" s="70" t="n">
        <v>2206</v>
      </c>
      <c r="L2180" s="71" t="n">
        <v>4730.29</v>
      </c>
      <c r="M2180" s="71" t="n">
        <v>10435019.74</v>
      </c>
      <c r="N2180" s="71" t="n">
        <v>3652256.91</v>
      </c>
      <c r="O2180" s="71" t="n">
        <v>6782762.83</v>
      </c>
      <c r="P2180" s="71" t="n">
        <v>927654.86</v>
      </c>
      <c r="Q2180" s="71" t="n">
        <v>5855107.97</v>
      </c>
      <c r="R2180" t="inlineStr">
        <is>
          <t>Oncology</t>
        </is>
      </c>
      <c r="S2180" s="70" t="n">
        <v>1897</v>
      </c>
      <c r="T2180" s="71" t="n">
        <v>1317904.37</v>
      </c>
      <c r="U2180" t="inlineStr">
        <is>
          <t>High</t>
        </is>
      </c>
      <c r="V2180">
        <f>IF(AND(OR(Dashboard!$C$6="All",E2180=Dashboard!$C$6),OR(Dashboard!$F$6="All",G2180=Dashboard!$F$6),OR(Dashboard!$I$6="All",H2180=Dashboard!$I$6)),1,0)</f>
        <v/>
      </c>
    </row>
    <row r="2181">
      <c r="A2181" t="inlineStr">
        <is>
          <t>PF102172</t>
        </is>
      </c>
      <c r="B2181" s="68" t="n">
        <v>45918</v>
      </c>
      <c r="C2181" s="69" t="n">
        <v>2025</v>
      </c>
      <c r="D2181" t="inlineStr">
        <is>
          <t>Sep</t>
        </is>
      </c>
      <c r="E2181" t="inlineStr">
        <is>
          <t>Emerging markets</t>
        </is>
      </c>
      <c r="F2181" t="inlineStr">
        <is>
          <t>Brazil</t>
        </is>
      </c>
      <c r="G2181" t="inlineStr">
        <is>
          <t>Abrysvo</t>
        </is>
      </c>
      <c r="H2181" t="inlineStr">
        <is>
          <t>Hospital</t>
        </is>
      </c>
      <c r="I2181" t="inlineStr">
        <is>
          <t>Public payer</t>
        </is>
      </c>
      <c r="J2181" t="inlineStr">
        <is>
          <t>Sara Rossi</t>
        </is>
      </c>
      <c r="K2181" s="70" t="n">
        <v>1429</v>
      </c>
      <c r="L2181" s="71" t="n">
        <v>256.51</v>
      </c>
      <c r="M2181" s="71" t="n">
        <v>366552.79</v>
      </c>
      <c r="N2181" s="71" t="n">
        <v>36655.28</v>
      </c>
      <c r="O2181" s="71" t="n">
        <v>329897.51</v>
      </c>
      <c r="P2181" s="71" t="n">
        <v>116100.35</v>
      </c>
      <c r="Q2181" s="71" t="n">
        <v>213797.16</v>
      </c>
      <c r="R2181" t="inlineStr">
        <is>
          <t>Vaccines</t>
        </is>
      </c>
      <c r="S2181" s="70" t="n">
        <v>1360</v>
      </c>
      <c r="T2181" s="71" t="n">
        <v>64652.83</v>
      </c>
      <c r="U2181" t="inlineStr">
        <is>
          <t>Low</t>
        </is>
      </c>
      <c r="V2181">
        <f>IF(AND(OR(Dashboard!$C$6="All",E2181=Dashboard!$C$6),OR(Dashboard!$F$6="All",G2181=Dashboard!$F$6),OR(Dashboard!$I$6="All",H2181=Dashboard!$I$6)),1,0)</f>
        <v/>
      </c>
    </row>
    <row r="2182">
      <c r="A2182" t="inlineStr">
        <is>
          <t>PF102173</t>
        </is>
      </c>
      <c r="B2182" s="68" t="n">
        <v>45919</v>
      </c>
      <c r="C2182" s="69" t="n">
        <v>2025</v>
      </c>
      <c r="D2182" t="inlineStr">
        <is>
          <t>Sep</t>
        </is>
      </c>
      <c r="E2182" t="inlineStr">
        <is>
          <t>United States</t>
        </is>
      </c>
      <c r="F2182" t="inlineStr">
        <is>
          <t>USA</t>
        </is>
      </c>
      <c r="G2182" t="inlineStr">
        <is>
          <t>Paxlovid</t>
        </is>
      </c>
      <c r="H2182" t="inlineStr">
        <is>
          <t>Hospital</t>
        </is>
      </c>
      <c r="I2182" t="inlineStr">
        <is>
          <t>Self-pay</t>
        </is>
      </c>
      <c r="J2182" t="inlineStr">
        <is>
          <t>Hiroshi Tanaka</t>
        </is>
      </c>
      <c r="K2182" s="70" t="n">
        <v>218</v>
      </c>
      <c r="L2182" s="71" t="n">
        <v>1876.5</v>
      </c>
      <c r="M2182" s="71" t="n">
        <v>409077</v>
      </c>
      <c r="N2182" s="71" t="n">
        <v>81815.39999999999</v>
      </c>
      <c r="O2182" s="71" t="n">
        <v>327261.6</v>
      </c>
      <c r="P2182" s="71" t="n">
        <v>57982.41</v>
      </c>
      <c r="Q2182" s="71" t="n">
        <v>269279.19</v>
      </c>
      <c r="R2182" t="inlineStr">
        <is>
          <t>Antiviral</t>
        </is>
      </c>
      <c r="S2182" s="70" t="n">
        <v>139</v>
      </c>
      <c r="T2182" s="71" t="n">
        <v>81520.53</v>
      </c>
      <c r="U2182" t="inlineStr">
        <is>
          <t>Low</t>
        </is>
      </c>
      <c r="V2182">
        <f>IF(AND(OR(Dashboard!$C$6="All",E2182=Dashboard!$C$6),OR(Dashboard!$F$6="All",G2182=Dashboard!$F$6),OR(Dashboard!$I$6="All",H2182=Dashboard!$I$6)),1,0)</f>
        <v/>
      </c>
    </row>
    <row r="2183">
      <c r="A2183" t="inlineStr">
        <is>
          <t>PF102174</t>
        </is>
      </c>
      <c r="B2183" s="68" t="n">
        <v>45919</v>
      </c>
      <c r="C2183" s="69" t="n">
        <v>2025</v>
      </c>
      <c r="D2183" t="inlineStr">
        <is>
          <t>Sep</t>
        </is>
      </c>
      <c r="E2183" t="inlineStr">
        <is>
          <t>United States</t>
        </is>
      </c>
      <c r="F2183" t="inlineStr">
        <is>
          <t>USA</t>
        </is>
      </c>
      <c r="G2183" t="inlineStr">
        <is>
          <t>Prevnar 20</t>
        </is>
      </c>
      <c r="H2183" t="inlineStr">
        <is>
          <t>Retail pharmacy</t>
        </is>
      </c>
      <c r="I2183" t="inlineStr">
        <is>
          <t>Public payer</t>
        </is>
      </c>
      <c r="J2183" t="inlineStr">
        <is>
          <t>Amir Khan</t>
        </is>
      </c>
      <c r="K2183" s="70" t="n">
        <v>1793</v>
      </c>
      <c r="L2183" s="71" t="n">
        <v>338.51</v>
      </c>
      <c r="M2183" s="71" t="n">
        <v>606948.4300000001</v>
      </c>
      <c r="N2183" s="71" t="n">
        <v>151737.11</v>
      </c>
      <c r="O2183" s="71" t="n">
        <v>455211.32</v>
      </c>
      <c r="P2183" s="71" t="n">
        <v>118838.96</v>
      </c>
      <c r="Q2183" s="71" t="n">
        <v>336372.36</v>
      </c>
      <c r="R2183" t="inlineStr">
        <is>
          <t>Vaccines</t>
        </is>
      </c>
      <c r="S2183" s="70" t="n">
        <v>1286</v>
      </c>
      <c r="T2183" s="71" t="n">
        <v>131463.33</v>
      </c>
      <c r="U2183" t="inlineStr">
        <is>
          <t>Low</t>
        </is>
      </c>
      <c r="V2183">
        <f>IF(AND(OR(Dashboard!$C$6="All",E2183=Dashboard!$C$6),OR(Dashboard!$F$6="All",G2183=Dashboard!$F$6),OR(Dashboard!$I$6="All",H2183=Dashboard!$I$6)),1,0)</f>
        <v/>
      </c>
    </row>
    <row r="2184">
      <c r="A2184" t="inlineStr">
        <is>
          <t>PF102175</t>
        </is>
      </c>
      <c r="B2184" s="68" t="n">
        <v>45919</v>
      </c>
      <c r="C2184" s="69" t="n">
        <v>2025</v>
      </c>
      <c r="D2184" t="inlineStr">
        <is>
          <t>Sep</t>
        </is>
      </c>
      <c r="E2184" t="inlineStr">
        <is>
          <t>United States</t>
        </is>
      </c>
      <c r="F2184" t="inlineStr">
        <is>
          <t>USA</t>
        </is>
      </c>
      <c r="G2184" t="inlineStr">
        <is>
          <t>Xeljanz</t>
        </is>
      </c>
      <c r="H2184" t="inlineStr">
        <is>
          <t>Retail pharmacy</t>
        </is>
      </c>
      <c r="I2184" t="inlineStr">
        <is>
          <t>Self-pay</t>
        </is>
      </c>
      <c r="J2184" t="inlineStr">
        <is>
          <t>Noah Smith</t>
        </is>
      </c>
      <c r="K2184" s="70" t="n">
        <v>1021</v>
      </c>
      <c r="L2184" s="71" t="n">
        <v>2422.62</v>
      </c>
      <c r="M2184" s="71" t="n">
        <v>2473495.02</v>
      </c>
      <c r="N2184" s="71" t="n">
        <v>742048.51</v>
      </c>
      <c r="O2184" s="71" t="n">
        <v>1731446.51</v>
      </c>
      <c r="P2184" s="71" t="n">
        <v>257452.94</v>
      </c>
      <c r="Q2184" s="71" t="n">
        <v>1473993.57</v>
      </c>
      <c r="R2184" t="inlineStr">
        <is>
          <t>Inflammation</t>
        </is>
      </c>
      <c r="S2184" s="70" t="n">
        <v>790</v>
      </c>
      <c r="T2184" s="71" t="n">
        <v>520253.5</v>
      </c>
      <c r="U2184" t="inlineStr">
        <is>
          <t>High</t>
        </is>
      </c>
      <c r="V2184">
        <f>IF(AND(OR(Dashboard!$C$6="All",E2184=Dashboard!$C$6),OR(Dashboard!$F$6="All",G2184=Dashboard!$F$6),OR(Dashboard!$I$6="All",H2184=Dashboard!$I$6)),1,0)</f>
        <v/>
      </c>
    </row>
    <row r="2185">
      <c r="A2185" t="inlineStr">
        <is>
          <t>PF102176</t>
        </is>
      </c>
      <c r="B2185" s="68" t="n">
        <v>45919</v>
      </c>
      <c r="C2185" s="69" t="n">
        <v>2025</v>
      </c>
      <c r="D2185" t="inlineStr">
        <is>
          <t>Sep</t>
        </is>
      </c>
      <c r="E2185" t="inlineStr">
        <is>
          <t>Europe</t>
        </is>
      </c>
      <c r="F2185" t="inlineStr">
        <is>
          <t>Italy</t>
        </is>
      </c>
      <c r="G2185" t="inlineStr">
        <is>
          <t>Eliquis</t>
        </is>
      </c>
      <c r="H2185" t="inlineStr">
        <is>
          <t>Retail pharmacy</t>
        </is>
      </c>
      <c r="I2185" t="inlineStr">
        <is>
          <t>Private insurer</t>
        </is>
      </c>
      <c r="J2185" t="inlineStr">
        <is>
          <t>Shraddha Kulkarni</t>
        </is>
      </c>
      <c r="K2185" s="70" t="n">
        <v>2585</v>
      </c>
      <c r="L2185" s="71" t="n">
        <v>429.19</v>
      </c>
      <c r="M2185" s="71" t="n">
        <v>1109456.15</v>
      </c>
      <c r="N2185" s="71" t="n">
        <v>277364.04</v>
      </c>
      <c r="O2185" s="71" t="n">
        <v>832092.11</v>
      </c>
      <c r="P2185" s="71" t="n">
        <v>187767.46</v>
      </c>
      <c r="Q2185" s="71" t="n">
        <v>644324.65</v>
      </c>
      <c r="R2185" t="inlineStr">
        <is>
          <t>Cardiology</t>
        </is>
      </c>
      <c r="S2185" s="70" t="n">
        <v>2079</v>
      </c>
      <c r="T2185" s="71" t="n">
        <v>177311.44</v>
      </c>
      <c r="U2185" t="inlineStr">
        <is>
          <t>High</t>
        </is>
      </c>
      <c r="V2185">
        <f>IF(AND(OR(Dashboard!$C$6="All",E2185=Dashboard!$C$6),OR(Dashboard!$F$6="All",G2185=Dashboard!$F$6),OR(Dashboard!$I$6="All",H2185=Dashboard!$I$6)),1,0)</f>
        <v/>
      </c>
    </row>
    <row r="2186">
      <c r="A2186" t="inlineStr">
        <is>
          <t>PF102177</t>
        </is>
      </c>
      <c r="B2186" s="68" t="n">
        <v>45919</v>
      </c>
      <c r="C2186" s="69" t="n">
        <v>2025</v>
      </c>
      <c r="D2186" t="inlineStr">
        <is>
          <t>Sep</t>
        </is>
      </c>
      <c r="E2186" t="inlineStr">
        <is>
          <t>International developed</t>
        </is>
      </c>
      <c r="F2186" t="inlineStr">
        <is>
          <t>Australia</t>
        </is>
      </c>
      <c r="G2186" t="inlineStr">
        <is>
          <t>Prevnar 20</t>
        </is>
      </c>
      <c r="H2186" t="inlineStr">
        <is>
          <t>Hospital</t>
        </is>
      </c>
      <c r="I2186" t="inlineStr">
        <is>
          <t>Public payer</t>
        </is>
      </c>
      <c r="J2186" t="inlineStr">
        <is>
          <t>Zoya Ahmed</t>
        </is>
      </c>
      <c r="K2186" s="70" t="n">
        <v>2484</v>
      </c>
      <c r="L2186" s="71" t="n">
        <v>233.28</v>
      </c>
      <c r="M2186" s="71" t="n">
        <v>579467.52</v>
      </c>
      <c r="N2186" s="71" t="n">
        <v>115893.5</v>
      </c>
      <c r="O2186" s="71" t="n">
        <v>463574.02</v>
      </c>
      <c r="P2186" s="71" t="n">
        <v>176402.04</v>
      </c>
      <c r="Q2186" s="71" t="n">
        <v>287171.98</v>
      </c>
      <c r="R2186" t="inlineStr">
        <is>
          <t>Vaccines</t>
        </is>
      </c>
      <c r="S2186" s="70" t="n">
        <v>2140</v>
      </c>
      <c r="T2186" s="71" t="n">
        <v>80363.00999999999</v>
      </c>
      <c r="U2186" t="inlineStr">
        <is>
          <t>Low</t>
        </is>
      </c>
      <c r="V2186">
        <f>IF(AND(OR(Dashboard!$C$6="All",E2186=Dashboard!$C$6),OR(Dashboard!$F$6="All",G2186=Dashboard!$F$6),OR(Dashboard!$I$6="All",H2186=Dashboard!$I$6)),1,0)</f>
        <v/>
      </c>
    </row>
    <row r="2187">
      <c r="A2187" t="inlineStr">
        <is>
          <t>PF102178</t>
        </is>
      </c>
      <c r="B2187" s="68" t="n">
        <v>45919</v>
      </c>
      <c r="C2187" s="69" t="n">
        <v>2025</v>
      </c>
      <c r="D2187" t="inlineStr">
        <is>
          <t>Sep</t>
        </is>
      </c>
      <c r="E2187" t="inlineStr">
        <is>
          <t>Europe</t>
        </is>
      </c>
      <c r="F2187" t="inlineStr">
        <is>
          <t>UK</t>
        </is>
      </c>
      <c r="G2187" t="inlineStr">
        <is>
          <t>Eliquis</t>
        </is>
      </c>
      <c r="H2187" t="inlineStr">
        <is>
          <t>Retail pharmacy</t>
        </is>
      </c>
      <c r="I2187" t="inlineStr">
        <is>
          <t>Private insurer</t>
        </is>
      </c>
      <c r="J2187" t="inlineStr">
        <is>
          <t>Ana Costa</t>
        </is>
      </c>
      <c r="K2187" s="70" t="n">
        <v>1222</v>
      </c>
      <c r="L2187" s="71" t="n">
        <v>428.51</v>
      </c>
      <c r="M2187" s="71" t="n">
        <v>523639.22</v>
      </c>
      <c r="N2187" s="71" t="n">
        <v>78545.88</v>
      </c>
      <c r="O2187" s="71" t="n">
        <v>445093.34</v>
      </c>
      <c r="P2187" s="71" t="n">
        <v>89524.28</v>
      </c>
      <c r="Q2187" s="71" t="n">
        <v>355569.06</v>
      </c>
      <c r="R2187" t="inlineStr">
        <is>
          <t>Cardiology</t>
        </is>
      </c>
      <c r="S2187" s="70" t="n">
        <v>863</v>
      </c>
      <c r="T2187" s="71" t="n">
        <v>68772.67</v>
      </c>
      <c r="U2187" t="inlineStr">
        <is>
          <t>High</t>
        </is>
      </c>
      <c r="V2187">
        <f>IF(AND(OR(Dashboard!$C$6="All",E2187=Dashboard!$C$6),OR(Dashboard!$F$6="All",G2187=Dashboard!$F$6),OR(Dashboard!$I$6="All",H2187=Dashboard!$I$6)),1,0)</f>
        <v/>
      </c>
    </row>
    <row r="2188">
      <c r="A2188" t="inlineStr">
        <is>
          <t>PF102179</t>
        </is>
      </c>
      <c r="B2188" s="68" t="n">
        <v>45920</v>
      </c>
      <c r="C2188" s="69" t="n">
        <v>2025</v>
      </c>
      <c r="D2188" t="inlineStr">
        <is>
          <t>Sep</t>
        </is>
      </c>
      <c r="E2188" t="inlineStr">
        <is>
          <t>Europe</t>
        </is>
      </c>
      <c r="F2188" t="inlineStr">
        <is>
          <t>Spain</t>
        </is>
      </c>
      <c r="G2188" t="inlineStr">
        <is>
          <t>Abrysvo</t>
        </is>
      </c>
      <c r="H2188" t="inlineStr">
        <is>
          <t>Government / tender</t>
        </is>
      </c>
      <c r="I2188" t="inlineStr">
        <is>
          <t>Public payer</t>
        </is>
      </c>
      <c r="J2188" t="inlineStr">
        <is>
          <t>Arjun Mehta</t>
        </is>
      </c>
      <c r="K2188" s="70" t="n">
        <v>2871</v>
      </c>
      <c r="L2188" s="71" t="n">
        <v>276.74</v>
      </c>
      <c r="M2188" s="71" t="n">
        <v>794520.54</v>
      </c>
      <c r="N2188" s="71" t="n">
        <v>79452.05</v>
      </c>
      <c r="O2188" s="71" t="n">
        <v>715068.49</v>
      </c>
      <c r="P2188" s="71" t="n">
        <v>232105.46</v>
      </c>
      <c r="Q2188" s="71" t="n">
        <v>482963.03</v>
      </c>
      <c r="R2188" t="inlineStr">
        <is>
          <t>Vaccines</t>
        </is>
      </c>
      <c r="S2188" s="70" t="n">
        <v>2594</v>
      </c>
      <c r="T2188" s="71" t="n">
        <v>136857.95</v>
      </c>
      <c r="U2188" t="inlineStr">
        <is>
          <t>Low</t>
        </is>
      </c>
      <c r="V2188">
        <f>IF(AND(OR(Dashboard!$C$6="All",E2188=Dashboard!$C$6),OR(Dashboard!$F$6="All",G2188=Dashboard!$F$6),OR(Dashboard!$I$6="All",H2188=Dashboard!$I$6)),1,0)</f>
        <v/>
      </c>
    </row>
    <row r="2189">
      <c r="A2189" t="inlineStr">
        <is>
          <t>PF102180</t>
        </is>
      </c>
      <c r="B2189" s="68" t="n">
        <v>45920</v>
      </c>
      <c r="C2189" s="69" t="n">
        <v>2025</v>
      </c>
      <c r="D2189" t="inlineStr">
        <is>
          <t>Sep</t>
        </is>
      </c>
      <c r="E2189" t="inlineStr">
        <is>
          <t>Emerging markets</t>
        </is>
      </c>
      <c r="F2189" t="inlineStr">
        <is>
          <t>Mexico</t>
        </is>
      </c>
      <c r="G2189" t="inlineStr">
        <is>
          <t>Xeljanz</t>
        </is>
      </c>
      <c r="H2189" t="inlineStr">
        <is>
          <t>Government / tender</t>
        </is>
      </c>
      <c r="I2189" t="inlineStr">
        <is>
          <t>Public payer</t>
        </is>
      </c>
      <c r="J2189" t="inlineStr">
        <is>
          <t>Aisha Bello</t>
        </is>
      </c>
      <c r="K2189" s="70" t="n">
        <v>2618</v>
      </c>
      <c r="L2189" s="71" t="n">
        <v>1285.46</v>
      </c>
      <c r="M2189" s="71" t="n">
        <v>3365334.28</v>
      </c>
      <c r="N2189" s="71" t="n">
        <v>504800.14</v>
      </c>
      <c r="O2189" s="71" t="n">
        <v>2860534.14</v>
      </c>
      <c r="P2189" s="71" t="n">
        <v>675769.3</v>
      </c>
      <c r="Q2189" s="71" t="n">
        <v>2184764.84</v>
      </c>
      <c r="R2189" t="inlineStr">
        <is>
          <t>Inflammation</t>
        </is>
      </c>
      <c r="S2189" s="70" t="n">
        <v>1758</v>
      </c>
      <c r="T2189" s="71" t="n">
        <v>482913.72</v>
      </c>
      <c r="U2189" t="inlineStr">
        <is>
          <t>High</t>
        </is>
      </c>
      <c r="V2189">
        <f>IF(AND(OR(Dashboard!$C$6="All",E2189=Dashboard!$C$6),OR(Dashboard!$F$6="All",G2189=Dashboard!$F$6),OR(Dashboard!$I$6="All",H2189=Dashboard!$I$6)),1,0)</f>
        <v/>
      </c>
    </row>
    <row r="2190">
      <c r="A2190" t="inlineStr">
        <is>
          <t>PF102181</t>
        </is>
      </c>
      <c r="B2190" s="68" t="n">
        <v>45920</v>
      </c>
      <c r="C2190" s="69" t="n">
        <v>2025</v>
      </c>
      <c r="D2190" t="inlineStr">
        <is>
          <t>Sep</t>
        </is>
      </c>
      <c r="E2190" t="inlineStr">
        <is>
          <t>United States</t>
        </is>
      </c>
      <c r="F2190" t="inlineStr">
        <is>
          <t>USA</t>
        </is>
      </c>
      <c r="G2190" t="inlineStr">
        <is>
          <t>Eliquis</t>
        </is>
      </c>
      <c r="H2190" t="inlineStr">
        <is>
          <t>Government / tender</t>
        </is>
      </c>
      <c r="I2190" t="inlineStr">
        <is>
          <t>Private insurer</t>
        </is>
      </c>
      <c r="J2190" t="inlineStr">
        <is>
          <t>Amir Khan</t>
        </is>
      </c>
      <c r="K2190" s="70" t="n">
        <v>2091</v>
      </c>
      <c r="L2190" s="71" t="n">
        <v>666.34</v>
      </c>
      <c r="M2190" s="71" t="n">
        <v>1393316.94</v>
      </c>
      <c r="N2190" s="71" t="n">
        <v>208997.54</v>
      </c>
      <c r="O2190" s="71" t="n">
        <v>1184319.4</v>
      </c>
      <c r="P2190" s="71" t="n">
        <v>163907</v>
      </c>
      <c r="Q2190" s="71" t="n">
        <v>1020412.4</v>
      </c>
      <c r="R2190" t="inlineStr">
        <is>
          <t>Cardiology</t>
        </is>
      </c>
      <c r="S2190" s="70" t="n">
        <v>1776</v>
      </c>
      <c r="T2190" s="71" t="n">
        <v>302749.22</v>
      </c>
      <c r="U2190" t="inlineStr">
        <is>
          <t>High</t>
        </is>
      </c>
      <c r="V2190">
        <f>IF(AND(OR(Dashboard!$C$6="All",E2190=Dashboard!$C$6),OR(Dashboard!$F$6="All",G2190=Dashboard!$F$6),OR(Dashboard!$I$6="All",H2190=Dashboard!$I$6)),1,0)</f>
        <v/>
      </c>
    </row>
    <row r="2191">
      <c r="A2191" t="inlineStr">
        <is>
          <t>PF102182</t>
        </is>
      </c>
      <c r="B2191" s="68" t="n">
        <v>45920</v>
      </c>
      <c r="C2191" s="69" t="n">
        <v>2025</v>
      </c>
      <c r="D2191" t="inlineStr">
        <is>
          <t>Sep</t>
        </is>
      </c>
      <c r="E2191" t="inlineStr">
        <is>
          <t>Europe</t>
        </is>
      </c>
      <c r="F2191" t="inlineStr">
        <is>
          <t>Spain</t>
        </is>
      </c>
      <c r="G2191" t="inlineStr">
        <is>
          <t>Eliquis</t>
        </is>
      </c>
      <c r="H2191" t="inlineStr">
        <is>
          <t>Hospital</t>
        </is>
      </c>
      <c r="I2191" t="inlineStr">
        <is>
          <t>Public payer</t>
        </is>
      </c>
      <c r="J2191" t="inlineStr">
        <is>
          <t>Arjun Mehta</t>
        </is>
      </c>
      <c r="K2191" s="70" t="n">
        <v>571</v>
      </c>
      <c r="L2191" s="71" t="n">
        <v>461.79</v>
      </c>
      <c r="M2191" s="71" t="n">
        <v>263682.09</v>
      </c>
      <c r="N2191" s="71" t="n">
        <v>13184.1</v>
      </c>
      <c r="O2191" s="71" t="n">
        <v>250497.99</v>
      </c>
      <c r="P2191" s="71" t="n">
        <v>44860.89</v>
      </c>
      <c r="Q2191" s="71" t="n">
        <v>205637.1</v>
      </c>
      <c r="R2191" t="inlineStr">
        <is>
          <t>Cardiology</t>
        </is>
      </c>
      <c r="S2191" s="70" t="n">
        <v>386</v>
      </c>
      <c r="T2191" s="71" t="n">
        <v>38859.1</v>
      </c>
      <c r="U2191" t="inlineStr">
        <is>
          <t>High</t>
        </is>
      </c>
      <c r="V2191">
        <f>IF(AND(OR(Dashboard!$C$6="All",E2191=Dashboard!$C$6),OR(Dashboard!$F$6="All",G2191=Dashboard!$F$6),OR(Dashboard!$I$6="All",H2191=Dashboard!$I$6)),1,0)</f>
        <v/>
      </c>
    </row>
    <row r="2192">
      <c r="A2192" t="inlineStr">
        <is>
          <t>PF102183</t>
        </is>
      </c>
      <c r="B2192" s="68" t="n">
        <v>45921</v>
      </c>
      <c r="C2192" s="69" t="n">
        <v>2025</v>
      </c>
      <c r="D2192" t="inlineStr">
        <is>
          <t>Sep</t>
        </is>
      </c>
      <c r="E2192" t="inlineStr">
        <is>
          <t>United States</t>
        </is>
      </c>
      <c r="F2192" t="inlineStr">
        <is>
          <t>USA</t>
        </is>
      </c>
      <c r="G2192" t="inlineStr">
        <is>
          <t>Abrysvo</t>
        </is>
      </c>
      <c r="H2192" t="inlineStr">
        <is>
          <t>Government / tender</t>
        </is>
      </c>
      <c r="I2192" t="inlineStr">
        <is>
          <t>Self-pay</t>
        </is>
      </c>
      <c r="J2192" t="inlineStr">
        <is>
          <t>Aisha Bello</t>
        </is>
      </c>
      <c r="K2192" s="70" t="n">
        <v>2643</v>
      </c>
      <c r="L2192" s="71" t="n">
        <v>490.78</v>
      </c>
      <c r="M2192" s="71" t="n">
        <v>1297131.54</v>
      </c>
      <c r="N2192" s="71" t="n">
        <v>259426.31</v>
      </c>
      <c r="O2192" s="71" t="n">
        <v>1037705.23</v>
      </c>
      <c r="P2192" s="71" t="n">
        <v>229914.72</v>
      </c>
      <c r="Q2192" s="71" t="n">
        <v>807790.51</v>
      </c>
      <c r="R2192" t="inlineStr">
        <is>
          <t>Vaccines</t>
        </is>
      </c>
      <c r="S2192" s="70" t="n">
        <v>2033</v>
      </c>
      <c r="T2192" s="71" t="n">
        <v>250775.79</v>
      </c>
      <c r="U2192" t="inlineStr">
        <is>
          <t>Low</t>
        </is>
      </c>
      <c r="V2192">
        <f>IF(AND(OR(Dashboard!$C$6="All",E2192=Dashboard!$C$6),OR(Dashboard!$F$6="All",G2192=Dashboard!$F$6),OR(Dashboard!$I$6="All",H2192=Dashboard!$I$6)),1,0)</f>
        <v/>
      </c>
    </row>
    <row r="2193">
      <c r="A2193" t="inlineStr">
        <is>
          <t>PF102184</t>
        </is>
      </c>
      <c r="B2193" s="68" t="n">
        <v>45921</v>
      </c>
      <c r="C2193" s="69" t="n">
        <v>2025</v>
      </c>
      <c r="D2193" t="inlineStr">
        <is>
          <t>Sep</t>
        </is>
      </c>
      <c r="E2193" t="inlineStr">
        <is>
          <t>United States</t>
        </is>
      </c>
      <c r="F2193" t="inlineStr">
        <is>
          <t>USA</t>
        </is>
      </c>
      <c r="G2193" t="inlineStr">
        <is>
          <t>Prevnar 20</t>
        </is>
      </c>
      <c r="H2193" t="inlineStr">
        <is>
          <t>Retail pharmacy</t>
        </is>
      </c>
      <c r="I2193" t="inlineStr">
        <is>
          <t>Private insurer</t>
        </is>
      </c>
      <c r="J2193" t="inlineStr">
        <is>
          <t>Ruhi Shaikh</t>
        </is>
      </c>
      <c r="K2193" s="70" t="n">
        <v>1502</v>
      </c>
      <c r="L2193" s="71" t="n">
        <v>348.11</v>
      </c>
      <c r="M2193" s="71" t="n">
        <v>522861.22</v>
      </c>
      <c r="N2193" s="71" t="n">
        <v>78429.17999999999</v>
      </c>
      <c r="O2193" s="71" t="n">
        <v>444432.04</v>
      </c>
      <c r="P2193" s="71" t="n">
        <v>101646.45</v>
      </c>
      <c r="Q2193" s="71" t="n">
        <v>342785.59</v>
      </c>
      <c r="R2193" t="inlineStr">
        <is>
          <t>Vaccines</t>
        </is>
      </c>
      <c r="S2193" s="70" t="n">
        <v>1460</v>
      </c>
      <c r="T2193" s="71" t="n">
        <v>94121.60000000001</v>
      </c>
      <c r="U2193" t="inlineStr">
        <is>
          <t>Low</t>
        </is>
      </c>
      <c r="V2193">
        <f>IF(AND(OR(Dashboard!$C$6="All",E2193=Dashboard!$C$6),OR(Dashboard!$F$6="All",G2193=Dashboard!$F$6),OR(Dashboard!$I$6="All",H2193=Dashboard!$I$6)),1,0)</f>
        <v/>
      </c>
    </row>
    <row r="2194">
      <c r="A2194" t="inlineStr">
        <is>
          <t>PF102185</t>
        </is>
      </c>
      <c r="B2194" s="68" t="n">
        <v>45921</v>
      </c>
      <c r="C2194" s="69" t="n">
        <v>2025</v>
      </c>
      <c r="D2194" t="inlineStr">
        <is>
          <t>Sep</t>
        </is>
      </c>
      <c r="E2194" t="inlineStr">
        <is>
          <t>United States</t>
        </is>
      </c>
      <c r="F2194" t="inlineStr">
        <is>
          <t>USA</t>
        </is>
      </c>
      <c r="G2194" t="inlineStr">
        <is>
          <t>Xeljanz</t>
        </is>
      </c>
      <c r="H2194" t="inlineStr">
        <is>
          <t>Government / tender</t>
        </is>
      </c>
      <c r="I2194" t="inlineStr">
        <is>
          <t>Private insurer</t>
        </is>
      </c>
      <c r="J2194" t="inlineStr">
        <is>
          <t>Ruhi Shaikh</t>
        </is>
      </c>
      <c r="K2194" s="70" t="n">
        <v>2899</v>
      </c>
      <c r="L2194" s="71" t="n">
        <v>2085.47</v>
      </c>
      <c r="M2194" s="71" t="n">
        <v>6045777.53</v>
      </c>
      <c r="N2194" s="71" t="n">
        <v>906866.63</v>
      </c>
      <c r="O2194" s="71" t="n">
        <v>5138910.9</v>
      </c>
      <c r="P2194" s="71" t="n">
        <v>756529.3</v>
      </c>
      <c r="Q2194" s="71" t="n">
        <v>4382381.6</v>
      </c>
      <c r="R2194" t="inlineStr">
        <is>
          <t>Inflammation</t>
        </is>
      </c>
      <c r="S2194" s="70" t="n">
        <v>2265</v>
      </c>
      <c r="T2194" s="71" t="n">
        <v>1251649.22</v>
      </c>
      <c r="U2194" t="inlineStr">
        <is>
          <t>High</t>
        </is>
      </c>
      <c r="V2194">
        <f>IF(AND(OR(Dashboard!$C$6="All",E2194=Dashboard!$C$6),OR(Dashboard!$F$6="All",G2194=Dashboard!$F$6),OR(Dashboard!$I$6="All",H2194=Dashboard!$I$6)),1,0)</f>
        <v/>
      </c>
    </row>
    <row r="2195">
      <c r="A2195" t="inlineStr">
        <is>
          <t>PF102186</t>
        </is>
      </c>
      <c r="B2195" s="68" t="n">
        <v>45921</v>
      </c>
      <c r="C2195" s="69" t="n">
        <v>2025</v>
      </c>
      <c r="D2195" t="inlineStr">
        <is>
          <t>Sep</t>
        </is>
      </c>
      <c r="E2195" t="inlineStr">
        <is>
          <t>Emerging markets</t>
        </is>
      </c>
      <c r="F2195" t="inlineStr">
        <is>
          <t>India</t>
        </is>
      </c>
      <c r="G2195" t="inlineStr">
        <is>
          <t>Paxlovid</t>
        </is>
      </c>
      <c r="H2195" t="inlineStr">
        <is>
          <t>Retail pharmacy</t>
        </is>
      </c>
      <c r="I2195" t="inlineStr">
        <is>
          <t>Self-pay</t>
        </is>
      </c>
      <c r="J2195" t="inlineStr">
        <is>
          <t>Noah Smith</t>
        </is>
      </c>
      <c r="K2195" s="70" t="n">
        <v>2161</v>
      </c>
      <c r="L2195" s="71" t="n">
        <v>1108.15</v>
      </c>
      <c r="M2195" s="71" t="n">
        <v>2394712.15</v>
      </c>
      <c r="N2195" s="71" t="n">
        <v>359206.82</v>
      </c>
      <c r="O2195" s="71" t="n">
        <v>2035505.33</v>
      </c>
      <c r="P2195" s="71" t="n">
        <v>579247.5699999999</v>
      </c>
      <c r="Q2195" s="71" t="n">
        <v>1456257.76</v>
      </c>
      <c r="R2195" t="inlineStr">
        <is>
          <t>Antiviral</t>
        </is>
      </c>
      <c r="S2195" s="70" t="n">
        <v>1964</v>
      </c>
      <c r="T2195" s="71" t="n">
        <v>490273.85</v>
      </c>
      <c r="U2195" t="inlineStr">
        <is>
          <t>Low</t>
        </is>
      </c>
      <c r="V2195">
        <f>IF(AND(OR(Dashboard!$C$6="All",E2195=Dashboard!$C$6),OR(Dashboard!$F$6="All",G2195=Dashboard!$F$6),OR(Dashboard!$I$6="All",H2195=Dashboard!$I$6)),1,0)</f>
        <v/>
      </c>
    </row>
    <row r="2196">
      <c r="A2196" t="inlineStr">
        <is>
          <t>PF102187</t>
        </is>
      </c>
      <c r="B2196" s="68" t="n">
        <v>45921</v>
      </c>
      <c r="C2196" s="69" t="n">
        <v>2025</v>
      </c>
      <c r="D2196" t="inlineStr">
        <is>
          <t>Sep</t>
        </is>
      </c>
      <c r="E2196" t="inlineStr">
        <is>
          <t>Europe</t>
        </is>
      </c>
      <c r="F2196" t="inlineStr">
        <is>
          <t>France</t>
        </is>
      </c>
      <c r="G2196" t="inlineStr">
        <is>
          <t>Prevnar 20</t>
        </is>
      </c>
      <c r="H2196" t="inlineStr">
        <is>
          <t>Retail pharmacy</t>
        </is>
      </c>
      <c r="I2196" t="inlineStr">
        <is>
          <t>Private insurer</t>
        </is>
      </c>
      <c r="J2196" t="inlineStr">
        <is>
          <t>Aisha Bello</t>
        </is>
      </c>
      <c r="K2196" s="70" t="n">
        <v>2383</v>
      </c>
      <c r="L2196" s="71" t="n">
        <v>233.31</v>
      </c>
      <c r="M2196" s="71" t="n">
        <v>555977.73</v>
      </c>
      <c r="N2196" s="71" t="n">
        <v>27798.89</v>
      </c>
      <c r="O2196" s="71" t="n">
        <v>528178.84</v>
      </c>
      <c r="P2196" s="71" t="n">
        <v>162966.45</v>
      </c>
      <c r="Q2196" s="71" t="n">
        <v>365212.39</v>
      </c>
      <c r="R2196" t="inlineStr">
        <is>
          <t>Vaccines</t>
        </is>
      </c>
      <c r="S2196" s="70" t="n">
        <v>1927</v>
      </c>
      <c r="T2196" s="71" t="n">
        <v>85121.23</v>
      </c>
      <c r="U2196" t="inlineStr">
        <is>
          <t>Low</t>
        </is>
      </c>
      <c r="V2196">
        <f>IF(AND(OR(Dashboard!$C$6="All",E2196=Dashboard!$C$6),OR(Dashboard!$F$6="All",G2196=Dashboard!$F$6),OR(Dashboard!$I$6="All",H2196=Dashboard!$I$6)),1,0)</f>
        <v/>
      </c>
    </row>
    <row r="2197">
      <c r="A2197" t="inlineStr">
        <is>
          <t>PF102188</t>
        </is>
      </c>
      <c r="B2197" s="68" t="n">
        <v>45921</v>
      </c>
      <c r="C2197" s="69" t="n">
        <v>2025</v>
      </c>
      <c r="D2197" t="inlineStr">
        <is>
          <t>Sep</t>
        </is>
      </c>
      <c r="E2197" t="inlineStr">
        <is>
          <t>Europe</t>
        </is>
      </c>
      <c r="F2197" t="inlineStr">
        <is>
          <t>Italy</t>
        </is>
      </c>
      <c r="G2197" t="inlineStr">
        <is>
          <t>Eliquis</t>
        </is>
      </c>
      <c r="H2197" t="inlineStr">
        <is>
          <t>Government / tender</t>
        </is>
      </c>
      <c r="I2197" t="inlineStr">
        <is>
          <t>Private insurer</t>
        </is>
      </c>
      <c r="J2197" t="inlineStr">
        <is>
          <t>Hiroshi Tanaka</t>
        </is>
      </c>
      <c r="K2197" s="70" t="n">
        <v>729</v>
      </c>
      <c r="L2197" s="71" t="n">
        <v>387.59</v>
      </c>
      <c r="M2197" s="71" t="n">
        <v>282553.11</v>
      </c>
      <c r="N2197" s="71" t="n">
        <v>56510.62</v>
      </c>
      <c r="O2197" s="71" t="n">
        <v>226042.49</v>
      </c>
      <c r="P2197" s="71" t="n">
        <v>54040.43</v>
      </c>
      <c r="Q2197" s="71" t="n">
        <v>172002.06</v>
      </c>
      <c r="R2197" t="inlineStr">
        <is>
          <t>Cardiology</t>
        </is>
      </c>
      <c r="S2197" s="70" t="n">
        <v>527</v>
      </c>
      <c r="T2197" s="71" t="n">
        <v>39837.97</v>
      </c>
      <c r="U2197" t="inlineStr">
        <is>
          <t>High</t>
        </is>
      </c>
      <c r="V2197">
        <f>IF(AND(OR(Dashboard!$C$6="All",E2197=Dashboard!$C$6),OR(Dashboard!$F$6="All",G2197=Dashboard!$F$6),OR(Dashboard!$I$6="All",H2197=Dashboard!$I$6)),1,0)</f>
        <v/>
      </c>
    </row>
    <row r="2198">
      <c r="A2198" t="inlineStr">
        <is>
          <t>PF102189</t>
        </is>
      </c>
      <c r="B2198" s="68" t="n">
        <v>45921</v>
      </c>
      <c r="C2198" s="69" t="n">
        <v>2025</v>
      </c>
      <c r="D2198" t="inlineStr">
        <is>
          <t>Sep</t>
        </is>
      </c>
      <c r="E2198" t="inlineStr">
        <is>
          <t>United States</t>
        </is>
      </c>
      <c r="F2198" t="inlineStr">
        <is>
          <t>USA</t>
        </is>
      </c>
      <c r="G2198" t="inlineStr">
        <is>
          <t>Eliquis</t>
        </is>
      </c>
      <c r="H2198" t="inlineStr">
        <is>
          <t>Retail pharmacy</t>
        </is>
      </c>
      <c r="I2198" t="inlineStr">
        <is>
          <t>Public payer</t>
        </is>
      </c>
      <c r="J2198" t="inlineStr">
        <is>
          <t>Lucas Martin</t>
        </is>
      </c>
      <c r="K2198" s="70" t="n">
        <v>2276</v>
      </c>
      <c r="L2198" s="71" t="n">
        <v>614.3</v>
      </c>
      <c r="M2198" s="71" t="n">
        <v>1398146.8</v>
      </c>
      <c r="N2198" s="71" t="n">
        <v>349536.7</v>
      </c>
      <c r="O2198" s="71" t="n">
        <v>1048610.1</v>
      </c>
      <c r="P2198" s="71" t="n">
        <v>176547.32</v>
      </c>
      <c r="Q2198" s="71" t="n">
        <v>872062.78</v>
      </c>
      <c r="R2198" t="inlineStr">
        <is>
          <t>Cardiology</t>
        </is>
      </c>
      <c r="S2198" s="70" t="n">
        <v>1432</v>
      </c>
      <c r="T2198" s="71" t="n">
        <v>202212.39</v>
      </c>
      <c r="U2198" t="inlineStr">
        <is>
          <t>High</t>
        </is>
      </c>
      <c r="V2198">
        <f>IF(AND(OR(Dashboard!$C$6="All",E2198=Dashboard!$C$6),OR(Dashboard!$F$6="All",G2198=Dashboard!$F$6),OR(Dashboard!$I$6="All",H2198=Dashboard!$I$6)),1,0)</f>
        <v/>
      </c>
    </row>
    <row r="2199">
      <c r="A2199" t="inlineStr">
        <is>
          <t>PF102190</t>
        </is>
      </c>
      <c r="B2199" s="68" t="n">
        <v>45921</v>
      </c>
      <c r="C2199" s="69" t="n">
        <v>2025</v>
      </c>
      <c r="D2199" t="inlineStr">
        <is>
          <t>Sep</t>
        </is>
      </c>
      <c r="E2199" t="inlineStr">
        <is>
          <t>Emerging markets</t>
        </is>
      </c>
      <c r="F2199" t="inlineStr">
        <is>
          <t>India</t>
        </is>
      </c>
      <c r="G2199" t="inlineStr">
        <is>
          <t>Paxlovid</t>
        </is>
      </c>
      <c r="H2199" t="inlineStr">
        <is>
          <t>Retail pharmacy</t>
        </is>
      </c>
      <c r="I2199" t="inlineStr">
        <is>
          <t>Public payer</t>
        </is>
      </c>
      <c r="J2199" t="inlineStr">
        <is>
          <t>Sophie Müller</t>
        </is>
      </c>
      <c r="K2199" s="70" t="n">
        <v>2955</v>
      </c>
      <c r="L2199" s="71" t="n">
        <v>1053.42</v>
      </c>
      <c r="M2199" s="71" t="n">
        <v>3112856.1</v>
      </c>
      <c r="N2199" s="71" t="n">
        <v>466928.41</v>
      </c>
      <c r="O2199" s="71" t="n">
        <v>2645927.69</v>
      </c>
      <c r="P2199" s="71" t="n">
        <v>844877.29</v>
      </c>
      <c r="Q2199" s="71" t="n">
        <v>1801050.4</v>
      </c>
      <c r="R2199" t="inlineStr">
        <is>
          <t>Antiviral</t>
        </is>
      </c>
      <c r="S2199" s="70" t="n">
        <v>2833</v>
      </c>
      <c r="T2199" s="71" t="n">
        <v>558547.77</v>
      </c>
      <c r="U2199" t="inlineStr">
        <is>
          <t>Low</t>
        </is>
      </c>
      <c r="V2199">
        <f>IF(AND(OR(Dashboard!$C$6="All",E2199=Dashboard!$C$6),OR(Dashboard!$F$6="All",G2199=Dashboard!$F$6),OR(Dashboard!$I$6="All",H2199=Dashboard!$I$6)),1,0)</f>
        <v/>
      </c>
    </row>
    <row r="2200">
      <c r="A2200" t="inlineStr">
        <is>
          <t>PF102191</t>
        </is>
      </c>
      <c r="B2200" s="68" t="n">
        <v>45921</v>
      </c>
      <c r="C2200" s="69" t="n">
        <v>2025</v>
      </c>
      <c r="D2200" t="inlineStr">
        <is>
          <t>Sep</t>
        </is>
      </c>
      <c r="E2200" t="inlineStr">
        <is>
          <t>Emerging markets</t>
        </is>
      </c>
      <c r="F2200" t="inlineStr">
        <is>
          <t>India</t>
        </is>
      </c>
      <c r="G2200" t="inlineStr">
        <is>
          <t>Eliquis</t>
        </is>
      </c>
      <c r="H2200" t="inlineStr">
        <is>
          <t>Hospital</t>
        </is>
      </c>
      <c r="I2200" t="inlineStr">
        <is>
          <t>Self-pay</t>
        </is>
      </c>
      <c r="J2200" t="inlineStr">
        <is>
          <t>Yuki Sato</t>
        </is>
      </c>
      <c r="K2200" s="70" t="n">
        <v>662</v>
      </c>
      <c r="L2200" s="71" t="n">
        <v>438.86</v>
      </c>
      <c r="M2200" s="71" t="n">
        <v>290525.32</v>
      </c>
      <c r="N2200" s="71" t="n">
        <v>58105.06</v>
      </c>
      <c r="O2200" s="71" t="n">
        <v>232420.26</v>
      </c>
      <c r="P2200" s="71" t="n">
        <v>51820.7</v>
      </c>
      <c r="Q2200" s="71" t="n">
        <v>180599.56</v>
      </c>
      <c r="R2200" t="inlineStr">
        <is>
          <t>Cardiology</t>
        </is>
      </c>
      <c r="S2200" s="70" t="n">
        <v>506</v>
      </c>
      <c r="T2200" s="71" t="n">
        <v>43876.19</v>
      </c>
      <c r="U2200" t="inlineStr">
        <is>
          <t>High</t>
        </is>
      </c>
      <c r="V2200">
        <f>IF(AND(OR(Dashboard!$C$6="All",E2200=Dashboard!$C$6),OR(Dashboard!$F$6="All",G2200=Dashboard!$F$6),OR(Dashboard!$I$6="All",H2200=Dashboard!$I$6)),1,0)</f>
        <v/>
      </c>
    </row>
    <row r="2201">
      <c r="A2201" t="inlineStr">
        <is>
          <t>PF102192</t>
        </is>
      </c>
      <c r="B2201" s="68" t="n">
        <v>45921</v>
      </c>
      <c r="C2201" s="69" t="n">
        <v>2025</v>
      </c>
      <c r="D2201" t="inlineStr">
        <is>
          <t>Sep</t>
        </is>
      </c>
      <c r="E2201" t="inlineStr">
        <is>
          <t>United States</t>
        </is>
      </c>
      <c r="F2201" t="inlineStr">
        <is>
          <t>USA</t>
        </is>
      </c>
      <c r="G2201" t="inlineStr">
        <is>
          <t>Xeljanz</t>
        </is>
      </c>
      <c r="H2201" t="inlineStr">
        <is>
          <t>Hospital</t>
        </is>
      </c>
      <c r="I2201" t="inlineStr">
        <is>
          <t>Public payer</t>
        </is>
      </c>
      <c r="J2201" t="inlineStr">
        <is>
          <t>Ravindra Patil</t>
        </is>
      </c>
      <c r="K2201" s="70" t="n">
        <v>1860</v>
      </c>
      <c r="L2201" s="71" t="n">
        <v>2308.98</v>
      </c>
      <c r="M2201" s="71" t="n">
        <v>4294702.8</v>
      </c>
      <c r="N2201" s="71" t="n">
        <v>1503145.98</v>
      </c>
      <c r="O2201" s="71" t="n">
        <v>2791556.82</v>
      </c>
      <c r="P2201" s="71" t="n">
        <v>460275.91</v>
      </c>
      <c r="Q2201" s="71" t="n">
        <v>2331280.91</v>
      </c>
      <c r="R2201" t="inlineStr">
        <is>
          <t>Inflammation</t>
        </is>
      </c>
      <c r="S2201" s="70" t="n">
        <v>1694</v>
      </c>
      <c r="T2201" s="71" t="n">
        <v>719563.83</v>
      </c>
      <c r="U2201" t="inlineStr">
        <is>
          <t>High</t>
        </is>
      </c>
      <c r="V2201">
        <f>IF(AND(OR(Dashboard!$C$6="All",E2201=Dashboard!$C$6),OR(Dashboard!$F$6="All",G2201=Dashboard!$F$6),OR(Dashboard!$I$6="All",H2201=Dashboard!$I$6)),1,0)</f>
        <v/>
      </c>
    </row>
    <row r="2202">
      <c r="A2202" t="inlineStr">
        <is>
          <t>PF102193</t>
        </is>
      </c>
      <c r="B2202" s="68" t="n">
        <v>45921</v>
      </c>
      <c r="C2202" s="69" t="n">
        <v>2025</v>
      </c>
      <c r="D2202" t="inlineStr">
        <is>
          <t>Sep</t>
        </is>
      </c>
      <c r="E2202" t="inlineStr">
        <is>
          <t>United States</t>
        </is>
      </c>
      <c r="F2202" t="inlineStr">
        <is>
          <t>USA</t>
        </is>
      </c>
      <c r="G2202" t="inlineStr">
        <is>
          <t>Eliquis</t>
        </is>
      </c>
      <c r="H2202" t="inlineStr">
        <is>
          <t>Government / tender</t>
        </is>
      </c>
      <c r="I2202" t="inlineStr">
        <is>
          <t>Private insurer</t>
        </is>
      </c>
      <c r="J2202" t="inlineStr">
        <is>
          <t>Liam O'Brien</t>
        </is>
      </c>
      <c r="K2202" s="70" t="n">
        <v>882</v>
      </c>
      <c r="L2202" s="71" t="n">
        <v>678.54</v>
      </c>
      <c r="M2202" s="71" t="n">
        <v>598472.28</v>
      </c>
      <c r="N2202" s="71" t="n">
        <v>179541.68</v>
      </c>
      <c r="O2202" s="71" t="n">
        <v>418930.6</v>
      </c>
      <c r="P2202" s="71" t="n">
        <v>66445.67</v>
      </c>
      <c r="Q2202" s="71" t="n">
        <v>352484.93</v>
      </c>
      <c r="R2202" t="inlineStr">
        <is>
          <t>Cardiology</t>
        </is>
      </c>
      <c r="S2202" s="70" t="n">
        <v>582</v>
      </c>
      <c r="T2202" s="71" t="n">
        <v>76096.61</v>
      </c>
      <c r="U2202" t="inlineStr">
        <is>
          <t>High</t>
        </is>
      </c>
      <c r="V2202">
        <f>IF(AND(OR(Dashboard!$C$6="All",E2202=Dashboard!$C$6),OR(Dashboard!$F$6="All",G2202=Dashboard!$F$6),OR(Dashboard!$I$6="All",H2202=Dashboard!$I$6)),1,0)</f>
        <v/>
      </c>
    </row>
    <row r="2203">
      <c r="A2203" t="inlineStr">
        <is>
          <t>PF102194</t>
        </is>
      </c>
      <c r="B2203" s="68" t="n">
        <v>45922</v>
      </c>
      <c r="C2203" s="69" t="n">
        <v>2025</v>
      </c>
      <c r="D2203" t="inlineStr">
        <is>
          <t>Sep</t>
        </is>
      </c>
      <c r="E2203" t="inlineStr">
        <is>
          <t>Europe</t>
        </is>
      </c>
      <c r="F2203" t="inlineStr">
        <is>
          <t>UK</t>
        </is>
      </c>
      <c r="G2203" t="inlineStr">
        <is>
          <t>Vyndaqel</t>
        </is>
      </c>
      <c r="H2203" t="inlineStr">
        <is>
          <t>Government / tender</t>
        </is>
      </c>
      <c r="I2203" t="inlineStr">
        <is>
          <t>Public payer</t>
        </is>
      </c>
      <c r="J2203" t="inlineStr">
        <is>
          <t>Ravindra Patil</t>
        </is>
      </c>
      <c r="K2203" s="70" t="n">
        <v>2333</v>
      </c>
      <c r="L2203" s="71" t="n">
        <v>5025.06</v>
      </c>
      <c r="M2203" s="71" t="n">
        <v>11723464.98</v>
      </c>
      <c r="N2203" s="71" t="n">
        <v>1172346.5</v>
      </c>
      <c r="O2203" s="71" t="n">
        <v>10551118.48</v>
      </c>
      <c r="P2203" s="71" t="n">
        <v>1489412.36</v>
      </c>
      <c r="Q2203" s="71" t="n">
        <v>9061706.119999999</v>
      </c>
      <c r="R2203" t="inlineStr">
        <is>
          <t>Rare disease</t>
        </is>
      </c>
      <c r="S2203" s="70" t="n">
        <v>1656</v>
      </c>
      <c r="T2203" s="71" t="n">
        <v>1576733.11</v>
      </c>
      <c r="U2203" t="inlineStr">
        <is>
          <t>Medium</t>
        </is>
      </c>
      <c r="V2203">
        <f>IF(AND(OR(Dashboard!$C$6="All",E2203=Dashboard!$C$6),OR(Dashboard!$F$6="All",G2203=Dashboard!$F$6),OR(Dashboard!$I$6="All",H2203=Dashboard!$I$6)),1,0)</f>
        <v/>
      </c>
    </row>
    <row r="2204">
      <c r="A2204" t="inlineStr">
        <is>
          <t>PF102195</t>
        </is>
      </c>
      <c r="B2204" s="68" t="n">
        <v>45922</v>
      </c>
      <c r="C2204" s="69" t="n">
        <v>2025</v>
      </c>
      <c r="D2204" t="inlineStr">
        <is>
          <t>Sep</t>
        </is>
      </c>
      <c r="E2204" t="inlineStr">
        <is>
          <t>United States</t>
        </is>
      </c>
      <c r="F2204" t="inlineStr">
        <is>
          <t>USA</t>
        </is>
      </c>
      <c r="G2204" t="inlineStr">
        <is>
          <t>Eliquis</t>
        </is>
      </c>
      <c r="H2204" t="inlineStr">
        <is>
          <t>Hospital</t>
        </is>
      </c>
      <c r="I2204" t="inlineStr">
        <is>
          <t>Public payer</t>
        </is>
      </c>
      <c r="J2204" t="inlineStr">
        <is>
          <t>Noah Smith</t>
        </is>
      </c>
      <c r="K2204" s="70" t="n">
        <v>2762</v>
      </c>
      <c r="L2204" s="71" t="n">
        <v>638.64</v>
      </c>
      <c r="M2204" s="71" t="n">
        <v>1763923.68</v>
      </c>
      <c r="N2204" s="71" t="n">
        <v>529177.1</v>
      </c>
      <c r="O2204" s="71" t="n">
        <v>1234746.58</v>
      </c>
      <c r="P2204" s="71" t="n">
        <v>201596.42</v>
      </c>
      <c r="Q2204" s="71" t="n">
        <v>1033150.16</v>
      </c>
      <c r="R2204" t="inlineStr">
        <is>
          <t>Cardiology</t>
        </is>
      </c>
      <c r="S2204" s="70" t="n">
        <v>2473</v>
      </c>
      <c r="T2204" s="71" t="n">
        <v>256086.59</v>
      </c>
      <c r="U2204" t="inlineStr">
        <is>
          <t>High</t>
        </is>
      </c>
      <c r="V2204">
        <f>IF(AND(OR(Dashboard!$C$6="All",E2204=Dashboard!$C$6),OR(Dashboard!$F$6="All",G2204=Dashboard!$F$6),OR(Dashboard!$I$6="All",H2204=Dashboard!$I$6)),1,0)</f>
        <v/>
      </c>
    </row>
    <row r="2205">
      <c r="A2205" t="inlineStr">
        <is>
          <t>PF102196</t>
        </is>
      </c>
      <c r="B2205" s="68" t="n">
        <v>45922</v>
      </c>
      <c r="C2205" s="69" t="n">
        <v>2025</v>
      </c>
      <c r="D2205" t="inlineStr">
        <is>
          <t>Sep</t>
        </is>
      </c>
      <c r="E2205" t="inlineStr">
        <is>
          <t>Europe</t>
        </is>
      </c>
      <c r="F2205" t="inlineStr">
        <is>
          <t>Italy</t>
        </is>
      </c>
      <c r="G2205" t="inlineStr">
        <is>
          <t>Abrysvo</t>
        </is>
      </c>
      <c r="H2205" t="inlineStr">
        <is>
          <t>Government / tender</t>
        </is>
      </c>
      <c r="I2205" t="inlineStr">
        <is>
          <t>Private insurer</t>
        </is>
      </c>
      <c r="J2205" t="inlineStr">
        <is>
          <t>Aisha Bello</t>
        </is>
      </c>
      <c r="K2205" s="70" t="n">
        <v>2542</v>
      </c>
      <c r="L2205" s="71" t="n">
        <v>260.01</v>
      </c>
      <c r="M2205" s="71" t="n">
        <v>660945.42</v>
      </c>
      <c r="N2205" s="71" t="n">
        <v>66094.53999999999</v>
      </c>
      <c r="O2205" s="71" t="n">
        <v>594850.88</v>
      </c>
      <c r="P2205" s="71" t="n">
        <v>214932.88</v>
      </c>
      <c r="Q2205" s="71" t="n">
        <v>379918</v>
      </c>
      <c r="R2205" t="inlineStr">
        <is>
          <t>Vaccines</t>
        </is>
      </c>
      <c r="S2205" s="70" t="n">
        <v>2040</v>
      </c>
      <c r="T2205" s="71" t="n">
        <v>89717.64999999999</v>
      </c>
      <c r="U2205" t="inlineStr">
        <is>
          <t>Low</t>
        </is>
      </c>
      <c r="V2205">
        <f>IF(AND(OR(Dashboard!$C$6="All",E2205=Dashboard!$C$6),OR(Dashboard!$F$6="All",G2205=Dashboard!$F$6),OR(Dashboard!$I$6="All",H2205=Dashboard!$I$6)),1,0)</f>
        <v/>
      </c>
    </row>
    <row r="2206">
      <c r="A2206" t="inlineStr">
        <is>
          <t>PF102197</t>
        </is>
      </c>
      <c r="B2206" s="68" t="n">
        <v>45922</v>
      </c>
      <c r="C2206" s="69" t="n">
        <v>2025</v>
      </c>
      <c r="D2206" t="inlineStr">
        <is>
          <t>Sep</t>
        </is>
      </c>
      <c r="E2206" t="inlineStr">
        <is>
          <t>Europe</t>
        </is>
      </c>
      <c r="F2206" t="inlineStr">
        <is>
          <t>Italy</t>
        </is>
      </c>
      <c r="G2206" t="inlineStr">
        <is>
          <t>Paxlovid</t>
        </is>
      </c>
      <c r="H2206" t="inlineStr">
        <is>
          <t>Hospital</t>
        </is>
      </c>
      <c r="I2206" t="inlineStr">
        <is>
          <t>Public payer</t>
        </is>
      </c>
      <c r="J2206" t="inlineStr">
        <is>
          <t>Omar Haddad</t>
        </is>
      </c>
      <c r="K2206" s="70" t="n">
        <v>1012</v>
      </c>
      <c r="L2206" s="71" t="n">
        <v>1184.39</v>
      </c>
      <c r="M2206" s="71" t="n">
        <v>1198602.68</v>
      </c>
      <c r="N2206" s="71" t="n">
        <v>119860.27</v>
      </c>
      <c r="O2206" s="71" t="n">
        <v>1078742.41</v>
      </c>
      <c r="P2206" s="71" t="n">
        <v>286461.7</v>
      </c>
      <c r="Q2206" s="71" t="n">
        <v>792280.71</v>
      </c>
      <c r="R2206" t="inlineStr">
        <is>
          <t>Antiviral</t>
        </is>
      </c>
      <c r="S2206" s="70" t="n">
        <v>638</v>
      </c>
      <c r="T2206" s="71" t="n">
        <v>216891.41</v>
      </c>
      <c r="U2206" t="inlineStr">
        <is>
          <t>Low</t>
        </is>
      </c>
      <c r="V2206">
        <f>IF(AND(OR(Dashboard!$C$6="All",E2206=Dashboard!$C$6),OR(Dashboard!$F$6="All",G2206=Dashboard!$F$6),OR(Dashboard!$I$6="All",H2206=Dashboard!$I$6)),1,0)</f>
        <v/>
      </c>
    </row>
    <row r="2207">
      <c r="A2207" t="inlineStr">
        <is>
          <t>PF102198</t>
        </is>
      </c>
      <c r="B2207" s="68" t="n">
        <v>45922</v>
      </c>
      <c r="C2207" s="69" t="n">
        <v>2025</v>
      </c>
      <c r="D2207" t="inlineStr">
        <is>
          <t>Sep</t>
        </is>
      </c>
      <c r="E2207" t="inlineStr">
        <is>
          <t>United States</t>
        </is>
      </c>
      <c r="F2207" t="inlineStr">
        <is>
          <t>USA</t>
        </is>
      </c>
      <c r="G2207" t="inlineStr">
        <is>
          <t>Abrysvo</t>
        </is>
      </c>
      <c r="H2207" t="inlineStr">
        <is>
          <t>Government / tender</t>
        </is>
      </c>
      <c r="I2207" t="inlineStr">
        <is>
          <t>Self-pay</t>
        </is>
      </c>
      <c r="J2207" t="inlineStr">
        <is>
          <t>Sophie Müller</t>
        </is>
      </c>
      <c r="K2207" s="70" t="n">
        <v>1192</v>
      </c>
      <c r="L2207" s="71" t="n">
        <v>491.17</v>
      </c>
      <c r="M2207" s="71" t="n">
        <v>585474.64</v>
      </c>
      <c r="N2207" s="71" t="n">
        <v>87821.2</v>
      </c>
      <c r="O2207" s="71" t="n">
        <v>497653.44</v>
      </c>
      <c r="P2207" s="71" t="n">
        <v>99986.56</v>
      </c>
      <c r="Q2207" s="71" t="n">
        <v>397666.88</v>
      </c>
      <c r="R2207" t="inlineStr">
        <is>
          <t>Vaccines</t>
        </is>
      </c>
      <c r="S2207" s="70" t="n">
        <v>1016</v>
      </c>
      <c r="T2207" s="71" t="n">
        <v>121042.75</v>
      </c>
      <c r="U2207" t="inlineStr">
        <is>
          <t>Low</t>
        </is>
      </c>
      <c r="V2207">
        <f>IF(AND(OR(Dashboard!$C$6="All",E2207=Dashboard!$C$6),OR(Dashboard!$F$6="All",G2207=Dashboard!$F$6),OR(Dashboard!$I$6="All",H2207=Dashboard!$I$6)),1,0)</f>
        <v/>
      </c>
    </row>
    <row r="2208">
      <c r="A2208" t="inlineStr">
        <is>
          <t>PF102199</t>
        </is>
      </c>
      <c r="B2208" s="68" t="n">
        <v>45922</v>
      </c>
      <c r="C2208" s="69" t="n">
        <v>2025</v>
      </c>
      <c r="D2208" t="inlineStr">
        <is>
          <t>Sep</t>
        </is>
      </c>
      <c r="E2208" t="inlineStr">
        <is>
          <t>United States</t>
        </is>
      </c>
      <c r="F2208" t="inlineStr">
        <is>
          <t>USA</t>
        </is>
      </c>
      <c r="G2208" t="inlineStr">
        <is>
          <t>Vyndaqel</t>
        </is>
      </c>
      <c r="H2208" t="inlineStr">
        <is>
          <t>Retail pharmacy</t>
        </is>
      </c>
      <c r="I2208" t="inlineStr">
        <is>
          <t>Private insurer</t>
        </is>
      </c>
      <c r="J2208" t="inlineStr">
        <is>
          <t>Shraddha Kulkarni</t>
        </is>
      </c>
      <c r="K2208" s="70" t="n">
        <v>1521</v>
      </c>
      <c r="L2208" s="71" t="n">
        <v>7667.5</v>
      </c>
      <c r="M2208" s="71" t="n">
        <v>11662267.5</v>
      </c>
      <c r="N2208" s="71" t="n">
        <v>2332453.5</v>
      </c>
      <c r="O2208" s="71" t="n">
        <v>9329814</v>
      </c>
      <c r="P2208" s="71" t="n">
        <v>914029.01</v>
      </c>
      <c r="Q2208" s="71" t="n">
        <v>8415784.99</v>
      </c>
      <c r="R2208" t="inlineStr">
        <is>
          <t>Rare disease</t>
        </is>
      </c>
      <c r="S2208" s="70" t="n">
        <v>1018</v>
      </c>
      <c r="T2208" s="71" t="n">
        <v>2063858.57</v>
      </c>
      <c r="U2208" t="inlineStr">
        <is>
          <t>Medium</t>
        </is>
      </c>
      <c r="V2208">
        <f>IF(AND(OR(Dashboard!$C$6="All",E2208=Dashboard!$C$6),OR(Dashboard!$F$6="All",G2208=Dashboard!$F$6),OR(Dashboard!$I$6="All",H2208=Dashboard!$I$6)),1,0)</f>
        <v/>
      </c>
    </row>
    <row r="2209">
      <c r="A2209" t="inlineStr">
        <is>
          <t>PF102200</t>
        </is>
      </c>
      <c r="B2209" s="68" t="n">
        <v>45922</v>
      </c>
      <c r="C2209" s="69" t="n">
        <v>2025</v>
      </c>
      <c r="D2209" t="inlineStr">
        <is>
          <t>Sep</t>
        </is>
      </c>
      <c r="E2209" t="inlineStr">
        <is>
          <t>Emerging markets</t>
        </is>
      </c>
      <c r="F2209" t="inlineStr">
        <is>
          <t>China</t>
        </is>
      </c>
      <c r="G2209" t="inlineStr">
        <is>
          <t>Prevnar 20</t>
        </is>
      </c>
      <c r="H2209" t="inlineStr">
        <is>
          <t>Hospital</t>
        </is>
      </c>
      <c r="I2209" t="inlineStr">
        <is>
          <t>Private insurer</t>
        </is>
      </c>
      <c r="J2209" t="inlineStr">
        <is>
          <t>Olivia Brown</t>
        </is>
      </c>
      <c r="K2209" s="70" t="n">
        <v>943</v>
      </c>
      <c r="L2209" s="71" t="n">
        <v>246.29</v>
      </c>
      <c r="M2209" s="71" t="n">
        <v>232251.47</v>
      </c>
      <c r="N2209" s="71" t="n">
        <v>34837.72</v>
      </c>
      <c r="O2209" s="71" t="n">
        <v>197413.75</v>
      </c>
      <c r="P2209" s="71" t="n">
        <v>65361.83</v>
      </c>
      <c r="Q2209" s="71" t="n">
        <v>132051.92</v>
      </c>
      <c r="R2209" t="inlineStr">
        <is>
          <t>Vaccines</t>
        </is>
      </c>
      <c r="S2209" s="70" t="n">
        <v>730</v>
      </c>
      <c r="T2209" s="71" t="n">
        <v>32944.42</v>
      </c>
      <c r="U2209" t="inlineStr">
        <is>
          <t>Low</t>
        </is>
      </c>
      <c r="V2209">
        <f>IF(AND(OR(Dashboard!$C$6="All",E2209=Dashboard!$C$6),OR(Dashboard!$F$6="All",G2209=Dashboard!$F$6),OR(Dashboard!$I$6="All",H2209=Dashboard!$I$6)),1,0)</f>
        <v/>
      </c>
    </row>
    <row r="2210">
      <c r="A2210" t="inlineStr">
        <is>
          <t>PF102201</t>
        </is>
      </c>
      <c r="B2210" s="68" t="n">
        <v>45922</v>
      </c>
      <c r="C2210" s="69" t="n">
        <v>2025</v>
      </c>
      <c r="D2210" t="inlineStr">
        <is>
          <t>Sep</t>
        </is>
      </c>
      <c r="E2210" t="inlineStr">
        <is>
          <t>United States</t>
        </is>
      </c>
      <c r="F2210" t="inlineStr">
        <is>
          <t>USA</t>
        </is>
      </c>
      <c r="G2210" t="inlineStr">
        <is>
          <t>Vyndaqel</t>
        </is>
      </c>
      <c r="H2210" t="inlineStr">
        <is>
          <t>Hospital</t>
        </is>
      </c>
      <c r="I2210" t="inlineStr">
        <is>
          <t>Public payer</t>
        </is>
      </c>
      <c r="J2210" t="inlineStr">
        <is>
          <t>Sara Rossi</t>
        </is>
      </c>
      <c r="K2210" s="70" t="n">
        <v>2887</v>
      </c>
      <c r="L2210" s="71" t="n">
        <v>8152.62</v>
      </c>
      <c r="M2210" s="71" t="n">
        <v>23536613.94</v>
      </c>
      <c r="N2210" s="71" t="n">
        <v>7060984.18</v>
      </c>
      <c r="O2210" s="71" t="n">
        <v>16475629.76</v>
      </c>
      <c r="P2210" s="71" t="n">
        <v>1821952.24</v>
      </c>
      <c r="Q2210" s="71" t="n">
        <v>14653677.52</v>
      </c>
      <c r="R2210" t="inlineStr">
        <is>
          <t>Rare disease</t>
        </is>
      </c>
      <c r="S2210" s="70" t="n">
        <v>1812</v>
      </c>
      <c r="T2210" s="71" t="n">
        <v>3828757.4</v>
      </c>
      <c r="U2210" t="inlineStr">
        <is>
          <t>Medium</t>
        </is>
      </c>
      <c r="V2210">
        <f>IF(AND(OR(Dashboard!$C$6="All",E2210=Dashboard!$C$6),OR(Dashboard!$F$6="All",G2210=Dashboard!$F$6),OR(Dashboard!$I$6="All",H2210=Dashboard!$I$6)),1,0)</f>
        <v/>
      </c>
    </row>
    <row r="2211">
      <c r="A2211" t="inlineStr">
        <is>
          <t>PF102202</t>
        </is>
      </c>
      <c r="B2211" s="68" t="n">
        <v>45923</v>
      </c>
      <c r="C2211" s="69" t="n">
        <v>2025</v>
      </c>
      <c r="D2211" t="inlineStr">
        <is>
          <t>Sep</t>
        </is>
      </c>
      <c r="E2211" t="inlineStr">
        <is>
          <t>International developed</t>
        </is>
      </c>
      <c r="F2211" t="inlineStr">
        <is>
          <t>Canada</t>
        </is>
      </c>
      <c r="G2211" t="inlineStr">
        <is>
          <t>Comirnaty</t>
        </is>
      </c>
      <c r="H2211" t="inlineStr">
        <is>
          <t>Hospital</t>
        </is>
      </c>
      <c r="I2211" t="inlineStr">
        <is>
          <t>Private insurer</t>
        </is>
      </c>
      <c r="J2211" t="inlineStr">
        <is>
          <t>Sophie Müller</t>
        </is>
      </c>
      <c r="K2211" s="70" t="n">
        <v>1073</v>
      </c>
      <c r="L2211" s="71" t="n">
        <v>115.89</v>
      </c>
      <c r="M2211" s="71" t="n">
        <v>124349.97</v>
      </c>
      <c r="N2211" s="71" t="n">
        <v>18652.5</v>
      </c>
      <c r="O2211" s="71" t="n">
        <v>105697.47</v>
      </c>
      <c r="P2211" s="71" t="n">
        <v>41364.28</v>
      </c>
      <c r="Q2211" s="71" t="n">
        <v>64333.19</v>
      </c>
      <c r="R2211" t="inlineStr">
        <is>
          <t>Vaccines</t>
        </is>
      </c>
      <c r="S2211" s="70" t="n">
        <v>983</v>
      </c>
      <c r="T2211" s="71" t="n">
        <v>18429.06</v>
      </c>
      <c r="U2211" t="inlineStr">
        <is>
          <t>Low</t>
        </is>
      </c>
      <c r="V2211">
        <f>IF(AND(OR(Dashboard!$C$6="All",E2211=Dashboard!$C$6),OR(Dashboard!$F$6="All",G2211=Dashboard!$F$6),OR(Dashboard!$I$6="All",H2211=Dashboard!$I$6)),1,0)</f>
        <v/>
      </c>
    </row>
    <row r="2212">
      <c r="A2212" t="inlineStr">
        <is>
          <t>PF102203</t>
        </is>
      </c>
      <c r="B2212" s="68" t="n">
        <v>45923</v>
      </c>
      <c r="C2212" s="69" t="n">
        <v>2025</v>
      </c>
      <c r="D2212" t="inlineStr">
        <is>
          <t>Sep</t>
        </is>
      </c>
      <c r="E2212" t="inlineStr">
        <is>
          <t>United States</t>
        </is>
      </c>
      <c r="F2212" t="inlineStr">
        <is>
          <t>USA</t>
        </is>
      </c>
      <c r="G2212" t="inlineStr">
        <is>
          <t>Abrysvo</t>
        </is>
      </c>
      <c r="H2212" t="inlineStr">
        <is>
          <t>Retail pharmacy</t>
        </is>
      </c>
      <c r="I2212" t="inlineStr">
        <is>
          <t>Private insurer</t>
        </is>
      </c>
      <c r="J2212" t="inlineStr">
        <is>
          <t>Ana Costa</t>
        </is>
      </c>
      <c r="K2212" s="70" t="n">
        <v>489</v>
      </c>
      <c r="L2212" s="71" t="n">
        <v>447.34</v>
      </c>
      <c r="M2212" s="71" t="n">
        <v>218749.26</v>
      </c>
      <c r="N2212" s="71" t="n">
        <v>32812.39</v>
      </c>
      <c r="O2212" s="71" t="n">
        <v>185936.87</v>
      </c>
      <c r="P2212" s="71" t="n">
        <v>41991.85</v>
      </c>
      <c r="Q2212" s="71" t="n">
        <v>143945.02</v>
      </c>
      <c r="R2212" t="inlineStr">
        <is>
          <t>Vaccines</t>
        </is>
      </c>
      <c r="S2212" s="70" t="n">
        <v>339</v>
      </c>
      <c r="T2212" s="71" t="n">
        <v>42690.55</v>
      </c>
      <c r="U2212" t="inlineStr">
        <is>
          <t>Low</t>
        </is>
      </c>
      <c r="V2212">
        <f>IF(AND(OR(Dashboard!$C$6="All",E2212=Dashboard!$C$6),OR(Dashboard!$F$6="All",G2212=Dashboard!$F$6),OR(Dashboard!$I$6="All",H2212=Dashboard!$I$6)),1,0)</f>
        <v/>
      </c>
    </row>
    <row r="2213">
      <c r="A2213" t="inlineStr">
        <is>
          <t>PF102204</t>
        </is>
      </c>
      <c r="B2213" s="68" t="n">
        <v>45923</v>
      </c>
      <c r="C2213" s="69" t="n">
        <v>2025</v>
      </c>
      <c r="D2213" t="inlineStr">
        <is>
          <t>Sep</t>
        </is>
      </c>
      <c r="E2213" t="inlineStr">
        <is>
          <t>Europe</t>
        </is>
      </c>
      <c r="F2213" t="inlineStr">
        <is>
          <t>Italy</t>
        </is>
      </c>
      <c r="G2213" t="inlineStr">
        <is>
          <t>Eliquis</t>
        </is>
      </c>
      <c r="H2213" t="inlineStr">
        <is>
          <t>Hospital</t>
        </is>
      </c>
      <c r="I2213" t="inlineStr">
        <is>
          <t>Private insurer</t>
        </is>
      </c>
      <c r="J2213" t="inlineStr">
        <is>
          <t>Liam O'Brien</t>
        </is>
      </c>
      <c r="K2213" s="70" t="n">
        <v>1668</v>
      </c>
      <c r="L2213" s="71" t="n">
        <v>396.8</v>
      </c>
      <c r="M2213" s="71" t="n">
        <v>661862.4</v>
      </c>
      <c r="N2213" s="71" t="n">
        <v>33093.12</v>
      </c>
      <c r="O2213" s="71" t="n">
        <v>628769.28</v>
      </c>
      <c r="P2213" s="71" t="n">
        <v>123330</v>
      </c>
      <c r="Q2213" s="71" t="n">
        <v>505439.28</v>
      </c>
      <c r="R2213" t="inlineStr">
        <is>
          <t>Cardiology</t>
        </is>
      </c>
      <c r="S2213" s="70" t="n">
        <v>1062</v>
      </c>
      <c r="T2213" s="71" t="n">
        <v>100597.46</v>
      </c>
      <c r="U2213" t="inlineStr">
        <is>
          <t>High</t>
        </is>
      </c>
      <c r="V2213">
        <f>IF(AND(OR(Dashboard!$C$6="All",E2213=Dashboard!$C$6),OR(Dashboard!$F$6="All",G2213=Dashboard!$F$6),OR(Dashboard!$I$6="All",H2213=Dashboard!$I$6)),1,0)</f>
        <v/>
      </c>
    </row>
    <row r="2214">
      <c r="A2214" t="inlineStr">
        <is>
          <t>PF102205</t>
        </is>
      </c>
      <c r="B2214" s="68" t="n">
        <v>45923</v>
      </c>
      <c r="C2214" s="69" t="n">
        <v>2025</v>
      </c>
      <c r="D2214" t="inlineStr">
        <is>
          <t>Sep</t>
        </is>
      </c>
      <c r="E2214" t="inlineStr">
        <is>
          <t>Europe</t>
        </is>
      </c>
      <c r="F2214" t="inlineStr">
        <is>
          <t>France</t>
        </is>
      </c>
      <c r="G2214" t="inlineStr">
        <is>
          <t>Eliquis</t>
        </is>
      </c>
      <c r="H2214" t="inlineStr">
        <is>
          <t>Hospital</t>
        </is>
      </c>
      <c r="I2214" t="inlineStr">
        <is>
          <t>Public payer</t>
        </is>
      </c>
      <c r="J2214" t="inlineStr">
        <is>
          <t>Hiroshi Tanaka</t>
        </is>
      </c>
      <c r="K2214" s="70" t="n">
        <v>1319</v>
      </c>
      <c r="L2214" s="71" t="n">
        <v>389.33</v>
      </c>
      <c r="M2214" s="71" t="n">
        <v>513526.27</v>
      </c>
      <c r="N2214" s="71" t="n">
        <v>102705.25</v>
      </c>
      <c r="O2214" s="71" t="n">
        <v>410821.02</v>
      </c>
      <c r="P2214" s="71" t="n">
        <v>102419.18</v>
      </c>
      <c r="Q2214" s="71" t="n">
        <v>308401.84</v>
      </c>
      <c r="R2214" t="inlineStr">
        <is>
          <t>Cardiology</t>
        </is>
      </c>
      <c r="S2214" s="70" t="n">
        <v>1174</v>
      </c>
      <c r="T2214" s="71" t="n">
        <v>65236.33</v>
      </c>
      <c r="U2214" t="inlineStr">
        <is>
          <t>High</t>
        </is>
      </c>
      <c r="V2214">
        <f>IF(AND(OR(Dashboard!$C$6="All",E2214=Dashboard!$C$6),OR(Dashboard!$F$6="All",G2214=Dashboard!$F$6),OR(Dashboard!$I$6="All",H2214=Dashboard!$I$6)),1,0)</f>
        <v/>
      </c>
    </row>
    <row r="2215">
      <c r="A2215" t="inlineStr">
        <is>
          <t>PF102206</t>
        </is>
      </c>
      <c r="B2215" s="68" t="n">
        <v>45923</v>
      </c>
      <c r="C2215" s="69" t="n">
        <v>2025</v>
      </c>
      <c r="D2215" t="inlineStr">
        <is>
          <t>Sep</t>
        </is>
      </c>
      <c r="E2215" t="inlineStr">
        <is>
          <t>Europe</t>
        </is>
      </c>
      <c r="F2215" t="inlineStr">
        <is>
          <t>France</t>
        </is>
      </c>
      <c r="G2215" t="inlineStr">
        <is>
          <t>Eliquis</t>
        </is>
      </c>
      <c r="H2215" t="inlineStr">
        <is>
          <t>Hospital</t>
        </is>
      </c>
      <c r="I2215" t="inlineStr">
        <is>
          <t>Private insurer</t>
        </is>
      </c>
      <c r="J2215" t="inlineStr">
        <is>
          <t>Shraddha Kulkarni</t>
        </is>
      </c>
      <c r="K2215" s="70" t="n">
        <v>1595</v>
      </c>
      <c r="L2215" s="71" t="n">
        <v>459.58</v>
      </c>
      <c r="M2215" s="71" t="n">
        <v>733030.1</v>
      </c>
      <c r="N2215" s="71" t="n">
        <v>146606.02</v>
      </c>
      <c r="O2215" s="71" t="n">
        <v>586424.08</v>
      </c>
      <c r="P2215" s="71" t="n">
        <v>119842.9</v>
      </c>
      <c r="Q2215" s="71" t="n">
        <v>466581.18</v>
      </c>
      <c r="R2215" t="inlineStr">
        <is>
          <t>Cardiology</t>
        </is>
      </c>
      <c r="S2215" s="70" t="n">
        <v>1008</v>
      </c>
      <c r="T2215" s="71" t="n">
        <v>115006.54</v>
      </c>
      <c r="U2215" t="inlineStr">
        <is>
          <t>High</t>
        </is>
      </c>
      <c r="V2215">
        <f>IF(AND(OR(Dashboard!$C$6="All",E2215=Dashboard!$C$6),OR(Dashboard!$F$6="All",G2215=Dashboard!$F$6),OR(Dashboard!$I$6="All",H2215=Dashboard!$I$6)),1,0)</f>
        <v/>
      </c>
    </row>
    <row r="2216">
      <c r="A2216" t="inlineStr">
        <is>
          <t>PF102207</t>
        </is>
      </c>
      <c r="B2216" s="68" t="n">
        <v>45923</v>
      </c>
      <c r="C2216" s="69" t="n">
        <v>2025</v>
      </c>
      <c r="D2216" t="inlineStr">
        <is>
          <t>Sep</t>
        </is>
      </c>
      <c r="E2216" t="inlineStr">
        <is>
          <t>Europe</t>
        </is>
      </c>
      <c r="F2216" t="inlineStr">
        <is>
          <t>Germany</t>
        </is>
      </c>
      <c r="G2216" t="inlineStr">
        <is>
          <t>Abrysvo</t>
        </is>
      </c>
      <c r="H2216" t="inlineStr">
        <is>
          <t>Retail pharmacy</t>
        </is>
      </c>
      <c r="I2216" t="inlineStr">
        <is>
          <t>Private insurer</t>
        </is>
      </c>
      <c r="J2216" t="inlineStr">
        <is>
          <t>Sophie Müller</t>
        </is>
      </c>
      <c r="K2216" s="70" t="n">
        <v>2004</v>
      </c>
      <c r="L2216" s="71" t="n">
        <v>278.79</v>
      </c>
      <c r="M2216" s="71" t="n">
        <v>558695.16</v>
      </c>
      <c r="N2216" s="71" t="n">
        <v>27934.76</v>
      </c>
      <c r="O2216" s="71" t="n">
        <v>530760.4</v>
      </c>
      <c r="P2216" s="71" t="n">
        <v>172670.99</v>
      </c>
      <c r="Q2216" s="71" t="n">
        <v>358089.41</v>
      </c>
      <c r="R2216" t="inlineStr">
        <is>
          <t>Vaccines</t>
        </is>
      </c>
      <c r="S2216" s="70" t="n">
        <v>1256</v>
      </c>
      <c r="T2216" s="71" t="n">
        <v>108942.75</v>
      </c>
      <c r="U2216" t="inlineStr">
        <is>
          <t>Low</t>
        </is>
      </c>
      <c r="V2216">
        <f>IF(AND(OR(Dashboard!$C$6="All",E2216=Dashboard!$C$6),OR(Dashboard!$F$6="All",G2216=Dashboard!$F$6),OR(Dashboard!$I$6="All",H2216=Dashboard!$I$6)),1,0)</f>
        <v/>
      </c>
    </row>
    <row r="2217">
      <c r="A2217" t="inlineStr">
        <is>
          <t>PF102208</t>
        </is>
      </c>
      <c r="B2217" s="68" t="n">
        <v>45924</v>
      </c>
      <c r="C2217" s="69" t="n">
        <v>2025</v>
      </c>
      <c r="D2217" t="inlineStr">
        <is>
          <t>Sep</t>
        </is>
      </c>
      <c r="E2217" t="inlineStr">
        <is>
          <t>United States</t>
        </is>
      </c>
      <c r="F2217" t="inlineStr">
        <is>
          <t>USA</t>
        </is>
      </c>
      <c r="G2217" t="inlineStr">
        <is>
          <t>Paxlovid</t>
        </is>
      </c>
      <c r="H2217" t="inlineStr">
        <is>
          <t>Hospital</t>
        </is>
      </c>
      <c r="I2217" t="inlineStr">
        <is>
          <t>Public payer</t>
        </is>
      </c>
      <c r="J2217" t="inlineStr">
        <is>
          <t>Aisha Bello</t>
        </is>
      </c>
      <c r="K2217" s="70" t="n">
        <v>179</v>
      </c>
      <c r="L2217" s="71" t="n">
        <v>1642.75</v>
      </c>
      <c r="M2217" s="71" t="n">
        <v>294052.25</v>
      </c>
      <c r="N2217" s="71" t="n">
        <v>58810.45</v>
      </c>
      <c r="O2217" s="71" t="n">
        <v>235241.8</v>
      </c>
      <c r="P2217" s="71" t="n">
        <v>48091.69</v>
      </c>
      <c r="Q2217" s="71" t="n">
        <v>187150.11</v>
      </c>
      <c r="R2217" t="inlineStr">
        <is>
          <t>Antiviral</t>
        </is>
      </c>
      <c r="S2217" s="70" t="n">
        <v>126</v>
      </c>
      <c r="T2217" s="71" t="n">
        <v>38973.19</v>
      </c>
      <c r="U2217" t="inlineStr">
        <is>
          <t>Low</t>
        </is>
      </c>
      <c r="V2217">
        <f>IF(AND(OR(Dashboard!$C$6="All",E2217=Dashboard!$C$6),OR(Dashboard!$F$6="All",G2217=Dashboard!$F$6),OR(Dashboard!$I$6="All",H2217=Dashboard!$I$6)),1,0)</f>
        <v/>
      </c>
    </row>
    <row r="2218">
      <c r="A2218" t="inlineStr">
        <is>
          <t>PF102209</t>
        </is>
      </c>
      <c r="B2218" s="68" t="n">
        <v>45924</v>
      </c>
      <c r="C2218" s="69" t="n">
        <v>2025</v>
      </c>
      <c r="D2218" t="inlineStr">
        <is>
          <t>Sep</t>
        </is>
      </c>
      <c r="E2218" t="inlineStr">
        <is>
          <t>Europe</t>
        </is>
      </c>
      <c r="F2218" t="inlineStr">
        <is>
          <t>Spain</t>
        </is>
      </c>
      <c r="G2218" t="inlineStr">
        <is>
          <t>Abrysvo</t>
        </is>
      </c>
      <c r="H2218" t="inlineStr">
        <is>
          <t>Government / tender</t>
        </is>
      </c>
      <c r="I2218" t="inlineStr">
        <is>
          <t>Private insurer</t>
        </is>
      </c>
      <c r="J2218" t="inlineStr">
        <is>
          <t>Noah Smith</t>
        </is>
      </c>
      <c r="K2218" s="70" t="n">
        <v>675</v>
      </c>
      <c r="L2218" s="71" t="n">
        <v>293.38</v>
      </c>
      <c r="M2218" s="71" t="n">
        <v>198031.5</v>
      </c>
      <c r="N2218" s="71" t="n">
        <v>49507.88</v>
      </c>
      <c r="O2218" s="71" t="n">
        <v>148523.62</v>
      </c>
      <c r="P2218" s="71" t="n">
        <v>58114.83</v>
      </c>
      <c r="Q2218" s="71" t="n">
        <v>90408.78999999999</v>
      </c>
      <c r="R2218" t="inlineStr">
        <is>
          <t>Vaccines</t>
        </is>
      </c>
      <c r="S2218" s="70" t="n">
        <v>576</v>
      </c>
      <c r="T2218" s="71" t="n">
        <v>35500.95</v>
      </c>
      <c r="U2218" t="inlineStr">
        <is>
          <t>Low</t>
        </is>
      </c>
      <c r="V2218">
        <f>IF(AND(OR(Dashboard!$C$6="All",E2218=Dashboard!$C$6),OR(Dashboard!$F$6="All",G2218=Dashboard!$F$6),OR(Dashboard!$I$6="All",H2218=Dashboard!$I$6)),1,0)</f>
        <v/>
      </c>
    </row>
    <row r="2219">
      <c r="A2219" t="inlineStr">
        <is>
          <t>PF102210</t>
        </is>
      </c>
      <c r="B2219" s="68" t="n">
        <v>45924</v>
      </c>
      <c r="C2219" s="69" t="n">
        <v>2025</v>
      </c>
      <c r="D2219" t="inlineStr">
        <is>
          <t>Sep</t>
        </is>
      </c>
      <c r="E2219" t="inlineStr">
        <is>
          <t>Emerging markets</t>
        </is>
      </c>
      <c r="F2219" t="inlineStr">
        <is>
          <t>Brazil</t>
        </is>
      </c>
      <c r="G2219" t="inlineStr">
        <is>
          <t>Vyndaqel</t>
        </is>
      </c>
      <c r="H2219" t="inlineStr">
        <is>
          <t>Hospital</t>
        </is>
      </c>
      <c r="I2219" t="inlineStr">
        <is>
          <t>Private insurer</t>
        </is>
      </c>
      <c r="J2219" t="inlineStr">
        <is>
          <t>Noah Smith</t>
        </is>
      </c>
      <c r="K2219" s="70" t="n">
        <v>512</v>
      </c>
      <c r="L2219" s="71" t="n">
        <v>5217.66</v>
      </c>
      <c r="M2219" s="71" t="n">
        <v>2671441.92</v>
      </c>
      <c r="N2219" s="71" t="n">
        <v>400716.29</v>
      </c>
      <c r="O2219" s="71" t="n">
        <v>2270725.63</v>
      </c>
      <c r="P2219" s="71" t="n">
        <v>313058.82</v>
      </c>
      <c r="Q2219" s="71" t="n">
        <v>1957666.81</v>
      </c>
      <c r="R2219" t="inlineStr">
        <is>
          <t>Rare disease</t>
        </is>
      </c>
      <c r="S2219" s="70" t="n">
        <v>442</v>
      </c>
      <c r="T2219" s="71" t="n">
        <v>338959.2</v>
      </c>
      <c r="U2219" t="inlineStr">
        <is>
          <t>Medium</t>
        </is>
      </c>
      <c r="V2219">
        <f>IF(AND(OR(Dashboard!$C$6="All",E2219=Dashboard!$C$6),OR(Dashboard!$F$6="All",G2219=Dashboard!$F$6),OR(Dashboard!$I$6="All",H2219=Dashboard!$I$6)),1,0)</f>
        <v/>
      </c>
    </row>
    <row r="2220">
      <c r="A2220" t="inlineStr">
        <is>
          <t>PF102211</t>
        </is>
      </c>
      <c r="B2220" s="68" t="n">
        <v>45924</v>
      </c>
      <c r="C2220" s="69" t="n">
        <v>2025</v>
      </c>
      <c r="D2220" t="inlineStr">
        <is>
          <t>Sep</t>
        </is>
      </c>
      <c r="E2220" t="inlineStr">
        <is>
          <t>Emerging markets</t>
        </is>
      </c>
      <c r="F2220" t="inlineStr">
        <is>
          <t>India</t>
        </is>
      </c>
      <c r="G2220" t="inlineStr">
        <is>
          <t>Vyndaqel</t>
        </is>
      </c>
      <c r="H2220" t="inlineStr">
        <is>
          <t>Government / tender</t>
        </is>
      </c>
      <c r="I2220" t="inlineStr">
        <is>
          <t>Self-pay</t>
        </is>
      </c>
      <c r="J2220" t="inlineStr">
        <is>
          <t>Carlos Silva</t>
        </is>
      </c>
      <c r="K2220" s="70" t="n">
        <v>2508</v>
      </c>
      <c r="L2220" s="71" t="n">
        <v>5208.76</v>
      </c>
      <c r="M2220" s="71" t="n">
        <v>13063570.08</v>
      </c>
      <c r="N2220" s="71" t="n">
        <v>2612714.02</v>
      </c>
      <c r="O2220" s="71" t="n">
        <v>10450856.06</v>
      </c>
      <c r="P2220" s="71" t="n">
        <v>1618988.65</v>
      </c>
      <c r="Q2220" s="71" t="n">
        <v>8831867.41</v>
      </c>
      <c r="R2220" t="inlineStr">
        <is>
          <t>Rare disease</t>
        </is>
      </c>
      <c r="S2220" s="70" t="n">
        <v>1889</v>
      </c>
      <c r="T2220" s="71" t="n">
        <v>2117265.74</v>
      </c>
      <c r="U2220" t="inlineStr">
        <is>
          <t>Medium</t>
        </is>
      </c>
      <c r="V2220">
        <f>IF(AND(OR(Dashboard!$C$6="All",E2220=Dashboard!$C$6),OR(Dashboard!$F$6="All",G2220=Dashboard!$F$6),OR(Dashboard!$I$6="All",H2220=Dashboard!$I$6)),1,0)</f>
        <v/>
      </c>
    </row>
    <row r="2221">
      <c r="A2221" t="inlineStr">
        <is>
          <t>PF102212</t>
        </is>
      </c>
      <c r="B2221" s="68" t="n">
        <v>45924</v>
      </c>
      <c r="C2221" s="69" t="n">
        <v>2025</v>
      </c>
      <c r="D2221" t="inlineStr">
        <is>
          <t>Sep</t>
        </is>
      </c>
      <c r="E2221" t="inlineStr">
        <is>
          <t>International developed</t>
        </is>
      </c>
      <c r="F2221" t="inlineStr">
        <is>
          <t>Japan</t>
        </is>
      </c>
      <c r="G2221" t="inlineStr">
        <is>
          <t>Comirnaty</t>
        </is>
      </c>
      <c r="H2221" t="inlineStr">
        <is>
          <t>Retail pharmacy</t>
        </is>
      </c>
      <c r="I2221" t="inlineStr">
        <is>
          <t>Public payer</t>
        </is>
      </c>
      <c r="J2221" t="inlineStr">
        <is>
          <t>Yuki Sato</t>
        </is>
      </c>
      <c r="K2221" s="70" t="n">
        <v>354</v>
      </c>
      <c r="L2221" s="71" t="n">
        <v>113.72</v>
      </c>
      <c r="M2221" s="71" t="n">
        <v>40256.88</v>
      </c>
      <c r="N2221" s="71" t="n">
        <v>10064.22</v>
      </c>
      <c r="O2221" s="71" t="n">
        <v>30192.66</v>
      </c>
      <c r="P2221" s="71" t="n">
        <v>13739.98</v>
      </c>
      <c r="Q2221" s="71" t="n">
        <v>16452.68</v>
      </c>
      <c r="R2221" t="inlineStr">
        <is>
          <t>Vaccines</t>
        </is>
      </c>
      <c r="S2221" s="70" t="n">
        <v>288</v>
      </c>
      <c r="T2221" s="71" t="n">
        <v>7511.63</v>
      </c>
      <c r="U2221" t="inlineStr">
        <is>
          <t>Low</t>
        </is>
      </c>
      <c r="V2221">
        <f>IF(AND(OR(Dashboard!$C$6="All",E2221=Dashboard!$C$6),OR(Dashboard!$F$6="All",G2221=Dashboard!$F$6),OR(Dashboard!$I$6="All",H2221=Dashboard!$I$6)),1,0)</f>
        <v/>
      </c>
    </row>
    <row r="2222">
      <c r="A2222" t="inlineStr">
        <is>
          <t>PF102213</t>
        </is>
      </c>
      <c r="B2222" s="68" t="n">
        <v>45924</v>
      </c>
      <c r="C2222" s="69" t="n">
        <v>2025</v>
      </c>
      <c r="D2222" t="inlineStr">
        <is>
          <t>Sep</t>
        </is>
      </c>
      <c r="E2222" t="inlineStr">
        <is>
          <t>Emerging markets</t>
        </is>
      </c>
      <c r="F2222" t="inlineStr">
        <is>
          <t>Brazil</t>
        </is>
      </c>
      <c r="G2222" t="inlineStr">
        <is>
          <t>Eliquis</t>
        </is>
      </c>
      <c r="H2222" t="inlineStr">
        <is>
          <t>Retail pharmacy</t>
        </is>
      </c>
      <c r="I2222" t="inlineStr">
        <is>
          <t>Private insurer</t>
        </is>
      </c>
      <c r="J2222" t="inlineStr">
        <is>
          <t>Liam O'Brien</t>
        </is>
      </c>
      <c r="K2222" s="70" t="n">
        <v>1005</v>
      </c>
      <c r="L2222" s="71" t="n">
        <v>385.97</v>
      </c>
      <c r="M2222" s="71" t="n">
        <v>387899.85</v>
      </c>
      <c r="N2222" s="71" t="n">
        <v>38789.99</v>
      </c>
      <c r="O2222" s="71" t="n">
        <v>349109.86</v>
      </c>
      <c r="P2222" s="71" t="n">
        <v>75695.89</v>
      </c>
      <c r="Q2222" s="71" t="n">
        <v>273413.97</v>
      </c>
      <c r="R2222" t="inlineStr">
        <is>
          <t>Cardiology</t>
        </is>
      </c>
      <c r="S2222" s="70" t="n">
        <v>888</v>
      </c>
      <c r="T2222" s="71" t="n">
        <v>67404.62</v>
      </c>
      <c r="U2222" t="inlineStr">
        <is>
          <t>High</t>
        </is>
      </c>
      <c r="V2222">
        <f>IF(AND(OR(Dashboard!$C$6="All",E2222=Dashboard!$C$6),OR(Dashboard!$F$6="All",G2222=Dashboard!$F$6),OR(Dashboard!$I$6="All",H2222=Dashboard!$I$6)),1,0)</f>
        <v/>
      </c>
    </row>
    <row r="2223">
      <c r="A2223" t="inlineStr">
        <is>
          <t>PF102214</t>
        </is>
      </c>
      <c r="B2223" s="68" t="n">
        <v>45924</v>
      </c>
      <c r="C2223" s="69" t="n">
        <v>2025</v>
      </c>
      <c r="D2223" t="inlineStr">
        <is>
          <t>Sep</t>
        </is>
      </c>
      <c r="E2223" t="inlineStr">
        <is>
          <t>United States</t>
        </is>
      </c>
      <c r="F2223" t="inlineStr">
        <is>
          <t>USA</t>
        </is>
      </c>
      <c r="G2223" t="inlineStr">
        <is>
          <t>Xeljanz</t>
        </is>
      </c>
      <c r="H2223" t="inlineStr">
        <is>
          <t>Retail pharmacy</t>
        </is>
      </c>
      <c r="I2223" t="inlineStr">
        <is>
          <t>Public payer</t>
        </is>
      </c>
      <c r="J2223" t="inlineStr">
        <is>
          <t>Lucas Martin</t>
        </is>
      </c>
      <c r="K2223" s="70" t="n">
        <v>793</v>
      </c>
      <c r="L2223" s="71" t="n">
        <v>2348.66</v>
      </c>
      <c r="M2223" s="71" t="n">
        <v>1862487.38</v>
      </c>
      <c r="N2223" s="71" t="n">
        <v>279373.11</v>
      </c>
      <c r="O2223" s="71" t="n">
        <v>1583114.27</v>
      </c>
      <c r="P2223" s="71" t="n">
        <v>193252.43</v>
      </c>
      <c r="Q2223" s="71" t="n">
        <v>1389861.84</v>
      </c>
      <c r="R2223" t="inlineStr">
        <is>
          <t>Inflammation</t>
        </is>
      </c>
      <c r="S2223" s="70" t="n">
        <v>637</v>
      </c>
      <c r="T2223" s="71" t="n">
        <v>405643.14</v>
      </c>
      <c r="U2223" t="inlineStr">
        <is>
          <t>High</t>
        </is>
      </c>
      <c r="V2223">
        <f>IF(AND(OR(Dashboard!$C$6="All",E2223=Dashboard!$C$6),OR(Dashboard!$F$6="All",G2223=Dashboard!$F$6),OR(Dashboard!$I$6="All",H2223=Dashboard!$I$6)),1,0)</f>
        <v/>
      </c>
    </row>
    <row r="2224">
      <c r="A2224" t="inlineStr">
        <is>
          <t>PF102215</t>
        </is>
      </c>
      <c r="B2224" s="68" t="n">
        <v>45924</v>
      </c>
      <c r="C2224" s="69" t="n">
        <v>2025</v>
      </c>
      <c r="D2224" t="inlineStr">
        <is>
          <t>Sep</t>
        </is>
      </c>
      <c r="E2224" t="inlineStr">
        <is>
          <t>United States</t>
        </is>
      </c>
      <c r="F2224" t="inlineStr">
        <is>
          <t>USA</t>
        </is>
      </c>
      <c r="G2224" t="inlineStr">
        <is>
          <t>Ibrance</t>
        </is>
      </c>
      <c r="H2224" t="inlineStr">
        <is>
          <t>Retail pharmacy</t>
        </is>
      </c>
      <c r="I2224" t="inlineStr">
        <is>
          <t>Private insurer</t>
        </is>
      </c>
      <c r="J2224" t="inlineStr">
        <is>
          <t>Omar Haddad</t>
        </is>
      </c>
      <c r="K2224" s="70" t="n">
        <v>2131</v>
      </c>
      <c r="L2224" s="71" t="n">
        <v>4781.34</v>
      </c>
      <c r="M2224" s="71" t="n">
        <v>10189035.54</v>
      </c>
      <c r="N2224" s="71" t="n">
        <v>2547258.88</v>
      </c>
      <c r="O2224" s="71" t="n">
        <v>7641776.66</v>
      </c>
      <c r="P2224" s="71" t="n">
        <v>961134.5</v>
      </c>
      <c r="Q2224" s="71" t="n">
        <v>6680642.16</v>
      </c>
      <c r="R2224" t="inlineStr">
        <is>
          <t>Oncology</t>
        </is>
      </c>
      <c r="S2224" s="70" t="n">
        <v>1422</v>
      </c>
      <c r="T2224" s="71" t="n">
        <v>1513917.58</v>
      </c>
      <c r="U2224" t="inlineStr">
        <is>
          <t>High</t>
        </is>
      </c>
      <c r="V2224">
        <f>IF(AND(OR(Dashboard!$C$6="All",E2224=Dashboard!$C$6),OR(Dashboard!$F$6="All",G2224=Dashboard!$F$6),OR(Dashboard!$I$6="All",H2224=Dashboard!$I$6)),1,0)</f>
        <v/>
      </c>
    </row>
    <row r="2225">
      <c r="A2225" t="inlineStr">
        <is>
          <t>PF102216</t>
        </is>
      </c>
      <c r="B2225" s="68" t="n">
        <v>45925</v>
      </c>
      <c r="C2225" s="69" t="n">
        <v>2025</v>
      </c>
      <c r="D2225" t="inlineStr">
        <is>
          <t>Sep</t>
        </is>
      </c>
      <c r="E2225" t="inlineStr">
        <is>
          <t>Europe</t>
        </is>
      </c>
      <c r="F2225" t="inlineStr">
        <is>
          <t>Spain</t>
        </is>
      </c>
      <c r="G2225" t="inlineStr">
        <is>
          <t>Eliquis</t>
        </is>
      </c>
      <c r="H2225" t="inlineStr">
        <is>
          <t>Retail pharmacy</t>
        </is>
      </c>
      <c r="I2225" t="inlineStr">
        <is>
          <t>Private insurer</t>
        </is>
      </c>
      <c r="J2225" t="inlineStr">
        <is>
          <t>Noah Smith</t>
        </is>
      </c>
      <c r="K2225" s="70" t="n">
        <v>1164</v>
      </c>
      <c r="L2225" s="71" t="n">
        <v>407.56</v>
      </c>
      <c r="M2225" s="71" t="n">
        <v>474399.84</v>
      </c>
      <c r="N2225" s="71" t="n">
        <v>94879.97</v>
      </c>
      <c r="O2225" s="71" t="n">
        <v>379519.87</v>
      </c>
      <c r="P2225" s="71" t="n">
        <v>90580.32000000001</v>
      </c>
      <c r="Q2225" s="71" t="n">
        <v>288939.55</v>
      </c>
      <c r="R2225" t="inlineStr">
        <is>
          <t>Cardiology</t>
        </is>
      </c>
      <c r="S2225" s="70" t="n">
        <v>865</v>
      </c>
      <c r="T2225" s="71" t="n">
        <v>74818.25999999999</v>
      </c>
      <c r="U2225" t="inlineStr">
        <is>
          <t>High</t>
        </is>
      </c>
      <c r="V2225">
        <f>IF(AND(OR(Dashboard!$C$6="All",E2225=Dashboard!$C$6),OR(Dashboard!$F$6="All",G2225=Dashboard!$F$6),OR(Dashboard!$I$6="All",H2225=Dashboard!$I$6)),1,0)</f>
        <v/>
      </c>
    </row>
    <row r="2226">
      <c r="A2226" t="inlineStr">
        <is>
          <t>PF102217</t>
        </is>
      </c>
      <c r="B2226" s="68" t="n">
        <v>45925</v>
      </c>
      <c r="C2226" s="69" t="n">
        <v>2025</v>
      </c>
      <c r="D2226" t="inlineStr">
        <is>
          <t>Sep</t>
        </is>
      </c>
      <c r="E2226" t="inlineStr">
        <is>
          <t>United States</t>
        </is>
      </c>
      <c r="F2226" t="inlineStr">
        <is>
          <t>USA</t>
        </is>
      </c>
      <c r="G2226" t="inlineStr">
        <is>
          <t>Ibrance</t>
        </is>
      </c>
      <c r="H2226" t="inlineStr">
        <is>
          <t>Hospital</t>
        </is>
      </c>
      <c r="I2226" t="inlineStr">
        <is>
          <t>Private insurer</t>
        </is>
      </c>
      <c r="J2226" t="inlineStr">
        <is>
          <t>Wei Chen</t>
        </is>
      </c>
      <c r="K2226" s="70" t="n">
        <v>787</v>
      </c>
      <c r="L2226" s="71" t="n">
        <v>4999.12</v>
      </c>
      <c r="M2226" s="71" t="n">
        <v>3934307.44</v>
      </c>
      <c r="N2226" s="71" t="n">
        <v>786861.49</v>
      </c>
      <c r="O2226" s="71" t="n">
        <v>3147445.95</v>
      </c>
      <c r="P2226" s="71" t="n">
        <v>353752.66</v>
      </c>
      <c r="Q2226" s="71" t="n">
        <v>2793693.29</v>
      </c>
      <c r="R2226" t="inlineStr">
        <is>
          <t>Oncology</t>
        </is>
      </c>
      <c r="S2226" s="70" t="n">
        <v>512</v>
      </c>
      <c r="T2226" s="71" t="n">
        <v>805124.92</v>
      </c>
      <c r="U2226" t="inlineStr">
        <is>
          <t>High</t>
        </is>
      </c>
      <c r="V2226">
        <f>IF(AND(OR(Dashboard!$C$6="All",E2226=Dashboard!$C$6),OR(Dashboard!$F$6="All",G2226=Dashboard!$F$6),OR(Dashboard!$I$6="All",H2226=Dashboard!$I$6)),1,0)</f>
        <v/>
      </c>
    </row>
    <row r="2227">
      <c r="A2227" t="inlineStr">
        <is>
          <t>PF102218</t>
        </is>
      </c>
      <c r="B2227" s="68" t="n">
        <v>45925</v>
      </c>
      <c r="C2227" s="69" t="n">
        <v>2025</v>
      </c>
      <c r="D2227" t="inlineStr">
        <is>
          <t>Sep</t>
        </is>
      </c>
      <c r="E2227" t="inlineStr">
        <is>
          <t>United States</t>
        </is>
      </c>
      <c r="F2227" t="inlineStr">
        <is>
          <t>USA</t>
        </is>
      </c>
      <c r="G2227" t="inlineStr">
        <is>
          <t>Prevnar 20</t>
        </is>
      </c>
      <c r="H2227" t="inlineStr">
        <is>
          <t>Retail pharmacy</t>
        </is>
      </c>
      <c r="I2227" t="inlineStr">
        <is>
          <t>Private insurer</t>
        </is>
      </c>
      <c r="J2227" t="inlineStr">
        <is>
          <t>Emma Clarke</t>
        </is>
      </c>
      <c r="K2227" s="70" t="n">
        <v>2046</v>
      </c>
      <c r="L2227" s="71" t="n">
        <v>384</v>
      </c>
      <c r="M2227" s="71" t="n">
        <v>785664</v>
      </c>
      <c r="N2227" s="71" t="n">
        <v>157132.8</v>
      </c>
      <c r="O2227" s="71" t="n">
        <v>628531.2</v>
      </c>
      <c r="P2227" s="71" t="n">
        <v>143838.44</v>
      </c>
      <c r="Q2227" s="71" t="n">
        <v>484692.76</v>
      </c>
      <c r="R2227" t="inlineStr">
        <is>
          <t>Vaccines</t>
        </is>
      </c>
      <c r="S2227" s="70" t="n">
        <v>1700</v>
      </c>
      <c r="T2227" s="71" t="n">
        <v>140415.31</v>
      </c>
      <c r="U2227" t="inlineStr">
        <is>
          <t>Low</t>
        </is>
      </c>
      <c r="V2227">
        <f>IF(AND(OR(Dashboard!$C$6="All",E2227=Dashboard!$C$6),OR(Dashboard!$F$6="All",G2227=Dashboard!$F$6),OR(Dashboard!$I$6="All",H2227=Dashboard!$I$6)),1,0)</f>
        <v/>
      </c>
    </row>
    <row r="2228">
      <c r="A2228" t="inlineStr">
        <is>
          <t>PF102219</t>
        </is>
      </c>
      <c r="B2228" s="68" t="n">
        <v>45925</v>
      </c>
      <c r="C2228" s="69" t="n">
        <v>2025</v>
      </c>
      <c r="D2228" t="inlineStr">
        <is>
          <t>Sep</t>
        </is>
      </c>
      <c r="E2228" t="inlineStr">
        <is>
          <t>Europe</t>
        </is>
      </c>
      <c r="F2228" t="inlineStr">
        <is>
          <t>Germany</t>
        </is>
      </c>
      <c r="G2228" t="inlineStr">
        <is>
          <t>Comirnaty</t>
        </is>
      </c>
      <c r="H2228" t="inlineStr">
        <is>
          <t>Retail pharmacy</t>
        </is>
      </c>
      <c r="I2228" t="inlineStr">
        <is>
          <t>Private insurer</t>
        </is>
      </c>
      <c r="J2228" t="inlineStr">
        <is>
          <t>Ana Costa</t>
        </is>
      </c>
      <c r="K2228" s="70" t="n">
        <v>2776</v>
      </c>
      <c r="L2228" s="71" t="n">
        <v>109.23</v>
      </c>
      <c r="M2228" s="71" t="n">
        <v>303222.48</v>
      </c>
      <c r="N2228" s="71" t="n">
        <v>60644.5</v>
      </c>
      <c r="O2228" s="71" t="n">
        <v>242577.98</v>
      </c>
      <c r="P2228" s="71" t="n">
        <v>105703.01</v>
      </c>
      <c r="Q2228" s="71" t="n">
        <v>136874.97</v>
      </c>
      <c r="R2228" t="inlineStr">
        <is>
          <t>Vaccines</t>
        </is>
      </c>
      <c r="S2228" s="70" t="n">
        <v>1737</v>
      </c>
      <c r="T2228" s="71" t="n">
        <v>59524.25</v>
      </c>
      <c r="U2228" t="inlineStr">
        <is>
          <t>Low</t>
        </is>
      </c>
      <c r="V2228">
        <f>IF(AND(OR(Dashboard!$C$6="All",E2228=Dashboard!$C$6),OR(Dashboard!$F$6="All",G2228=Dashboard!$F$6),OR(Dashboard!$I$6="All",H2228=Dashboard!$I$6)),1,0)</f>
        <v/>
      </c>
    </row>
    <row r="2229">
      <c r="A2229" t="inlineStr">
        <is>
          <t>PF102220</t>
        </is>
      </c>
      <c r="B2229" s="68" t="n">
        <v>45925</v>
      </c>
      <c r="C2229" s="69" t="n">
        <v>2025</v>
      </c>
      <c r="D2229" t="inlineStr">
        <is>
          <t>Sep</t>
        </is>
      </c>
      <c r="E2229" t="inlineStr">
        <is>
          <t>Emerging markets</t>
        </is>
      </c>
      <c r="F2229" t="inlineStr">
        <is>
          <t>Brazil</t>
        </is>
      </c>
      <c r="G2229" t="inlineStr">
        <is>
          <t>Xeljanz</t>
        </is>
      </c>
      <c r="H2229" t="inlineStr">
        <is>
          <t>Retail pharmacy</t>
        </is>
      </c>
      <c r="I2229" t="inlineStr">
        <is>
          <t>Private insurer</t>
        </is>
      </c>
      <c r="J2229" t="inlineStr">
        <is>
          <t>Yuki Sato</t>
        </is>
      </c>
      <c r="K2229" s="70" t="n">
        <v>1571</v>
      </c>
      <c r="L2229" s="71" t="n">
        <v>1463.27</v>
      </c>
      <c r="M2229" s="71" t="n">
        <v>2298797.17</v>
      </c>
      <c r="N2229" s="71" t="n">
        <v>459759.43</v>
      </c>
      <c r="O2229" s="71" t="n">
        <v>1839037.74</v>
      </c>
      <c r="P2229" s="71" t="n">
        <v>383841.45</v>
      </c>
      <c r="Q2229" s="71" t="n">
        <v>1455196.29</v>
      </c>
      <c r="R2229" t="inlineStr">
        <is>
          <t>Inflammation</t>
        </is>
      </c>
      <c r="S2229" s="70" t="n">
        <v>1141</v>
      </c>
      <c r="T2229" s="71" t="n">
        <v>503159.91</v>
      </c>
      <c r="U2229" t="inlineStr">
        <is>
          <t>High</t>
        </is>
      </c>
      <c r="V2229">
        <f>IF(AND(OR(Dashboard!$C$6="All",E2229=Dashboard!$C$6),OR(Dashboard!$F$6="All",G2229=Dashboard!$F$6),OR(Dashboard!$I$6="All",H2229=Dashboard!$I$6)),1,0)</f>
        <v/>
      </c>
    </row>
    <row r="2230">
      <c r="A2230" t="inlineStr">
        <is>
          <t>PF102221</t>
        </is>
      </c>
      <c r="B2230" s="68" t="n">
        <v>45925</v>
      </c>
      <c r="C2230" s="69" t="n">
        <v>2025</v>
      </c>
      <c r="D2230" t="inlineStr">
        <is>
          <t>Sep</t>
        </is>
      </c>
      <c r="E2230" t="inlineStr">
        <is>
          <t>United States</t>
        </is>
      </c>
      <c r="F2230" t="inlineStr">
        <is>
          <t>USA</t>
        </is>
      </c>
      <c r="G2230" t="inlineStr">
        <is>
          <t>Comirnaty</t>
        </is>
      </c>
      <c r="H2230" t="inlineStr">
        <is>
          <t>Hospital</t>
        </is>
      </c>
      <c r="I2230" t="inlineStr">
        <is>
          <t>Public payer</t>
        </is>
      </c>
      <c r="J2230" t="inlineStr">
        <is>
          <t>Mei Lin</t>
        </is>
      </c>
      <c r="K2230" s="70" t="n">
        <v>442</v>
      </c>
      <c r="L2230" s="71" t="n">
        <v>174.45</v>
      </c>
      <c r="M2230" s="71" t="n">
        <v>77106.89999999999</v>
      </c>
      <c r="N2230" s="71" t="n">
        <v>11566.04</v>
      </c>
      <c r="O2230" s="71" t="n">
        <v>65540.86</v>
      </c>
      <c r="P2230" s="71" t="n">
        <v>16692.5</v>
      </c>
      <c r="Q2230" s="71" t="n">
        <v>48848.36</v>
      </c>
      <c r="R2230" t="inlineStr">
        <is>
          <t>Vaccines</t>
        </is>
      </c>
      <c r="S2230" s="70" t="n">
        <v>329</v>
      </c>
      <c r="T2230" s="71" t="n">
        <v>14192.68</v>
      </c>
      <c r="U2230" t="inlineStr">
        <is>
          <t>Low</t>
        </is>
      </c>
      <c r="V2230">
        <f>IF(AND(OR(Dashboard!$C$6="All",E2230=Dashboard!$C$6),OR(Dashboard!$F$6="All",G2230=Dashboard!$F$6),OR(Dashboard!$I$6="All",H2230=Dashboard!$I$6)),1,0)</f>
        <v/>
      </c>
    </row>
    <row r="2231">
      <c r="A2231" t="inlineStr">
        <is>
          <t>PF102222</t>
        </is>
      </c>
      <c r="B2231" s="68" t="n">
        <v>45925</v>
      </c>
      <c r="C2231" s="69" t="n">
        <v>2025</v>
      </c>
      <c r="D2231" t="inlineStr">
        <is>
          <t>Sep</t>
        </is>
      </c>
      <c r="E2231" t="inlineStr">
        <is>
          <t>Europe</t>
        </is>
      </c>
      <c r="F2231" t="inlineStr">
        <is>
          <t>Germany</t>
        </is>
      </c>
      <c r="G2231" t="inlineStr">
        <is>
          <t>Prevnar 20</t>
        </is>
      </c>
      <c r="H2231" t="inlineStr">
        <is>
          <t>Retail pharmacy</t>
        </is>
      </c>
      <c r="I2231" t="inlineStr">
        <is>
          <t>Self-pay</t>
        </is>
      </c>
      <c r="J2231" t="inlineStr">
        <is>
          <t>Ana Costa</t>
        </is>
      </c>
      <c r="K2231" s="70" t="n">
        <v>2868</v>
      </c>
      <c r="L2231" s="71" t="n">
        <v>219.35</v>
      </c>
      <c r="M2231" s="71" t="n">
        <v>629095.8</v>
      </c>
      <c r="N2231" s="71" t="n">
        <v>62909.58</v>
      </c>
      <c r="O2231" s="71" t="n">
        <v>566186.22</v>
      </c>
      <c r="P2231" s="71" t="n">
        <v>204021.82</v>
      </c>
      <c r="Q2231" s="71" t="n">
        <v>362164.4</v>
      </c>
      <c r="R2231" t="inlineStr">
        <is>
          <t>Vaccines</t>
        </is>
      </c>
      <c r="S2231" s="70" t="n">
        <v>2015</v>
      </c>
      <c r="T2231" s="71" t="n">
        <v>95854.47</v>
      </c>
      <c r="U2231" t="inlineStr">
        <is>
          <t>Low</t>
        </is>
      </c>
      <c r="V2231">
        <f>IF(AND(OR(Dashboard!$C$6="All",E2231=Dashboard!$C$6),OR(Dashboard!$F$6="All",G2231=Dashboard!$F$6),OR(Dashboard!$I$6="All",H2231=Dashboard!$I$6)),1,0)</f>
        <v/>
      </c>
    </row>
    <row r="2232">
      <c r="A2232" t="inlineStr">
        <is>
          <t>PF102223</t>
        </is>
      </c>
      <c r="B2232" s="68" t="n">
        <v>45925</v>
      </c>
      <c r="C2232" s="69" t="n">
        <v>2025</v>
      </c>
      <c r="D2232" t="inlineStr">
        <is>
          <t>Sep</t>
        </is>
      </c>
      <c r="E2232" t="inlineStr">
        <is>
          <t>International developed</t>
        </is>
      </c>
      <c r="F2232" t="inlineStr">
        <is>
          <t>Canada</t>
        </is>
      </c>
      <c r="G2232" t="inlineStr">
        <is>
          <t>Eliquis</t>
        </is>
      </c>
      <c r="H2232" t="inlineStr">
        <is>
          <t>Hospital</t>
        </is>
      </c>
      <c r="I2232" t="inlineStr">
        <is>
          <t>Public payer</t>
        </is>
      </c>
      <c r="J2232" t="inlineStr">
        <is>
          <t>Hiroshi Tanaka</t>
        </is>
      </c>
      <c r="K2232" s="70" t="n">
        <v>197</v>
      </c>
      <c r="L2232" s="71" t="n">
        <v>385.19</v>
      </c>
      <c r="M2232" s="71" t="n">
        <v>75882.42999999999</v>
      </c>
      <c r="N2232" s="71" t="n">
        <v>11382.36</v>
      </c>
      <c r="O2232" s="71" t="n">
        <v>64500.07</v>
      </c>
      <c r="P2232" s="71" t="n">
        <v>14304.59</v>
      </c>
      <c r="Q2232" s="71" t="n">
        <v>50195.48</v>
      </c>
      <c r="R2232" t="inlineStr">
        <is>
          <t>Cardiology</t>
        </is>
      </c>
      <c r="S2232" s="70" t="n">
        <v>151</v>
      </c>
      <c r="T2232" s="71" t="n">
        <v>13389.12</v>
      </c>
      <c r="U2232" t="inlineStr">
        <is>
          <t>High</t>
        </is>
      </c>
      <c r="V2232">
        <f>IF(AND(OR(Dashboard!$C$6="All",E2232=Dashboard!$C$6),OR(Dashboard!$F$6="All",G2232=Dashboard!$F$6),OR(Dashboard!$I$6="All",H2232=Dashboard!$I$6)),1,0)</f>
        <v/>
      </c>
    </row>
    <row r="2233">
      <c r="A2233" t="inlineStr">
        <is>
          <t>PF102224</t>
        </is>
      </c>
      <c r="B2233" s="68" t="n">
        <v>45925</v>
      </c>
      <c r="C2233" s="69" t="n">
        <v>2025</v>
      </c>
      <c r="D2233" t="inlineStr">
        <is>
          <t>Sep</t>
        </is>
      </c>
      <c r="E2233" t="inlineStr">
        <is>
          <t>United States</t>
        </is>
      </c>
      <c r="F2233" t="inlineStr">
        <is>
          <t>USA</t>
        </is>
      </c>
      <c r="G2233" t="inlineStr">
        <is>
          <t>Prevnar 20</t>
        </is>
      </c>
      <c r="H2233" t="inlineStr">
        <is>
          <t>Retail pharmacy</t>
        </is>
      </c>
      <c r="I2233" t="inlineStr">
        <is>
          <t>Public payer</t>
        </is>
      </c>
      <c r="J2233" t="inlineStr">
        <is>
          <t>Hiroshi Tanaka</t>
        </is>
      </c>
      <c r="K2233" s="70" t="n">
        <v>568</v>
      </c>
      <c r="L2233" s="71" t="n">
        <v>403.49</v>
      </c>
      <c r="M2233" s="71" t="n">
        <v>229182.32</v>
      </c>
      <c r="N2233" s="71" t="n">
        <v>34377.35</v>
      </c>
      <c r="O2233" s="71" t="n">
        <v>194804.97</v>
      </c>
      <c r="P2233" s="71" t="n">
        <v>38033.08</v>
      </c>
      <c r="Q2233" s="71" t="n">
        <v>156771.89</v>
      </c>
      <c r="R2233" t="inlineStr">
        <is>
          <t>Vaccines</t>
        </is>
      </c>
      <c r="S2233" s="70" t="n">
        <v>510</v>
      </c>
      <c r="T2233" s="71" t="n">
        <v>28114.81</v>
      </c>
      <c r="U2233" t="inlineStr">
        <is>
          <t>Low</t>
        </is>
      </c>
      <c r="V2233">
        <f>IF(AND(OR(Dashboard!$C$6="All",E2233=Dashboard!$C$6),OR(Dashboard!$F$6="All",G2233=Dashboard!$F$6),OR(Dashboard!$I$6="All",H2233=Dashboard!$I$6)),1,0)</f>
        <v/>
      </c>
    </row>
    <row r="2234">
      <c r="A2234" t="inlineStr">
        <is>
          <t>PF102225</t>
        </is>
      </c>
      <c r="B2234" s="68" t="n">
        <v>45925</v>
      </c>
      <c r="C2234" s="69" t="n">
        <v>2025</v>
      </c>
      <c r="D2234" t="inlineStr">
        <is>
          <t>Sep</t>
        </is>
      </c>
      <c r="E2234" t="inlineStr">
        <is>
          <t>United States</t>
        </is>
      </c>
      <c r="F2234" t="inlineStr">
        <is>
          <t>USA</t>
        </is>
      </c>
      <c r="G2234" t="inlineStr">
        <is>
          <t>Ibrance</t>
        </is>
      </c>
      <c r="H2234" t="inlineStr">
        <is>
          <t>Hospital</t>
        </is>
      </c>
      <c r="I2234" t="inlineStr">
        <is>
          <t>Public payer</t>
        </is>
      </c>
      <c r="J2234" t="inlineStr">
        <is>
          <t>Carlos Silva</t>
        </is>
      </c>
      <c r="K2234" s="70" t="n">
        <v>2055</v>
      </c>
      <c r="L2234" s="71" t="n">
        <v>4192</v>
      </c>
      <c r="M2234" s="71" t="n">
        <v>8614560</v>
      </c>
      <c r="N2234" s="71" t="n">
        <v>2584368</v>
      </c>
      <c r="O2234" s="71" t="n">
        <v>6030192</v>
      </c>
      <c r="P2234" s="71" t="n">
        <v>862892.97</v>
      </c>
      <c r="Q2234" s="71" t="n">
        <v>5167299.03</v>
      </c>
      <c r="R2234" t="inlineStr">
        <is>
          <t>Oncology</t>
        </is>
      </c>
      <c r="S2234" s="70" t="n">
        <v>1587</v>
      </c>
      <c r="T2234" s="71" t="n">
        <v>1281590.63</v>
      </c>
      <c r="U2234" t="inlineStr">
        <is>
          <t>High</t>
        </is>
      </c>
      <c r="V2234">
        <f>IF(AND(OR(Dashboard!$C$6="All",E2234=Dashboard!$C$6),OR(Dashboard!$F$6="All",G2234=Dashboard!$F$6),OR(Dashboard!$I$6="All",H2234=Dashboard!$I$6)),1,0)</f>
        <v/>
      </c>
    </row>
    <row r="2235">
      <c r="A2235" t="inlineStr">
        <is>
          <t>PF102226</t>
        </is>
      </c>
      <c r="B2235" s="68" t="n">
        <v>45926</v>
      </c>
      <c r="C2235" s="69" t="n">
        <v>2025</v>
      </c>
      <c r="D2235" t="inlineStr">
        <is>
          <t>Sep</t>
        </is>
      </c>
      <c r="E2235" t="inlineStr">
        <is>
          <t>United States</t>
        </is>
      </c>
      <c r="F2235" t="inlineStr">
        <is>
          <t>USA</t>
        </is>
      </c>
      <c r="G2235" t="inlineStr">
        <is>
          <t>Abrysvo</t>
        </is>
      </c>
      <c r="H2235" t="inlineStr">
        <is>
          <t>Hospital</t>
        </is>
      </c>
      <c r="I2235" t="inlineStr">
        <is>
          <t>Private insurer</t>
        </is>
      </c>
      <c r="J2235" t="inlineStr">
        <is>
          <t>Ana Costa</t>
        </is>
      </c>
      <c r="K2235" s="70" t="n">
        <v>74</v>
      </c>
      <c r="L2235" s="71" t="n">
        <v>430.85</v>
      </c>
      <c r="M2235" s="71" t="n">
        <v>31882.9</v>
      </c>
      <c r="N2235" s="71" t="n">
        <v>7970.73</v>
      </c>
      <c r="O2235" s="71" t="n">
        <v>23912.17</v>
      </c>
      <c r="P2235" s="71" t="n">
        <v>6267.93</v>
      </c>
      <c r="Q2235" s="71" t="n">
        <v>17644.24</v>
      </c>
      <c r="R2235" t="inlineStr">
        <is>
          <t>Vaccines</t>
        </is>
      </c>
      <c r="S2235" s="70" t="n">
        <v>72</v>
      </c>
      <c r="T2235" s="71" t="n">
        <v>5218.56</v>
      </c>
      <c r="U2235" t="inlineStr">
        <is>
          <t>Low</t>
        </is>
      </c>
      <c r="V2235">
        <f>IF(AND(OR(Dashboard!$C$6="All",E2235=Dashboard!$C$6),OR(Dashboard!$F$6="All",G2235=Dashboard!$F$6),OR(Dashboard!$I$6="All",H2235=Dashboard!$I$6)),1,0)</f>
        <v/>
      </c>
    </row>
    <row r="2236">
      <c r="A2236" t="inlineStr">
        <is>
          <t>PF102227</t>
        </is>
      </c>
      <c r="B2236" s="68" t="n">
        <v>45926</v>
      </c>
      <c r="C2236" s="69" t="n">
        <v>2025</v>
      </c>
      <c r="D2236" t="inlineStr">
        <is>
          <t>Sep</t>
        </is>
      </c>
      <c r="E2236" t="inlineStr">
        <is>
          <t>International developed</t>
        </is>
      </c>
      <c r="F2236" t="inlineStr">
        <is>
          <t>Canada</t>
        </is>
      </c>
      <c r="G2236" t="inlineStr">
        <is>
          <t>Abrysvo</t>
        </is>
      </c>
      <c r="H2236" t="inlineStr">
        <is>
          <t>Retail pharmacy</t>
        </is>
      </c>
      <c r="I2236" t="inlineStr">
        <is>
          <t>Private insurer</t>
        </is>
      </c>
      <c r="J2236" t="inlineStr">
        <is>
          <t>Shraddha Kulkarni</t>
        </is>
      </c>
      <c r="K2236" s="70" t="n">
        <v>245</v>
      </c>
      <c r="L2236" s="71" t="n">
        <v>290.32</v>
      </c>
      <c r="M2236" s="71" t="n">
        <v>71128.39999999999</v>
      </c>
      <c r="N2236" s="71" t="n">
        <v>7112.84</v>
      </c>
      <c r="O2236" s="71" t="n">
        <v>64015.56</v>
      </c>
      <c r="P2236" s="71" t="n">
        <v>20589.77</v>
      </c>
      <c r="Q2236" s="71" t="n">
        <v>43425.79</v>
      </c>
      <c r="R2236" t="inlineStr">
        <is>
          <t>Vaccines</t>
        </is>
      </c>
      <c r="S2236" s="70" t="n">
        <v>203</v>
      </c>
      <c r="T2236" s="71" t="n">
        <v>8761.370000000001</v>
      </c>
      <c r="U2236" t="inlineStr">
        <is>
          <t>Low</t>
        </is>
      </c>
      <c r="V2236">
        <f>IF(AND(OR(Dashboard!$C$6="All",E2236=Dashboard!$C$6),OR(Dashboard!$F$6="All",G2236=Dashboard!$F$6),OR(Dashboard!$I$6="All",H2236=Dashboard!$I$6)),1,0)</f>
        <v/>
      </c>
    </row>
    <row r="2237">
      <c r="A2237" t="inlineStr">
        <is>
          <t>PF102228</t>
        </is>
      </c>
      <c r="B2237" s="68" t="n">
        <v>45926</v>
      </c>
      <c r="C2237" s="69" t="n">
        <v>2025</v>
      </c>
      <c r="D2237" t="inlineStr">
        <is>
          <t>Sep</t>
        </is>
      </c>
      <c r="E2237" t="inlineStr">
        <is>
          <t>Emerging markets</t>
        </is>
      </c>
      <c r="F2237" t="inlineStr">
        <is>
          <t>China</t>
        </is>
      </c>
      <c r="G2237" t="inlineStr">
        <is>
          <t>Xeljanz</t>
        </is>
      </c>
      <c r="H2237" t="inlineStr">
        <is>
          <t>Government / tender</t>
        </is>
      </c>
      <c r="I2237" t="inlineStr">
        <is>
          <t>Public payer</t>
        </is>
      </c>
      <c r="J2237" t="inlineStr">
        <is>
          <t>Aisha Bello</t>
        </is>
      </c>
      <c r="K2237" s="70" t="n">
        <v>1099</v>
      </c>
      <c r="L2237" s="71" t="n">
        <v>1328.83</v>
      </c>
      <c r="M2237" s="71" t="n">
        <v>1460384.17</v>
      </c>
      <c r="N2237" s="71" t="n">
        <v>219057.63</v>
      </c>
      <c r="O2237" s="71" t="n">
        <v>1241326.54</v>
      </c>
      <c r="P2237" s="71" t="n">
        <v>271628.8</v>
      </c>
      <c r="Q2237" s="71" t="n">
        <v>969697.74</v>
      </c>
      <c r="R2237" t="inlineStr">
        <is>
          <t>Inflammation</t>
        </is>
      </c>
      <c r="S2237" s="70" t="n">
        <v>779</v>
      </c>
      <c r="T2237" s="71" t="n">
        <v>252698.89</v>
      </c>
      <c r="U2237" t="inlineStr">
        <is>
          <t>High</t>
        </is>
      </c>
      <c r="V2237">
        <f>IF(AND(OR(Dashboard!$C$6="All",E2237=Dashboard!$C$6),OR(Dashboard!$F$6="All",G2237=Dashboard!$F$6),OR(Dashboard!$I$6="All",H2237=Dashboard!$I$6)),1,0)</f>
        <v/>
      </c>
    </row>
    <row r="2238">
      <c r="A2238" t="inlineStr">
        <is>
          <t>PF102229</t>
        </is>
      </c>
      <c r="B2238" s="68" t="n">
        <v>45926</v>
      </c>
      <c r="C2238" s="69" t="n">
        <v>2025</v>
      </c>
      <c r="D2238" t="inlineStr">
        <is>
          <t>Sep</t>
        </is>
      </c>
      <c r="E2238" t="inlineStr">
        <is>
          <t>United States</t>
        </is>
      </c>
      <c r="F2238" t="inlineStr">
        <is>
          <t>USA</t>
        </is>
      </c>
      <c r="G2238" t="inlineStr">
        <is>
          <t>Xeljanz</t>
        </is>
      </c>
      <c r="H2238" t="inlineStr">
        <is>
          <t>Retail pharmacy</t>
        </is>
      </c>
      <c r="I2238" t="inlineStr">
        <is>
          <t>Private insurer</t>
        </is>
      </c>
      <c r="J2238" t="inlineStr">
        <is>
          <t>Zoya Ahmed</t>
        </is>
      </c>
      <c r="K2238" s="70" t="n">
        <v>309</v>
      </c>
      <c r="L2238" s="71" t="n">
        <v>2331.2</v>
      </c>
      <c r="M2238" s="71" t="n">
        <v>720340.8</v>
      </c>
      <c r="N2238" s="71" t="n">
        <v>252119.28</v>
      </c>
      <c r="O2238" s="71" t="n">
        <v>468221.52</v>
      </c>
      <c r="P2238" s="71" t="n">
        <v>75632.49000000001</v>
      </c>
      <c r="Q2238" s="71" t="n">
        <v>392589.03</v>
      </c>
      <c r="R2238" t="inlineStr">
        <is>
          <t>Inflammation</t>
        </is>
      </c>
      <c r="S2238" s="70" t="n">
        <v>293</v>
      </c>
      <c r="T2238" s="71" t="n">
        <v>139025.47</v>
      </c>
      <c r="U2238" t="inlineStr">
        <is>
          <t>High</t>
        </is>
      </c>
      <c r="V2238">
        <f>IF(AND(OR(Dashboard!$C$6="All",E2238=Dashboard!$C$6),OR(Dashboard!$F$6="All",G2238=Dashboard!$F$6),OR(Dashboard!$I$6="All",H2238=Dashboard!$I$6)),1,0)</f>
        <v/>
      </c>
    </row>
    <row r="2239">
      <c r="A2239" t="inlineStr">
        <is>
          <t>PF102230</t>
        </is>
      </c>
      <c r="B2239" s="68" t="n">
        <v>45926</v>
      </c>
      <c r="C2239" s="69" t="n">
        <v>2025</v>
      </c>
      <c r="D2239" t="inlineStr">
        <is>
          <t>Sep</t>
        </is>
      </c>
      <c r="E2239" t="inlineStr">
        <is>
          <t>United States</t>
        </is>
      </c>
      <c r="F2239" t="inlineStr">
        <is>
          <t>USA</t>
        </is>
      </c>
      <c r="G2239" t="inlineStr">
        <is>
          <t>Eliquis</t>
        </is>
      </c>
      <c r="H2239" t="inlineStr">
        <is>
          <t>Hospital</t>
        </is>
      </c>
      <c r="I2239" t="inlineStr">
        <is>
          <t>Self-pay</t>
        </is>
      </c>
      <c r="J2239" t="inlineStr">
        <is>
          <t>Liam O'Brien</t>
        </is>
      </c>
      <c r="K2239" s="70" t="n">
        <v>2511</v>
      </c>
      <c r="L2239" s="71" t="n">
        <v>719.87</v>
      </c>
      <c r="M2239" s="71" t="n">
        <v>1807593.57</v>
      </c>
      <c r="N2239" s="71" t="n">
        <v>271139.04</v>
      </c>
      <c r="O2239" s="71" t="n">
        <v>1536454.53</v>
      </c>
      <c r="P2239" s="71" t="n">
        <v>194089.72</v>
      </c>
      <c r="Q2239" s="71" t="n">
        <v>1342364.81</v>
      </c>
      <c r="R2239" t="inlineStr">
        <is>
          <t>Cardiology</t>
        </is>
      </c>
      <c r="S2239" s="70" t="n">
        <v>2326</v>
      </c>
      <c r="T2239" s="71" t="n">
        <v>217283.63</v>
      </c>
      <c r="U2239" t="inlineStr">
        <is>
          <t>High</t>
        </is>
      </c>
      <c r="V2239">
        <f>IF(AND(OR(Dashboard!$C$6="All",E2239=Dashboard!$C$6),OR(Dashboard!$F$6="All",G2239=Dashboard!$F$6),OR(Dashboard!$I$6="All",H2239=Dashboard!$I$6)),1,0)</f>
        <v/>
      </c>
    </row>
    <row r="2240">
      <c r="A2240" t="inlineStr">
        <is>
          <t>PF102231</t>
        </is>
      </c>
      <c r="B2240" s="68" t="n">
        <v>45926</v>
      </c>
      <c r="C2240" s="69" t="n">
        <v>2025</v>
      </c>
      <c r="D2240" t="inlineStr">
        <is>
          <t>Sep</t>
        </is>
      </c>
      <c r="E2240" t="inlineStr">
        <is>
          <t>Emerging markets</t>
        </is>
      </c>
      <c r="F2240" t="inlineStr">
        <is>
          <t>Brazil</t>
        </is>
      </c>
      <c r="G2240" t="inlineStr">
        <is>
          <t>Eliquis</t>
        </is>
      </c>
      <c r="H2240" t="inlineStr">
        <is>
          <t>Hospital</t>
        </is>
      </c>
      <c r="I2240" t="inlineStr">
        <is>
          <t>Public payer</t>
        </is>
      </c>
      <c r="J2240" t="inlineStr">
        <is>
          <t>Noah Smith</t>
        </is>
      </c>
      <c r="K2240" s="70" t="n">
        <v>724</v>
      </c>
      <c r="L2240" s="71" t="n">
        <v>390.47</v>
      </c>
      <c r="M2240" s="71" t="n">
        <v>282700.28</v>
      </c>
      <c r="N2240" s="71" t="n">
        <v>28270.03</v>
      </c>
      <c r="O2240" s="71" t="n">
        <v>254430.25</v>
      </c>
      <c r="P2240" s="71" t="n">
        <v>52826.99</v>
      </c>
      <c r="Q2240" s="71" t="n">
        <v>201603.26</v>
      </c>
      <c r="R2240" t="inlineStr">
        <is>
          <t>Cardiology</t>
        </is>
      </c>
      <c r="S2240" s="70" t="n">
        <v>552</v>
      </c>
      <c r="T2240" s="71" t="n">
        <v>36565.06</v>
      </c>
      <c r="U2240" t="inlineStr">
        <is>
          <t>High</t>
        </is>
      </c>
      <c r="V2240">
        <f>IF(AND(OR(Dashboard!$C$6="All",E2240=Dashboard!$C$6),OR(Dashboard!$F$6="All",G2240=Dashboard!$F$6),OR(Dashboard!$I$6="All",H2240=Dashboard!$I$6)),1,0)</f>
        <v/>
      </c>
    </row>
    <row r="2241">
      <c r="A2241" t="inlineStr">
        <is>
          <t>PF102232</t>
        </is>
      </c>
      <c r="B2241" s="68" t="n">
        <v>45926</v>
      </c>
      <c r="C2241" s="69" t="n">
        <v>2025</v>
      </c>
      <c r="D2241" t="inlineStr">
        <is>
          <t>Sep</t>
        </is>
      </c>
      <c r="E2241" t="inlineStr">
        <is>
          <t>United States</t>
        </is>
      </c>
      <c r="F2241" t="inlineStr">
        <is>
          <t>USA</t>
        </is>
      </c>
      <c r="G2241" t="inlineStr">
        <is>
          <t>Vyndaqel</t>
        </is>
      </c>
      <c r="H2241" t="inlineStr">
        <is>
          <t>Hospital</t>
        </is>
      </c>
      <c r="I2241" t="inlineStr">
        <is>
          <t>Public payer</t>
        </is>
      </c>
      <c r="J2241" t="inlineStr">
        <is>
          <t>Yuki Sato</t>
        </is>
      </c>
      <c r="K2241" s="70" t="n">
        <v>2096</v>
      </c>
      <c r="L2241" s="71" t="n">
        <v>7954.45</v>
      </c>
      <c r="M2241" s="71" t="n">
        <v>16672527.2</v>
      </c>
      <c r="N2241" s="71" t="n">
        <v>2500879.08</v>
      </c>
      <c r="O2241" s="71" t="n">
        <v>14171648.12</v>
      </c>
      <c r="P2241" s="71" t="n">
        <v>1317319.94</v>
      </c>
      <c r="Q2241" s="71" t="n">
        <v>12854328.18</v>
      </c>
      <c r="R2241" t="inlineStr">
        <is>
          <t>Rare disease</t>
        </is>
      </c>
      <c r="S2241" s="70" t="n">
        <v>1982</v>
      </c>
      <c r="T2241" s="71" t="n">
        <v>2975252.09</v>
      </c>
      <c r="U2241" t="inlineStr">
        <is>
          <t>Medium</t>
        </is>
      </c>
      <c r="V2241">
        <f>IF(AND(OR(Dashboard!$C$6="All",E2241=Dashboard!$C$6),OR(Dashboard!$F$6="All",G2241=Dashboard!$F$6),OR(Dashboard!$I$6="All",H2241=Dashboard!$I$6)),1,0)</f>
        <v/>
      </c>
    </row>
    <row r="2242">
      <c r="A2242" t="inlineStr">
        <is>
          <t>PF102233</t>
        </is>
      </c>
      <c r="B2242" s="68" t="n">
        <v>45926</v>
      </c>
      <c r="C2242" s="69" t="n">
        <v>2025</v>
      </c>
      <c r="D2242" t="inlineStr">
        <is>
          <t>Sep</t>
        </is>
      </c>
      <c r="E2242" t="inlineStr">
        <is>
          <t>United States</t>
        </is>
      </c>
      <c r="F2242" t="inlineStr">
        <is>
          <t>USA</t>
        </is>
      </c>
      <c r="G2242" t="inlineStr">
        <is>
          <t>Eliquis</t>
        </is>
      </c>
      <c r="H2242" t="inlineStr">
        <is>
          <t>Retail pharmacy</t>
        </is>
      </c>
      <c r="I2242" t="inlineStr">
        <is>
          <t>Private insurer</t>
        </is>
      </c>
      <c r="J2242" t="inlineStr">
        <is>
          <t>Lucas Martin</t>
        </is>
      </c>
      <c r="K2242" s="70" t="n">
        <v>1925</v>
      </c>
      <c r="L2242" s="71" t="n">
        <v>611.9400000000001</v>
      </c>
      <c r="M2242" s="71" t="n">
        <v>1177984.5</v>
      </c>
      <c r="N2242" s="71" t="n">
        <v>353395.35</v>
      </c>
      <c r="O2242" s="71" t="n">
        <v>824589.15</v>
      </c>
      <c r="P2242" s="71" t="n">
        <v>146407.3</v>
      </c>
      <c r="Q2242" s="71" t="n">
        <v>678181.85</v>
      </c>
      <c r="R2242" t="inlineStr">
        <is>
          <t>Cardiology</t>
        </is>
      </c>
      <c r="S2242" s="70" t="n">
        <v>1921</v>
      </c>
      <c r="T2242" s="71" t="n">
        <v>226142.39</v>
      </c>
      <c r="U2242" t="inlineStr">
        <is>
          <t>High</t>
        </is>
      </c>
      <c r="V2242">
        <f>IF(AND(OR(Dashboard!$C$6="All",E2242=Dashboard!$C$6),OR(Dashboard!$F$6="All",G2242=Dashboard!$F$6),OR(Dashboard!$I$6="All",H2242=Dashboard!$I$6)),1,0)</f>
        <v/>
      </c>
    </row>
    <row r="2243">
      <c r="A2243" t="inlineStr">
        <is>
          <t>PF102234</t>
        </is>
      </c>
      <c r="B2243" s="68" t="n">
        <v>45926</v>
      </c>
      <c r="C2243" s="69" t="n">
        <v>2025</v>
      </c>
      <c r="D2243" t="inlineStr">
        <is>
          <t>Sep</t>
        </is>
      </c>
      <c r="E2243" t="inlineStr">
        <is>
          <t>United States</t>
        </is>
      </c>
      <c r="F2243" t="inlineStr">
        <is>
          <t>USA</t>
        </is>
      </c>
      <c r="G2243" t="inlineStr">
        <is>
          <t>Prevnar 20</t>
        </is>
      </c>
      <c r="H2243" t="inlineStr">
        <is>
          <t>Retail pharmacy</t>
        </is>
      </c>
      <c r="I2243" t="inlineStr">
        <is>
          <t>Public payer</t>
        </is>
      </c>
      <c r="J2243" t="inlineStr">
        <is>
          <t>Ana Costa</t>
        </is>
      </c>
      <c r="K2243" s="70" t="n">
        <v>1523</v>
      </c>
      <c r="L2243" s="71" t="n">
        <v>360.37</v>
      </c>
      <c r="M2243" s="71" t="n">
        <v>548843.51</v>
      </c>
      <c r="N2243" s="71" t="n">
        <v>109768.7</v>
      </c>
      <c r="O2243" s="71" t="n">
        <v>439074.81</v>
      </c>
      <c r="P2243" s="71" t="n">
        <v>107199.9</v>
      </c>
      <c r="Q2243" s="71" t="n">
        <v>331874.91</v>
      </c>
      <c r="R2243" t="inlineStr">
        <is>
          <t>Vaccines</t>
        </is>
      </c>
      <c r="S2243" s="70" t="n">
        <v>1082</v>
      </c>
      <c r="T2243" s="71" t="n">
        <v>118038.83</v>
      </c>
      <c r="U2243" t="inlineStr">
        <is>
          <t>Low</t>
        </is>
      </c>
      <c r="V2243">
        <f>IF(AND(OR(Dashboard!$C$6="All",E2243=Dashboard!$C$6),OR(Dashboard!$F$6="All",G2243=Dashboard!$F$6),OR(Dashboard!$I$6="All",H2243=Dashboard!$I$6)),1,0)</f>
        <v/>
      </c>
    </row>
    <row r="2244">
      <c r="A2244" t="inlineStr">
        <is>
          <t>PF102235</t>
        </is>
      </c>
      <c r="B2244" s="68" t="n">
        <v>45926</v>
      </c>
      <c r="C2244" s="69" t="n">
        <v>2025</v>
      </c>
      <c r="D2244" t="inlineStr">
        <is>
          <t>Sep</t>
        </is>
      </c>
      <c r="E2244" t="inlineStr">
        <is>
          <t>United States</t>
        </is>
      </c>
      <c r="F2244" t="inlineStr">
        <is>
          <t>USA</t>
        </is>
      </c>
      <c r="G2244" t="inlineStr">
        <is>
          <t>Prevnar 20</t>
        </is>
      </c>
      <c r="H2244" t="inlineStr">
        <is>
          <t>Government / tender</t>
        </is>
      </c>
      <c r="I2244" t="inlineStr">
        <is>
          <t>Private insurer</t>
        </is>
      </c>
      <c r="J2244" t="inlineStr">
        <is>
          <t>Noah Smith</t>
        </is>
      </c>
      <c r="K2244" s="70" t="n">
        <v>2827</v>
      </c>
      <c r="L2244" s="71" t="n">
        <v>344.43</v>
      </c>
      <c r="M2244" s="71" t="n">
        <v>973703.61</v>
      </c>
      <c r="N2244" s="71" t="n">
        <v>146055.54</v>
      </c>
      <c r="O2244" s="71" t="n">
        <v>827648.0699999999</v>
      </c>
      <c r="P2244" s="71" t="n">
        <v>196527.62</v>
      </c>
      <c r="Q2244" s="71" t="n">
        <v>631120.45</v>
      </c>
      <c r="R2244" t="inlineStr">
        <is>
          <t>Vaccines</t>
        </is>
      </c>
      <c r="S2244" s="70" t="n">
        <v>2340</v>
      </c>
      <c r="T2244" s="71" t="n">
        <v>137933.75</v>
      </c>
      <c r="U2244" t="inlineStr">
        <is>
          <t>Low</t>
        </is>
      </c>
      <c r="V2244">
        <f>IF(AND(OR(Dashboard!$C$6="All",E2244=Dashboard!$C$6),OR(Dashboard!$F$6="All",G2244=Dashboard!$F$6),OR(Dashboard!$I$6="All",H2244=Dashboard!$I$6)),1,0)</f>
        <v/>
      </c>
    </row>
    <row r="2245">
      <c r="A2245" t="inlineStr">
        <is>
          <t>PF102236</t>
        </is>
      </c>
      <c r="B2245" s="68" t="n">
        <v>45927</v>
      </c>
      <c r="C2245" s="69" t="n">
        <v>2025</v>
      </c>
      <c r="D2245" t="inlineStr">
        <is>
          <t>Sep</t>
        </is>
      </c>
      <c r="E2245" t="inlineStr">
        <is>
          <t>Emerging markets</t>
        </is>
      </c>
      <c r="F2245" t="inlineStr">
        <is>
          <t>Mexico</t>
        </is>
      </c>
      <c r="G2245" t="inlineStr">
        <is>
          <t>Prevnar 20</t>
        </is>
      </c>
      <c r="H2245" t="inlineStr">
        <is>
          <t>Government / tender</t>
        </is>
      </c>
      <c r="I2245" t="inlineStr">
        <is>
          <t>Public payer</t>
        </is>
      </c>
      <c r="J2245" t="inlineStr">
        <is>
          <t>Zoya Ahmed</t>
        </is>
      </c>
      <c r="K2245" s="70" t="n">
        <v>2963</v>
      </c>
      <c r="L2245" s="71" t="n">
        <v>231.32</v>
      </c>
      <c r="M2245" s="71" t="n">
        <v>685401.16</v>
      </c>
      <c r="N2245" s="71" t="n">
        <v>102810.17</v>
      </c>
      <c r="O2245" s="71" t="n">
        <v>582590.99</v>
      </c>
      <c r="P2245" s="71" t="n">
        <v>198387.14</v>
      </c>
      <c r="Q2245" s="71" t="n">
        <v>384203.85</v>
      </c>
      <c r="R2245" t="inlineStr">
        <is>
          <t>Vaccines</t>
        </is>
      </c>
      <c r="S2245" s="70" t="n">
        <v>2479</v>
      </c>
      <c r="T2245" s="71" t="n">
        <v>123252.96</v>
      </c>
      <c r="U2245" t="inlineStr">
        <is>
          <t>Low</t>
        </is>
      </c>
      <c r="V2245">
        <f>IF(AND(OR(Dashboard!$C$6="All",E2245=Dashboard!$C$6),OR(Dashboard!$F$6="All",G2245=Dashboard!$F$6),OR(Dashboard!$I$6="All",H2245=Dashboard!$I$6)),1,0)</f>
        <v/>
      </c>
    </row>
    <row r="2246">
      <c r="A2246" t="inlineStr">
        <is>
          <t>PF102237</t>
        </is>
      </c>
      <c r="B2246" s="68" t="n">
        <v>45927</v>
      </c>
      <c r="C2246" s="69" t="n">
        <v>2025</v>
      </c>
      <c r="D2246" t="inlineStr">
        <is>
          <t>Sep</t>
        </is>
      </c>
      <c r="E2246" t="inlineStr">
        <is>
          <t>Emerging markets</t>
        </is>
      </c>
      <c r="F2246" t="inlineStr">
        <is>
          <t>Mexico</t>
        </is>
      </c>
      <c r="G2246" t="inlineStr">
        <is>
          <t>Prevnar 20</t>
        </is>
      </c>
      <c r="H2246" t="inlineStr">
        <is>
          <t>Hospital</t>
        </is>
      </c>
      <c r="I2246" t="inlineStr">
        <is>
          <t>Public payer</t>
        </is>
      </c>
      <c r="J2246" t="inlineStr">
        <is>
          <t>Ruhi Shaikh</t>
        </is>
      </c>
      <c r="K2246" s="70" t="n">
        <v>2405</v>
      </c>
      <c r="L2246" s="71" t="n">
        <v>241.42</v>
      </c>
      <c r="M2246" s="71" t="n">
        <v>580615.1</v>
      </c>
      <c r="N2246" s="71" t="n">
        <v>29030.76</v>
      </c>
      <c r="O2246" s="71" t="n">
        <v>551584.34</v>
      </c>
      <c r="P2246" s="71" t="n">
        <v>165168.92</v>
      </c>
      <c r="Q2246" s="71" t="n">
        <v>386415.42</v>
      </c>
      <c r="R2246" t="inlineStr">
        <is>
          <t>Vaccines</t>
        </is>
      </c>
      <c r="S2246" s="70" t="n">
        <v>2136</v>
      </c>
      <c r="T2246" s="71" t="n">
        <v>126715.37</v>
      </c>
      <c r="U2246" t="inlineStr">
        <is>
          <t>Low</t>
        </is>
      </c>
      <c r="V2246">
        <f>IF(AND(OR(Dashboard!$C$6="All",E2246=Dashboard!$C$6),OR(Dashboard!$F$6="All",G2246=Dashboard!$F$6),OR(Dashboard!$I$6="All",H2246=Dashboard!$I$6)),1,0)</f>
        <v/>
      </c>
    </row>
    <row r="2247">
      <c r="A2247" t="inlineStr">
        <is>
          <t>PF102238</t>
        </is>
      </c>
      <c r="B2247" s="68" t="n">
        <v>45927</v>
      </c>
      <c r="C2247" s="69" t="n">
        <v>2025</v>
      </c>
      <c r="D2247" t="inlineStr">
        <is>
          <t>Sep</t>
        </is>
      </c>
      <c r="E2247" t="inlineStr">
        <is>
          <t>Europe</t>
        </is>
      </c>
      <c r="F2247" t="inlineStr">
        <is>
          <t>UK</t>
        </is>
      </c>
      <c r="G2247" t="inlineStr">
        <is>
          <t>Comirnaty</t>
        </is>
      </c>
      <c r="H2247" t="inlineStr">
        <is>
          <t>Hospital</t>
        </is>
      </c>
      <c r="I2247" t="inlineStr">
        <is>
          <t>Private insurer</t>
        </is>
      </c>
      <c r="J2247" t="inlineStr">
        <is>
          <t>Yuki Sato</t>
        </is>
      </c>
      <c r="K2247" s="70" t="n">
        <v>1851</v>
      </c>
      <c r="L2247" s="71" t="n">
        <v>107.03</v>
      </c>
      <c r="M2247" s="71" t="n">
        <v>198112.53</v>
      </c>
      <c r="N2247" s="71" t="n">
        <v>9905.629999999999</v>
      </c>
      <c r="O2247" s="71" t="n">
        <v>188206.9</v>
      </c>
      <c r="P2247" s="71" t="n">
        <v>68959.67999999999</v>
      </c>
      <c r="Q2247" s="71" t="n">
        <v>119247.22</v>
      </c>
      <c r="R2247" t="inlineStr">
        <is>
          <t>Vaccines</t>
        </is>
      </c>
      <c r="S2247" s="70" t="n">
        <v>1242</v>
      </c>
      <c r="T2247" s="71" t="n">
        <v>25204.66</v>
      </c>
      <c r="U2247" t="inlineStr">
        <is>
          <t>Low</t>
        </is>
      </c>
      <c r="V2247">
        <f>IF(AND(OR(Dashboard!$C$6="All",E2247=Dashboard!$C$6),OR(Dashboard!$F$6="All",G2247=Dashboard!$F$6),OR(Dashboard!$I$6="All",H2247=Dashboard!$I$6)),1,0)</f>
        <v/>
      </c>
    </row>
    <row r="2248">
      <c r="A2248" t="inlineStr">
        <is>
          <t>PF102239</t>
        </is>
      </c>
      <c r="B2248" s="68" t="n">
        <v>45927</v>
      </c>
      <c r="C2248" s="69" t="n">
        <v>2025</v>
      </c>
      <c r="D2248" t="inlineStr">
        <is>
          <t>Sep</t>
        </is>
      </c>
      <c r="E2248" t="inlineStr">
        <is>
          <t>United States</t>
        </is>
      </c>
      <c r="F2248" t="inlineStr">
        <is>
          <t>USA</t>
        </is>
      </c>
      <c r="G2248" t="inlineStr">
        <is>
          <t>Prevnar 20</t>
        </is>
      </c>
      <c r="H2248" t="inlineStr">
        <is>
          <t>Government / tender</t>
        </is>
      </c>
      <c r="I2248" t="inlineStr">
        <is>
          <t>Public payer</t>
        </is>
      </c>
      <c r="J2248" t="inlineStr">
        <is>
          <t>Sophie Müller</t>
        </is>
      </c>
      <c r="K2248" s="70" t="n">
        <v>2968</v>
      </c>
      <c r="L2248" s="71" t="n">
        <v>339.23</v>
      </c>
      <c r="M2248" s="71" t="n">
        <v>1006834.64</v>
      </c>
      <c r="N2248" s="71" t="n">
        <v>151025.2</v>
      </c>
      <c r="O2248" s="71" t="n">
        <v>855809.4399999999</v>
      </c>
      <c r="P2248" s="71" t="n">
        <v>211838.63</v>
      </c>
      <c r="Q2248" s="71" t="n">
        <v>643970.8100000001</v>
      </c>
      <c r="R2248" t="inlineStr">
        <is>
          <t>Vaccines</t>
        </is>
      </c>
      <c r="S2248" s="70" t="n">
        <v>2578</v>
      </c>
      <c r="T2248" s="71" t="n">
        <v>160247.51</v>
      </c>
      <c r="U2248" t="inlineStr">
        <is>
          <t>Low</t>
        </is>
      </c>
      <c r="V2248">
        <f>IF(AND(OR(Dashboard!$C$6="All",E2248=Dashboard!$C$6),OR(Dashboard!$F$6="All",G2248=Dashboard!$F$6),OR(Dashboard!$I$6="All",H2248=Dashboard!$I$6)),1,0)</f>
        <v/>
      </c>
    </row>
    <row r="2249">
      <c r="A2249" t="inlineStr">
        <is>
          <t>PF102240</t>
        </is>
      </c>
      <c r="B2249" s="68" t="n">
        <v>45927</v>
      </c>
      <c r="C2249" s="69" t="n">
        <v>2025</v>
      </c>
      <c r="D2249" t="inlineStr">
        <is>
          <t>Sep</t>
        </is>
      </c>
      <c r="E2249" t="inlineStr">
        <is>
          <t>Emerging markets</t>
        </is>
      </c>
      <c r="F2249" t="inlineStr">
        <is>
          <t>Mexico</t>
        </is>
      </c>
      <c r="G2249" t="inlineStr">
        <is>
          <t>Paxlovid</t>
        </is>
      </c>
      <c r="H2249" t="inlineStr">
        <is>
          <t>Retail pharmacy</t>
        </is>
      </c>
      <c r="I2249" t="inlineStr">
        <is>
          <t>Private insurer</t>
        </is>
      </c>
      <c r="J2249" t="inlineStr">
        <is>
          <t>Wei Chen</t>
        </is>
      </c>
      <c r="K2249" s="70" t="n">
        <v>2607</v>
      </c>
      <c r="L2249" s="71" t="n">
        <v>1198.13</v>
      </c>
      <c r="M2249" s="71" t="n">
        <v>3123524.91</v>
      </c>
      <c r="N2249" s="71" t="n">
        <v>780881.23</v>
      </c>
      <c r="O2249" s="71" t="n">
        <v>2342643.68</v>
      </c>
      <c r="P2249" s="71" t="n">
        <v>703545.98</v>
      </c>
      <c r="Q2249" s="71" t="n">
        <v>1639097.7</v>
      </c>
      <c r="R2249" t="inlineStr">
        <is>
          <t>Antiviral</t>
        </is>
      </c>
      <c r="S2249" s="70" t="n">
        <v>1753</v>
      </c>
      <c r="T2249" s="71" t="n">
        <v>640537.1</v>
      </c>
      <c r="U2249" t="inlineStr">
        <is>
          <t>Low</t>
        </is>
      </c>
      <c r="V2249">
        <f>IF(AND(OR(Dashboard!$C$6="All",E2249=Dashboard!$C$6),OR(Dashboard!$F$6="All",G2249=Dashboard!$F$6),OR(Dashboard!$I$6="All",H2249=Dashboard!$I$6)),1,0)</f>
        <v/>
      </c>
    </row>
    <row r="2250">
      <c r="A2250" t="inlineStr">
        <is>
          <t>PF102241</t>
        </is>
      </c>
      <c r="B2250" s="68" t="n">
        <v>45928</v>
      </c>
      <c r="C2250" s="69" t="n">
        <v>2025</v>
      </c>
      <c r="D2250" t="inlineStr">
        <is>
          <t>Sep</t>
        </is>
      </c>
      <c r="E2250" t="inlineStr">
        <is>
          <t>United States</t>
        </is>
      </c>
      <c r="F2250" t="inlineStr">
        <is>
          <t>USA</t>
        </is>
      </c>
      <c r="G2250" t="inlineStr">
        <is>
          <t>Comirnaty</t>
        </is>
      </c>
      <c r="H2250" t="inlineStr">
        <is>
          <t>Retail pharmacy</t>
        </is>
      </c>
      <c r="I2250" t="inlineStr">
        <is>
          <t>Private insurer</t>
        </is>
      </c>
      <c r="J2250" t="inlineStr">
        <is>
          <t>Kofi Mensah</t>
        </is>
      </c>
      <c r="K2250" s="70" t="n">
        <v>2458</v>
      </c>
      <c r="L2250" s="71" t="n">
        <v>185.89</v>
      </c>
      <c r="M2250" s="71" t="n">
        <v>456917.62</v>
      </c>
      <c r="N2250" s="71" t="n">
        <v>68537.64</v>
      </c>
      <c r="O2250" s="71" t="n">
        <v>388379.98</v>
      </c>
      <c r="P2250" s="71" t="n">
        <v>92664.99000000001</v>
      </c>
      <c r="Q2250" s="71" t="n">
        <v>295714.99</v>
      </c>
      <c r="R2250" t="inlineStr">
        <is>
          <t>Vaccines</t>
        </is>
      </c>
      <c r="S2250" s="70" t="n">
        <v>1973</v>
      </c>
      <c r="T2250" s="71" t="n">
        <v>84712.92</v>
      </c>
      <c r="U2250" t="inlineStr">
        <is>
          <t>Low</t>
        </is>
      </c>
      <c r="V2250">
        <f>IF(AND(OR(Dashboard!$C$6="All",E2250=Dashboard!$C$6),OR(Dashboard!$F$6="All",G2250=Dashboard!$F$6),OR(Dashboard!$I$6="All",H2250=Dashboard!$I$6)),1,0)</f>
        <v/>
      </c>
    </row>
    <row r="2251">
      <c r="A2251" t="inlineStr">
        <is>
          <t>PF102242</t>
        </is>
      </c>
      <c r="B2251" s="68" t="n">
        <v>45928</v>
      </c>
      <c r="C2251" s="69" t="n">
        <v>2025</v>
      </c>
      <c r="D2251" t="inlineStr">
        <is>
          <t>Sep</t>
        </is>
      </c>
      <c r="E2251" t="inlineStr">
        <is>
          <t>United States</t>
        </is>
      </c>
      <c r="F2251" t="inlineStr">
        <is>
          <t>USA</t>
        </is>
      </c>
      <c r="G2251" t="inlineStr">
        <is>
          <t>Vyndaqel</t>
        </is>
      </c>
      <c r="H2251" t="inlineStr">
        <is>
          <t>Retail pharmacy</t>
        </is>
      </c>
      <c r="I2251" t="inlineStr">
        <is>
          <t>Private insurer</t>
        </is>
      </c>
      <c r="J2251" t="inlineStr">
        <is>
          <t>Sophie Müller</t>
        </is>
      </c>
      <c r="K2251" s="70" t="n">
        <v>695</v>
      </c>
      <c r="L2251" s="71" t="n">
        <v>7774.38</v>
      </c>
      <c r="M2251" s="71" t="n">
        <v>5403194.1</v>
      </c>
      <c r="N2251" s="71" t="n">
        <v>1620958.23</v>
      </c>
      <c r="O2251" s="71" t="n">
        <v>3782235.87</v>
      </c>
      <c r="P2251" s="71" t="n">
        <v>432518.67</v>
      </c>
      <c r="Q2251" s="71" t="n">
        <v>3349717.2</v>
      </c>
      <c r="R2251" t="inlineStr">
        <is>
          <t>Rare disease</t>
        </is>
      </c>
      <c r="S2251" s="70" t="n">
        <v>568</v>
      </c>
      <c r="T2251" s="71" t="n">
        <v>1088403.49</v>
      </c>
      <c r="U2251" t="inlineStr">
        <is>
          <t>Medium</t>
        </is>
      </c>
      <c r="V2251">
        <f>IF(AND(OR(Dashboard!$C$6="All",E2251=Dashboard!$C$6),OR(Dashboard!$F$6="All",G2251=Dashboard!$F$6),OR(Dashboard!$I$6="All",H2251=Dashboard!$I$6)),1,0)</f>
        <v/>
      </c>
    </row>
    <row r="2252">
      <c r="A2252" t="inlineStr">
        <is>
          <t>PF102243</t>
        </is>
      </c>
      <c r="B2252" s="68" t="n">
        <v>45928</v>
      </c>
      <c r="C2252" s="69" t="n">
        <v>2025</v>
      </c>
      <c r="D2252" t="inlineStr">
        <is>
          <t>Sep</t>
        </is>
      </c>
      <c r="E2252" t="inlineStr">
        <is>
          <t>Europe</t>
        </is>
      </c>
      <c r="F2252" t="inlineStr">
        <is>
          <t>France</t>
        </is>
      </c>
      <c r="G2252" t="inlineStr">
        <is>
          <t>Ibrance</t>
        </is>
      </c>
      <c r="H2252" t="inlineStr">
        <is>
          <t>Retail pharmacy</t>
        </is>
      </c>
      <c r="I2252" t="inlineStr">
        <is>
          <t>Private insurer</t>
        </is>
      </c>
      <c r="J2252" t="inlineStr">
        <is>
          <t>Ravindra Patil</t>
        </is>
      </c>
      <c r="K2252" s="70" t="n">
        <v>87</v>
      </c>
      <c r="L2252" s="71" t="n">
        <v>2913.87</v>
      </c>
      <c r="M2252" s="71" t="n">
        <v>253506.69</v>
      </c>
      <c r="N2252" s="71" t="n">
        <v>63376.67</v>
      </c>
      <c r="O2252" s="71" t="n">
        <v>190130.02</v>
      </c>
      <c r="P2252" s="71" t="n">
        <v>36590.94</v>
      </c>
      <c r="Q2252" s="71" t="n">
        <v>153539.08</v>
      </c>
      <c r="R2252" t="inlineStr">
        <is>
          <t>Oncology</t>
        </is>
      </c>
      <c r="S2252" s="70" t="n">
        <v>61</v>
      </c>
      <c r="T2252" s="71" t="n">
        <v>34781.99</v>
      </c>
      <c r="U2252" t="inlineStr">
        <is>
          <t>High</t>
        </is>
      </c>
      <c r="V2252">
        <f>IF(AND(OR(Dashboard!$C$6="All",E2252=Dashboard!$C$6),OR(Dashboard!$F$6="All",G2252=Dashboard!$F$6),OR(Dashboard!$I$6="All",H2252=Dashboard!$I$6)),1,0)</f>
        <v/>
      </c>
    </row>
    <row r="2253">
      <c r="A2253" t="inlineStr">
        <is>
          <t>PF102244</t>
        </is>
      </c>
      <c r="B2253" s="68" t="n">
        <v>45928</v>
      </c>
      <c r="C2253" s="69" t="n">
        <v>2025</v>
      </c>
      <c r="D2253" t="inlineStr">
        <is>
          <t>Sep</t>
        </is>
      </c>
      <c r="E2253" t="inlineStr">
        <is>
          <t>Europe</t>
        </is>
      </c>
      <c r="F2253" t="inlineStr">
        <is>
          <t>UK</t>
        </is>
      </c>
      <c r="G2253" t="inlineStr">
        <is>
          <t>Prevnar 20</t>
        </is>
      </c>
      <c r="H2253" t="inlineStr">
        <is>
          <t>Retail pharmacy</t>
        </is>
      </c>
      <c r="I2253" t="inlineStr">
        <is>
          <t>Private insurer</t>
        </is>
      </c>
      <c r="J2253" t="inlineStr">
        <is>
          <t>Yuki Sato</t>
        </is>
      </c>
      <c r="K2253" s="70" t="n">
        <v>818</v>
      </c>
      <c r="L2253" s="71" t="n">
        <v>246.82</v>
      </c>
      <c r="M2253" s="71" t="n">
        <v>201898.76</v>
      </c>
      <c r="N2253" s="71" t="n">
        <v>50474.69</v>
      </c>
      <c r="O2253" s="71" t="n">
        <v>151424.07</v>
      </c>
      <c r="P2253" s="71" t="n">
        <v>58330.36</v>
      </c>
      <c r="Q2253" s="71" t="n">
        <v>93093.71000000001</v>
      </c>
      <c r="R2253" t="inlineStr">
        <is>
          <t>Vaccines</t>
        </is>
      </c>
      <c r="S2253" s="70" t="n">
        <v>804</v>
      </c>
      <c r="T2253" s="71" t="n">
        <v>26881.34</v>
      </c>
      <c r="U2253" t="inlineStr">
        <is>
          <t>Low</t>
        </is>
      </c>
      <c r="V2253">
        <f>IF(AND(OR(Dashboard!$C$6="All",E2253=Dashboard!$C$6),OR(Dashboard!$F$6="All",G2253=Dashboard!$F$6),OR(Dashboard!$I$6="All",H2253=Dashboard!$I$6)),1,0)</f>
        <v/>
      </c>
    </row>
    <row r="2254">
      <c r="A2254" t="inlineStr">
        <is>
          <t>PF102245</t>
        </is>
      </c>
      <c r="B2254" s="68" t="n">
        <v>45928</v>
      </c>
      <c r="C2254" s="69" t="n">
        <v>2025</v>
      </c>
      <c r="D2254" t="inlineStr">
        <is>
          <t>Sep</t>
        </is>
      </c>
      <c r="E2254" t="inlineStr">
        <is>
          <t>United States</t>
        </is>
      </c>
      <c r="F2254" t="inlineStr">
        <is>
          <t>USA</t>
        </is>
      </c>
      <c r="G2254" t="inlineStr">
        <is>
          <t>Eliquis</t>
        </is>
      </c>
      <c r="H2254" t="inlineStr">
        <is>
          <t>Retail pharmacy</t>
        </is>
      </c>
      <c r="I2254" t="inlineStr">
        <is>
          <t>Private insurer</t>
        </is>
      </c>
      <c r="J2254" t="inlineStr">
        <is>
          <t>Sophie Müller</t>
        </is>
      </c>
      <c r="K2254" s="70" t="n">
        <v>639</v>
      </c>
      <c r="L2254" s="71" t="n">
        <v>619.0700000000001</v>
      </c>
      <c r="M2254" s="71" t="n">
        <v>395585.73</v>
      </c>
      <c r="N2254" s="71" t="n">
        <v>118675.72</v>
      </c>
      <c r="O2254" s="71" t="n">
        <v>276910.01</v>
      </c>
      <c r="P2254" s="71" t="n">
        <v>47306.25</v>
      </c>
      <c r="Q2254" s="71" t="n">
        <v>229603.76</v>
      </c>
      <c r="R2254" t="inlineStr">
        <is>
          <t>Cardiology</t>
        </is>
      </c>
      <c r="S2254" s="70" t="n">
        <v>423</v>
      </c>
      <c r="T2254" s="71" t="n">
        <v>69617.92</v>
      </c>
      <c r="U2254" t="inlineStr">
        <is>
          <t>High</t>
        </is>
      </c>
      <c r="V2254">
        <f>IF(AND(OR(Dashboard!$C$6="All",E2254=Dashboard!$C$6),OR(Dashboard!$F$6="All",G2254=Dashboard!$F$6),OR(Dashboard!$I$6="All",H2254=Dashboard!$I$6)),1,0)</f>
        <v/>
      </c>
    </row>
    <row r="2255">
      <c r="A2255" t="inlineStr">
        <is>
          <t>PF102246</t>
        </is>
      </c>
      <c r="B2255" s="68" t="n">
        <v>45928</v>
      </c>
      <c r="C2255" s="69" t="n">
        <v>2025</v>
      </c>
      <c r="D2255" t="inlineStr">
        <is>
          <t>Sep</t>
        </is>
      </c>
      <c r="E2255" t="inlineStr">
        <is>
          <t>United States</t>
        </is>
      </c>
      <c r="F2255" t="inlineStr">
        <is>
          <t>USA</t>
        </is>
      </c>
      <c r="G2255" t="inlineStr">
        <is>
          <t>Abrysvo</t>
        </is>
      </c>
      <c r="H2255" t="inlineStr">
        <is>
          <t>Retail pharmacy</t>
        </is>
      </c>
      <c r="I2255" t="inlineStr">
        <is>
          <t>Public payer</t>
        </is>
      </c>
      <c r="J2255" t="inlineStr">
        <is>
          <t>Yuki Sato</t>
        </is>
      </c>
      <c r="K2255" s="70" t="n">
        <v>488</v>
      </c>
      <c r="L2255" s="71" t="n">
        <v>449.81</v>
      </c>
      <c r="M2255" s="71" t="n">
        <v>219507.28</v>
      </c>
      <c r="N2255" s="71" t="n">
        <v>43901.46</v>
      </c>
      <c r="O2255" s="71" t="n">
        <v>175605.82</v>
      </c>
      <c r="P2255" s="71" t="n">
        <v>42270.44</v>
      </c>
      <c r="Q2255" s="71" t="n">
        <v>133335.38</v>
      </c>
      <c r="R2255" t="inlineStr">
        <is>
          <t>Vaccines</t>
        </is>
      </c>
      <c r="S2255" s="70" t="n">
        <v>410</v>
      </c>
      <c r="T2255" s="71" t="n">
        <v>30614.73</v>
      </c>
      <c r="U2255" t="inlineStr">
        <is>
          <t>Low</t>
        </is>
      </c>
      <c r="V2255">
        <f>IF(AND(OR(Dashboard!$C$6="All",E2255=Dashboard!$C$6),OR(Dashboard!$F$6="All",G2255=Dashboard!$F$6),OR(Dashboard!$I$6="All",H2255=Dashboard!$I$6)),1,0)</f>
        <v/>
      </c>
    </row>
    <row r="2256">
      <c r="A2256" t="inlineStr">
        <is>
          <t>PF102247</t>
        </is>
      </c>
      <c r="B2256" s="68" t="n">
        <v>45928</v>
      </c>
      <c r="C2256" s="69" t="n">
        <v>2025</v>
      </c>
      <c r="D2256" t="inlineStr">
        <is>
          <t>Sep</t>
        </is>
      </c>
      <c r="E2256" t="inlineStr">
        <is>
          <t>Emerging markets</t>
        </is>
      </c>
      <c r="F2256" t="inlineStr">
        <is>
          <t>Mexico</t>
        </is>
      </c>
      <c r="G2256" t="inlineStr">
        <is>
          <t>Eliquis</t>
        </is>
      </c>
      <c r="H2256" t="inlineStr">
        <is>
          <t>Retail pharmacy</t>
        </is>
      </c>
      <c r="I2256" t="inlineStr">
        <is>
          <t>Public payer</t>
        </is>
      </c>
      <c r="J2256" t="inlineStr">
        <is>
          <t>Yuki Sato</t>
        </is>
      </c>
      <c r="K2256" s="70" t="n">
        <v>2149</v>
      </c>
      <c r="L2256" s="71" t="n">
        <v>428.92</v>
      </c>
      <c r="M2256" s="71" t="n">
        <v>921749.08</v>
      </c>
      <c r="N2256" s="71" t="n">
        <v>92174.91</v>
      </c>
      <c r="O2256" s="71" t="n">
        <v>829574.17</v>
      </c>
      <c r="P2256" s="71" t="n">
        <v>163095.88</v>
      </c>
      <c r="Q2256" s="71" t="n">
        <v>666478.29</v>
      </c>
      <c r="R2256" t="inlineStr">
        <is>
          <t>Cardiology</t>
        </is>
      </c>
      <c r="S2256" s="70" t="n">
        <v>1647</v>
      </c>
      <c r="T2256" s="71" t="n">
        <v>150153.47</v>
      </c>
      <c r="U2256" t="inlineStr">
        <is>
          <t>High</t>
        </is>
      </c>
      <c r="V2256">
        <f>IF(AND(OR(Dashboard!$C$6="All",E2256=Dashboard!$C$6),OR(Dashboard!$F$6="All",G2256=Dashboard!$F$6),OR(Dashboard!$I$6="All",H2256=Dashboard!$I$6)),1,0)</f>
        <v/>
      </c>
    </row>
    <row r="2257">
      <c r="A2257" t="inlineStr">
        <is>
          <t>PF102248</t>
        </is>
      </c>
      <c r="B2257" s="68" t="n">
        <v>45928</v>
      </c>
      <c r="C2257" s="69" t="n">
        <v>2025</v>
      </c>
      <c r="D2257" t="inlineStr">
        <is>
          <t>Sep</t>
        </is>
      </c>
      <c r="E2257" t="inlineStr">
        <is>
          <t>United States</t>
        </is>
      </c>
      <c r="F2257" t="inlineStr">
        <is>
          <t>USA</t>
        </is>
      </c>
      <c r="G2257" t="inlineStr">
        <is>
          <t>Prevnar 20</t>
        </is>
      </c>
      <c r="H2257" t="inlineStr">
        <is>
          <t>Hospital</t>
        </is>
      </c>
      <c r="I2257" t="inlineStr">
        <is>
          <t>Private insurer</t>
        </is>
      </c>
      <c r="J2257" t="inlineStr">
        <is>
          <t>Sophie Müller</t>
        </is>
      </c>
      <c r="K2257" s="70" t="n">
        <v>2932</v>
      </c>
      <c r="L2257" s="71" t="n">
        <v>391.87</v>
      </c>
      <c r="M2257" s="71" t="n">
        <v>1148962.84</v>
      </c>
      <c r="N2257" s="71" t="n">
        <v>229792.57</v>
      </c>
      <c r="O2257" s="71" t="n">
        <v>919170.27</v>
      </c>
      <c r="P2257" s="71" t="n">
        <v>206926.11</v>
      </c>
      <c r="Q2257" s="71" t="n">
        <v>712244.16</v>
      </c>
      <c r="R2257" t="inlineStr">
        <is>
          <t>Vaccines</t>
        </is>
      </c>
      <c r="S2257" s="70" t="n">
        <v>2017</v>
      </c>
      <c r="T2257" s="71" t="n">
        <v>165182.6</v>
      </c>
      <c r="U2257" t="inlineStr">
        <is>
          <t>Low</t>
        </is>
      </c>
      <c r="V2257">
        <f>IF(AND(OR(Dashboard!$C$6="All",E2257=Dashboard!$C$6),OR(Dashboard!$F$6="All",G2257=Dashboard!$F$6),OR(Dashboard!$I$6="All",H2257=Dashboard!$I$6)),1,0)</f>
        <v/>
      </c>
    </row>
    <row r="2258">
      <c r="A2258" t="inlineStr">
        <is>
          <t>PF102249</t>
        </is>
      </c>
      <c r="B2258" s="68" t="n">
        <v>45928</v>
      </c>
      <c r="C2258" s="69" t="n">
        <v>2025</v>
      </c>
      <c r="D2258" t="inlineStr">
        <is>
          <t>Sep</t>
        </is>
      </c>
      <c r="E2258" t="inlineStr">
        <is>
          <t>International developed</t>
        </is>
      </c>
      <c r="F2258" t="inlineStr">
        <is>
          <t>Australia</t>
        </is>
      </c>
      <c r="G2258" t="inlineStr">
        <is>
          <t>Xeljanz</t>
        </is>
      </c>
      <c r="H2258" t="inlineStr">
        <is>
          <t>Retail pharmacy</t>
        </is>
      </c>
      <c r="I2258" t="inlineStr">
        <is>
          <t>Private insurer</t>
        </is>
      </c>
      <c r="J2258" t="inlineStr">
        <is>
          <t>Priya Nair</t>
        </is>
      </c>
      <c r="K2258" s="70" t="n">
        <v>284</v>
      </c>
      <c r="L2258" s="71" t="n">
        <v>1446.44</v>
      </c>
      <c r="M2258" s="71" t="n">
        <v>410788.96</v>
      </c>
      <c r="N2258" s="71" t="n">
        <v>41078.9</v>
      </c>
      <c r="O2258" s="71" t="n">
        <v>369710.06</v>
      </c>
      <c r="P2258" s="71" t="n">
        <v>69513.33</v>
      </c>
      <c r="Q2258" s="71" t="n">
        <v>300196.73</v>
      </c>
      <c r="R2258" t="inlineStr">
        <is>
          <t>Inflammation</t>
        </is>
      </c>
      <c r="S2258" s="70" t="n">
        <v>222</v>
      </c>
      <c r="T2258" s="71" t="n">
        <v>65658.61</v>
      </c>
      <c r="U2258" t="inlineStr">
        <is>
          <t>High</t>
        </is>
      </c>
      <c r="V2258">
        <f>IF(AND(OR(Dashboard!$C$6="All",E2258=Dashboard!$C$6),OR(Dashboard!$F$6="All",G2258=Dashboard!$F$6),OR(Dashboard!$I$6="All",H2258=Dashboard!$I$6)),1,0)</f>
        <v/>
      </c>
    </row>
    <row r="2259">
      <c r="A2259" t="inlineStr">
        <is>
          <t>PF102250</t>
        </is>
      </c>
      <c r="B2259" s="68" t="n">
        <v>45928</v>
      </c>
      <c r="C2259" s="69" t="n">
        <v>2025</v>
      </c>
      <c r="D2259" t="inlineStr">
        <is>
          <t>Sep</t>
        </is>
      </c>
      <c r="E2259" t="inlineStr">
        <is>
          <t>Emerging markets</t>
        </is>
      </c>
      <c r="F2259" t="inlineStr">
        <is>
          <t>India</t>
        </is>
      </c>
      <c r="G2259" t="inlineStr">
        <is>
          <t>Eliquis</t>
        </is>
      </c>
      <c r="H2259" t="inlineStr">
        <is>
          <t>Retail pharmacy</t>
        </is>
      </c>
      <c r="I2259" t="inlineStr">
        <is>
          <t>Public payer</t>
        </is>
      </c>
      <c r="J2259" t="inlineStr">
        <is>
          <t>Fatima Al-Saud</t>
        </is>
      </c>
      <c r="K2259" s="70" t="n">
        <v>1392</v>
      </c>
      <c r="L2259" s="71" t="n">
        <v>408.62</v>
      </c>
      <c r="M2259" s="71" t="n">
        <v>568799.04</v>
      </c>
      <c r="N2259" s="71" t="n">
        <v>142199.76</v>
      </c>
      <c r="O2259" s="71" t="n">
        <v>426599.28</v>
      </c>
      <c r="P2259" s="71" t="n">
        <v>107844.51</v>
      </c>
      <c r="Q2259" s="71" t="n">
        <v>318754.77</v>
      </c>
      <c r="R2259" t="inlineStr">
        <is>
          <t>Cardiology</t>
        </is>
      </c>
      <c r="S2259" s="70" t="n">
        <v>1126</v>
      </c>
      <c r="T2259" s="71" t="n">
        <v>105347.59</v>
      </c>
      <c r="U2259" t="inlineStr">
        <is>
          <t>High</t>
        </is>
      </c>
      <c r="V2259">
        <f>IF(AND(OR(Dashboard!$C$6="All",E2259=Dashboard!$C$6),OR(Dashboard!$F$6="All",G2259=Dashboard!$F$6),OR(Dashboard!$I$6="All",H2259=Dashboard!$I$6)),1,0)</f>
        <v/>
      </c>
    </row>
    <row r="2260">
      <c r="A2260" t="inlineStr">
        <is>
          <t>PF102251</t>
        </is>
      </c>
      <c r="B2260" s="68" t="n">
        <v>45928</v>
      </c>
      <c r="C2260" s="69" t="n">
        <v>2025</v>
      </c>
      <c r="D2260" t="inlineStr">
        <is>
          <t>Sep</t>
        </is>
      </c>
      <c r="E2260" t="inlineStr">
        <is>
          <t>Europe</t>
        </is>
      </c>
      <c r="F2260" t="inlineStr">
        <is>
          <t>UK</t>
        </is>
      </c>
      <c r="G2260" t="inlineStr">
        <is>
          <t>Eliquis</t>
        </is>
      </c>
      <c r="H2260" t="inlineStr">
        <is>
          <t>Government / tender</t>
        </is>
      </c>
      <c r="I2260" t="inlineStr">
        <is>
          <t>Self-pay</t>
        </is>
      </c>
      <c r="J2260" t="inlineStr">
        <is>
          <t>Sophie Müller</t>
        </is>
      </c>
      <c r="K2260" s="70" t="n">
        <v>2985</v>
      </c>
      <c r="L2260" s="71" t="n">
        <v>423.53</v>
      </c>
      <c r="M2260" s="71" t="n">
        <v>1264237.05</v>
      </c>
      <c r="N2260" s="71" t="n">
        <v>316059.26</v>
      </c>
      <c r="O2260" s="71" t="n">
        <v>948177.79</v>
      </c>
      <c r="P2260" s="71" t="n">
        <v>229661.66</v>
      </c>
      <c r="Q2260" s="71" t="n">
        <v>718516.13</v>
      </c>
      <c r="R2260" t="inlineStr">
        <is>
          <t>Cardiology</t>
        </is>
      </c>
      <c r="S2260" s="70" t="n">
        <v>2490</v>
      </c>
      <c r="T2260" s="71" t="n">
        <v>183740.06</v>
      </c>
      <c r="U2260" t="inlineStr">
        <is>
          <t>High</t>
        </is>
      </c>
      <c r="V2260">
        <f>IF(AND(OR(Dashboard!$C$6="All",E2260=Dashboard!$C$6),OR(Dashboard!$F$6="All",G2260=Dashboard!$F$6),OR(Dashboard!$I$6="All",H2260=Dashboard!$I$6)),1,0)</f>
        <v/>
      </c>
    </row>
    <row r="2261">
      <c r="A2261" t="inlineStr">
        <is>
          <t>PF102252</t>
        </is>
      </c>
      <c r="B2261" s="68" t="n">
        <v>45931</v>
      </c>
      <c r="C2261" s="69" t="n">
        <v>2025</v>
      </c>
      <c r="D2261" t="inlineStr">
        <is>
          <t>Oct</t>
        </is>
      </c>
      <c r="E2261" t="inlineStr">
        <is>
          <t>Europe</t>
        </is>
      </c>
      <c r="F2261" t="inlineStr">
        <is>
          <t>UK</t>
        </is>
      </c>
      <c r="G2261" t="inlineStr">
        <is>
          <t>Xeljanz</t>
        </is>
      </c>
      <c r="H2261" t="inlineStr">
        <is>
          <t>Retail pharmacy</t>
        </is>
      </c>
      <c r="I2261" t="inlineStr">
        <is>
          <t>Private insurer</t>
        </is>
      </c>
      <c r="J2261" t="inlineStr">
        <is>
          <t>Noah Smith</t>
        </is>
      </c>
      <c r="K2261" s="70" t="n">
        <v>1696</v>
      </c>
      <c r="L2261" s="71" t="n">
        <v>1510.96</v>
      </c>
      <c r="M2261" s="71" t="n">
        <v>2562588.16</v>
      </c>
      <c r="N2261" s="71" t="n">
        <v>128129.41</v>
      </c>
      <c r="O2261" s="71" t="n">
        <v>2434458.75</v>
      </c>
      <c r="P2261" s="71" t="n">
        <v>441766.15</v>
      </c>
      <c r="Q2261" s="71" t="n">
        <v>1992692.6</v>
      </c>
      <c r="R2261" t="inlineStr">
        <is>
          <t>Inflammation</t>
        </is>
      </c>
      <c r="S2261" s="70" t="n">
        <v>1076</v>
      </c>
      <c r="T2261" s="71" t="n">
        <v>555402.08</v>
      </c>
      <c r="U2261" t="inlineStr">
        <is>
          <t>High</t>
        </is>
      </c>
      <c r="V2261">
        <f>IF(AND(OR(Dashboard!$C$6="All",E2261=Dashboard!$C$6),OR(Dashboard!$F$6="All",G2261=Dashboard!$F$6),OR(Dashboard!$I$6="All",H2261=Dashboard!$I$6)),1,0)</f>
        <v/>
      </c>
    </row>
    <row r="2262">
      <c r="A2262" t="inlineStr">
        <is>
          <t>PF102253</t>
        </is>
      </c>
      <c r="B2262" s="68" t="n">
        <v>45931</v>
      </c>
      <c r="C2262" s="69" t="n">
        <v>2025</v>
      </c>
      <c r="D2262" t="inlineStr">
        <is>
          <t>Oct</t>
        </is>
      </c>
      <c r="E2262" t="inlineStr">
        <is>
          <t>Emerging markets</t>
        </is>
      </c>
      <c r="F2262" t="inlineStr">
        <is>
          <t>Brazil</t>
        </is>
      </c>
      <c r="G2262" t="inlineStr">
        <is>
          <t>Eliquis</t>
        </is>
      </c>
      <c r="H2262" t="inlineStr">
        <is>
          <t>Hospital</t>
        </is>
      </c>
      <c r="I2262" t="inlineStr">
        <is>
          <t>Self-pay</t>
        </is>
      </c>
      <c r="J2262" t="inlineStr">
        <is>
          <t>Shraddha Kulkarni</t>
        </is>
      </c>
      <c r="K2262" s="70" t="n">
        <v>2598</v>
      </c>
      <c r="L2262" s="71" t="n">
        <v>419.16</v>
      </c>
      <c r="M2262" s="71" t="n">
        <v>1088977.68</v>
      </c>
      <c r="N2262" s="71" t="n">
        <v>108897.77</v>
      </c>
      <c r="O2262" s="71" t="n">
        <v>980079.91</v>
      </c>
      <c r="P2262" s="71" t="n">
        <v>192032.97</v>
      </c>
      <c r="Q2262" s="71" t="n">
        <v>788046.9399999999</v>
      </c>
      <c r="R2262" t="inlineStr">
        <is>
          <t>Cardiology</t>
        </is>
      </c>
      <c r="S2262" s="70" t="n">
        <v>1933</v>
      </c>
      <c r="T2262" s="71" t="n">
        <v>141457.11</v>
      </c>
      <c r="U2262" t="inlineStr">
        <is>
          <t>High</t>
        </is>
      </c>
      <c r="V2262">
        <f>IF(AND(OR(Dashboard!$C$6="All",E2262=Dashboard!$C$6),OR(Dashboard!$F$6="All",G2262=Dashboard!$F$6),OR(Dashboard!$I$6="All",H2262=Dashboard!$I$6)),1,0)</f>
        <v/>
      </c>
    </row>
    <row r="2263">
      <c r="A2263" t="inlineStr">
        <is>
          <t>PF102254</t>
        </is>
      </c>
      <c r="B2263" s="68" t="n">
        <v>45931</v>
      </c>
      <c r="C2263" s="69" t="n">
        <v>2025</v>
      </c>
      <c r="D2263" t="inlineStr">
        <is>
          <t>Oct</t>
        </is>
      </c>
      <c r="E2263" t="inlineStr">
        <is>
          <t>United States</t>
        </is>
      </c>
      <c r="F2263" t="inlineStr">
        <is>
          <t>USA</t>
        </is>
      </c>
      <c r="G2263" t="inlineStr">
        <is>
          <t>Comirnaty</t>
        </is>
      </c>
      <c r="H2263" t="inlineStr">
        <is>
          <t>Hospital</t>
        </is>
      </c>
      <c r="I2263" t="inlineStr">
        <is>
          <t>Private insurer</t>
        </is>
      </c>
      <c r="J2263" t="inlineStr">
        <is>
          <t>Sophie Müller</t>
        </is>
      </c>
      <c r="K2263" s="70" t="n">
        <v>1857</v>
      </c>
      <c r="L2263" s="71" t="n">
        <v>180.74</v>
      </c>
      <c r="M2263" s="71" t="n">
        <v>335634.18</v>
      </c>
      <c r="N2263" s="71" t="n">
        <v>67126.84</v>
      </c>
      <c r="O2263" s="71" t="n">
        <v>268507.34</v>
      </c>
      <c r="P2263" s="71" t="n">
        <v>71359.23</v>
      </c>
      <c r="Q2263" s="71" t="n">
        <v>197148.11</v>
      </c>
      <c r="R2263" t="inlineStr">
        <is>
          <t>Vaccines</t>
        </is>
      </c>
      <c r="S2263" s="70" t="n">
        <v>1314</v>
      </c>
      <c r="T2263" s="71" t="n">
        <v>47308.42</v>
      </c>
      <c r="U2263" t="inlineStr">
        <is>
          <t>Low</t>
        </is>
      </c>
      <c r="V2263">
        <f>IF(AND(OR(Dashboard!$C$6="All",E2263=Dashboard!$C$6),OR(Dashboard!$F$6="All",G2263=Dashboard!$F$6),OR(Dashboard!$I$6="All",H2263=Dashboard!$I$6)),1,0)</f>
        <v/>
      </c>
    </row>
    <row r="2264">
      <c r="A2264" t="inlineStr">
        <is>
          <t>PF102255</t>
        </is>
      </c>
      <c r="B2264" s="68" t="n">
        <v>45931</v>
      </c>
      <c r="C2264" s="69" t="n">
        <v>2025</v>
      </c>
      <c r="D2264" t="inlineStr">
        <is>
          <t>Oct</t>
        </is>
      </c>
      <c r="E2264" t="inlineStr">
        <is>
          <t>United States</t>
        </is>
      </c>
      <c r="F2264" t="inlineStr">
        <is>
          <t>USA</t>
        </is>
      </c>
      <c r="G2264" t="inlineStr">
        <is>
          <t>Abrysvo</t>
        </is>
      </c>
      <c r="H2264" t="inlineStr">
        <is>
          <t>Retail pharmacy</t>
        </is>
      </c>
      <c r="I2264" t="inlineStr">
        <is>
          <t>Self-pay</t>
        </is>
      </c>
      <c r="J2264" t="inlineStr">
        <is>
          <t>Ravindra Patil</t>
        </is>
      </c>
      <c r="K2264" s="70" t="n">
        <v>1927</v>
      </c>
      <c r="L2264" s="71" t="n">
        <v>463.14</v>
      </c>
      <c r="M2264" s="71" t="n">
        <v>892470.78</v>
      </c>
      <c r="N2264" s="71" t="n">
        <v>133870.62</v>
      </c>
      <c r="O2264" s="71" t="n">
        <v>758600.16</v>
      </c>
      <c r="P2264" s="71" t="n">
        <v>157414.28</v>
      </c>
      <c r="Q2264" s="71" t="n">
        <v>601185.88</v>
      </c>
      <c r="R2264" t="inlineStr">
        <is>
          <t>Vaccines</t>
        </is>
      </c>
      <c r="S2264" s="70" t="n">
        <v>1502</v>
      </c>
      <c r="T2264" s="71" t="n">
        <v>170484.99</v>
      </c>
      <c r="U2264" t="inlineStr">
        <is>
          <t>Low</t>
        </is>
      </c>
      <c r="V2264">
        <f>IF(AND(OR(Dashboard!$C$6="All",E2264=Dashboard!$C$6),OR(Dashboard!$F$6="All",G2264=Dashboard!$F$6),OR(Dashboard!$I$6="All",H2264=Dashboard!$I$6)),1,0)</f>
        <v/>
      </c>
    </row>
    <row r="2265">
      <c r="A2265" t="inlineStr">
        <is>
          <t>PF102256</t>
        </is>
      </c>
      <c r="B2265" s="68" t="n">
        <v>45931</v>
      </c>
      <c r="C2265" s="69" t="n">
        <v>2025</v>
      </c>
      <c r="D2265" t="inlineStr">
        <is>
          <t>Oct</t>
        </is>
      </c>
      <c r="E2265" t="inlineStr">
        <is>
          <t>International developed</t>
        </is>
      </c>
      <c r="F2265" t="inlineStr">
        <is>
          <t>Canada</t>
        </is>
      </c>
      <c r="G2265" t="inlineStr">
        <is>
          <t>Abrysvo</t>
        </is>
      </c>
      <c r="H2265" t="inlineStr">
        <is>
          <t>Hospital</t>
        </is>
      </c>
      <c r="I2265" t="inlineStr">
        <is>
          <t>Public payer</t>
        </is>
      </c>
      <c r="J2265" t="inlineStr">
        <is>
          <t>Zoya Ahmed</t>
        </is>
      </c>
      <c r="K2265" s="70" t="n">
        <v>917</v>
      </c>
      <c r="L2265" s="71" t="n">
        <v>272.13</v>
      </c>
      <c r="M2265" s="71" t="n">
        <v>249543.21</v>
      </c>
      <c r="N2265" s="71" t="n">
        <v>24954.32</v>
      </c>
      <c r="O2265" s="71" t="n">
        <v>224588.89</v>
      </c>
      <c r="P2265" s="71" t="n">
        <v>78757.5</v>
      </c>
      <c r="Q2265" s="71" t="n">
        <v>145831.39</v>
      </c>
      <c r="R2265" t="inlineStr">
        <is>
          <t>Vaccines</t>
        </is>
      </c>
      <c r="S2265" s="70" t="n">
        <v>767</v>
      </c>
      <c r="T2265" s="71" t="n">
        <v>42003.35</v>
      </c>
      <c r="U2265" t="inlineStr">
        <is>
          <t>Low</t>
        </is>
      </c>
      <c r="V2265">
        <f>IF(AND(OR(Dashboard!$C$6="All",E2265=Dashboard!$C$6),OR(Dashboard!$F$6="All",G2265=Dashboard!$F$6),OR(Dashboard!$I$6="All",H2265=Dashboard!$I$6)),1,0)</f>
        <v/>
      </c>
    </row>
    <row r="2266">
      <c r="A2266" t="inlineStr">
        <is>
          <t>PF102257</t>
        </is>
      </c>
      <c r="B2266" s="68" t="n">
        <v>45931</v>
      </c>
      <c r="C2266" s="69" t="n">
        <v>2025</v>
      </c>
      <c r="D2266" t="inlineStr">
        <is>
          <t>Oct</t>
        </is>
      </c>
      <c r="E2266" t="inlineStr">
        <is>
          <t>United States</t>
        </is>
      </c>
      <c r="F2266" t="inlineStr">
        <is>
          <t>USA</t>
        </is>
      </c>
      <c r="G2266" t="inlineStr">
        <is>
          <t>Paxlovid</t>
        </is>
      </c>
      <c r="H2266" t="inlineStr">
        <is>
          <t>Retail pharmacy</t>
        </is>
      </c>
      <c r="I2266" t="inlineStr">
        <is>
          <t>Public payer</t>
        </is>
      </c>
      <c r="J2266" t="inlineStr">
        <is>
          <t>Fatima Al-Saud</t>
        </is>
      </c>
      <c r="K2266" s="70" t="n">
        <v>948</v>
      </c>
      <c r="L2266" s="71" t="n">
        <v>1934</v>
      </c>
      <c r="M2266" s="71" t="n">
        <v>1833432</v>
      </c>
      <c r="N2266" s="71" t="n">
        <v>458358</v>
      </c>
      <c r="O2266" s="71" t="n">
        <v>1375074</v>
      </c>
      <c r="P2266" s="71" t="n">
        <v>264280.67</v>
      </c>
      <c r="Q2266" s="71" t="n">
        <v>1110793.33</v>
      </c>
      <c r="R2266" t="inlineStr">
        <is>
          <t>Antiviral</t>
        </is>
      </c>
      <c r="S2266" s="70" t="n">
        <v>833</v>
      </c>
      <c r="T2266" s="71" t="n">
        <v>348626.41</v>
      </c>
      <c r="U2266" t="inlineStr">
        <is>
          <t>Low</t>
        </is>
      </c>
      <c r="V2266">
        <f>IF(AND(OR(Dashboard!$C$6="All",E2266=Dashboard!$C$6),OR(Dashboard!$F$6="All",G2266=Dashboard!$F$6),OR(Dashboard!$I$6="All",H2266=Dashboard!$I$6)),1,0)</f>
        <v/>
      </c>
    </row>
    <row r="2267">
      <c r="A2267" t="inlineStr">
        <is>
          <t>PF102258</t>
        </is>
      </c>
      <c r="B2267" s="68" t="n">
        <v>45931</v>
      </c>
      <c r="C2267" s="69" t="n">
        <v>2025</v>
      </c>
      <c r="D2267" t="inlineStr">
        <is>
          <t>Oct</t>
        </is>
      </c>
      <c r="E2267" t="inlineStr">
        <is>
          <t>Emerging markets</t>
        </is>
      </c>
      <c r="F2267" t="inlineStr">
        <is>
          <t>Brazil</t>
        </is>
      </c>
      <c r="G2267" t="inlineStr">
        <is>
          <t>Paxlovid</t>
        </is>
      </c>
      <c r="H2267" t="inlineStr">
        <is>
          <t>Government / tender</t>
        </is>
      </c>
      <c r="I2267" t="inlineStr">
        <is>
          <t>Self-pay</t>
        </is>
      </c>
      <c r="J2267" t="inlineStr">
        <is>
          <t>Lucas Martin</t>
        </is>
      </c>
      <c r="K2267" s="70" t="n">
        <v>2860</v>
      </c>
      <c r="L2267" s="71" t="n">
        <v>1073.98</v>
      </c>
      <c r="M2267" s="71" t="n">
        <v>3071582.8</v>
      </c>
      <c r="N2267" s="71" t="n">
        <v>614316.5600000001</v>
      </c>
      <c r="O2267" s="71" t="n">
        <v>2457266.24</v>
      </c>
      <c r="P2267" s="71" t="n">
        <v>780373.65</v>
      </c>
      <c r="Q2267" s="71" t="n">
        <v>1676892.59</v>
      </c>
      <c r="R2267" t="inlineStr">
        <is>
          <t>Antiviral</t>
        </is>
      </c>
      <c r="S2267" s="70" t="n">
        <v>2004</v>
      </c>
      <c r="T2267" s="71" t="n">
        <v>496604.56</v>
      </c>
      <c r="U2267" t="inlineStr">
        <is>
          <t>Low</t>
        </is>
      </c>
      <c r="V2267">
        <f>IF(AND(OR(Dashboard!$C$6="All",E2267=Dashboard!$C$6),OR(Dashboard!$F$6="All",G2267=Dashboard!$F$6),OR(Dashboard!$I$6="All",H2267=Dashboard!$I$6)),1,0)</f>
        <v/>
      </c>
    </row>
    <row r="2268">
      <c r="A2268" t="inlineStr">
        <is>
          <t>PF102259</t>
        </is>
      </c>
      <c r="B2268" s="68" t="n">
        <v>45931</v>
      </c>
      <c r="C2268" s="69" t="n">
        <v>2025</v>
      </c>
      <c r="D2268" t="inlineStr">
        <is>
          <t>Oct</t>
        </is>
      </c>
      <c r="E2268" t="inlineStr">
        <is>
          <t>United States</t>
        </is>
      </c>
      <c r="F2268" t="inlineStr">
        <is>
          <t>USA</t>
        </is>
      </c>
      <c r="G2268" t="inlineStr">
        <is>
          <t>Eliquis</t>
        </is>
      </c>
      <c r="H2268" t="inlineStr">
        <is>
          <t>Government / tender</t>
        </is>
      </c>
      <c r="I2268" t="inlineStr">
        <is>
          <t>Private insurer</t>
        </is>
      </c>
      <c r="J2268" t="inlineStr">
        <is>
          <t>Ravindra Patil</t>
        </is>
      </c>
      <c r="K2268" s="70" t="n">
        <v>1848</v>
      </c>
      <c r="L2268" s="71" t="n">
        <v>736.13</v>
      </c>
      <c r="M2268" s="71" t="n">
        <v>1360368.24</v>
      </c>
      <c r="N2268" s="71" t="n">
        <v>204055.24</v>
      </c>
      <c r="O2268" s="71" t="n">
        <v>1156313</v>
      </c>
      <c r="P2268" s="71" t="n">
        <v>137795.15</v>
      </c>
      <c r="Q2268" s="71" t="n">
        <v>1018517.85</v>
      </c>
      <c r="R2268" t="inlineStr">
        <is>
          <t>Cardiology</t>
        </is>
      </c>
      <c r="S2268" s="70" t="n">
        <v>1761</v>
      </c>
      <c r="T2268" s="71" t="n">
        <v>236217.61</v>
      </c>
      <c r="U2268" t="inlineStr">
        <is>
          <t>High</t>
        </is>
      </c>
      <c r="V2268">
        <f>IF(AND(OR(Dashboard!$C$6="All",E2268=Dashboard!$C$6),OR(Dashboard!$F$6="All",G2268=Dashboard!$F$6),OR(Dashboard!$I$6="All",H2268=Dashboard!$I$6)),1,0)</f>
        <v/>
      </c>
    </row>
    <row r="2269">
      <c r="A2269" t="inlineStr">
        <is>
          <t>PF102260</t>
        </is>
      </c>
      <c r="B2269" s="68" t="n">
        <v>45931</v>
      </c>
      <c r="C2269" s="69" t="n">
        <v>2025</v>
      </c>
      <c r="D2269" t="inlineStr">
        <is>
          <t>Oct</t>
        </is>
      </c>
      <c r="E2269" t="inlineStr">
        <is>
          <t>United States</t>
        </is>
      </c>
      <c r="F2269" t="inlineStr">
        <is>
          <t>USA</t>
        </is>
      </c>
      <c r="G2269" t="inlineStr">
        <is>
          <t>Eliquis</t>
        </is>
      </c>
      <c r="H2269" t="inlineStr">
        <is>
          <t>Government / tender</t>
        </is>
      </c>
      <c r="I2269" t="inlineStr">
        <is>
          <t>Public payer</t>
        </is>
      </c>
      <c r="J2269" t="inlineStr">
        <is>
          <t>Hiroshi Tanaka</t>
        </is>
      </c>
      <c r="K2269" s="70" t="n">
        <v>2462</v>
      </c>
      <c r="L2269" s="71" t="n">
        <v>662.53</v>
      </c>
      <c r="M2269" s="71" t="n">
        <v>1631148.86</v>
      </c>
      <c r="N2269" s="71" t="n">
        <v>244672.33</v>
      </c>
      <c r="O2269" s="71" t="n">
        <v>1386476.53</v>
      </c>
      <c r="P2269" s="71" t="n">
        <v>181415.32</v>
      </c>
      <c r="Q2269" s="71" t="n">
        <v>1205061.21</v>
      </c>
      <c r="R2269" t="inlineStr">
        <is>
          <t>Cardiology</t>
        </is>
      </c>
      <c r="S2269" s="70" t="n">
        <v>2302</v>
      </c>
      <c r="T2269" s="71" t="n">
        <v>314326.85</v>
      </c>
      <c r="U2269" t="inlineStr">
        <is>
          <t>High</t>
        </is>
      </c>
      <c r="V2269">
        <f>IF(AND(OR(Dashboard!$C$6="All",E2269=Dashboard!$C$6),OR(Dashboard!$F$6="All",G2269=Dashboard!$F$6),OR(Dashboard!$I$6="All",H2269=Dashboard!$I$6)),1,0)</f>
        <v/>
      </c>
    </row>
    <row r="2270">
      <c r="A2270" t="inlineStr">
        <is>
          <t>PF102261</t>
        </is>
      </c>
      <c r="B2270" s="68" t="n">
        <v>45931</v>
      </c>
      <c r="C2270" s="69" t="n">
        <v>2025</v>
      </c>
      <c r="D2270" t="inlineStr">
        <is>
          <t>Oct</t>
        </is>
      </c>
      <c r="E2270" t="inlineStr">
        <is>
          <t>United States</t>
        </is>
      </c>
      <c r="F2270" t="inlineStr">
        <is>
          <t>USA</t>
        </is>
      </c>
      <c r="G2270" t="inlineStr">
        <is>
          <t>Comirnaty</t>
        </is>
      </c>
      <c r="H2270" t="inlineStr">
        <is>
          <t>Retail pharmacy</t>
        </is>
      </c>
      <c r="I2270" t="inlineStr">
        <is>
          <t>Private insurer</t>
        </is>
      </c>
      <c r="J2270" t="inlineStr">
        <is>
          <t>Amir Khan</t>
        </is>
      </c>
      <c r="K2270" s="70" t="n">
        <v>191</v>
      </c>
      <c r="L2270" s="71" t="n">
        <v>192.29</v>
      </c>
      <c r="M2270" s="71" t="n">
        <v>36727.39</v>
      </c>
      <c r="N2270" s="71" t="n">
        <v>12854.59</v>
      </c>
      <c r="O2270" s="71" t="n">
        <v>23872.8</v>
      </c>
      <c r="P2270" s="71" t="n">
        <v>7326.14</v>
      </c>
      <c r="Q2270" s="71" t="n">
        <v>16546.66</v>
      </c>
      <c r="R2270" t="inlineStr">
        <is>
          <t>Vaccines</t>
        </is>
      </c>
      <c r="S2270" s="70" t="n">
        <v>172</v>
      </c>
      <c r="T2270" s="71" t="n">
        <v>5693.69</v>
      </c>
      <c r="U2270" t="inlineStr">
        <is>
          <t>Low</t>
        </is>
      </c>
      <c r="V2270">
        <f>IF(AND(OR(Dashboard!$C$6="All",E2270=Dashboard!$C$6),OR(Dashboard!$F$6="All",G2270=Dashboard!$F$6),OR(Dashboard!$I$6="All",H2270=Dashboard!$I$6)),1,0)</f>
        <v/>
      </c>
    </row>
    <row r="2271">
      <c r="A2271" t="inlineStr">
        <is>
          <t>PF102262</t>
        </is>
      </c>
      <c r="B2271" s="68" t="n">
        <v>45931</v>
      </c>
      <c r="C2271" s="69" t="n">
        <v>2025</v>
      </c>
      <c r="D2271" t="inlineStr">
        <is>
          <t>Oct</t>
        </is>
      </c>
      <c r="E2271" t="inlineStr">
        <is>
          <t>United States</t>
        </is>
      </c>
      <c r="F2271" t="inlineStr">
        <is>
          <t>USA</t>
        </is>
      </c>
      <c r="G2271" t="inlineStr">
        <is>
          <t>Paxlovid</t>
        </is>
      </c>
      <c r="H2271" t="inlineStr">
        <is>
          <t>Retail pharmacy</t>
        </is>
      </c>
      <c r="I2271" t="inlineStr">
        <is>
          <t>Private insurer</t>
        </is>
      </c>
      <c r="J2271" t="inlineStr">
        <is>
          <t>Zoya Ahmed</t>
        </is>
      </c>
      <c r="K2271" s="70" t="n">
        <v>2625</v>
      </c>
      <c r="L2271" s="71" t="n">
        <v>1898.91</v>
      </c>
      <c r="M2271" s="71" t="n">
        <v>4984638.75</v>
      </c>
      <c r="N2271" s="71" t="n">
        <v>1495391.63</v>
      </c>
      <c r="O2271" s="71" t="n">
        <v>3489247.12</v>
      </c>
      <c r="P2271" s="71" t="n">
        <v>718075.15</v>
      </c>
      <c r="Q2271" s="71" t="n">
        <v>2771171.97</v>
      </c>
      <c r="R2271" t="inlineStr">
        <is>
          <t>Antiviral</t>
        </is>
      </c>
      <c r="S2271" s="70" t="n">
        <v>1737</v>
      </c>
      <c r="T2271" s="71" t="n">
        <v>1054746.86</v>
      </c>
      <c r="U2271" t="inlineStr">
        <is>
          <t>Low</t>
        </is>
      </c>
      <c r="V2271">
        <f>IF(AND(OR(Dashboard!$C$6="All",E2271=Dashboard!$C$6),OR(Dashboard!$F$6="All",G2271=Dashboard!$F$6),OR(Dashboard!$I$6="All",H2271=Dashboard!$I$6)),1,0)</f>
        <v/>
      </c>
    </row>
    <row r="2272">
      <c r="A2272" t="inlineStr">
        <is>
          <t>PF102263</t>
        </is>
      </c>
      <c r="B2272" s="68" t="n">
        <v>45932</v>
      </c>
      <c r="C2272" s="69" t="n">
        <v>2025</v>
      </c>
      <c r="D2272" t="inlineStr">
        <is>
          <t>Oct</t>
        </is>
      </c>
      <c r="E2272" t="inlineStr">
        <is>
          <t>United States</t>
        </is>
      </c>
      <c r="F2272" t="inlineStr">
        <is>
          <t>USA</t>
        </is>
      </c>
      <c r="G2272" t="inlineStr">
        <is>
          <t>Eliquis</t>
        </is>
      </c>
      <c r="H2272" t="inlineStr">
        <is>
          <t>Government / tender</t>
        </is>
      </c>
      <c r="I2272" t="inlineStr">
        <is>
          <t>Self-pay</t>
        </is>
      </c>
      <c r="J2272" t="inlineStr">
        <is>
          <t>Omar Haddad</t>
        </is>
      </c>
      <c r="K2272" s="70" t="n">
        <v>98</v>
      </c>
      <c r="L2272" s="71" t="n">
        <v>639.14</v>
      </c>
      <c r="M2272" s="71" t="n">
        <v>62635.72</v>
      </c>
      <c r="N2272" s="71" t="n">
        <v>18790.72</v>
      </c>
      <c r="O2272" s="71" t="n">
        <v>43845</v>
      </c>
      <c r="P2272" s="71" t="n">
        <v>7545.82</v>
      </c>
      <c r="Q2272" s="71" t="n">
        <v>36299.18</v>
      </c>
      <c r="R2272" t="inlineStr">
        <is>
          <t>Cardiology</t>
        </is>
      </c>
      <c r="S2272" s="70" t="n">
        <v>67</v>
      </c>
      <c r="T2272" s="71" t="n">
        <v>11955.38</v>
      </c>
      <c r="U2272" t="inlineStr">
        <is>
          <t>High</t>
        </is>
      </c>
      <c r="V2272">
        <f>IF(AND(OR(Dashboard!$C$6="All",E2272=Dashboard!$C$6),OR(Dashboard!$F$6="All",G2272=Dashboard!$F$6),OR(Dashboard!$I$6="All",H2272=Dashboard!$I$6)),1,0)</f>
        <v/>
      </c>
    </row>
    <row r="2273">
      <c r="A2273" t="inlineStr">
        <is>
          <t>PF102264</t>
        </is>
      </c>
      <c r="B2273" s="68" t="n">
        <v>45932</v>
      </c>
      <c r="C2273" s="69" t="n">
        <v>2025</v>
      </c>
      <c r="D2273" t="inlineStr">
        <is>
          <t>Oct</t>
        </is>
      </c>
      <c r="E2273" t="inlineStr">
        <is>
          <t>United States</t>
        </is>
      </c>
      <c r="F2273" t="inlineStr">
        <is>
          <t>USA</t>
        </is>
      </c>
      <c r="G2273" t="inlineStr">
        <is>
          <t>Ibrance</t>
        </is>
      </c>
      <c r="H2273" t="inlineStr">
        <is>
          <t>Retail pharmacy</t>
        </is>
      </c>
      <c r="I2273" t="inlineStr">
        <is>
          <t>Private insurer</t>
        </is>
      </c>
      <c r="J2273" t="inlineStr">
        <is>
          <t>Fatima Al-Saud</t>
        </is>
      </c>
      <c r="K2273" s="70" t="n">
        <v>1657</v>
      </c>
      <c r="L2273" s="71" t="n">
        <v>4289.86</v>
      </c>
      <c r="M2273" s="71" t="n">
        <v>7108298.02</v>
      </c>
      <c r="N2273" s="71" t="n">
        <v>2132489.41</v>
      </c>
      <c r="O2273" s="71" t="n">
        <v>4975808.61</v>
      </c>
      <c r="P2273" s="71" t="n">
        <v>715512.99</v>
      </c>
      <c r="Q2273" s="71" t="n">
        <v>4260295.62</v>
      </c>
      <c r="R2273" t="inlineStr">
        <is>
          <t>Oncology</t>
        </is>
      </c>
      <c r="S2273" s="70" t="n">
        <v>1069</v>
      </c>
      <c r="T2273" s="71" t="n">
        <v>1218772.75</v>
      </c>
      <c r="U2273" t="inlineStr">
        <is>
          <t>High</t>
        </is>
      </c>
      <c r="V2273">
        <f>IF(AND(OR(Dashboard!$C$6="All",E2273=Dashboard!$C$6),OR(Dashboard!$F$6="All",G2273=Dashboard!$F$6),OR(Dashboard!$I$6="All",H2273=Dashboard!$I$6)),1,0)</f>
        <v/>
      </c>
    </row>
    <row r="2274">
      <c r="A2274" t="inlineStr">
        <is>
          <t>PF102265</t>
        </is>
      </c>
      <c r="B2274" s="68" t="n">
        <v>45932</v>
      </c>
      <c r="C2274" s="69" t="n">
        <v>2025</v>
      </c>
      <c r="D2274" t="inlineStr">
        <is>
          <t>Oct</t>
        </is>
      </c>
      <c r="E2274" t="inlineStr">
        <is>
          <t>Europe</t>
        </is>
      </c>
      <c r="F2274" t="inlineStr">
        <is>
          <t>Italy</t>
        </is>
      </c>
      <c r="G2274" t="inlineStr">
        <is>
          <t>Eliquis</t>
        </is>
      </c>
      <c r="H2274" t="inlineStr">
        <is>
          <t>Hospital</t>
        </is>
      </c>
      <c r="I2274" t="inlineStr">
        <is>
          <t>Private insurer</t>
        </is>
      </c>
      <c r="J2274" t="inlineStr">
        <is>
          <t>Liam O'Brien</t>
        </is>
      </c>
      <c r="K2274" s="70" t="n">
        <v>327</v>
      </c>
      <c r="L2274" s="71" t="n">
        <v>418.9</v>
      </c>
      <c r="M2274" s="71" t="n">
        <v>136980.3</v>
      </c>
      <c r="N2274" s="71" t="n">
        <v>20547.04</v>
      </c>
      <c r="O2274" s="71" t="n">
        <v>116433.26</v>
      </c>
      <c r="P2274" s="71" t="n">
        <v>24331.88</v>
      </c>
      <c r="Q2274" s="71" t="n">
        <v>92101.38</v>
      </c>
      <c r="R2274" t="inlineStr">
        <is>
          <t>Cardiology</t>
        </is>
      </c>
      <c r="S2274" s="70" t="n">
        <v>248</v>
      </c>
      <c r="T2274" s="71" t="n">
        <v>29098.75</v>
      </c>
      <c r="U2274" t="inlineStr">
        <is>
          <t>High</t>
        </is>
      </c>
      <c r="V2274">
        <f>IF(AND(OR(Dashboard!$C$6="All",E2274=Dashboard!$C$6),OR(Dashboard!$F$6="All",G2274=Dashboard!$F$6),OR(Dashboard!$I$6="All",H2274=Dashboard!$I$6)),1,0)</f>
        <v/>
      </c>
    </row>
    <row r="2275">
      <c r="A2275" t="inlineStr">
        <is>
          <t>PF102266</t>
        </is>
      </c>
      <c r="B2275" s="68" t="n">
        <v>45932</v>
      </c>
      <c r="C2275" s="69" t="n">
        <v>2025</v>
      </c>
      <c r="D2275" t="inlineStr">
        <is>
          <t>Oct</t>
        </is>
      </c>
      <c r="E2275" t="inlineStr">
        <is>
          <t>Europe</t>
        </is>
      </c>
      <c r="F2275" t="inlineStr">
        <is>
          <t>Italy</t>
        </is>
      </c>
      <c r="G2275" t="inlineStr">
        <is>
          <t>Eliquis</t>
        </is>
      </c>
      <c r="H2275" t="inlineStr">
        <is>
          <t>Hospital</t>
        </is>
      </c>
      <c r="I2275" t="inlineStr">
        <is>
          <t>Self-pay</t>
        </is>
      </c>
      <c r="J2275" t="inlineStr">
        <is>
          <t>Omar Haddad</t>
        </is>
      </c>
      <c r="K2275" s="70" t="n">
        <v>1503</v>
      </c>
      <c r="L2275" s="71" t="n">
        <v>418.05</v>
      </c>
      <c r="M2275" s="71" t="n">
        <v>628329.15</v>
      </c>
      <c r="N2275" s="71" t="n">
        <v>62832.92</v>
      </c>
      <c r="O2275" s="71" t="n">
        <v>565496.23</v>
      </c>
      <c r="P2275" s="71" t="n">
        <v>109955.76</v>
      </c>
      <c r="Q2275" s="71" t="n">
        <v>455540.47</v>
      </c>
      <c r="R2275" t="inlineStr">
        <is>
          <t>Cardiology</t>
        </is>
      </c>
      <c r="S2275" s="70" t="n">
        <v>1155</v>
      </c>
      <c r="T2275" s="71" t="n">
        <v>78976.99000000001</v>
      </c>
      <c r="U2275" t="inlineStr">
        <is>
          <t>High</t>
        </is>
      </c>
      <c r="V2275">
        <f>IF(AND(OR(Dashboard!$C$6="All",E2275=Dashboard!$C$6),OR(Dashboard!$F$6="All",G2275=Dashboard!$F$6),OR(Dashboard!$I$6="All",H2275=Dashboard!$I$6)),1,0)</f>
        <v/>
      </c>
    </row>
    <row r="2276">
      <c r="A2276" t="inlineStr">
        <is>
          <t>PF102267</t>
        </is>
      </c>
      <c r="B2276" s="68" t="n">
        <v>45932</v>
      </c>
      <c r="C2276" s="69" t="n">
        <v>2025</v>
      </c>
      <c r="D2276" t="inlineStr">
        <is>
          <t>Oct</t>
        </is>
      </c>
      <c r="E2276" t="inlineStr">
        <is>
          <t>International developed</t>
        </is>
      </c>
      <c r="F2276" t="inlineStr">
        <is>
          <t>Canada</t>
        </is>
      </c>
      <c r="G2276" t="inlineStr">
        <is>
          <t>Comirnaty</t>
        </is>
      </c>
      <c r="H2276" t="inlineStr">
        <is>
          <t>Retail pharmacy</t>
        </is>
      </c>
      <c r="I2276" t="inlineStr">
        <is>
          <t>Private insurer</t>
        </is>
      </c>
      <c r="J2276" t="inlineStr">
        <is>
          <t>Ana Costa</t>
        </is>
      </c>
      <c r="K2276" s="70" t="n">
        <v>1496</v>
      </c>
      <c r="L2276" s="71" t="n">
        <v>108.84</v>
      </c>
      <c r="M2276" s="71" t="n">
        <v>162824.64</v>
      </c>
      <c r="N2276" s="71" t="n">
        <v>24423.7</v>
      </c>
      <c r="O2276" s="71" t="n">
        <v>138400.94</v>
      </c>
      <c r="P2276" s="71" t="n">
        <v>58547.66</v>
      </c>
      <c r="Q2276" s="71" t="n">
        <v>79853.28</v>
      </c>
      <c r="R2276" t="inlineStr">
        <is>
          <t>Vaccines</t>
        </is>
      </c>
      <c r="S2276" s="70" t="n">
        <v>1337</v>
      </c>
      <c r="T2276" s="71" t="n">
        <v>31865.22</v>
      </c>
      <c r="U2276" t="inlineStr">
        <is>
          <t>Low</t>
        </is>
      </c>
      <c r="V2276">
        <f>IF(AND(OR(Dashboard!$C$6="All",E2276=Dashboard!$C$6),OR(Dashboard!$F$6="All",G2276=Dashboard!$F$6),OR(Dashboard!$I$6="All",H2276=Dashboard!$I$6)),1,0)</f>
        <v/>
      </c>
    </row>
    <row r="2277">
      <c r="A2277" t="inlineStr">
        <is>
          <t>PF102268</t>
        </is>
      </c>
      <c r="B2277" s="68" t="n">
        <v>45932</v>
      </c>
      <c r="C2277" s="69" t="n">
        <v>2025</v>
      </c>
      <c r="D2277" t="inlineStr">
        <is>
          <t>Oct</t>
        </is>
      </c>
      <c r="E2277" t="inlineStr">
        <is>
          <t>United States</t>
        </is>
      </c>
      <c r="F2277" t="inlineStr">
        <is>
          <t>USA</t>
        </is>
      </c>
      <c r="G2277" t="inlineStr">
        <is>
          <t>Prevnar 20</t>
        </is>
      </c>
      <c r="H2277" t="inlineStr">
        <is>
          <t>Government / tender</t>
        </is>
      </c>
      <c r="I2277" t="inlineStr">
        <is>
          <t>Private insurer</t>
        </is>
      </c>
      <c r="J2277" t="inlineStr">
        <is>
          <t>Hiroshi Tanaka</t>
        </is>
      </c>
      <c r="K2277" s="70" t="n">
        <v>2611</v>
      </c>
      <c r="L2277" s="71" t="n">
        <v>390.29</v>
      </c>
      <c r="M2277" s="71" t="n">
        <v>1019047.19</v>
      </c>
      <c r="N2277" s="71" t="n">
        <v>356666.52</v>
      </c>
      <c r="O2277" s="71" t="n">
        <v>662380.67</v>
      </c>
      <c r="P2277" s="71" t="n">
        <v>180242.11</v>
      </c>
      <c r="Q2277" s="71" t="n">
        <v>482138.56</v>
      </c>
      <c r="R2277" t="inlineStr">
        <is>
          <t>Vaccines</t>
        </is>
      </c>
      <c r="S2277" s="70" t="n">
        <v>1672</v>
      </c>
      <c r="T2277" s="71" t="n">
        <v>214819.55</v>
      </c>
      <c r="U2277" t="inlineStr">
        <is>
          <t>Low</t>
        </is>
      </c>
      <c r="V2277">
        <f>IF(AND(OR(Dashboard!$C$6="All",E2277=Dashboard!$C$6),OR(Dashboard!$F$6="All",G2277=Dashboard!$F$6),OR(Dashboard!$I$6="All",H2277=Dashboard!$I$6)),1,0)</f>
        <v/>
      </c>
    </row>
    <row r="2278">
      <c r="A2278" t="inlineStr">
        <is>
          <t>PF102269</t>
        </is>
      </c>
      <c r="B2278" s="68" t="n">
        <v>45932</v>
      </c>
      <c r="C2278" s="69" t="n">
        <v>2025</v>
      </c>
      <c r="D2278" t="inlineStr">
        <is>
          <t>Oct</t>
        </is>
      </c>
      <c r="E2278" t="inlineStr">
        <is>
          <t>International developed</t>
        </is>
      </c>
      <c r="F2278" t="inlineStr">
        <is>
          <t>Australia</t>
        </is>
      </c>
      <c r="G2278" t="inlineStr">
        <is>
          <t>Prevnar 20</t>
        </is>
      </c>
      <c r="H2278" t="inlineStr">
        <is>
          <t>Hospital</t>
        </is>
      </c>
      <c r="I2278" t="inlineStr">
        <is>
          <t>Self-pay</t>
        </is>
      </c>
      <c r="J2278" t="inlineStr">
        <is>
          <t>Emma Clarke</t>
        </is>
      </c>
      <c r="K2278" s="70" t="n">
        <v>78</v>
      </c>
      <c r="L2278" s="71" t="n">
        <v>214.5</v>
      </c>
      <c r="M2278" s="71" t="n">
        <v>16731</v>
      </c>
      <c r="N2278" s="71" t="n">
        <v>3346.2</v>
      </c>
      <c r="O2278" s="71" t="n">
        <v>13384.8</v>
      </c>
      <c r="P2278" s="71" t="n">
        <v>5253.01</v>
      </c>
      <c r="Q2278" s="71" t="n">
        <v>8131.79</v>
      </c>
      <c r="R2278" t="inlineStr">
        <is>
          <t>Vaccines</t>
        </is>
      </c>
      <c r="S2278" s="70" t="n">
        <v>63</v>
      </c>
      <c r="T2278" s="71" t="n">
        <v>2829.5</v>
      </c>
      <c r="U2278" t="inlineStr">
        <is>
          <t>Low</t>
        </is>
      </c>
      <c r="V2278">
        <f>IF(AND(OR(Dashboard!$C$6="All",E2278=Dashboard!$C$6),OR(Dashboard!$F$6="All",G2278=Dashboard!$F$6),OR(Dashboard!$I$6="All",H2278=Dashboard!$I$6)),1,0)</f>
        <v/>
      </c>
    </row>
    <row r="2279">
      <c r="A2279" t="inlineStr">
        <is>
          <t>PF102270</t>
        </is>
      </c>
      <c r="B2279" s="68" t="n">
        <v>45932</v>
      </c>
      <c r="C2279" s="69" t="n">
        <v>2025</v>
      </c>
      <c r="D2279" t="inlineStr">
        <is>
          <t>Oct</t>
        </is>
      </c>
      <c r="E2279" t="inlineStr">
        <is>
          <t>United States</t>
        </is>
      </c>
      <c r="F2279" t="inlineStr">
        <is>
          <t>USA</t>
        </is>
      </c>
      <c r="G2279" t="inlineStr">
        <is>
          <t>Xeljanz</t>
        </is>
      </c>
      <c r="H2279" t="inlineStr">
        <is>
          <t>Retail pharmacy</t>
        </is>
      </c>
      <c r="I2279" t="inlineStr">
        <is>
          <t>Private insurer</t>
        </is>
      </c>
      <c r="J2279" t="inlineStr">
        <is>
          <t>Hiroshi Tanaka</t>
        </is>
      </c>
      <c r="K2279" s="70" t="n">
        <v>2653</v>
      </c>
      <c r="L2279" s="71" t="n">
        <v>2249.65</v>
      </c>
      <c r="M2279" s="71" t="n">
        <v>5968321.45</v>
      </c>
      <c r="N2279" s="71" t="n">
        <v>1492080.36</v>
      </c>
      <c r="O2279" s="71" t="n">
        <v>4476241.09</v>
      </c>
      <c r="P2279" s="71" t="n">
        <v>684315.45</v>
      </c>
      <c r="Q2279" s="71" t="n">
        <v>3791925.64</v>
      </c>
      <c r="R2279" t="inlineStr">
        <is>
          <t>Inflammation</t>
        </is>
      </c>
      <c r="S2279" s="70" t="n">
        <v>2493</v>
      </c>
      <c r="T2279" s="71" t="n">
        <v>1281514.36</v>
      </c>
      <c r="U2279" t="inlineStr">
        <is>
          <t>High</t>
        </is>
      </c>
      <c r="V2279">
        <f>IF(AND(OR(Dashboard!$C$6="All",E2279=Dashboard!$C$6),OR(Dashboard!$F$6="All",G2279=Dashboard!$F$6),OR(Dashboard!$I$6="All",H2279=Dashboard!$I$6)),1,0)</f>
        <v/>
      </c>
    </row>
    <row r="2280">
      <c r="A2280" t="inlineStr">
        <is>
          <t>PF102271</t>
        </is>
      </c>
      <c r="B2280" s="68" t="n">
        <v>45932</v>
      </c>
      <c r="C2280" s="69" t="n">
        <v>2025</v>
      </c>
      <c r="D2280" t="inlineStr">
        <is>
          <t>Oct</t>
        </is>
      </c>
      <c r="E2280" t="inlineStr">
        <is>
          <t>United States</t>
        </is>
      </c>
      <c r="F2280" t="inlineStr">
        <is>
          <t>USA</t>
        </is>
      </c>
      <c r="G2280" t="inlineStr">
        <is>
          <t>Paxlovid</t>
        </is>
      </c>
      <c r="H2280" t="inlineStr">
        <is>
          <t>Hospital</t>
        </is>
      </c>
      <c r="I2280" t="inlineStr">
        <is>
          <t>Private insurer</t>
        </is>
      </c>
      <c r="J2280" t="inlineStr">
        <is>
          <t>Arjun Mehta</t>
        </is>
      </c>
      <c r="K2280" s="70" t="n">
        <v>1566</v>
      </c>
      <c r="L2280" s="71" t="n">
        <v>1877.55</v>
      </c>
      <c r="M2280" s="71" t="n">
        <v>2940243.3</v>
      </c>
      <c r="N2280" s="71" t="n">
        <v>441036.5</v>
      </c>
      <c r="O2280" s="71" t="n">
        <v>2499206.8</v>
      </c>
      <c r="P2280" s="71" t="n">
        <v>436237.62</v>
      </c>
      <c r="Q2280" s="71" t="n">
        <v>2062969.18</v>
      </c>
      <c r="R2280" t="inlineStr">
        <is>
          <t>Antiviral</t>
        </is>
      </c>
      <c r="S2280" s="70" t="n">
        <v>1406</v>
      </c>
      <c r="T2280" s="71" t="n">
        <v>554355.01</v>
      </c>
      <c r="U2280" t="inlineStr">
        <is>
          <t>Low</t>
        </is>
      </c>
      <c r="V2280">
        <f>IF(AND(OR(Dashboard!$C$6="All",E2280=Dashboard!$C$6),OR(Dashboard!$F$6="All",G2280=Dashboard!$F$6),OR(Dashboard!$I$6="All",H2280=Dashboard!$I$6)),1,0)</f>
        <v/>
      </c>
    </row>
    <row r="2281">
      <c r="A2281" t="inlineStr">
        <is>
          <t>PF102272</t>
        </is>
      </c>
      <c r="B2281" s="68" t="n">
        <v>45932</v>
      </c>
      <c r="C2281" s="69" t="n">
        <v>2025</v>
      </c>
      <c r="D2281" t="inlineStr">
        <is>
          <t>Oct</t>
        </is>
      </c>
      <c r="E2281" t="inlineStr">
        <is>
          <t>Emerging markets</t>
        </is>
      </c>
      <c r="F2281" t="inlineStr">
        <is>
          <t>India</t>
        </is>
      </c>
      <c r="G2281" t="inlineStr">
        <is>
          <t>Eliquis</t>
        </is>
      </c>
      <c r="H2281" t="inlineStr">
        <is>
          <t>Government / tender</t>
        </is>
      </c>
      <c r="I2281" t="inlineStr">
        <is>
          <t>Private insurer</t>
        </is>
      </c>
      <c r="J2281" t="inlineStr">
        <is>
          <t>Wei Chen</t>
        </is>
      </c>
      <c r="K2281" s="70" t="n">
        <v>294</v>
      </c>
      <c r="L2281" s="71" t="n">
        <v>446.44</v>
      </c>
      <c r="M2281" s="71" t="n">
        <v>131253.36</v>
      </c>
      <c r="N2281" s="71" t="n">
        <v>32813.34</v>
      </c>
      <c r="O2281" s="71" t="n">
        <v>98440.02</v>
      </c>
      <c r="P2281" s="71" t="n">
        <v>21510.6</v>
      </c>
      <c r="Q2281" s="71" t="n">
        <v>76929.42</v>
      </c>
      <c r="R2281" t="inlineStr">
        <is>
          <t>Cardiology</t>
        </is>
      </c>
      <c r="S2281" s="70" t="n">
        <v>203</v>
      </c>
      <c r="T2281" s="71" t="n">
        <v>17103.81</v>
      </c>
      <c r="U2281" t="inlineStr">
        <is>
          <t>High</t>
        </is>
      </c>
      <c r="V2281">
        <f>IF(AND(OR(Dashboard!$C$6="All",E2281=Dashboard!$C$6),OR(Dashboard!$F$6="All",G2281=Dashboard!$F$6),OR(Dashboard!$I$6="All",H2281=Dashboard!$I$6)),1,0)</f>
        <v/>
      </c>
    </row>
    <row r="2282">
      <c r="A2282" t="inlineStr">
        <is>
          <t>PF102273</t>
        </is>
      </c>
      <c r="B2282" s="68" t="n">
        <v>45933</v>
      </c>
      <c r="C2282" s="69" t="n">
        <v>2025</v>
      </c>
      <c r="D2282" t="inlineStr">
        <is>
          <t>Oct</t>
        </is>
      </c>
      <c r="E2282" t="inlineStr">
        <is>
          <t>Europe</t>
        </is>
      </c>
      <c r="F2282" t="inlineStr">
        <is>
          <t>Germany</t>
        </is>
      </c>
      <c r="G2282" t="inlineStr">
        <is>
          <t>Comirnaty</t>
        </is>
      </c>
      <c r="H2282" t="inlineStr">
        <is>
          <t>Hospital</t>
        </is>
      </c>
      <c r="I2282" t="inlineStr">
        <is>
          <t>Public payer</t>
        </is>
      </c>
      <c r="J2282" t="inlineStr">
        <is>
          <t>Mei Lin</t>
        </is>
      </c>
      <c r="K2282" s="70" t="n">
        <v>1690</v>
      </c>
      <c r="L2282" s="71" t="n">
        <v>110.41</v>
      </c>
      <c r="M2282" s="71" t="n">
        <v>186592.9</v>
      </c>
      <c r="N2282" s="71" t="n">
        <v>46648.22</v>
      </c>
      <c r="O2282" s="71" t="n">
        <v>139944.68</v>
      </c>
      <c r="P2282" s="71" t="n">
        <v>63986.06</v>
      </c>
      <c r="Q2282" s="71" t="n">
        <v>75958.62</v>
      </c>
      <c r="R2282" t="inlineStr">
        <is>
          <t>Vaccines</t>
        </is>
      </c>
      <c r="S2282" s="70" t="n">
        <v>1267</v>
      </c>
      <c r="T2282" s="71" t="n">
        <v>30162.88</v>
      </c>
      <c r="U2282" t="inlineStr">
        <is>
          <t>Low</t>
        </is>
      </c>
      <c r="V2282">
        <f>IF(AND(OR(Dashboard!$C$6="All",E2282=Dashboard!$C$6),OR(Dashboard!$F$6="All",G2282=Dashboard!$F$6),OR(Dashboard!$I$6="All",H2282=Dashboard!$I$6)),1,0)</f>
        <v/>
      </c>
    </row>
    <row r="2283">
      <c r="A2283" t="inlineStr">
        <is>
          <t>PF102274</t>
        </is>
      </c>
      <c r="B2283" s="68" t="n">
        <v>45933</v>
      </c>
      <c r="C2283" s="69" t="n">
        <v>2025</v>
      </c>
      <c r="D2283" t="inlineStr">
        <is>
          <t>Oct</t>
        </is>
      </c>
      <c r="E2283" t="inlineStr">
        <is>
          <t>United States</t>
        </is>
      </c>
      <c r="F2283" t="inlineStr">
        <is>
          <t>USA</t>
        </is>
      </c>
      <c r="G2283" t="inlineStr">
        <is>
          <t>Xeljanz</t>
        </is>
      </c>
      <c r="H2283" t="inlineStr">
        <is>
          <t>Government / tender</t>
        </is>
      </c>
      <c r="I2283" t="inlineStr">
        <is>
          <t>Private insurer</t>
        </is>
      </c>
      <c r="J2283" t="inlineStr">
        <is>
          <t>Wei Chen</t>
        </is>
      </c>
      <c r="K2283" s="70" t="n">
        <v>639</v>
      </c>
      <c r="L2283" s="71" t="n">
        <v>2183.41</v>
      </c>
      <c r="M2283" s="71" t="n">
        <v>1395198.99</v>
      </c>
      <c r="N2283" s="71" t="n">
        <v>209279.85</v>
      </c>
      <c r="O2283" s="71" t="n">
        <v>1185919.14</v>
      </c>
      <c r="P2283" s="71" t="n">
        <v>160339.48</v>
      </c>
      <c r="Q2283" s="71" t="n">
        <v>1025579.66</v>
      </c>
      <c r="R2283" t="inlineStr">
        <is>
          <t>Inflammation</t>
        </is>
      </c>
      <c r="S2283" s="70" t="n">
        <v>560</v>
      </c>
      <c r="T2283" s="71" t="n">
        <v>174669.65</v>
      </c>
      <c r="U2283" t="inlineStr">
        <is>
          <t>High</t>
        </is>
      </c>
      <c r="V2283">
        <f>IF(AND(OR(Dashboard!$C$6="All",E2283=Dashboard!$C$6),OR(Dashboard!$F$6="All",G2283=Dashboard!$F$6),OR(Dashboard!$I$6="All",H2283=Dashboard!$I$6)),1,0)</f>
        <v/>
      </c>
    </row>
    <row r="2284">
      <c r="A2284" t="inlineStr">
        <is>
          <t>PF102275</t>
        </is>
      </c>
      <c r="B2284" s="68" t="n">
        <v>45933</v>
      </c>
      <c r="C2284" s="69" t="n">
        <v>2025</v>
      </c>
      <c r="D2284" t="inlineStr">
        <is>
          <t>Oct</t>
        </is>
      </c>
      <c r="E2284" t="inlineStr">
        <is>
          <t>Europe</t>
        </is>
      </c>
      <c r="F2284" t="inlineStr">
        <is>
          <t>France</t>
        </is>
      </c>
      <c r="G2284" t="inlineStr">
        <is>
          <t>Comirnaty</t>
        </is>
      </c>
      <c r="H2284" t="inlineStr">
        <is>
          <t>Retail pharmacy</t>
        </is>
      </c>
      <c r="I2284" t="inlineStr">
        <is>
          <t>Private insurer</t>
        </is>
      </c>
      <c r="J2284" t="inlineStr">
        <is>
          <t>Lucas Martin</t>
        </is>
      </c>
      <c r="K2284" s="70" t="n">
        <v>1786</v>
      </c>
      <c r="L2284" s="71" t="n">
        <v>106.44</v>
      </c>
      <c r="M2284" s="71" t="n">
        <v>190101.84</v>
      </c>
      <c r="N2284" s="71" t="n">
        <v>19010.18</v>
      </c>
      <c r="O2284" s="71" t="n">
        <v>171091.66</v>
      </c>
      <c r="P2284" s="71" t="n">
        <v>69907.25</v>
      </c>
      <c r="Q2284" s="71" t="n">
        <v>101184.41</v>
      </c>
      <c r="R2284" t="inlineStr">
        <is>
          <t>Vaccines</t>
        </is>
      </c>
      <c r="S2284" s="70" t="n">
        <v>1598</v>
      </c>
      <c r="T2284" s="71" t="n">
        <v>23188.89</v>
      </c>
      <c r="U2284" t="inlineStr">
        <is>
          <t>Low</t>
        </is>
      </c>
      <c r="V2284">
        <f>IF(AND(OR(Dashboard!$C$6="All",E2284=Dashboard!$C$6),OR(Dashboard!$F$6="All",G2284=Dashboard!$F$6),OR(Dashboard!$I$6="All",H2284=Dashboard!$I$6)),1,0)</f>
        <v/>
      </c>
    </row>
    <row r="2285">
      <c r="A2285" t="inlineStr">
        <is>
          <t>PF102276</t>
        </is>
      </c>
      <c r="B2285" s="68" t="n">
        <v>45933</v>
      </c>
      <c r="C2285" s="69" t="n">
        <v>2025</v>
      </c>
      <c r="D2285" t="inlineStr">
        <is>
          <t>Oct</t>
        </is>
      </c>
      <c r="E2285" t="inlineStr">
        <is>
          <t>Emerging markets</t>
        </is>
      </c>
      <c r="F2285" t="inlineStr">
        <is>
          <t>China</t>
        </is>
      </c>
      <c r="G2285" t="inlineStr">
        <is>
          <t>Comirnaty</t>
        </is>
      </c>
      <c r="H2285" t="inlineStr">
        <is>
          <t>Hospital</t>
        </is>
      </c>
      <c r="I2285" t="inlineStr">
        <is>
          <t>Public payer</t>
        </is>
      </c>
      <c r="J2285" t="inlineStr">
        <is>
          <t>Kofi Mensah</t>
        </is>
      </c>
      <c r="K2285" s="70" t="n">
        <v>1292</v>
      </c>
      <c r="L2285" s="71" t="n">
        <v>104.08</v>
      </c>
      <c r="M2285" s="71" t="n">
        <v>134471.36</v>
      </c>
      <c r="N2285" s="71" t="n">
        <v>33617.84</v>
      </c>
      <c r="O2285" s="71" t="n">
        <v>100853.52</v>
      </c>
      <c r="P2285" s="71" t="n">
        <v>49889.37</v>
      </c>
      <c r="Q2285" s="71" t="n">
        <v>50964.15</v>
      </c>
      <c r="R2285" t="inlineStr">
        <is>
          <t>Vaccines</t>
        </is>
      </c>
      <c r="S2285" s="70" t="n">
        <v>1005</v>
      </c>
      <c r="T2285" s="71" t="n">
        <v>27359.43</v>
      </c>
      <c r="U2285" t="inlineStr">
        <is>
          <t>Low</t>
        </is>
      </c>
      <c r="V2285">
        <f>IF(AND(OR(Dashboard!$C$6="All",E2285=Dashboard!$C$6),OR(Dashboard!$F$6="All",G2285=Dashboard!$F$6),OR(Dashboard!$I$6="All",H2285=Dashboard!$I$6)),1,0)</f>
        <v/>
      </c>
    </row>
    <row r="2286">
      <c r="A2286" t="inlineStr">
        <is>
          <t>PF102277</t>
        </is>
      </c>
      <c r="B2286" s="68" t="n">
        <v>45933</v>
      </c>
      <c r="C2286" s="69" t="n">
        <v>2025</v>
      </c>
      <c r="D2286" t="inlineStr">
        <is>
          <t>Oct</t>
        </is>
      </c>
      <c r="E2286" t="inlineStr">
        <is>
          <t>United States</t>
        </is>
      </c>
      <c r="F2286" t="inlineStr">
        <is>
          <t>USA</t>
        </is>
      </c>
      <c r="G2286" t="inlineStr">
        <is>
          <t>Eliquis</t>
        </is>
      </c>
      <c r="H2286" t="inlineStr">
        <is>
          <t>Retail pharmacy</t>
        </is>
      </c>
      <c r="I2286" t="inlineStr">
        <is>
          <t>Public payer</t>
        </is>
      </c>
      <c r="J2286" t="inlineStr">
        <is>
          <t>Aisha Bello</t>
        </is>
      </c>
      <c r="K2286" s="70" t="n">
        <v>1812</v>
      </c>
      <c r="L2286" s="71" t="n">
        <v>711.84</v>
      </c>
      <c r="M2286" s="71" t="n">
        <v>1289854.08</v>
      </c>
      <c r="N2286" s="71" t="n">
        <v>322463.52</v>
      </c>
      <c r="O2286" s="71" t="n">
        <v>967390.5600000001</v>
      </c>
      <c r="P2286" s="71" t="n">
        <v>138651.74</v>
      </c>
      <c r="Q2286" s="71" t="n">
        <v>828738.8199999999</v>
      </c>
      <c r="R2286" t="inlineStr">
        <is>
          <t>Cardiology</t>
        </is>
      </c>
      <c r="S2286" s="70" t="n">
        <v>1141</v>
      </c>
      <c r="T2286" s="71" t="n">
        <v>190761.1</v>
      </c>
      <c r="U2286" t="inlineStr">
        <is>
          <t>High</t>
        </is>
      </c>
      <c r="V2286">
        <f>IF(AND(OR(Dashboard!$C$6="All",E2286=Dashboard!$C$6),OR(Dashboard!$F$6="All",G2286=Dashboard!$F$6),OR(Dashboard!$I$6="All",H2286=Dashboard!$I$6)),1,0)</f>
        <v/>
      </c>
    </row>
    <row r="2287">
      <c r="A2287" t="inlineStr">
        <is>
          <t>PF102278</t>
        </is>
      </c>
      <c r="B2287" s="68" t="n">
        <v>45933</v>
      </c>
      <c r="C2287" s="69" t="n">
        <v>2025</v>
      </c>
      <c r="D2287" t="inlineStr">
        <is>
          <t>Oct</t>
        </is>
      </c>
      <c r="E2287" t="inlineStr">
        <is>
          <t>United States</t>
        </is>
      </c>
      <c r="F2287" t="inlineStr">
        <is>
          <t>USA</t>
        </is>
      </c>
      <c r="G2287" t="inlineStr">
        <is>
          <t>Eliquis</t>
        </is>
      </c>
      <c r="H2287" t="inlineStr">
        <is>
          <t>Government / tender</t>
        </is>
      </c>
      <c r="I2287" t="inlineStr">
        <is>
          <t>Public payer</t>
        </is>
      </c>
      <c r="J2287" t="inlineStr">
        <is>
          <t>Ravindra Patil</t>
        </is>
      </c>
      <c r="K2287" s="70" t="n">
        <v>1109</v>
      </c>
      <c r="L2287" s="71" t="n">
        <v>721.1799999999999</v>
      </c>
      <c r="M2287" s="71" t="n">
        <v>799788.62</v>
      </c>
      <c r="N2287" s="71" t="n">
        <v>159957.72</v>
      </c>
      <c r="O2287" s="71" t="n">
        <v>639830.9</v>
      </c>
      <c r="P2287" s="71" t="n">
        <v>86742.57000000001</v>
      </c>
      <c r="Q2287" s="71" t="n">
        <v>553088.33</v>
      </c>
      <c r="R2287" t="inlineStr">
        <is>
          <t>Cardiology</t>
        </is>
      </c>
      <c r="S2287" s="70" t="n">
        <v>1027</v>
      </c>
      <c r="T2287" s="71" t="n">
        <v>113124.01</v>
      </c>
      <c r="U2287" t="inlineStr">
        <is>
          <t>High</t>
        </is>
      </c>
      <c r="V2287">
        <f>IF(AND(OR(Dashboard!$C$6="All",E2287=Dashboard!$C$6),OR(Dashboard!$F$6="All",G2287=Dashboard!$F$6),OR(Dashboard!$I$6="All",H2287=Dashboard!$I$6)),1,0)</f>
        <v/>
      </c>
    </row>
    <row r="2288">
      <c r="A2288" t="inlineStr">
        <is>
          <t>PF102279</t>
        </is>
      </c>
      <c r="B2288" s="68" t="n">
        <v>45934</v>
      </c>
      <c r="C2288" s="69" t="n">
        <v>2025</v>
      </c>
      <c r="D2288" t="inlineStr">
        <is>
          <t>Oct</t>
        </is>
      </c>
      <c r="E2288" t="inlineStr">
        <is>
          <t>International developed</t>
        </is>
      </c>
      <c r="F2288" t="inlineStr">
        <is>
          <t>Japan</t>
        </is>
      </c>
      <c r="G2288" t="inlineStr">
        <is>
          <t>Vyndaqel</t>
        </is>
      </c>
      <c r="H2288" t="inlineStr">
        <is>
          <t>Hospital</t>
        </is>
      </c>
      <c r="I2288" t="inlineStr">
        <is>
          <t>Private insurer</t>
        </is>
      </c>
      <c r="J2288" t="inlineStr">
        <is>
          <t>Kofi Mensah</t>
        </is>
      </c>
      <c r="K2288" s="70" t="n">
        <v>474</v>
      </c>
      <c r="L2288" s="71" t="n">
        <v>5683.11</v>
      </c>
      <c r="M2288" s="71" t="n">
        <v>2693794.14</v>
      </c>
      <c r="N2288" s="71" t="n">
        <v>269379.41</v>
      </c>
      <c r="O2288" s="71" t="n">
        <v>2424414.73</v>
      </c>
      <c r="P2288" s="71" t="n">
        <v>300450.45</v>
      </c>
      <c r="Q2288" s="71" t="n">
        <v>2123964.28</v>
      </c>
      <c r="R2288" t="inlineStr">
        <is>
          <t>Rare disease</t>
        </is>
      </c>
      <c r="S2288" s="70" t="n">
        <v>337</v>
      </c>
      <c r="T2288" s="71" t="n">
        <v>444512.49</v>
      </c>
      <c r="U2288" t="inlineStr">
        <is>
          <t>Medium</t>
        </is>
      </c>
      <c r="V2288">
        <f>IF(AND(OR(Dashboard!$C$6="All",E2288=Dashboard!$C$6),OR(Dashboard!$F$6="All",G2288=Dashboard!$F$6),OR(Dashboard!$I$6="All",H2288=Dashboard!$I$6)),1,0)</f>
        <v/>
      </c>
    </row>
    <row r="2289">
      <c r="A2289" t="inlineStr">
        <is>
          <t>PF102280</t>
        </is>
      </c>
      <c r="B2289" s="68" t="n">
        <v>45934</v>
      </c>
      <c r="C2289" s="69" t="n">
        <v>2025</v>
      </c>
      <c r="D2289" t="inlineStr">
        <is>
          <t>Oct</t>
        </is>
      </c>
      <c r="E2289" t="inlineStr">
        <is>
          <t>Emerging markets</t>
        </is>
      </c>
      <c r="F2289" t="inlineStr">
        <is>
          <t>Brazil</t>
        </is>
      </c>
      <c r="G2289" t="inlineStr">
        <is>
          <t>Prevnar 20</t>
        </is>
      </c>
      <c r="H2289" t="inlineStr">
        <is>
          <t>Retail pharmacy</t>
        </is>
      </c>
      <c r="I2289" t="inlineStr">
        <is>
          <t>Public payer</t>
        </is>
      </c>
      <c r="J2289" t="inlineStr">
        <is>
          <t>Olivia Brown</t>
        </is>
      </c>
      <c r="K2289" s="70" t="n">
        <v>1480</v>
      </c>
      <c r="L2289" s="71" t="n">
        <v>230.41</v>
      </c>
      <c r="M2289" s="71" t="n">
        <v>341006.8</v>
      </c>
      <c r="N2289" s="71" t="n">
        <v>34100.68</v>
      </c>
      <c r="O2289" s="71" t="n">
        <v>306906.12</v>
      </c>
      <c r="P2289" s="71" t="n">
        <v>105322.33</v>
      </c>
      <c r="Q2289" s="71" t="n">
        <v>201583.79</v>
      </c>
      <c r="R2289" t="inlineStr">
        <is>
          <t>Vaccines</t>
        </is>
      </c>
      <c r="S2289" s="70" t="n">
        <v>1160</v>
      </c>
      <c r="T2289" s="71" t="n">
        <v>51929.26</v>
      </c>
      <c r="U2289" t="inlineStr">
        <is>
          <t>Low</t>
        </is>
      </c>
      <c r="V2289">
        <f>IF(AND(OR(Dashboard!$C$6="All",E2289=Dashboard!$C$6),OR(Dashboard!$F$6="All",G2289=Dashboard!$F$6),OR(Dashboard!$I$6="All",H2289=Dashboard!$I$6)),1,0)</f>
        <v/>
      </c>
    </row>
    <row r="2290">
      <c r="A2290" t="inlineStr">
        <is>
          <t>PF102281</t>
        </is>
      </c>
      <c r="B2290" s="68" t="n">
        <v>45934</v>
      </c>
      <c r="C2290" s="69" t="n">
        <v>2025</v>
      </c>
      <c r="D2290" t="inlineStr">
        <is>
          <t>Oct</t>
        </is>
      </c>
      <c r="E2290" t="inlineStr">
        <is>
          <t>Europe</t>
        </is>
      </c>
      <c r="F2290" t="inlineStr">
        <is>
          <t>Germany</t>
        </is>
      </c>
      <c r="G2290" t="inlineStr">
        <is>
          <t>Ibrance</t>
        </is>
      </c>
      <c r="H2290" t="inlineStr">
        <is>
          <t>Hospital</t>
        </is>
      </c>
      <c r="I2290" t="inlineStr">
        <is>
          <t>Self-pay</t>
        </is>
      </c>
      <c r="J2290" t="inlineStr">
        <is>
          <t>Lucas Martin</t>
        </is>
      </c>
      <c r="K2290" s="70" t="n">
        <v>1084</v>
      </c>
      <c r="L2290" s="71" t="n">
        <v>3164.01</v>
      </c>
      <c r="M2290" s="71" t="n">
        <v>3429786.84</v>
      </c>
      <c r="N2290" s="71" t="n">
        <v>857446.71</v>
      </c>
      <c r="O2290" s="71" t="n">
        <v>2572340.13</v>
      </c>
      <c r="P2290" s="71" t="n">
        <v>482600.61</v>
      </c>
      <c r="Q2290" s="71" t="n">
        <v>2089739.52</v>
      </c>
      <c r="R2290" t="inlineStr">
        <is>
          <t>Oncology</t>
        </is>
      </c>
      <c r="S2290" s="70" t="n">
        <v>912</v>
      </c>
      <c r="T2290" s="71" t="n">
        <v>677405.78</v>
      </c>
      <c r="U2290" t="inlineStr">
        <is>
          <t>High</t>
        </is>
      </c>
      <c r="V2290">
        <f>IF(AND(OR(Dashboard!$C$6="All",E2290=Dashboard!$C$6),OR(Dashboard!$F$6="All",G2290=Dashboard!$F$6),OR(Dashboard!$I$6="All",H2290=Dashboard!$I$6)),1,0)</f>
        <v/>
      </c>
    </row>
    <row r="2291">
      <c r="A2291" t="inlineStr">
        <is>
          <t>PF102282</t>
        </is>
      </c>
      <c r="B2291" s="68" t="n">
        <v>45934</v>
      </c>
      <c r="C2291" s="69" t="n">
        <v>2025</v>
      </c>
      <c r="D2291" t="inlineStr">
        <is>
          <t>Oct</t>
        </is>
      </c>
      <c r="E2291" t="inlineStr">
        <is>
          <t>Europe</t>
        </is>
      </c>
      <c r="F2291" t="inlineStr">
        <is>
          <t>Germany</t>
        </is>
      </c>
      <c r="G2291" t="inlineStr">
        <is>
          <t>Xeljanz</t>
        </is>
      </c>
      <c r="H2291" t="inlineStr">
        <is>
          <t>Retail pharmacy</t>
        </is>
      </c>
      <c r="I2291" t="inlineStr">
        <is>
          <t>Public payer</t>
        </is>
      </c>
      <c r="J2291" t="inlineStr">
        <is>
          <t>Carlos Silva</t>
        </is>
      </c>
      <c r="K2291" s="70" t="n">
        <v>2377</v>
      </c>
      <c r="L2291" s="71" t="n">
        <v>1471.46</v>
      </c>
      <c r="M2291" s="71" t="n">
        <v>3497660.42</v>
      </c>
      <c r="N2291" s="71" t="n">
        <v>349766.04</v>
      </c>
      <c r="O2291" s="71" t="n">
        <v>3147894.38</v>
      </c>
      <c r="P2291" s="71" t="n">
        <v>621527.35</v>
      </c>
      <c r="Q2291" s="71" t="n">
        <v>2526367.03</v>
      </c>
      <c r="R2291" t="inlineStr">
        <is>
          <t>Inflammation</t>
        </is>
      </c>
      <c r="S2291" s="70" t="n">
        <v>2301</v>
      </c>
      <c r="T2291" s="71" t="n">
        <v>757369.25</v>
      </c>
      <c r="U2291" t="inlineStr">
        <is>
          <t>High</t>
        </is>
      </c>
      <c r="V2291">
        <f>IF(AND(OR(Dashboard!$C$6="All",E2291=Dashboard!$C$6),OR(Dashboard!$F$6="All",G2291=Dashboard!$F$6),OR(Dashboard!$I$6="All",H2291=Dashboard!$I$6)),1,0)</f>
        <v/>
      </c>
    </row>
    <row r="2292">
      <c r="A2292" t="inlineStr">
        <is>
          <t>PF102283</t>
        </is>
      </c>
      <c r="B2292" s="68" t="n">
        <v>45934</v>
      </c>
      <c r="C2292" s="69" t="n">
        <v>2025</v>
      </c>
      <c r="D2292" t="inlineStr">
        <is>
          <t>Oct</t>
        </is>
      </c>
      <c r="E2292" t="inlineStr">
        <is>
          <t>International developed</t>
        </is>
      </c>
      <c r="F2292" t="inlineStr">
        <is>
          <t>Japan</t>
        </is>
      </c>
      <c r="G2292" t="inlineStr">
        <is>
          <t>Comirnaty</t>
        </is>
      </c>
      <c r="H2292" t="inlineStr">
        <is>
          <t>Hospital</t>
        </is>
      </c>
      <c r="I2292" t="inlineStr">
        <is>
          <t>Public payer</t>
        </is>
      </c>
      <c r="J2292" t="inlineStr">
        <is>
          <t>Liam O'Brien</t>
        </is>
      </c>
      <c r="K2292" s="70" t="n">
        <v>2920</v>
      </c>
      <c r="L2292" s="71" t="n">
        <v>114.97</v>
      </c>
      <c r="M2292" s="71" t="n">
        <v>335712.4</v>
      </c>
      <c r="N2292" s="71" t="n">
        <v>16785.62</v>
      </c>
      <c r="O2292" s="71" t="n">
        <v>318926.78</v>
      </c>
      <c r="P2292" s="71" t="n">
        <v>114319.93</v>
      </c>
      <c r="Q2292" s="71" t="n">
        <v>204606.85</v>
      </c>
      <c r="R2292" t="inlineStr">
        <is>
          <t>Vaccines</t>
        </is>
      </c>
      <c r="S2292" s="70" t="n">
        <v>2050</v>
      </c>
      <c r="T2292" s="71" t="n">
        <v>63933.25</v>
      </c>
      <c r="U2292" t="inlineStr">
        <is>
          <t>Low</t>
        </is>
      </c>
      <c r="V2292">
        <f>IF(AND(OR(Dashboard!$C$6="All",E2292=Dashboard!$C$6),OR(Dashboard!$F$6="All",G2292=Dashboard!$F$6),OR(Dashboard!$I$6="All",H2292=Dashboard!$I$6)),1,0)</f>
        <v/>
      </c>
    </row>
    <row r="2293">
      <c r="A2293" t="inlineStr">
        <is>
          <t>PF102284</t>
        </is>
      </c>
      <c r="B2293" s="68" t="n">
        <v>45934</v>
      </c>
      <c r="C2293" s="69" t="n">
        <v>2025</v>
      </c>
      <c r="D2293" t="inlineStr">
        <is>
          <t>Oct</t>
        </is>
      </c>
      <c r="E2293" t="inlineStr">
        <is>
          <t>United States</t>
        </is>
      </c>
      <c r="F2293" t="inlineStr">
        <is>
          <t>USA</t>
        </is>
      </c>
      <c r="G2293" t="inlineStr">
        <is>
          <t>Ibrance</t>
        </is>
      </c>
      <c r="H2293" t="inlineStr">
        <is>
          <t>Government / tender</t>
        </is>
      </c>
      <c r="I2293" t="inlineStr">
        <is>
          <t>Private insurer</t>
        </is>
      </c>
      <c r="J2293" t="inlineStr">
        <is>
          <t>Ana Costa</t>
        </is>
      </c>
      <c r="K2293" s="70" t="n">
        <v>680</v>
      </c>
      <c r="L2293" s="71" t="n">
        <v>4380.78</v>
      </c>
      <c r="M2293" s="71" t="n">
        <v>2978930.4</v>
      </c>
      <c r="N2293" s="71" t="n">
        <v>446839.56</v>
      </c>
      <c r="O2293" s="71" t="n">
        <v>2532090.84</v>
      </c>
      <c r="P2293" s="71" t="n">
        <v>298043.85</v>
      </c>
      <c r="Q2293" s="71" t="n">
        <v>2234046.99</v>
      </c>
      <c r="R2293" t="inlineStr">
        <is>
          <t>Oncology</t>
        </is>
      </c>
      <c r="S2293" s="70" t="n">
        <v>562</v>
      </c>
      <c r="T2293" s="71" t="n">
        <v>512281.44</v>
      </c>
      <c r="U2293" t="inlineStr">
        <is>
          <t>High</t>
        </is>
      </c>
      <c r="V2293">
        <f>IF(AND(OR(Dashboard!$C$6="All",E2293=Dashboard!$C$6),OR(Dashboard!$F$6="All",G2293=Dashboard!$F$6),OR(Dashboard!$I$6="All",H2293=Dashboard!$I$6)),1,0)</f>
        <v/>
      </c>
    </row>
    <row r="2294">
      <c r="A2294" t="inlineStr">
        <is>
          <t>PF102285</t>
        </is>
      </c>
      <c r="B2294" s="68" t="n">
        <v>45934</v>
      </c>
      <c r="C2294" s="69" t="n">
        <v>2025</v>
      </c>
      <c r="D2294" t="inlineStr">
        <is>
          <t>Oct</t>
        </is>
      </c>
      <c r="E2294" t="inlineStr">
        <is>
          <t>United States</t>
        </is>
      </c>
      <c r="F2294" t="inlineStr">
        <is>
          <t>USA</t>
        </is>
      </c>
      <c r="G2294" t="inlineStr">
        <is>
          <t>Comirnaty</t>
        </is>
      </c>
      <c r="H2294" t="inlineStr">
        <is>
          <t>Government / tender</t>
        </is>
      </c>
      <c r="I2294" t="inlineStr">
        <is>
          <t>Private insurer</t>
        </is>
      </c>
      <c r="J2294" t="inlineStr">
        <is>
          <t>Liam O'Brien</t>
        </is>
      </c>
      <c r="K2294" s="70" t="n">
        <v>2763</v>
      </c>
      <c r="L2294" s="71" t="n">
        <v>187.58</v>
      </c>
      <c r="M2294" s="71" t="n">
        <v>518283.54</v>
      </c>
      <c r="N2294" s="71" t="n">
        <v>103656.71</v>
      </c>
      <c r="O2294" s="71" t="n">
        <v>414626.83</v>
      </c>
      <c r="P2294" s="71" t="n">
        <v>106548.5</v>
      </c>
      <c r="Q2294" s="71" t="n">
        <v>308078.33</v>
      </c>
      <c r="R2294" t="inlineStr">
        <is>
          <t>Vaccines</t>
        </is>
      </c>
      <c r="S2294" s="70" t="n">
        <v>2158</v>
      </c>
      <c r="T2294" s="71" t="n">
        <v>109654.15</v>
      </c>
      <c r="U2294" t="inlineStr">
        <is>
          <t>Low</t>
        </is>
      </c>
      <c r="V2294">
        <f>IF(AND(OR(Dashboard!$C$6="All",E2294=Dashboard!$C$6),OR(Dashboard!$F$6="All",G2294=Dashboard!$F$6),OR(Dashboard!$I$6="All",H2294=Dashboard!$I$6)),1,0)</f>
        <v/>
      </c>
    </row>
    <row r="2295">
      <c r="A2295" t="inlineStr">
        <is>
          <t>PF102286</t>
        </is>
      </c>
      <c r="B2295" s="68" t="n">
        <v>45934</v>
      </c>
      <c r="C2295" s="69" t="n">
        <v>2025</v>
      </c>
      <c r="D2295" t="inlineStr">
        <is>
          <t>Oct</t>
        </is>
      </c>
      <c r="E2295" t="inlineStr">
        <is>
          <t>International developed</t>
        </is>
      </c>
      <c r="F2295" t="inlineStr">
        <is>
          <t>Japan</t>
        </is>
      </c>
      <c r="G2295" t="inlineStr">
        <is>
          <t>Xeljanz</t>
        </is>
      </c>
      <c r="H2295" t="inlineStr">
        <is>
          <t>Government / tender</t>
        </is>
      </c>
      <c r="I2295" t="inlineStr">
        <is>
          <t>Private insurer</t>
        </is>
      </c>
      <c r="J2295" t="inlineStr">
        <is>
          <t>Yuki Sato</t>
        </is>
      </c>
      <c r="K2295" s="70" t="n">
        <v>153</v>
      </c>
      <c r="L2295" s="71" t="n">
        <v>1423.19</v>
      </c>
      <c r="M2295" s="71" t="n">
        <v>217748.07</v>
      </c>
      <c r="N2295" s="71" t="n">
        <v>32662.21</v>
      </c>
      <c r="O2295" s="71" t="n">
        <v>185085.86</v>
      </c>
      <c r="P2295" s="71" t="n">
        <v>38857.85</v>
      </c>
      <c r="Q2295" s="71" t="n">
        <v>146228.01</v>
      </c>
      <c r="R2295" t="inlineStr">
        <is>
          <t>Inflammation</t>
        </is>
      </c>
      <c r="S2295" s="70" t="n">
        <v>140</v>
      </c>
      <c r="T2295" s="71" t="n">
        <v>46361.05</v>
      </c>
      <c r="U2295" t="inlineStr">
        <is>
          <t>High</t>
        </is>
      </c>
      <c r="V2295">
        <f>IF(AND(OR(Dashboard!$C$6="All",E2295=Dashboard!$C$6),OR(Dashboard!$F$6="All",G2295=Dashboard!$F$6),OR(Dashboard!$I$6="All",H2295=Dashboard!$I$6)),1,0)</f>
        <v/>
      </c>
    </row>
    <row r="2296">
      <c r="A2296" t="inlineStr">
        <is>
          <t>PF102287</t>
        </is>
      </c>
      <c r="B2296" s="68" t="n">
        <v>45934</v>
      </c>
      <c r="C2296" s="69" t="n">
        <v>2025</v>
      </c>
      <c r="D2296" t="inlineStr">
        <is>
          <t>Oct</t>
        </is>
      </c>
      <c r="E2296" t="inlineStr">
        <is>
          <t>Europe</t>
        </is>
      </c>
      <c r="F2296" t="inlineStr">
        <is>
          <t>Germany</t>
        </is>
      </c>
      <c r="G2296" t="inlineStr">
        <is>
          <t>Prevnar 20</t>
        </is>
      </c>
      <c r="H2296" t="inlineStr">
        <is>
          <t>Retail pharmacy</t>
        </is>
      </c>
      <c r="I2296" t="inlineStr">
        <is>
          <t>Private insurer</t>
        </is>
      </c>
      <c r="J2296" t="inlineStr">
        <is>
          <t>Fatima Al-Saud</t>
        </is>
      </c>
      <c r="K2296" s="70" t="n">
        <v>1262</v>
      </c>
      <c r="L2296" s="71" t="n">
        <v>215.87</v>
      </c>
      <c r="M2296" s="71" t="n">
        <v>272427.94</v>
      </c>
      <c r="N2296" s="71" t="n">
        <v>40864.19</v>
      </c>
      <c r="O2296" s="71" t="n">
        <v>231563.75</v>
      </c>
      <c r="P2296" s="71" t="n">
        <v>86351.71000000001</v>
      </c>
      <c r="Q2296" s="71" t="n">
        <v>145212.04</v>
      </c>
      <c r="R2296" t="inlineStr">
        <is>
          <t>Vaccines</t>
        </is>
      </c>
      <c r="S2296" s="70" t="n">
        <v>1037</v>
      </c>
      <c r="T2296" s="71" t="n">
        <v>58179.63</v>
      </c>
      <c r="U2296" t="inlineStr">
        <is>
          <t>Low</t>
        </is>
      </c>
      <c r="V2296">
        <f>IF(AND(OR(Dashboard!$C$6="All",E2296=Dashboard!$C$6),OR(Dashboard!$F$6="All",G2296=Dashboard!$F$6),OR(Dashboard!$I$6="All",H2296=Dashboard!$I$6)),1,0)</f>
        <v/>
      </c>
    </row>
    <row r="2297">
      <c r="A2297" t="inlineStr">
        <is>
          <t>PF102288</t>
        </is>
      </c>
      <c r="B2297" s="68" t="n">
        <v>45934</v>
      </c>
      <c r="C2297" s="69" t="n">
        <v>2025</v>
      </c>
      <c r="D2297" t="inlineStr">
        <is>
          <t>Oct</t>
        </is>
      </c>
      <c r="E2297" t="inlineStr">
        <is>
          <t>United States</t>
        </is>
      </c>
      <c r="F2297" t="inlineStr">
        <is>
          <t>USA</t>
        </is>
      </c>
      <c r="G2297" t="inlineStr">
        <is>
          <t>Prevnar 20</t>
        </is>
      </c>
      <c r="H2297" t="inlineStr">
        <is>
          <t>Retail pharmacy</t>
        </is>
      </c>
      <c r="I2297" t="inlineStr">
        <is>
          <t>Private insurer</t>
        </is>
      </c>
      <c r="J2297" t="inlineStr">
        <is>
          <t>Arjun Mehta</t>
        </is>
      </c>
      <c r="K2297" s="70" t="n">
        <v>2704</v>
      </c>
      <c r="L2297" s="71" t="n">
        <v>339.34</v>
      </c>
      <c r="M2297" s="71" t="n">
        <v>917575.36</v>
      </c>
      <c r="N2297" s="71" t="n">
        <v>137636.3</v>
      </c>
      <c r="O2297" s="71" t="n">
        <v>779939.0600000001</v>
      </c>
      <c r="P2297" s="71" t="n">
        <v>186938.07</v>
      </c>
      <c r="Q2297" s="71" t="n">
        <v>593000.99</v>
      </c>
      <c r="R2297" t="inlineStr">
        <is>
          <t>Vaccines</t>
        </is>
      </c>
      <c r="S2297" s="70" t="n">
        <v>2373</v>
      </c>
      <c r="T2297" s="71" t="n">
        <v>199628.26</v>
      </c>
      <c r="U2297" t="inlineStr">
        <is>
          <t>Low</t>
        </is>
      </c>
      <c r="V2297">
        <f>IF(AND(OR(Dashboard!$C$6="All",E2297=Dashboard!$C$6),OR(Dashboard!$F$6="All",G2297=Dashboard!$F$6),OR(Dashboard!$I$6="All",H2297=Dashboard!$I$6)),1,0)</f>
        <v/>
      </c>
    </row>
    <row r="2298">
      <c r="A2298" t="inlineStr">
        <is>
          <t>PF102289</t>
        </is>
      </c>
      <c r="B2298" s="68" t="n">
        <v>45934</v>
      </c>
      <c r="C2298" s="69" t="n">
        <v>2025</v>
      </c>
      <c r="D2298" t="inlineStr">
        <is>
          <t>Oct</t>
        </is>
      </c>
      <c r="E2298" t="inlineStr">
        <is>
          <t>United States</t>
        </is>
      </c>
      <c r="F2298" t="inlineStr">
        <is>
          <t>USA</t>
        </is>
      </c>
      <c r="G2298" t="inlineStr">
        <is>
          <t>Ibrance</t>
        </is>
      </c>
      <c r="H2298" t="inlineStr">
        <is>
          <t>Hospital</t>
        </is>
      </c>
      <c r="I2298" t="inlineStr">
        <is>
          <t>Public payer</t>
        </is>
      </c>
      <c r="J2298" t="inlineStr">
        <is>
          <t>Omar Haddad</t>
        </is>
      </c>
      <c r="K2298" s="70" t="n">
        <v>631</v>
      </c>
      <c r="L2298" s="71" t="n">
        <v>4435.95</v>
      </c>
      <c r="M2298" s="71" t="n">
        <v>2799084.45</v>
      </c>
      <c r="N2298" s="71" t="n">
        <v>419862.67</v>
      </c>
      <c r="O2298" s="71" t="n">
        <v>2379221.78</v>
      </c>
      <c r="P2298" s="71" t="n">
        <v>271631.75</v>
      </c>
      <c r="Q2298" s="71" t="n">
        <v>2107590.03</v>
      </c>
      <c r="R2298" t="inlineStr">
        <is>
          <t>Oncology</t>
        </is>
      </c>
      <c r="S2298" s="70" t="n">
        <v>448</v>
      </c>
      <c r="T2298" s="71" t="n">
        <v>486559.54</v>
      </c>
      <c r="U2298" t="inlineStr">
        <is>
          <t>High</t>
        </is>
      </c>
      <c r="V2298">
        <f>IF(AND(OR(Dashboard!$C$6="All",E2298=Dashboard!$C$6),OR(Dashboard!$F$6="All",G2298=Dashboard!$F$6),OR(Dashboard!$I$6="All",H2298=Dashboard!$I$6)),1,0)</f>
        <v/>
      </c>
    </row>
    <row r="2299">
      <c r="A2299" t="inlineStr">
        <is>
          <t>PF102290</t>
        </is>
      </c>
      <c r="B2299" s="68" t="n">
        <v>45934</v>
      </c>
      <c r="C2299" s="69" t="n">
        <v>2025</v>
      </c>
      <c r="D2299" t="inlineStr">
        <is>
          <t>Oct</t>
        </is>
      </c>
      <c r="E2299" t="inlineStr">
        <is>
          <t>United States</t>
        </is>
      </c>
      <c r="F2299" t="inlineStr">
        <is>
          <t>USA</t>
        </is>
      </c>
      <c r="G2299" t="inlineStr">
        <is>
          <t>Xeljanz</t>
        </is>
      </c>
      <c r="H2299" t="inlineStr">
        <is>
          <t>Retail pharmacy</t>
        </is>
      </c>
      <c r="I2299" t="inlineStr">
        <is>
          <t>Public payer</t>
        </is>
      </c>
      <c r="J2299" t="inlineStr">
        <is>
          <t>Fatima Al-Saud</t>
        </is>
      </c>
      <c r="K2299" s="70" t="n">
        <v>827</v>
      </c>
      <c r="L2299" s="71" t="n">
        <v>2027.84</v>
      </c>
      <c r="M2299" s="71" t="n">
        <v>1677023.68</v>
      </c>
      <c r="N2299" s="71" t="n">
        <v>586958.29</v>
      </c>
      <c r="O2299" s="71" t="n">
        <v>1090065.39</v>
      </c>
      <c r="P2299" s="71" t="n">
        <v>216024.99</v>
      </c>
      <c r="Q2299" s="71" t="n">
        <v>874040.4</v>
      </c>
      <c r="R2299" t="inlineStr">
        <is>
          <t>Inflammation</t>
        </is>
      </c>
      <c r="S2299" s="70" t="n">
        <v>560</v>
      </c>
      <c r="T2299" s="71" t="n">
        <v>308959.47</v>
      </c>
      <c r="U2299" t="inlineStr">
        <is>
          <t>High</t>
        </is>
      </c>
      <c r="V2299">
        <f>IF(AND(OR(Dashboard!$C$6="All",E2299=Dashboard!$C$6),OR(Dashboard!$F$6="All",G2299=Dashboard!$F$6),OR(Dashboard!$I$6="All",H2299=Dashboard!$I$6)),1,0)</f>
        <v/>
      </c>
    </row>
    <row r="2300">
      <c r="A2300" t="inlineStr">
        <is>
          <t>PF102291</t>
        </is>
      </c>
      <c r="B2300" s="68" t="n">
        <v>45934</v>
      </c>
      <c r="C2300" s="69" t="n">
        <v>2025</v>
      </c>
      <c r="D2300" t="inlineStr">
        <is>
          <t>Oct</t>
        </is>
      </c>
      <c r="E2300" t="inlineStr">
        <is>
          <t>United States</t>
        </is>
      </c>
      <c r="F2300" t="inlineStr">
        <is>
          <t>USA</t>
        </is>
      </c>
      <c r="G2300" t="inlineStr">
        <is>
          <t>Prevnar 20</t>
        </is>
      </c>
      <c r="H2300" t="inlineStr">
        <is>
          <t>Retail pharmacy</t>
        </is>
      </c>
      <c r="I2300" t="inlineStr">
        <is>
          <t>Public payer</t>
        </is>
      </c>
      <c r="J2300" t="inlineStr">
        <is>
          <t>Ravindra Patil</t>
        </is>
      </c>
      <c r="K2300" s="70" t="n">
        <v>2497</v>
      </c>
      <c r="L2300" s="71" t="n">
        <v>346.16</v>
      </c>
      <c r="M2300" s="71" t="n">
        <v>864361.52</v>
      </c>
      <c r="N2300" s="71" t="n">
        <v>302526.53</v>
      </c>
      <c r="O2300" s="71" t="n">
        <v>561834.99</v>
      </c>
      <c r="P2300" s="71" t="n">
        <v>176336.29</v>
      </c>
      <c r="Q2300" s="71" t="n">
        <v>385498.7</v>
      </c>
      <c r="R2300" t="inlineStr">
        <is>
          <t>Vaccines</t>
        </is>
      </c>
      <c r="S2300" s="70" t="n">
        <v>1749</v>
      </c>
      <c r="T2300" s="71" t="n">
        <v>133341.97</v>
      </c>
      <c r="U2300" t="inlineStr">
        <is>
          <t>Low</t>
        </is>
      </c>
      <c r="V2300">
        <f>IF(AND(OR(Dashboard!$C$6="All",E2300=Dashboard!$C$6),OR(Dashboard!$F$6="All",G2300=Dashboard!$F$6),OR(Dashboard!$I$6="All",H2300=Dashboard!$I$6)),1,0)</f>
        <v/>
      </c>
    </row>
    <row r="2301">
      <c r="A2301" t="inlineStr">
        <is>
          <t>PF102292</t>
        </is>
      </c>
      <c r="B2301" s="68" t="n">
        <v>45935</v>
      </c>
      <c r="C2301" s="69" t="n">
        <v>2025</v>
      </c>
      <c r="D2301" t="inlineStr">
        <is>
          <t>Oct</t>
        </is>
      </c>
      <c r="E2301" t="inlineStr">
        <is>
          <t>Europe</t>
        </is>
      </c>
      <c r="F2301" t="inlineStr">
        <is>
          <t>Italy</t>
        </is>
      </c>
      <c r="G2301" t="inlineStr">
        <is>
          <t>Prevnar 20</t>
        </is>
      </c>
      <c r="H2301" t="inlineStr">
        <is>
          <t>Retail pharmacy</t>
        </is>
      </c>
      <c r="I2301" t="inlineStr">
        <is>
          <t>Private insurer</t>
        </is>
      </c>
      <c r="J2301" t="inlineStr">
        <is>
          <t>Arjun Mehta</t>
        </is>
      </c>
      <c r="K2301" s="70" t="n">
        <v>2348</v>
      </c>
      <c r="L2301" s="71" t="n">
        <v>236.72</v>
      </c>
      <c r="M2301" s="71" t="n">
        <v>555818.5600000001</v>
      </c>
      <c r="N2301" s="71" t="n">
        <v>138954.64</v>
      </c>
      <c r="O2301" s="71" t="n">
        <v>416863.92</v>
      </c>
      <c r="P2301" s="71" t="n">
        <v>155683.6</v>
      </c>
      <c r="Q2301" s="71" t="n">
        <v>261180.32</v>
      </c>
      <c r="R2301" t="inlineStr">
        <is>
          <t>Vaccines</t>
        </is>
      </c>
      <c r="S2301" s="70" t="n">
        <v>1471</v>
      </c>
      <c r="T2301" s="71" t="n">
        <v>111333.24</v>
      </c>
      <c r="U2301" t="inlineStr">
        <is>
          <t>Low</t>
        </is>
      </c>
      <c r="V2301">
        <f>IF(AND(OR(Dashboard!$C$6="All",E2301=Dashboard!$C$6),OR(Dashboard!$F$6="All",G2301=Dashboard!$F$6),OR(Dashboard!$I$6="All",H2301=Dashboard!$I$6)),1,0)</f>
        <v/>
      </c>
    </row>
    <row r="2302">
      <c r="A2302" t="inlineStr">
        <is>
          <t>PF102293</t>
        </is>
      </c>
      <c r="B2302" s="68" t="n">
        <v>45935</v>
      </c>
      <c r="C2302" s="69" t="n">
        <v>2025</v>
      </c>
      <c r="D2302" t="inlineStr">
        <is>
          <t>Oct</t>
        </is>
      </c>
      <c r="E2302" t="inlineStr">
        <is>
          <t>United States</t>
        </is>
      </c>
      <c r="F2302" t="inlineStr">
        <is>
          <t>USA</t>
        </is>
      </c>
      <c r="G2302" t="inlineStr">
        <is>
          <t>Vyndaqel</t>
        </is>
      </c>
      <c r="H2302" t="inlineStr">
        <is>
          <t>Retail pharmacy</t>
        </is>
      </c>
      <c r="I2302" t="inlineStr">
        <is>
          <t>Private insurer</t>
        </is>
      </c>
      <c r="J2302" t="inlineStr">
        <is>
          <t>Mei Lin</t>
        </is>
      </c>
      <c r="K2302" s="70" t="n">
        <v>670</v>
      </c>
      <c r="L2302" s="71" t="n">
        <v>8664.67</v>
      </c>
      <c r="M2302" s="71" t="n">
        <v>5805328.9</v>
      </c>
      <c r="N2302" s="71" t="n">
        <v>1161065.78</v>
      </c>
      <c r="O2302" s="71" t="n">
        <v>4644263.12</v>
      </c>
      <c r="P2302" s="71" t="n">
        <v>410603.24</v>
      </c>
      <c r="Q2302" s="71" t="n">
        <v>4233659.88</v>
      </c>
      <c r="R2302" t="inlineStr">
        <is>
          <t>Rare disease</t>
        </is>
      </c>
      <c r="S2302" s="70" t="n">
        <v>531</v>
      </c>
      <c r="T2302" s="71" t="n">
        <v>949016.98</v>
      </c>
      <c r="U2302" t="inlineStr">
        <is>
          <t>Medium</t>
        </is>
      </c>
      <c r="V2302">
        <f>IF(AND(OR(Dashboard!$C$6="All",E2302=Dashboard!$C$6),OR(Dashboard!$F$6="All",G2302=Dashboard!$F$6),OR(Dashboard!$I$6="All",H2302=Dashboard!$I$6)),1,0)</f>
        <v/>
      </c>
    </row>
    <row r="2303">
      <c r="A2303" t="inlineStr">
        <is>
          <t>PF102294</t>
        </is>
      </c>
      <c r="B2303" s="68" t="n">
        <v>45935</v>
      </c>
      <c r="C2303" s="69" t="n">
        <v>2025</v>
      </c>
      <c r="D2303" t="inlineStr">
        <is>
          <t>Oct</t>
        </is>
      </c>
      <c r="E2303" t="inlineStr">
        <is>
          <t>United States</t>
        </is>
      </c>
      <c r="F2303" t="inlineStr">
        <is>
          <t>USA</t>
        </is>
      </c>
      <c r="G2303" t="inlineStr">
        <is>
          <t>Comirnaty</t>
        </is>
      </c>
      <c r="H2303" t="inlineStr">
        <is>
          <t>Hospital</t>
        </is>
      </c>
      <c r="I2303" t="inlineStr">
        <is>
          <t>Private insurer</t>
        </is>
      </c>
      <c r="J2303" t="inlineStr">
        <is>
          <t>Ruhi Shaikh</t>
        </is>
      </c>
      <c r="K2303" s="70" t="n">
        <v>414</v>
      </c>
      <c r="L2303" s="71" t="n">
        <v>191.01</v>
      </c>
      <c r="M2303" s="71" t="n">
        <v>79078.14</v>
      </c>
      <c r="N2303" s="71" t="n">
        <v>27677.35</v>
      </c>
      <c r="O2303" s="71" t="n">
        <v>51400.79</v>
      </c>
      <c r="P2303" s="71" t="n">
        <v>15752.07</v>
      </c>
      <c r="Q2303" s="71" t="n">
        <v>35648.72</v>
      </c>
      <c r="R2303" t="inlineStr">
        <is>
          <t>Vaccines</t>
        </is>
      </c>
      <c r="S2303" s="70" t="n">
        <v>265</v>
      </c>
      <c r="T2303" s="71" t="n">
        <v>15870.81</v>
      </c>
      <c r="U2303" t="inlineStr">
        <is>
          <t>Low</t>
        </is>
      </c>
      <c r="V2303">
        <f>IF(AND(OR(Dashboard!$C$6="All",E2303=Dashboard!$C$6),OR(Dashboard!$F$6="All",G2303=Dashboard!$F$6),OR(Dashboard!$I$6="All",H2303=Dashboard!$I$6)),1,0)</f>
        <v/>
      </c>
    </row>
    <row r="2304">
      <c r="A2304" t="inlineStr">
        <is>
          <t>PF102295</t>
        </is>
      </c>
      <c r="B2304" s="68" t="n">
        <v>45935</v>
      </c>
      <c r="C2304" s="69" t="n">
        <v>2025</v>
      </c>
      <c r="D2304" t="inlineStr">
        <is>
          <t>Oct</t>
        </is>
      </c>
      <c r="E2304" t="inlineStr">
        <is>
          <t>Europe</t>
        </is>
      </c>
      <c r="F2304" t="inlineStr">
        <is>
          <t>France</t>
        </is>
      </c>
      <c r="G2304" t="inlineStr">
        <is>
          <t>Xeljanz</t>
        </is>
      </c>
      <c r="H2304" t="inlineStr">
        <is>
          <t>Hospital</t>
        </is>
      </c>
      <c r="I2304" t="inlineStr">
        <is>
          <t>Private insurer</t>
        </is>
      </c>
      <c r="J2304" t="inlineStr">
        <is>
          <t>Zoya Ahmed</t>
        </is>
      </c>
      <c r="K2304" s="70" t="n">
        <v>1933</v>
      </c>
      <c r="L2304" s="71" t="n">
        <v>1482.45</v>
      </c>
      <c r="M2304" s="71" t="n">
        <v>2865575.85</v>
      </c>
      <c r="N2304" s="71" t="n">
        <v>573115.17</v>
      </c>
      <c r="O2304" s="71" t="n">
        <v>2292460.68</v>
      </c>
      <c r="P2304" s="71" t="n">
        <v>505255.05</v>
      </c>
      <c r="Q2304" s="71" t="n">
        <v>1787205.63</v>
      </c>
      <c r="R2304" t="inlineStr">
        <is>
          <t>Inflammation</t>
        </is>
      </c>
      <c r="S2304" s="70" t="n">
        <v>1237</v>
      </c>
      <c r="T2304" s="71" t="n">
        <v>566112.42</v>
      </c>
      <c r="U2304" t="inlineStr">
        <is>
          <t>High</t>
        </is>
      </c>
      <c r="V2304">
        <f>IF(AND(OR(Dashboard!$C$6="All",E2304=Dashboard!$C$6),OR(Dashboard!$F$6="All",G2304=Dashboard!$F$6),OR(Dashboard!$I$6="All",H2304=Dashboard!$I$6)),1,0)</f>
        <v/>
      </c>
    </row>
    <row r="2305">
      <c r="A2305" t="inlineStr">
        <is>
          <t>PF102296</t>
        </is>
      </c>
      <c r="B2305" s="68" t="n">
        <v>45935</v>
      </c>
      <c r="C2305" s="69" t="n">
        <v>2025</v>
      </c>
      <c r="D2305" t="inlineStr">
        <is>
          <t>Oct</t>
        </is>
      </c>
      <c r="E2305" t="inlineStr">
        <is>
          <t>Emerging markets</t>
        </is>
      </c>
      <c r="F2305" t="inlineStr">
        <is>
          <t>Mexico</t>
        </is>
      </c>
      <c r="G2305" t="inlineStr">
        <is>
          <t>Xeljanz</t>
        </is>
      </c>
      <c r="H2305" t="inlineStr">
        <is>
          <t>Retail pharmacy</t>
        </is>
      </c>
      <c r="I2305" t="inlineStr">
        <is>
          <t>Public payer</t>
        </is>
      </c>
      <c r="J2305" t="inlineStr">
        <is>
          <t>Ravindra Patil</t>
        </is>
      </c>
      <c r="K2305" s="70" t="n">
        <v>2045</v>
      </c>
      <c r="L2305" s="71" t="n">
        <v>1438.69</v>
      </c>
      <c r="M2305" s="71" t="n">
        <v>2942121.05</v>
      </c>
      <c r="N2305" s="71" t="n">
        <v>294212.1</v>
      </c>
      <c r="O2305" s="71" t="n">
        <v>2647908.95</v>
      </c>
      <c r="P2305" s="71" t="n">
        <v>531979.9300000001</v>
      </c>
      <c r="Q2305" s="71" t="n">
        <v>2115929.02</v>
      </c>
      <c r="R2305" t="inlineStr">
        <is>
          <t>Inflammation</t>
        </is>
      </c>
      <c r="S2305" s="70" t="n">
        <v>1419</v>
      </c>
      <c r="T2305" s="71" t="n">
        <v>578758.52</v>
      </c>
      <c r="U2305" t="inlineStr">
        <is>
          <t>High</t>
        </is>
      </c>
      <c r="V2305">
        <f>IF(AND(OR(Dashboard!$C$6="All",E2305=Dashboard!$C$6),OR(Dashboard!$F$6="All",G2305=Dashboard!$F$6),OR(Dashboard!$I$6="All",H2305=Dashboard!$I$6)),1,0)</f>
        <v/>
      </c>
    </row>
    <row r="2306">
      <c r="A2306" t="inlineStr">
        <is>
          <t>PF102297</t>
        </is>
      </c>
      <c r="B2306" s="68" t="n">
        <v>45935</v>
      </c>
      <c r="C2306" s="69" t="n">
        <v>2025</v>
      </c>
      <c r="D2306" t="inlineStr">
        <is>
          <t>Oct</t>
        </is>
      </c>
      <c r="E2306" t="inlineStr">
        <is>
          <t>Emerging markets</t>
        </is>
      </c>
      <c r="F2306" t="inlineStr">
        <is>
          <t>China</t>
        </is>
      </c>
      <c r="G2306" t="inlineStr">
        <is>
          <t>Abrysvo</t>
        </is>
      </c>
      <c r="H2306" t="inlineStr">
        <is>
          <t>Hospital</t>
        </is>
      </c>
      <c r="I2306" t="inlineStr">
        <is>
          <t>Private insurer</t>
        </is>
      </c>
      <c r="J2306" t="inlineStr">
        <is>
          <t>Mei Lin</t>
        </is>
      </c>
      <c r="K2306" s="70" t="n">
        <v>1829</v>
      </c>
      <c r="L2306" s="71" t="n">
        <v>283.78</v>
      </c>
      <c r="M2306" s="71" t="n">
        <v>519033.62</v>
      </c>
      <c r="N2306" s="71" t="n">
        <v>129758.4</v>
      </c>
      <c r="O2306" s="71" t="n">
        <v>389275.22</v>
      </c>
      <c r="P2306" s="71" t="n">
        <v>153432.11</v>
      </c>
      <c r="Q2306" s="71" t="n">
        <v>235843.11</v>
      </c>
      <c r="R2306" t="inlineStr">
        <is>
          <t>Vaccines</t>
        </is>
      </c>
      <c r="S2306" s="70" t="n">
        <v>1727</v>
      </c>
      <c r="T2306" s="71" t="n">
        <v>83318.32000000001</v>
      </c>
      <c r="U2306" t="inlineStr">
        <is>
          <t>Low</t>
        </is>
      </c>
      <c r="V2306">
        <f>IF(AND(OR(Dashboard!$C$6="All",E2306=Dashboard!$C$6),OR(Dashboard!$F$6="All",G2306=Dashboard!$F$6),OR(Dashboard!$I$6="All",H2306=Dashboard!$I$6)),1,0)</f>
        <v/>
      </c>
    </row>
    <row r="2307">
      <c r="A2307" t="inlineStr">
        <is>
          <t>PF102298</t>
        </is>
      </c>
      <c r="B2307" s="68" t="n">
        <v>45935</v>
      </c>
      <c r="C2307" s="69" t="n">
        <v>2025</v>
      </c>
      <c r="D2307" t="inlineStr">
        <is>
          <t>Oct</t>
        </is>
      </c>
      <c r="E2307" t="inlineStr">
        <is>
          <t>Europe</t>
        </is>
      </c>
      <c r="F2307" t="inlineStr">
        <is>
          <t>UK</t>
        </is>
      </c>
      <c r="G2307" t="inlineStr">
        <is>
          <t>Vyndaqel</t>
        </is>
      </c>
      <c r="H2307" t="inlineStr">
        <is>
          <t>Retail pharmacy</t>
        </is>
      </c>
      <c r="I2307" t="inlineStr">
        <is>
          <t>Private insurer</t>
        </is>
      </c>
      <c r="J2307" t="inlineStr">
        <is>
          <t>Arjun Mehta</t>
        </is>
      </c>
      <c r="K2307" s="70" t="n">
        <v>2823</v>
      </c>
      <c r="L2307" s="71" t="n">
        <v>5085.25</v>
      </c>
      <c r="M2307" s="71" t="n">
        <v>14355660.75</v>
      </c>
      <c r="N2307" s="71" t="n">
        <v>2153349.11</v>
      </c>
      <c r="O2307" s="71" t="n">
        <v>12202311.64</v>
      </c>
      <c r="P2307" s="71" t="n">
        <v>1824209.26</v>
      </c>
      <c r="Q2307" s="71" t="n">
        <v>10378102.38</v>
      </c>
      <c r="R2307" t="inlineStr">
        <is>
          <t>Rare disease</t>
        </is>
      </c>
      <c r="S2307" s="70" t="n">
        <v>2100</v>
      </c>
      <c r="T2307" s="71" t="n">
        <v>2800441.85</v>
      </c>
      <c r="U2307" t="inlineStr">
        <is>
          <t>Medium</t>
        </is>
      </c>
      <c r="V2307">
        <f>IF(AND(OR(Dashboard!$C$6="All",E2307=Dashboard!$C$6),OR(Dashboard!$F$6="All",G2307=Dashboard!$F$6),OR(Dashboard!$I$6="All",H2307=Dashboard!$I$6)),1,0)</f>
        <v/>
      </c>
    </row>
    <row r="2308">
      <c r="A2308" t="inlineStr">
        <is>
          <t>PF102299</t>
        </is>
      </c>
      <c r="B2308" s="68" t="n">
        <v>45935</v>
      </c>
      <c r="C2308" s="69" t="n">
        <v>2025</v>
      </c>
      <c r="D2308" t="inlineStr">
        <is>
          <t>Oct</t>
        </is>
      </c>
      <c r="E2308" t="inlineStr">
        <is>
          <t>Europe</t>
        </is>
      </c>
      <c r="F2308" t="inlineStr">
        <is>
          <t>France</t>
        </is>
      </c>
      <c r="G2308" t="inlineStr">
        <is>
          <t>Ibrance</t>
        </is>
      </c>
      <c r="H2308" t="inlineStr">
        <is>
          <t>Government / tender</t>
        </is>
      </c>
      <c r="I2308" t="inlineStr">
        <is>
          <t>Self-pay</t>
        </is>
      </c>
      <c r="J2308" t="inlineStr">
        <is>
          <t>Lucas Martin</t>
        </is>
      </c>
      <c r="K2308" s="70" t="n">
        <v>636</v>
      </c>
      <c r="L2308" s="71" t="n">
        <v>2682.21</v>
      </c>
      <c r="M2308" s="71" t="n">
        <v>1705885.56</v>
      </c>
      <c r="N2308" s="71" t="n">
        <v>255882.83</v>
      </c>
      <c r="O2308" s="71" t="n">
        <v>1450002.73</v>
      </c>
      <c r="P2308" s="71" t="n">
        <v>285000.21</v>
      </c>
      <c r="Q2308" s="71" t="n">
        <v>1165002.52</v>
      </c>
      <c r="R2308" t="inlineStr">
        <is>
          <t>Oncology</t>
        </is>
      </c>
      <c r="S2308" s="70" t="n">
        <v>512</v>
      </c>
      <c r="T2308" s="71" t="n">
        <v>215141.35</v>
      </c>
      <c r="U2308" t="inlineStr">
        <is>
          <t>High</t>
        </is>
      </c>
      <c r="V2308">
        <f>IF(AND(OR(Dashboard!$C$6="All",E2308=Dashboard!$C$6),OR(Dashboard!$F$6="All",G2308=Dashboard!$F$6),OR(Dashboard!$I$6="All",H2308=Dashboard!$I$6)),1,0)</f>
        <v/>
      </c>
    </row>
    <row r="2309">
      <c r="A2309" t="inlineStr">
        <is>
          <t>PF102300</t>
        </is>
      </c>
      <c r="B2309" s="68" t="n">
        <v>45935</v>
      </c>
      <c r="C2309" s="69" t="n">
        <v>2025</v>
      </c>
      <c r="D2309" t="inlineStr">
        <is>
          <t>Oct</t>
        </is>
      </c>
      <c r="E2309" t="inlineStr">
        <is>
          <t>United States</t>
        </is>
      </c>
      <c r="F2309" t="inlineStr">
        <is>
          <t>USA</t>
        </is>
      </c>
      <c r="G2309" t="inlineStr">
        <is>
          <t>Abrysvo</t>
        </is>
      </c>
      <c r="H2309" t="inlineStr">
        <is>
          <t>Retail pharmacy</t>
        </is>
      </c>
      <c r="I2309" t="inlineStr">
        <is>
          <t>Public payer</t>
        </is>
      </c>
      <c r="J2309" t="inlineStr">
        <is>
          <t>Kofi Mensah</t>
        </is>
      </c>
      <c r="K2309" s="70" t="n">
        <v>566</v>
      </c>
      <c r="L2309" s="71" t="n">
        <v>476.06</v>
      </c>
      <c r="M2309" s="71" t="n">
        <v>269449.96</v>
      </c>
      <c r="N2309" s="71" t="n">
        <v>67362.49000000001</v>
      </c>
      <c r="O2309" s="71" t="n">
        <v>202087.47</v>
      </c>
      <c r="P2309" s="71" t="n">
        <v>48917.99</v>
      </c>
      <c r="Q2309" s="71" t="n">
        <v>153169.48</v>
      </c>
      <c r="R2309" t="inlineStr">
        <is>
          <t>Vaccines</t>
        </is>
      </c>
      <c r="S2309" s="70" t="n">
        <v>508</v>
      </c>
      <c r="T2309" s="71" t="n">
        <v>39296.67</v>
      </c>
      <c r="U2309" t="inlineStr">
        <is>
          <t>Low</t>
        </is>
      </c>
      <c r="V2309">
        <f>IF(AND(OR(Dashboard!$C$6="All",E2309=Dashboard!$C$6),OR(Dashboard!$F$6="All",G2309=Dashboard!$F$6),OR(Dashboard!$I$6="All",H2309=Dashboard!$I$6)),1,0)</f>
        <v/>
      </c>
    </row>
    <row r="2310">
      <c r="A2310" t="inlineStr">
        <is>
          <t>PF102301</t>
        </is>
      </c>
      <c r="B2310" s="68" t="n">
        <v>45935</v>
      </c>
      <c r="C2310" s="69" t="n">
        <v>2025</v>
      </c>
      <c r="D2310" t="inlineStr">
        <is>
          <t>Oct</t>
        </is>
      </c>
      <c r="E2310" t="inlineStr">
        <is>
          <t>United States</t>
        </is>
      </c>
      <c r="F2310" t="inlineStr">
        <is>
          <t>USA</t>
        </is>
      </c>
      <c r="G2310" t="inlineStr">
        <is>
          <t>Ibrance</t>
        </is>
      </c>
      <c r="H2310" t="inlineStr">
        <is>
          <t>Retail pharmacy</t>
        </is>
      </c>
      <c r="I2310" t="inlineStr">
        <is>
          <t>Private insurer</t>
        </is>
      </c>
      <c r="J2310" t="inlineStr">
        <is>
          <t>Wei Chen</t>
        </is>
      </c>
      <c r="K2310" s="70" t="n">
        <v>1531</v>
      </c>
      <c r="L2310" s="71" t="n">
        <v>4427.3</v>
      </c>
      <c r="M2310" s="71" t="n">
        <v>6778196.3</v>
      </c>
      <c r="N2310" s="71" t="n">
        <v>1016729.45</v>
      </c>
      <c r="O2310" s="71" t="n">
        <v>5761466.85</v>
      </c>
      <c r="P2310" s="71" t="n">
        <v>684111.84</v>
      </c>
      <c r="Q2310" s="71" t="n">
        <v>5077355.01</v>
      </c>
      <c r="R2310" t="inlineStr">
        <is>
          <t>Oncology</t>
        </is>
      </c>
      <c r="S2310" s="70" t="n">
        <v>1063</v>
      </c>
      <c r="T2310" s="71" t="n">
        <v>1183749</v>
      </c>
      <c r="U2310" t="inlineStr">
        <is>
          <t>High</t>
        </is>
      </c>
      <c r="V2310">
        <f>IF(AND(OR(Dashboard!$C$6="All",E2310=Dashboard!$C$6),OR(Dashboard!$F$6="All",G2310=Dashboard!$F$6),OR(Dashboard!$I$6="All",H2310=Dashboard!$I$6)),1,0)</f>
        <v/>
      </c>
    </row>
    <row r="2311">
      <c r="A2311" t="inlineStr">
        <is>
          <t>PF102302</t>
        </is>
      </c>
      <c r="B2311" s="68" t="n">
        <v>45935</v>
      </c>
      <c r="C2311" s="69" t="n">
        <v>2025</v>
      </c>
      <c r="D2311" t="inlineStr">
        <is>
          <t>Oct</t>
        </is>
      </c>
      <c r="E2311" t="inlineStr">
        <is>
          <t>United States</t>
        </is>
      </c>
      <c r="F2311" t="inlineStr">
        <is>
          <t>USA</t>
        </is>
      </c>
      <c r="G2311" t="inlineStr">
        <is>
          <t>Vyndaqel</t>
        </is>
      </c>
      <c r="H2311" t="inlineStr">
        <is>
          <t>Government / tender</t>
        </is>
      </c>
      <c r="I2311" t="inlineStr">
        <is>
          <t>Private insurer</t>
        </is>
      </c>
      <c r="J2311" t="inlineStr">
        <is>
          <t>Hiroshi Tanaka</t>
        </is>
      </c>
      <c r="K2311" s="70" t="n">
        <v>2358</v>
      </c>
      <c r="L2311" s="71" t="n">
        <v>8179.66</v>
      </c>
      <c r="M2311" s="71" t="n">
        <v>19287638.28</v>
      </c>
      <c r="N2311" s="71" t="n">
        <v>6750673.4</v>
      </c>
      <c r="O2311" s="71" t="n">
        <v>12536964.88</v>
      </c>
      <c r="P2311" s="71" t="n">
        <v>1417113.34</v>
      </c>
      <c r="Q2311" s="71" t="n">
        <v>11119851.54</v>
      </c>
      <c r="R2311" t="inlineStr">
        <is>
          <t>Rare disease</t>
        </is>
      </c>
      <c r="S2311" s="70" t="n">
        <v>2194</v>
      </c>
      <c r="T2311" s="71" t="n">
        <v>4144150.8</v>
      </c>
      <c r="U2311" t="inlineStr">
        <is>
          <t>Medium</t>
        </is>
      </c>
      <c r="V2311">
        <f>IF(AND(OR(Dashboard!$C$6="All",E2311=Dashboard!$C$6),OR(Dashboard!$F$6="All",G2311=Dashboard!$F$6),OR(Dashboard!$I$6="All",H2311=Dashboard!$I$6)),1,0)</f>
        <v/>
      </c>
    </row>
    <row r="2312">
      <c r="A2312" t="inlineStr">
        <is>
          <t>PF102303</t>
        </is>
      </c>
      <c r="B2312" s="68" t="n">
        <v>45935</v>
      </c>
      <c r="C2312" s="69" t="n">
        <v>2025</v>
      </c>
      <c r="D2312" t="inlineStr">
        <is>
          <t>Oct</t>
        </is>
      </c>
      <c r="E2312" t="inlineStr">
        <is>
          <t>United States</t>
        </is>
      </c>
      <c r="F2312" t="inlineStr">
        <is>
          <t>USA</t>
        </is>
      </c>
      <c r="G2312" t="inlineStr">
        <is>
          <t>Comirnaty</t>
        </is>
      </c>
      <c r="H2312" t="inlineStr">
        <is>
          <t>Hospital</t>
        </is>
      </c>
      <c r="I2312" t="inlineStr">
        <is>
          <t>Private insurer</t>
        </is>
      </c>
      <c r="J2312" t="inlineStr">
        <is>
          <t>Mei Lin</t>
        </is>
      </c>
      <c r="K2312" s="70" t="n">
        <v>2834</v>
      </c>
      <c r="L2312" s="71" t="n">
        <v>191.2</v>
      </c>
      <c r="M2312" s="71" t="n">
        <v>541860.8</v>
      </c>
      <c r="N2312" s="71" t="n">
        <v>108372.16</v>
      </c>
      <c r="O2312" s="71" t="n">
        <v>433488.64</v>
      </c>
      <c r="P2312" s="71" t="n">
        <v>108151.53</v>
      </c>
      <c r="Q2312" s="71" t="n">
        <v>325337.11</v>
      </c>
      <c r="R2312" t="inlineStr">
        <is>
          <t>Vaccines</t>
        </is>
      </c>
      <c r="S2312" s="70" t="n">
        <v>1975</v>
      </c>
      <c r="T2312" s="71" t="n">
        <v>67172.32000000001</v>
      </c>
      <c r="U2312" t="inlineStr">
        <is>
          <t>Low</t>
        </is>
      </c>
      <c r="V2312">
        <f>IF(AND(OR(Dashboard!$C$6="All",E2312=Dashboard!$C$6),OR(Dashboard!$F$6="All",G2312=Dashboard!$F$6),OR(Dashboard!$I$6="All",H2312=Dashboard!$I$6)),1,0)</f>
        <v/>
      </c>
    </row>
    <row r="2313">
      <c r="A2313" t="inlineStr">
        <is>
          <t>PF102304</t>
        </is>
      </c>
      <c r="B2313" s="68" t="n">
        <v>45936</v>
      </c>
      <c r="C2313" s="69" t="n">
        <v>2025</v>
      </c>
      <c r="D2313" t="inlineStr">
        <is>
          <t>Oct</t>
        </is>
      </c>
      <c r="E2313" t="inlineStr">
        <is>
          <t>Emerging markets</t>
        </is>
      </c>
      <c r="F2313" t="inlineStr">
        <is>
          <t>Mexico</t>
        </is>
      </c>
      <c r="G2313" t="inlineStr">
        <is>
          <t>Abrysvo</t>
        </is>
      </c>
      <c r="H2313" t="inlineStr">
        <is>
          <t>Hospital</t>
        </is>
      </c>
      <c r="I2313" t="inlineStr">
        <is>
          <t>Public payer</t>
        </is>
      </c>
      <c r="J2313" t="inlineStr">
        <is>
          <t>Sophie Müller</t>
        </is>
      </c>
      <c r="K2313" s="70" t="n">
        <v>613</v>
      </c>
      <c r="L2313" s="71" t="n">
        <v>281.85</v>
      </c>
      <c r="M2313" s="71" t="n">
        <v>172774.05</v>
      </c>
      <c r="N2313" s="71" t="n">
        <v>34554.81</v>
      </c>
      <c r="O2313" s="71" t="n">
        <v>138219.24</v>
      </c>
      <c r="P2313" s="71" t="n">
        <v>51136.63</v>
      </c>
      <c r="Q2313" s="71" t="n">
        <v>87082.61</v>
      </c>
      <c r="R2313" t="inlineStr">
        <is>
          <t>Vaccines</t>
        </is>
      </c>
      <c r="S2313" s="70" t="n">
        <v>443</v>
      </c>
      <c r="T2313" s="71" t="n">
        <v>24738.51</v>
      </c>
      <c r="U2313" t="inlineStr">
        <is>
          <t>Low</t>
        </is>
      </c>
      <c r="V2313">
        <f>IF(AND(OR(Dashboard!$C$6="All",E2313=Dashboard!$C$6),OR(Dashboard!$F$6="All",G2313=Dashboard!$F$6),OR(Dashboard!$I$6="All",H2313=Dashboard!$I$6)),1,0)</f>
        <v/>
      </c>
    </row>
    <row r="2314">
      <c r="A2314" t="inlineStr">
        <is>
          <t>PF102305</t>
        </is>
      </c>
      <c r="B2314" s="68" t="n">
        <v>45936</v>
      </c>
      <c r="C2314" s="69" t="n">
        <v>2025</v>
      </c>
      <c r="D2314" t="inlineStr">
        <is>
          <t>Oct</t>
        </is>
      </c>
      <c r="E2314" t="inlineStr">
        <is>
          <t>Emerging markets</t>
        </is>
      </c>
      <c r="F2314" t="inlineStr">
        <is>
          <t>Brazil</t>
        </is>
      </c>
      <c r="G2314" t="inlineStr">
        <is>
          <t>Ibrance</t>
        </is>
      </c>
      <c r="H2314" t="inlineStr">
        <is>
          <t>Retail pharmacy</t>
        </is>
      </c>
      <c r="I2314" t="inlineStr">
        <is>
          <t>Self-pay</t>
        </is>
      </c>
      <c r="J2314" t="inlineStr">
        <is>
          <t>Liam O'Brien</t>
        </is>
      </c>
      <c r="K2314" s="70" t="n">
        <v>2049</v>
      </c>
      <c r="L2314" s="71" t="n">
        <v>2826.45</v>
      </c>
      <c r="M2314" s="71" t="n">
        <v>5791396.05</v>
      </c>
      <c r="N2314" s="71" t="n">
        <v>289569.8</v>
      </c>
      <c r="O2314" s="71" t="n">
        <v>5501826.25</v>
      </c>
      <c r="P2314" s="71" t="n">
        <v>903795.71</v>
      </c>
      <c r="Q2314" s="71" t="n">
        <v>4598030.54</v>
      </c>
      <c r="R2314" t="inlineStr">
        <is>
          <t>Oncology</t>
        </is>
      </c>
      <c r="S2314" s="70" t="n">
        <v>1525</v>
      </c>
      <c r="T2314" s="71" t="n">
        <v>695791.5600000001</v>
      </c>
      <c r="U2314" t="inlineStr">
        <is>
          <t>High</t>
        </is>
      </c>
      <c r="V2314">
        <f>IF(AND(OR(Dashboard!$C$6="All",E2314=Dashboard!$C$6),OR(Dashboard!$F$6="All",G2314=Dashboard!$F$6),OR(Dashboard!$I$6="All",H2314=Dashboard!$I$6)),1,0)</f>
        <v/>
      </c>
    </row>
    <row r="2315">
      <c r="A2315" t="inlineStr">
        <is>
          <t>PF102306</t>
        </is>
      </c>
      <c r="B2315" s="68" t="n">
        <v>45936</v>
      </c>
      <c r="C2315" s="69" t="n">
        <v>2025</v>
      </c>
      <c r="D2315" t="inlineStr">
        <is>
          <t>Oct</t>
        </is>
      </c>
      <c r="E2315" t="inlineStr">
        <is>
          <t>Europe</t>
        </is>
      </c>
      <c r="F2315" t="inlineStr">
        <is>
          <t>Italy</t>
        </is>
      </c>
      <c r="G2315" t="inlineStr">
        <is>
          <t>Comirnaty</t>
        </is>
      </c>
      <c r="H2315" t="inlineStr">
        <is>
          <t>Retail pharmacy</t>
        </is>
      </c>
      <c r="I2315" t="inlineStr">
        <is>
          <t>Public payer</t>
        </is>
      </c>
      <c r="J2315" t="inlineStr">
        <is>
          <t>Sara Rossi</t>
        </is>
      </c>
      <c r="K2315" s="70" t="n">
        <v>2880</v>
      </c>
      <c r="L2315" s="71" t="n">
        <v>109.39</v>
      </c>
      <c r="M2315" s="71" t="n">
        <v>315043.2</v>
      </c>
      <c r="N2315" s="71" t="n">
        <v>78760.8</v>
      </c>
      <c r="O2315" s="71" t="n">
        <v>236282.4</v>
      </c>
      <c r="P2315" s="71" t="n">
        <v>111405.84</v>
      </c>
      <c r="Q2315" s="71" t="n">
        <v>124876.56</v>
      </c>
      <c r="R2315" t="inlineStr">
        <is>
          <t>Vaccines</t>
        </is>
      </c>
      <c r="S2315" s="70" t="n">
        <v>2032</v>
      </c>
      <c r="T2315" s="71" t="n">
        <v>53712.51</v>
      </c>
      <c r="U2315" t="inlineStr">
        <is>
          <t>Low</t>
        </is>
      </c>
      <c r="V2315">
        <f>IF(AND(OR(Dashboard!$C$6="All",E2315=Dashboard!$C$6),OR(Dashboard!$F$6="All",G2315=Dashboard!$F$6),OR(Dashboard!$I$6="All",H2315=Dashboard!$I$6)),1,0)</f>
        <v/>
      </c>
    </row>
    <row r="2316">
      <c r="A2316" t="inlineStr">
        <is>
          <t>PF102307</t>
        </is>
      </c>
      <c r="B2316" s="68" t="n">
        <v>45936</v>
      </c>
      <c r="C2316" s="69" t="n">
        <v>2025</v>
      </c>
      <c r="D2316" t="inlineStr">
        <is>
          <t>Oct</t>
        </is>
      </c>
      <c r="E2316" t="inlineStr">
        <is>
          <t>United States</t>
        </is>
      </c>
      <c r="F2316" t="inlineStr">
        <is>
          <t>USA</t>
        </is>
      </c>
      <c r="G2316" t="inlineStr">
        <is>
          <t>Paxlovid</t>
        </is>
      </c>
      <c r="H2316" t="inlineStr">
        <is>
          <t>Retail pharmacy</t>
        </is>
      </c>
      <c r="I2316" t="inlineStr">
        <is>
          <t>Public payer</t>
        </is>
      </c>
      <c r="J2316" t="inlineStr">
        <is>
          <t>Yuki Sato</t>
        </is>
      </c>
      <c r="K2316" s="70" t="n">
        <v>177</v>
      </c>
      <c r="L2316" s="71" t="n">
        <v>1907.47</v>
      </c>
      <c r="M2316" s="71" t="n">
        <v>337622.19</v>
      </c>
      <c r="N2316" s="71" t="n">
        <v>118167.77</v>
      </c>
      <c r="O2316" s="71" t="n">
        <v>219454.42</v>
      </c>
      <c r="P2316" s="71" t="n">
        <v>48640.8</v>
      </c>
      <c r="Q2316" s="71" t="n">
        <v>170813.62</v>
      </c>
      <c r="R2316" t="inlineStr">
        <is>
          <t>Antiviral</t>
        </is>
      </c>
      <c r="S2316" s="70" t="n">
        <v>117</v>
      </c>
      <c r="T2316" s="71" t="n">
        <v>51149.12</v>
      </c>
      <c r="U2316" t="inlineStr">
        <is>
          <t>Low</t>
        </is>
      </c>
      <c r="V2316">
        <f>IF(AND(OR(Dashboard!$C$6="All",E2316=Dashboard!$C$6),OR(Dashboard!$F$6="All",G2316=Dashboard!$F$6),OR(Dashboard!$I$6="All",H2316=Dashboard!$I$6)),1,0)</f>
        <v/>
      </c>
    </row>
    <row r="2317">
      <c r="A2317" t="inlineStr">
        <is>
          <t>PF102308</t>
        </is>
      </c>
      <c r="B2317" s="68" t="n">
        <v>45936</v>
      </c>
      <c r="C2317" s="69" t="n">
        <v>2025</v>
      </c>
      <c r="D2317" t="inlineStr">
        <is>
          <t>Oct</t>
        </is>
      </c>
      <c r="E2317" t="inlineStr">
        <is>
          <t>United States</t>
        </is>
      </c>
      <c r="F2317" t="inlineStr">
        <is>
          <t>USA</t>
        </is>
      </c>
      <c r="G2317" t="inlineStr">
        <is>
          <t>Abrysvo</t>
        </is>
      </c>
      <c r="H2317" t="inlineStr">
        <is>
          <t>Hospital</t>
        </is>
      </c>
      <c r="I2317" t="inlineStr">
        <is>
          <t>Private insurer</t>
        </is>
      </c>
      <c r="J2317" t="inlineStr">
        <is>
          <t>Lucas Martin</t>
        </is>
      </c>
      <c r="K2317" s="70" t="n">
        <v>1436</v>
      </c>
      <c r="L2317" s="71" t="n">
        <v>432.56</v>
      </c>
      <c r="M2317" s="71" t="n">
        <v>621156.16</v>
      </c>
      <c r="N2317" s="71" t="n">
        <v>155289.04</v>
      </c>
      <c r="O2317" s="71" t="n">
        <v>465867.12</v>
      </c>
      <c r="P2317" s="71" t="n">
        <v>121262.01</v>
      </c>
      <c r="Q2317" s="71" t="n">
        <v>344605.11</v>
      </c>
      <c r="R2317" t="inlineStr">
        <is>
          <t>Vaccines</t>
        </is>
      </c>
      <c r="S2317" s="70" t="n">
        <v>978</v>
      </c>
      <c r="T2317" s="71" t="n">
        <v>93324.13</v>
      </c>
      <c r="U2317" t="inlineStr">
        <is>
          <t>Low</t>
        </is>
      </c>
      <c r="V2317">
        <f>IF(AND(OR(Dashboard!$C$6="All",E2317=Dashboard!$C$6),OR(Dashboard!$F$6="All",G2317=Dashboard!$F$6),OR(Dashboard!$I$6="All",H2317=Dashboard!$I$6)),1,0)</f>
        <v/>
      </c>
    </row>
    <row r="2318">
      <c r="A2318" t="inlineStr">
        <is>
          <t>PF102309</t>
        </is>
      </c>
      <c r="B2318" s="68" t="n">
        <v>45936</v>
      </c>
      <c r="C2318" s="69" t="n">
        <v>2025</v>
      </c>
      <c r="D2318" t="inlineStr">
        <is>
          <t>Oct</t>
        </is>
      </c>
      <c r="E2318" t="inlineStr">
        <is>
          <t>Europe</t>
        </is>
      </c>
      <c r="F2318" t="inlineStr">
        <is>
          <t>Germany</t>
        </is>
      </c>
      <c r="G2318" t="inlineStr">
        <is>
          <t>Prevnar 20</t>
        </is>
      </c>
      <c r="H2318" t="inlineStr">
        <is>
          <t>Hospital</t>
        </is>
      </c>
      <c r="I2318" t="inlineStr">
        <is>
          <t>Public payer</t>
        </is>
      </c>
      <c r="J2318" t="inlineStr">
        <is>
          <t>Olivia Brown</t>
        </is>
      </c>
      <c r="K2318" s="70" t="n">
        <v>61</v>
      </c>
      <c r="L2318" s="71" t="n">
        <v>244.19</v>
      </c>
      <c r="M2318" s="71" t="n">
        <v>14895.59</v>
      </c>
      <c r="N2318" s="71" t="n">
        <v>2979.12</v>
      </c>
      <c r="O2318" s="71" t="n">
        <v>11916.47</v>
      </c>
      <c r="P2318" s="71" t="n">
        <v>4116.24</v>
      </c>
      <c r="Q2318" s="71" t="n">
        <v>7800.23</v>
      </c>
      <c r="R2318" t="inlineStr">
        <is>
          <t>Vaccines</t>
        </is>
      </c>
      <c r="S2318" s="70" t="n">
        <v>56</v>
      </c>
      <c r="T2318" s="71" t="n">
        <v>1976.32</v>
      </c>
      <c r="U2318" t="inlineStr">
        <is>
          <t>Low</t>
        </is>
      </c>
      <c r="V2318">
        <f>IF(AND(OR(Dashboard!$C$6="All",E2318=Dashboard!$C$6),OR(Dashboard!$F$6="All",G2318=Dashboard!$F$6),OR(Dashboard!$I$6="All",H2318=Dashboard!$I$6)),1,0)</f>
        <v/>
      </c>
    </row>
    <row r="2319">
      <c r="A2319" t="inlineStr">
        <is>
          <t>PF102310</t>
        </is>
      </c>
      <c r="B2319" s="68" t="n">
        <v>45936</v>
      </c>
      <c r="C2319" s="69" t="n">
        <v>2025</v>
      </c>
      <c r="D2319" t="inlineStr">
        <is>
          <t>Oct</t>
        </is>
      </c>
      <c r="E2319" t="inlineStr">
        <is>
          <t>Emerging markets</t>
        </is>
      </c>
      <c r="F2319" t="inlineStr">
        <is>
          <t>India</t>
        </is>
      </c>
      <c r="G2319" t="inlineStr">
        <is>
          <t>Prevnar 20</t>
        </is>
      </c>
      <c r="H2319" t="inlineStr">
        <is>
          <t>Hospital</t>
        </is>
      </c>
      <c r="I2319" t="inlineStr">
        <is>
          <t>Public payer</t>
        </is>
      </c>
      <c r="J2319" t="inlineStr">
        <is>
          <t>Shraddha Kulkarni</t>
        </is>
      </c>
      <c r="K2319" s="70" t="n">
        <v>1143</v>
      </c>
      <c r="L2319" s="71" t="n">
        <v>232.17</v>
      </c>
      <c r="M2319" s="71" t="n">
        <v>265370.31</v>
      </c>
      <c r="N2319" s="71" t="n">
        <v>66342.58</v>
      </c>
      <c r="O2319" s="71" t="n">
        <v>199027.73</v>
      </c>
      <c r="P2319" s="71" t="n">
        <v>81273.42999999999</v>
      </c>
      <c r="Q2319" s="71" t="n">
        <v>117754.3</v>
      </c>
      <c r="R2319" t="inlineStr">
        <is>
          <t>Vaccines</t>
        </is>
      </c>
      <c r="S2319" s="70" t="n">
        <v>1075</v>
      </c>
      <c r="T2319" s="71" t="n">
        <v>47651.65</v>
      </c>
      <c r="U2319" t="inlineStr">
        <is>
          <t>Low</t>
        </is>
      </c>
      <c r="V2319">
        <f>IF(AND(OR(Dashboard!$C$6="All",E2319=Dashboard!$C$6),OR(Dashboard!$F$6="All",G2319=Dashboard!$F$6),OR(Dashboard!$I$6="All",H2319=Dashboard!$I$6)),1,0)</f>
        <v/>
      </c>
    </row>
    <row r="2320">
      <c r="A2320" t="inlineStr">
        <is>
          <t>PF102311</t>
        </is>
      </c>
      <c r="B2320" s="68" t="n">
        <v>45936</v>
      </c>
      <c r="C2320" s="69" t="n">
        <v>2025</v>
      </c>
      <c r="D2320" t="inlineStr">
        <is>
          <t>Oct</t>
        </is>
      </c>
      <c r="E2320" t="inlineStr">
        <is>
          <t>United States</t>
        </is>
      </c>
      <c r="F2320" t="inlineStr">
        <is>
          <t>USA</t>
        </is>
      </c>
      <c r="G2320" t="inlineStr">
        <is>
          <t>Xeljanz</t>
        </is>
      </c>
      <c r="H2320" t="inlineStr">
        <is>
          <t>Retail pharmacy</t>
        </is>
      </c>
      <c r="I2320" t="inlineStr">
        <is>
          <t>Public payer</t>
        </is>
      </c>
      <c r="J2320" t="inlineStr">
        <is>
          <t>Ravindra Patil</t>
        </is>
      </c>
      <c r="K2320" s="70" t="n">
        <v>2455</v>
      </c>
      <c r="L2320" s="71" t="n">
        <v>2280.34</v>
      </c>
      <c r="M2320" s="71" t="n">
        <v>5598234.7</v>
      </c>
      <c r="N2320" s="71" t="n">
        <v>1119646.94</v>
      </c>
      <c r="O2320" s="71" t="n">
        <v>4478587.76</v>
      </c>
      <c r="P2320" s="71" t="n">
        <v>629791.3</v>
      </c>
      <c r="Q2320" s="71" t="n">
        <v>3848796.46</v>
      </c>
      <c r="R2320" t="inlineStr">
        <is>
          <t>Inflammation</t>
        </is>
      </c>
      <c r="S2320" s="70" t="n">
        <v>1991</v>
      </c>
      <c r="T2320" s="71" t="n">
        <v>1228308.95</v>
      </c>
      <c r="U2320" t="inlineStr">
        <is>
          <t>High</t>
        </is>
      </c>
      <c r="V2320">
        <f>IF(AND(OR(Dashboard!$C$6="All",E2320=Dashboard!$C$6),OR(Dashboard!$F$6="All",G2320=Dashboard!$F$6),OR(Dashboard!$I$6="All",H2320=Dashboard!$I$6)),1,0)</f>
        <v/>
      </c>
    </row>
    <row r="2321">
      <c r="A2321" t="inlineStr">
        <is>
          <t>PF102312</t>
        </is>
      </c>
      <c r="B2321" s="68" t="n">
        <v>45936</v>
      </c>
      <c r="C2321" s="69" t="n">
        <v>2025</v>
      </c>
      <c r="D2321" t="inlineStr">
        <is>
          <t>Oct</t>
        </is>
      </c>
      <c r="E2321" t="inlineStr">
        <is>
          <t>Europe</t>
        </is>
      </c>
      <c r="F2321" t="inlineStr">
        <is>
          <t>France</t>
        </is>
      </c>
      <c r="G2321" t="inlineStr">
        <is>
          <t>Comirnaty</t>
        </is>
      </c>
      <c r="H2321" t="inlineStr">
        <is>
          <t>Retail pharmacy</t>
        </is>
      </c>
      <c r="I2321" t="inlineStr">
        <is>
          <t>Public payer</t>
        </is>
      </c>
      <c r="J2321" t="inlineStr">
        <is>
          <t>Olivia Brown</t>
        </is>
      </c>
      <c r="K2321" s="70" t="n">
        <v>1405</v>
      </c>
      <c r="L2321" s="71" t="n">
        <v>103.32</v>
      </c>
      <c r="M2321" s="71" t="n">
        <v>145164.6</v>
      </c>
      <c r="N2321" s="71" t="n">
        <v>14516.46</v>
      </c>
      <c r="O2321" s="71" t="n">
        <v>130648.14</v>
      </c>
      <c r="P2321" s="71" t="n">
        <v>56136.81</v>
      </c>
      <c r="Q2321" s="71" t="n">
        <v>74511.33</v>
      </c>
      <c r="R2321" t="inlineStr">
        <is>
          <t>Vaccines</t>
        </is>
      </c>
      <c r="S2321" s="70" t="n">
        <v>1298</v>
      </c>
      <c r="T2321" s="71" t="n">
        <v>31517.25</v>
      </c>
      <c r="U2321" t="inlineStr">
        <is>
          <t>Low</t>
        </is>
      </c>
      <c r="V2321">
        <f>IF(AND(OR(Dashboard!$C$6="All",E2321=Dashboard!$C$6),OR(Dashboard!$F$6="All",G2321=Dashboard!$F$6),OR(Dashboard!$I$6="All",H2321=Dashboard!$I$6)),1,0)</f>
        <v/>
      </c>
    </row>
    <row r="2322">
      <c r="A2322" t="inlineStr">
        <is>
          <t>PF102313</t>
        </is>
      </c>
      <c r="B2322" s="68" t="n">
        <v>45936</v>
      </c>
      <c r="C2322" s="69" t="n">
        <v>2025</v>
      </c>
      <c r="D2322" t="inlineStr">
        <is>
          <t>Oct</t>
        </is>
      </c>
      <c r="E2322" t="inlineStr">
        <is>
          <t>United States</t>
        </is>
      </c>
      <c r="F2322" t="inlineStr">
        <is>
          <t>USA</t>
        </is>
      </c>
      <c r="G2322" t="inlineStr">
        <is>
          <t>Prevnar 20</t>
        </is>
      </c>
      <c r="H2322" t="inlineStr">
        <is>
          <t>Retail pharmacy</t>
        </is>
      </c>
      <c r="I2322" t="inlineStr">
        <is>
          <t>Public payer</t>
        </is>
      </c>
      <c r="J2322" t="inlineStr">
        <is>
          <t>Aisha Bello</t>
        </is>
      </c>
      <c r="K2322" s="70" t="n">
        <v>323</v>
      </c>
      <c r="L2322" s="71" t="n">
        <v>364.05</v>
      </c>
      <c r="M2322" s="71" t="n">
        <v>117588.15</v>
      </c>
      <c r="N2322" s="71" t="n">
        <v>29397.04</v>
      </c>
      <c r="O2322" s="71" t="n">
        <v>88191.11</v>
      </c>
      <c r="P2322" s="71" t="n">
        <v>21732.18</v>
      </c>
      <c r="Q2322" s="71" t="n">
        <v>66458.92999999999</v>
      </c>
      <c r="R2322" t="inlineStr">
        <is>
          <t>Vaccines</t>
        </is>
      </c>
      <c r="S2322" s="70" t="n">
        <v>315</v>
      </c>
      <c r="T2322" s="71" t="n">
        <v>15589.73</v>
      </c>
      <c r="U2322" t="inlineStr">
        <is>
          <t>Low</t>
        </is>
      </c>
      <c r="V2322">
        <f>IF(AND(OR(Dashboard!$C$6="All",E2322=Dashboard!$C$6),OR(Dashboard!$F$6="All",G2322=Dashboard!$F$6),OR(Dashboard!$I$6="All",H2322=Dashboard!$I$6)),1,0)</f>
        <v/>
      </c>
    </row>
    <row r="2323">
      <c r="A2323" t="inlineStr">
        <is>
          <t>PF102314</t>
        </is>
      </c>
      <c r="B2323" s="68" t="n">
        <v>45936</v>
      </c>
      <c r="C2323" s="69" t="n">
        <v>2025</v>
      </c>
      <c r="D2323" t="inlineStr">
        <is>
          <t>Oct</t>
        </is>
      </c>
      <c r="E2323" t="inlineStr">
        <is>
          <t>Europe</t>
        </is>
      </c>
      <c r="F2323" t="inlineStr">
        <is>
          <t>Germany</t>
        </is>
      </c>
      <c r="G2323" t="inlineStr">
        <is>
          <t>Vyndaqel</t>
        </is>
      </c>
      <c r="H2323" t="inlineStr">
        <is>
          <t>Retail pharmacy</t>
        </is>
      </c>
      <c r="I2323" t="inlineStr">
        <is>
          <t>Private insurer</t>
        </is>
      </c>
      <c r="J2323" t="inlineStr">
        <is>
          <t>Sophie Müller</t>
        </is>
      </c>
      <c r="K2323" s="70" t="n">
        <v>2771</v>
      </c>
      <c r="L2323" s="71" t="n">
        <v>4877.86</v>
      </c>
      <c r="M2323" s="71" t="n">
        <v>13516550.06</v>
      </c>
      <c r="N2323" s="71" t="n">
        <v>1351655.01</v>
      </c>
      <c r="O2323" s="71" t="n">
        <v>12164895.05</v>
      </c>
      <c r="P2323" s="71" t="n">
        <v>1763376.76</v>
      </c>
      <c r="Q2323" s="71" t="n">
        <v>10401518.29</v>
      </c>
      <c r="R2323" t="inlineStr">
        <is>
          <t>Rare disease</t>
        </is>
      </c>
      <c r="S2323" s="70" t="n">
        <v>2361</v>
      </c>
      <c r="T2323" s="71" t="n">
        <v>2511626.41</v>
      </c>
      <c r="U2323" t="inlineStr">
        <is>
          <t>Medium</t>
        </is>
      </c>
      <c r="V2323">
        <f>IF(AND(OR(Dashboard!$C$6="All",E2323=Dashboard!$C$6),OR(Dashboard!$F$6="All",G2323=Dashboard!$F$6),OR(Dashboard!$I$6="All",H2323=Dashboard!$I$6)),1,0)</f>
        <v/>
      </c>
    </row>
    <row r="2324">
      <c r="A2324" t="inlineStr">
        <is>
          <t>PF102315</t>
        </is>
      </c>
      <c r="B2324" s="68" t="n">
        <v>45936</v>
      </c>
      <c r="C2324" s="69" t="n">
        <v>2025</v>
      </c>
      <c r="D2324" t="inlineStr">
        <is>
          <t>Oct</t>
        </is>
      </c>
      <c r="E2324" t="inlineStr">
        <is>
          <t>Emerging markets</t>
        </is>
      </c>
      <c r="F2324" t="inlineStr">
        <is>
          <t>India</t>
        </is>
      </c>
      <c r="G2324" t="inlineStr">
        <is>
          <t>Paxlovid</t>
        </is>
      </c>
      <c r="H2324" t="inlineStr">
        <is>
          <t>Retail pharmacy</t>
        </is>
      </c>
      <c r="I2324" t="inlineStr">
        <is>
          <t>Public payer</t>
        </is>
      </c>
      <c r="J2324" t="inlineStr">
        <is>
          <t>Yuki Sato</t>
        </is>
      </c>
      <c r="K2324" s="70" t="n">
        <v>172</v>
      </c>
      <c r="L2324" s="71" t="n">
        <v>1126.69</v>
      </c>
      <c r="M2324" s="71" t="n">
        <v>193790.68</v>
      </c>
      <c r="N2324" s="71" t="n">
        <v>48447.67</v>
      </c>
      <c r="O2324" s="71" t="n">
        <v>145343.01</v>
      </c>
      <c r="P2324" s="71" t="n">
        <v>46121.05</v>
      </c>
      <c r="Q2324" s="71" t="n">
        <v>99221.96000000001</v>
      </c>
      <c r="R2324" t="inlineStr">
        <is>
          <t>Antiviral</t>
        </is>
      </c>
      <c r="S2324" s="70" t="n">
        <v>122</v>
      </c>
      <c r="T2324" s="71" t="n">
        <v>40979.98</v>
      </c>
      <c r="U2324" t="inlineStr">
        <is>
          <t>Low</t>
        </is>
      </c>
      <c r="V2324">
        <f>IF(AND(OR(Dashboard!$C$6="All",E2324=Dashboard!$C$6),OR(Dashboard!$F$6="All",G2324=Dashboard!$F$6),OR(Dashboard!$I$6="All",H2324=Dashboard!$I$6)),1,0)</f>
        <v/>
      </c>
    </row>
    <row r="2325">
      <c r="A2325" t="inlineStr">
        <is>
          <t>PF102316</t>
        </is>
      </c>
      <c r="B2325" s="68" t="n">
        <v>45936</v>
      </c>
      <c r="C2325" s="69" t="n">
        <v>2025</v>
      </c>
      <c r="D2325" t="inlineStr">
        <is>
          <t>Oct</t>
        </is>
      </c>
      <c r="E2325" t="inlineStr">
        <is>
          <t>Emerging markets</t>
        </is>
      </c>
      <c r="F2325" t="inlineStr">
        <is>
          <t>Mexico</t>
        </is>
      </c>
      <c r="G2325" t="inlineStr">
        <is>
          <t>Xeljanz</t>
        </is>
      </c>
      <c r="H2325" t="inlineStr">
        <is>
          <t>Retail pharmacy</t>
        </is>
      </c>
      <c r="I2325" t="inlineStr">
        <is>
          <t>Private insurer</t>
        </is>
      </c>
      <c r="J2325" t="inlineStr">
        <is>
          <t>Mei Lin</t>
        </is>
      </c>
      <c r="K2325" s="70" t="n">
        <v>134</v>
      </c>
      <c r="L2325" s="71" t="n">
        <v>1383.26</v>
      </c>
      <c r="M2325" s="71" t="n">
        <v>185356.84</v>
      </c>
      <c r="N2325" s="71" t="n">
        <v>27803.53</v>
      </c>
      <c r="O2325" s="71" t="n">
        <v>157553.31</v>
      </c>
      <c r="P2325" s="71" t="n">
        <v>34168.73</v>
      </c>
      <c r="Q2325" s="71" t="n">
        <v>123384.58</v>
      </c>
      <c r="R2325" t="inlineStr">
        <is>
          <t>Inflammation</t>
        </is>
      </c>
      <c r="S2325" s="70" t="n">
        <v>85</v>
      </c>
      <c r="T2325" s="71" t="n">
        <v>34989.35</v>
      </c>
      <c r="U2325" t="inlineStr">
        <is>
          <t>High</t>
        </is>
      </c>
      <c r="V2325">
        <f>IF(AND(OR(Dashboard!$C$6="All",E2325=Dashboard!$C$6),OR(Dashboard!$F$6="All",G2325=Dashboard!$F$6),OR(Dashboard!$I$6="All",H2325=Dashboard!$I$6)),1,0)</f>
        <v/>
      </c>
    </row>
    <row r="2326">
      <c r="A2326" t="inlineStr">
        <is>
          <t>PF102317</t>
        </is>
      </c>
      <c r="B2326" s="68" t="n">
        <v>45937</v>
      </c>
      <c r="C2326" s="69" t="n">
        <v>2025</v>
      </c>
      <c r="D2326" t="inlineStr">
        <is>
          <t>Oct</t>
        </is>
      </c>
      <c r="E2326" t="inlineStr">
        <is>
          <t>Emerging markets</t>
        </is>
      </c>
      <c r="F2326" t="inlineStr">
        <is>
          <t>India</t>
        </is>
      </c>
      <c r="G2326" t="inlineStr">
        <is>
          <t>Eliquis</t>
        </is>
      </c>
      <c r="H2326" t="inlineStr">
        <is>
          <t>Retail pharmacy</t>
        </is>
      </c>
      <c r="I2326" t="inlineStr">
        <is>
          <t>Public payer</t>
        </is>
      </c>
      <c r="J2326" t="inlineStr">
        <is>
          <t>Fatima Al-Saud</t>
        </is>
      </c>
      <c r="K2326" s="70" t="n">
        <v>2604</v>
      </c>
      <c r="L2326" s="71" t="n">
        <v>390.26</v>
      </c>
      <c r="M2326" s="71" t="n">
        <v>1016237.04</v>
      </c>
      <c r="N2326" s="71" t="n">
        <v>254059.26</v>
      </c>
      <c r="O2326" s="71" t="n">
        <v>762177.78</v>
      </c>
      <c r="P2326" s="71" t="n">
        <v>189566.5</v>
      </c>
      <c r="Q2326" s="71" t="n">
        <v>572611.28</v>
      </c>
      <c r="R2326" t="inlineStr">
        <is>
          <t>Cardiology</t>
        </is>
      </c>
      <c r="S2326" s="70" t="n">
        <v>1951</v>
      </c>
      <c r="T2326" s="71" t="n">
        <v>183758.79</v>
      </c>
      <c r="U2326" t="inlineStr">
        <is>
          <t>High</t>
        </is>
      </c>
      <c r="V2326">
        <f>IF(AND(OR(Dashboard!$C$6="All",E2326=Dashboard!$C$6),OR(Dashboard!$F$6="All",G2326=Dashboard!$F$6),OR(Dashboard!$I$6="All",H2326=Dashboard!$I$6)),1,0)</f>
        <v/>
      </c>
    </row>
    <row r="2327">
      <c r="A2327" t="inlineStr">
        <is>
          <t>PF102318</t>
        </is>
      </c>
      <c r="B2327" s="68" t="n">
        <v>45937</v>
      </c>
      <c r="C2327" s="69" t="n">
        <v>2025</v>
      </c>
      <c r="D2327" t="inlineStr">
        <is>
          <t>Oct</t>
        </is>
      </c>
      <c r="E2327" t="inlineStr">
        <is>
          <t>Europe</t>
        </is>
      </c>
      <c r="F2327" t="inlineStr">
        <is>
          <t>Italy</t>
        </is>
      </c>
      <c r="G2327" t="inlineStr">
        <is>
          <t>Paxlovid</t>
        </is>
      </c>
      <c r="H2327" t="inlineStr">
        <is>
          <t>Hospital</t>
        </is>
      </c>
      <c r="I2327" t="inlineStr">
        <is>
          <t>Public payer</t>
        </is>
      </c>
      <c r="J2327" t="inlineStr">
        <is>
          <t>Arjun Mehta</t>
        </is>
      </c>
      <c r="K2327" s="70" t="n">
        <v>2879</v>
      </c>
      <c r="L2327" s="71" t="n">
        <v>1039.43</v>
      </c>
      <c r="M2327" s="71" t="n">
        <v>2992518.97</v>
      </c>
      <c r="N2327" s="71" t="n">
        <v>299251.9</v>
      </c>
      <c r="O2327" s="71" t="n">
        <v>2693267.07</v>
      </c>
      <c r="P2327" s="71" t="n">
        <v>777820.76</v>
      </c>
      <c r="Q2327" s="71" t="n">
        <v>1915446.31</v>
      </c>
      <c r="R2327" t="inlineStr">
        <is>
          <t>Antiviral</t>
        </is>
      </c>
      <c r="S2327" s="70" t="n">
        <v>2221</v>
      </c>
      <c r="T2327" s="71" t="n">
        <v>636349.48</v>
      </c>
      <c r="U2327" t="inlineStr">
        <is>
          <t>Low</t>
        </is>
      </c>
      <c r="V2327">
        <f>IF(AND(OR(Dashboard!$C$6="All",E2327=Dashboard!$C$6),OR(Dashboard!$F$6="All",G2327=Dashboard!$F$6),OR(Dashboard!$I$6="All",H2327=Dashboard!$I$6)),1,0)</f>
        <v/>
      </c>
    </row>
    <row r="2328">
      <c r="A2328" t="inlineStr">
        <is>
          <t>PF102319</t>
        </is>
      </c>
      <c r="B2328" s="68" t="n">
        <v>45937</v>
      </c>
      <c r="C2328" s="69" t="n">
        <v>2025</v>
      </c>
      <c r="D2328" t="inlineStr">
        <is>
          <t>Oct</t>
        </is>
      </c>
      <c r="E2328" t="inlineStr">
        <is>
          <t>United States</t>
        </is>
      </c>
      <c r="F2328" t="inlineStr">
        <is>
          <t>USA</t>
        </is>
      </c>
      <c r="G2328" t="inlineStr">
        <is>
          <t>Eliquis</t>
        </is>
      </c>
      <c r="H2328" t="inlineStr">
        <is>
          <t>Government / tender</t>
        </is>
      </c>
      <c r="I2328" t="inlineStr">
        <is>
          <t>Public payer</t>
        </is>
      </c>
      <c r="J2328" t="inlineStr">
        <is>
          <t>Kofi Mensah</t>
        </is>
      </c>
      <c r="K2328" s="70" t="n">
        <v>815</v>
      </c>
      <c r="L2328" s="71" t="n">
        <v>648.7</v>
      </c>
      <c r="M2328" s="71" t="n">
        <v>528690.5</v>
      </c>
      <c r="N2328" s="71" t="n">
        <v>105738.1</v>
      </c>
      <c r="O2328" s="71" t="n">
        <v>422952.4</v>
      </c>
      <c r="P2328" s="71" t="n">
        <v>63863.26</v>
      </c>
      <c r="Q2328" s="71" t="n">
        <v>359089.14</v>
      </c>
      <c r="R2328" t="inlineStr">
        <is>
          <t>Cardiology</t>
        </is>
      </c>
      <c r="S2328" s="70" t="n">
        <v>516</v>
      </c>
      <c r="T2328" s="71" t="n">
        <v>104933.67</v>
      </c>
      <c r="U2328" t="inlineStr">
        <is>
          <t>High</t>
        </is>
      </c>
      <c r="V2328">
        <f>IF(AND(OR(Dashboard!$C$6="All",E2328=Dashboard!$C$6),OR(Dashboard!$F$6="All",G2328=Dashboard!$F$6),OR(Dashboard!$I$6="All",H2328=Dashboard!$I$6)),1,0)</f>
        <v/>
      </c>
    </row>
    <row r="2329">
      <c r="A2329" t="inlineStr">
        <is>
          <t>PF102320</t>
        </is>
      </c>
      <c r="B2329" s="68" t="n">
        <v>45937</v>
      </c>
      <c r="C2329" s="69" t="n">
        <v>2025</v>
      </c>
      <c r="D2329" t="inlineStr">
        <is>
          <t>Oct</t>
        </is>
      </c>
      <c r="E2329" t="inlineStr">
        <is>
          <t>International developed</t>
        </is>
      </c>
      <c r="F2329" t="inlineStr">
        <is>
          <t>Japan</t>
        </is>
      </c>
      <c r="G2329" t="inlineStr">
        <is>
          <t>Abrysvo</t>
        </is>
      </c>
      <c r="H2329" t="inlineStr">
        <is>
          <t>Hospital</t>
        </is>
      </c>
      <c r="I2329" t="inlineStr">
        <is>
          <t>Public payer</t>
        </is>
      </c>
      <c r="J2329" t="inlineStr">
        <is>
          <t>Noah Smith</t>
        </is>
      </c>
      <c r="K2329" s="70" t="n">
        <v>426</v>
      </c>
      <c r="L2329" s="71" t="n">
        <v>267.25</v>
      </c>
      <c r="M2329" s="71" t="n">
        <v>113848.5</v>
      </c>
      <c r="N2329" s="71" t="n">
        <v>11384.85</v>
      </c>
      <c r="O2329" s="71" t="n">
        <v>102463.65</v>
      </c>
      <c r="P2329" s="71" t="n">
        <v>34353.76</v>
      </c>
      <c r="Q2329" s="71" t="n">
        <v>68109.89</v>
      </c>
      <c r="R2329" t="inlineStr">
        <is>
          <t>Vaccines</t>
        </is>
      </c>
      <c r="S2329" s="70" t="n">
        <v>396</v>
      </c>
      <c r="T2329" s="71" t="n">
        <v>19836.71</v>
      </c>
      <c r="U2329" t="inlineStr">
        <is>
          <t>Low</t>
        </is>
      </c>
      <c r="V2329">
        <f>IF(AND(OR(Dashboard!$C$6="All",E2329=Dashboard!$C$6),OR(Dashboard!$F$6="All",G2329=Dashboard!$F$6),OR(Dashboard!$I$6="All",H2329=Dashboard!$I$6)),1,0)</f>
        <v/>
      </c>
    </row>
    <row r="2330">
      <c r="A2330" t="inlineStr">
        <is>
          <t>PF102321</t>
        </is>
      </c>
      <c r="B2330" s="68" t="n">
        <v>45937</v>
      </c>
      <c r="C2330" s="69" t="n">
        <v>2025</v>
      </c>
      <c r="D2330" t="inlineStr">
        <is>
          <t>Oct</t>
        </is>
      </c>
      <c r="E2330" t="inlineStr">
        <is>
          <t>United States</t>
        </is>
      </c>
      <c r="F2330" t="inlineStr">
        <is>
          <t>USA</t>
        </is>
      </c>
      <c r="G2330" t="inlineStr">
        <is>
          <t>Eliquis</t>
        </is>
      </c>
      <c r="H2330" t="inlineStr">
        <is>
          <t>Hospital</t>
        </is>
      </c>
      <c r="I2330" t="inlineStr">
        <is>
          <t>Private insurer</t>
        </is>
      </c>
      <c r="J2330" t="inlineStr">
        <is>
          <t>Lucas Martin</t>
        </is>
      </c>
      <c r="K2330" s="70" t="n">
        <v>2083</v>
      </c>
      <c r="L2330" s="71" t="n">
        <v>607.42</v>
      </c>
      <c r="M2330" s="71" t="n">
        <v>1265255.86</v>
      </c>
      <c r="N2330" s="71" t="n">
        <v>316313.97</v>
      </c>
      <c r="O2330" s="71" t="n">
        <v>948941.89</v>
      </c>
      <c r="P2330" s="71" t="n">
        <v>151555.83</v>
      </c>
      <c r="Q2330" s="71" t="n">
        <v>797386.0600000001</v>
      </c>
      <c r="R2330" t="inlineStr">
        <is>
          <t>Cardiology</t>
        </is>
      </c>
      <c r="S2330" s="70" t="n">
        <v>1380</v>
      </c>
      <c r="T2330" s="71" t="n">
        <v>202375.28</v>
      </c>
      <c r="U2330" t="inlineStr">
        <is>
          <t>High</t>
        </is>
      </c>
      <c r="V2330">
        <f>IF(AND(OR(Dashboard!$C$6="All",E2330=Dashboard!$C$6),OR(Dashboard!$F$6="All",G2330=Dashboard!$F$6),OR(Dashboard!$I$6="All",H2330=Dashboard!$I$6)),1,0)</f>
        <v/>
      </c>
    </row>
    <row r="2331">
      <c r="A2331" t="inlineStr">
        <is>
          <t>PF102322</t>
        </is>
      </c>
      <c r="B2331" s="68" t="n">
        <v>45937</v>
      </c>
      <c r="C2331" s="69" t="n">
        <v>2025</v>
      </c>
      <c r="D2331" t="inlineStr">
        <is>
          <t>Oct</t>
        </is>
      </c>
      <c r="E2331" t="inlineStr">
        <is>
          <t>United States</t>
        </is>
      </c>
      <c r="F2331" t="inlineStr">
        <is>
          <t>USA</t>
        </is>
      </c>
      <c r="G2331" t="inlineStr">
        <is>
          <t>Xeljanz</t>
        </is>
      </c>
      <c r="H2331" t="inlineStr">
        <is>
          <t>Hospital</t>
        </is>
      </c>
      <c r="I2331" t="inlineStr">
        <is>
          <t>Private insurer</t>
        </is>
      </c>
      <c r="J2331" t="inlineStr">
        <is>
          <t>Sophie Müller</t>
        </is>
      </c>
      <c r="K2331" s="70" t="n">
        <v>2815</v>
      </c>
      <c r="L2331" s="71" t="n">
        <v>2346.74</v>
      </c>
      <c r="M2331" s="71" t="n">
        <v>6606073.1</v>
      </c>
      <c r="N2331" s="71" t="n">
        <v>1321214.62</v>
      </c>
      <c r="O2331" s="71" t="n">
        <v>5284858.48</v>
      </c>
      <c r="P2331" s="71" t="n">
        <v>699360.9399999999</v>
      </c>
      <c r="Q2331" s="71" t="n">
        <v>4585497.54</v>
      </c>
      <c r="R2331" t="inlineStr">
        <is>
          <t>Inflammation</t>
        </is>
      </c>
      <c r="S2331" s="70" t="n">
        <v>1764</v>
      </c>
      <c r="T2331" s="71" t="n">
        <v>1308721.04</v>
      </c>
      <c r="U2331" t="inlineStr">
        <is>
          <t>High</t>
        </is>
      </c>
      <c r="V2331">
        <f>IF(AND(OR(Dashboard!$C$6="All",E2331=Dashboard!$C$6),OR(Dashboard!$F$6="All",G2331=Dashboard!$F$6),OR(Dashboard!$I$6="All",H2331=Dashboard!$I$6)),1,0)</f>
        <v/>
      </c>
    </row>
    <row r="2332">
      <c r="A2332" t="inlineStr">
        <is>
          <t>PF102323</t>
        </is>
      </c>
      <c r="B2332" s="68" t="n">
        <v>45937</v>
      </c>
      <c r="C2332" s="69" t="n">
        <v>2025</v>
      </c>
      <c r="D2332" t="inlineStr">
        <is>
          <t>Oct</t>
        </is>
      </c>
      <c r="E2332" t="inlineStr">
        <is>
          <t>United States</t>
        </is>
      </c>
      <c r="F2332" t="inlineStr">
        <is>
          <t>USA</t>
        </is>
      </c>
      <c r="G2332" t="inlineStr">
        <is>
          <t>Abrysvo</t>
        </is>
      </c>
      <c r="H2332" t="inlineStr">
        <is>
          <t>Retail pharmacy</t>
        </is>
      </c>
      <c r="I2332" t="inlineStr">
        <is>
          <t>Private insurer</t>
        </is>
      </c>
      <c r="J2332" t="inlineStr">
        <is>
          <t>Aisha Bello</t>
        </is>
      </c>
      <c r="K2332" s="70" t="n">
        <v>2455</v>
      </c>
      <c r="L2332" s="71" t="n">
        <v>421.7</v>
      </c>
      <c r="M2332" s="71" t="n">
        <v>1035273.5</v>
      </c>
      <c r="N2332" s="71" t="n">
        <v>362345.72</v>
      </c>
      <c r="O2332" s="71" t="n">
        <v>672927.78</v>
      </c>
      <c r="P2332" s="71" t="n">
        <v>208137</v>
      </c>
      <c r="Q2332" s="71" t="n">
        <v>464790.78</v>
      </c>
      <c r="R2332" t="inlineStr">
        <is>
          <t>Vaccines</t>
        </is>
      </c>
      <c r="S2332" s="70" t="n">
        <v>2377</v>
      </c>
      <c r="T2332" s="71" t="n">
        <v>198747.41</v>
      </c>
      <c r="U2332" t="inlineStr">
        <is>
          <t>Low</t>
        </is>
      </c>
      <c r="V2332">
        <f>IF(AND(OR(Dashboard!$C$6="All",E2332=Dashboard!$C$6),OR(Dashboard!$F$6="All",G2332=Dashboard!$F$6),OR(Dashboard!$I$6="All",H2332=Dashboard!$I$6)),1,0)</f>
        <v/>
      </c>
    </row>
    <row r="2333">
      <c r="A2333" t="inlineStr">
        <is>
          <t>PF102324</t>
        </is>
      </c>
      <c r="B2333" s="68" t="n">
        <v>45938</v>
      </c>
      <c r="C2333" s="69" t="n">
        <v>2025</v>
      </c>
      <c r="D2333" t="inlineStr">
        <is>
          <t>Oct</t>
        </is>
      </c>
      <c r="E2333" t="inlineStr">
        <is>
          <t>Europe</t>
        </is>
      </c>
      <c r="F2333" t="inlineStr">
        <is>
          <t>UK</t>
        </is>
      </c>
      <c r="G2333" t="inlineStr">
        <is>
          <t>Ibrance</t>
        </is>
      </c>
      <c r="H2333" t="inlineStr">
        <is>
          <t>Retail pharmacy</t>
        </is>
      </c>
      <c r="I2333" t="inlineStr">
        <is>
          <t>Self-pay</t>
        </is>
      </c>
      <c r="J2333" t="inlineStr">
        <is>
          <t>Zoya Ahmed</t>
        </is>
      </c>
      <c r="K2333" s="70" t="n">
        <v>569</v>
      </c>
      <c r="L2333" s="71" t="n">
        <v>3141.8</v>
      </c>
      <c r="M2333" s="71" t="n">
        <v>1787684.2</v>
      </c>
      <c r="N2333" s="71" t="n">
        <v>178768.42</v>
      </c>
      <c r="O2333" s="71" t="n">
        <v>1608915.78</v>
      </c>
      <c r="P2333" s="71" t="n">
        <v>253505.77</v>
      </c>
      <c r="Q2333" s="71" t="n">
        <v>1355410.01</v>
      </c>
      <c r="R2333" t="inlineStr">
        <is>
          <t>Oncology</t>
        </is>
      </c>
      <c r="S2333" s="70" t="n">
        <v>447</v>
      </c>
      <c r="T2333" s="71" t="n">
        <v>277255.59</v>
      </c>
      <c r="U2333" t="inlineStr">
        <is>
          <t>High</t>
        </is>
      </c>
      <c r="V2333">
        <f>IF(AND(OR(Dashboard!$C$6="All",E2333=Dashboard!$C$6),OR(Dashboard!$F$6="All",G2333=Dashboard!$F$6),OR(Dashboard!$I$6="All",H2333=Dashboard!$I$6)),1,0)</f>
        <v/>
      </c>
    </row>
    <row r="2334">
      <c r="A2334" t="inlineStr">
        <is>
          <t>PF102325</t>
        </is>
      </c>
      <c r="B2334" s="68" t="n">
        <v>45938</v>
      </c>
      <c r="C2334" s="69" t="n">
        <v>2025</v>
      </c>
      <c r="D2334" t="inlineStr">
        <is>
          <t>Oct</t>
        </is>
      </c>
      <c r="E2334" t="inlineStr">
        <is>
          <t>United States</t>
        </is>
      </c>
      <c r="F2334" t="inlineStr">
        <is>
          <t>USA</t>
        </is>
      </c>
      <c r="G2334" t="inlineStr">
        <is>
          <t>Abrysvo</t>
        </is>
      </c>
      <c r="H2334" t="inlineStr">
        <is>
          <t>Retail pharmacy</t>
        </is>
      </c>
      <c r="I2334" t="inlineStr">
        <is>
          <t>Public payer</t>
        </is>
      </c>
      <c r="J2334" t="inlineStr">
        <is>
          <t>Amir Khan</t>
        </is>
      </c>
      <c r="K2334" s="70" t="n">
        <v>956</v>
      </c>
      <c r="L2334" s="71" t="n">
        <v>464.86</v>
      </c>
      <c r="M2334" s="71" t="n">
        <v>444406.16</v>
      </c>
      <c r="N2334" s="71" t="n">
        <v>88881.23</v>
      </c>
      <c r="O2334" s="71" t="n">
        <v>355524.93</v>
      </c>
      <c r="P2334" s="71" t="n">
        <v>80303.46000000001</v>
      </c>
      <c r="Q2334" s="71" t="n">
        <v>275221.47</v>
      </c>
      <c r="R2334" t="inlineStr">
        <is>
          <t>Vaccines</t>
        </is>
      </c>
      <c r="S2334" s="70" t="n">
        <v>615</v>
      </c>
      <c r="T2334" s="71" t="n">
        <v>59774.85</v>
      </c>
      <c r="U2334" t="inlineStr">
        <is>
          <t>Low</t>
        </is>
      </c>
      <c r="V2334">
        <f>IF(AND(OR(Dashboard!$C$6="All",E2334=Dashboard!$C$6),OR(Dashboard!$F$6="All",G2334=Dashboard!$F$6),OR(Dashboard!$I$6="All",H2334=Dashboard!$I$6)),1,0)</f>
        <v/>
      </c>
    </row>
    <row r="2335">
      <c r="A2335" t="inlineStr">
        <is>
          <t>PF102326</t>
        </is>
      </c>
      <c r="B2335" s="68" t="n">
        <v>45938</v>
      </c>
      <c r="C2335" s="69" t="n">
        <v>2025</v>
      </c>
      <c r="D2335" t="inlineStr">
        <is>
          <t>Oct</t>
        </is>
      </c>
      <c r="E2335" t="inlineStr">
        <is>
          <t>United States</t>
        </is>
      </c>
      <c r="F2335" t="inlineStr">
        <is>
          <t>USA</t>
        </is>
      </c>
      <c r="G2335" t="inlineStr">
        <is>
          <t>Prevnar 20</t>
        </is>
      </c>
      <c r="H2335" t="inlineStr">
        <is>
          <t>Hospital</t>
        </is>
      </c>
      <c r="I2335" t="inlineStr">
        <is>
          <t>Private insurer</t>
        </is>
      </c>
      <c r="J2335" t="inlineStr">
        <is>
          <t>Mei Lin</t>
        </is>
      </c>
      <c r="K2335" s="70" t="n">
        <v>738</v>
      </c>
      <c r="L2335" s="71" t="n">
        <v>384.59</v>
      </c>
      <c r="M2335" s="71" t="n">
        <v>283827.42</v>
      </c>
      <c r="N2335" s="71" t="n">
        <v>99339.60000000001</v>
      </c>
      <c r="O2335" s="71" t="n">
        <v>184487.82</v>
      </c>
      <c r="P2335" s="71" t="n">
        <v>49197.34</v>
      </c>
      <c r="Q2335" s="71" t="n">
        <v>135290.48</v>
      </c>
      <c r="R2335" t="inlineStr">
        <is>
          <t>Vaccines</t>
        </is>
      </c>
      <c r="S2335" s="70" t="n">
        <v>660</v>
      </c>
      <c r="T2335" s="71" t="n">
        <v>37627.18</v>
      </c>
      <c r="U2335" t="inlineStr">
        <is>
          <t>Low</t>
        </is>
      </c>
      <c r="V2335">
        <f>IF(AND(OR(Dashboard!$C$6="All",E2335=Dashboard!$C$6),OR(Dashboard!$F$6="All",G2335=Dashboard!$F$6),OR(Dashboard!$I$6="All",H2335=Dashboard!$I$6)),1,0)</f>
        <v/>
      </c>
    </row>
    <row r="2336">
      <c r="A2336" t="inlineStr">
        <is>
          <t>PF102327</t>
        </is>
      </c>
      <c r="B2336" s="68" t="n">
        <v>45938</v>
      </c>
      <c r="C2336" s="69" t="n">
        <v>2025</v>
      </c>
      <c r="D2336" t="inlineStr">
        <is>
          <t>Oct</t>
        </is>
      </c>
      <c r="E2336" t="inlineStr">
        <is>
          <t>Emerging markets</t>
        </is>
      </c>
      <c r="F2336" t="inlineStr">
        <is>
          <t>Mexico</t>
        </is>
      </c>
      <c r="G2336" t="inlineStr">
        <is>
          <t>Eliquis</t>
        </is>
      </c>
      <c r="H2336" t="inlineStr">
        <is>
          <t>Retail pharmacy</t>
        </is>
      </c>
      <c r="I2336" t="inlineStr">
        <is>
          <t>Self-pay</t>
        </is>
      </c>
      <c r="J2336" t="inlineStr">
        <is>
          <t>Olivia Brown</t>
        </is>
      </c>
      <c r="K2336" s="70" t="n">
        <v>2738</v>
      </c>
      <c r="L2336" s="71" t="n">
        <v>459.91</v>
      </c>
      <c r="M2336" s="71" t="n">
        <v>1259233.58</v>
      </c>
      <c r="N2336" s="71" t="n">
        <v>314808.4</v>
      </c>
      <c r="O2336" s="71" t="n">
        <v>944425.1800000001</v>
      </c>
      <c r="P2336" s="71" t="n">
        <v>199146.13</v>
      </c>
      <c r="Q2336" s="71" t="n">
        <v>745279.05</v>
      </c>
      <c r="R2336" t="inlineStr">
        <is>
          <t>Cardiology</t>
        </is>
      </c>
      <c r="S2336" s="70" t="n">
        <v>2173</v>
      </c>
      <c r="T2336" s="71" t="n">
        <v>158932.1</v>
      </c>
      <c r="U2336" t="inlineStr">
        <is>
          <t>High</t>
        </is>
      </c>
      <c r="V2336">
        <f>IF(AND(OR(Dashboard!$C$6="All",E2336=Dashboard!$C$6),OR(Dashboard!$F$6="All",G2336=Dashboard!$F$6),OR(Dashboard!$I$6="All",H2336=Dashboard!$I$6)),1,0)</f>
        <v/>
      </c>
    </row>
    <row r="2337">
      <c r="A2337" t="inlineStr">
        <is>
          <t>PF102328</t>
        </is>
      </c>
      <c r="B2337" s="68" t="n">
        <v>45938</v>
      </c>
      <c r="C2337" s="69" t="n">
        <v>2025</v>
      </c>
      <c r="D2337" t="inlineStr">
        <is>
          <t>Oct</t>
        </is>
      </c>
      <c r="E2337" t="inlineStr">
        <is>
          <t>United States</t>
        </is>
      </c>
      <c r="F2337" t="inlineStr">
        <is>
          <t>USA</t>
        </is>
      </c>
      <c r="G2337" t="inlineStr">
        <is>
          <t>Paxlovid</t>
        </is>
      </c>
      <c r="H2337" t="inlineStr">
        <is>
          <t>Retail pharmacy</t>
        </is>
      </c>
      <c r="I2337" t="inlineStr">
        <is>
          <t>Private insurer</t>
        </is>
      </c>
      <c r="J2337" t="inlineStr">
        <is>
          <t>Liam O'Brien</t>
        </is>
      </c>
      <c r="K2337" s="70" t="n">
        <v>1315</v>
      </c>
      <c r="L2337" s="71" t="n">
        <v>1739.46</v>
      </c>
      <c r="M2337" s="71" t="n">
        <v>2287389.9</v>
      </c>
      <c r="N2337" s="71" t="n">
        <v>800586.46</v>
      </c>
      <c r="O2337" s="71" t="n">
        <v>1486803.44</v>
      </c>
      <c r="P2337" s="71" t="n">
        <v>350671.98</v>
      </c>
      <c r="Q2337" s="71" t="n">
        <v>1136131.46</v>
      </c>
      <c r="R2337" t="inlineStr">
        <is>
          <t>Antiviral</t>
        </is>
      </c>
      <c r="S2337" s="70" t="n">
        <v>1250</v>
      </c>
      <c r="T2337" s="71" t="n">
        <v>499008.72</v>
      </c>
      <c r="U2337" t="inlineStr">
        <is>
          <t>Low</t>
        </is>
      </c>
      <c r="V2337">
        <f>IF(AND(OR(Dashboard!$C$6="All",E2337=Dashboard!$C$6),OR(Dashboard!$F$6="All",G2337=Dashboard!$F$6),OR(Dashboard!$I$6="All",H2337=Dashboard!$I$6)),1,0)</f>
        <v/>
      </c>
    </row>
    <row r="2338">
      <c r="A2338" t="inlineStr">
        <is>
          <t>PF102329</t>
        </is>
      </c>
      <c r="B2338" s="68" t="n">
        <v>45938</v>
      </c>
      <c r="C2338" s="69" t="n">
        <v>2025</v>
      </c>
      <c r="D2338" t="inlineStr">
        <is>
          <t>Oct</t>
        </is>
      </c>
      <c r="E2338" t="inlineStr">
        <is>
          <t>Emerging markets</t>
        </is>
      </c>
      <c r="F2338" t="inlineStr">
        <is>
          <t>China</t>
        </is>
      </c>
      <c r="G2338" t="inlineStr">
        <is>
          <t>Abrysvo</t>
        </is>
      </c>
      <c r="H2338" t="inlineStr">
        <is>
          <t>Hospital</t>
        </is>
      </c>
      <c r="I2338" t="inlineStr">
        <is>
          <t>Private insurer</t>
        </is>
      </c>
      <c r="J2338" t="inlineStr">
        <is>
          <t>Fatima Al-Saud</t>
        </is>
      </c>
      <c r="K2338" s="70" t="n">
        <v>1968</v>
      </c>
      <c r="L2338" s="71" t="n">
        <v>284.27</v>
      </c>
      <c r="M2338" s="71" t="n">
        <v>559443.36</v>
      </c>
      <c r="N2338" s="71" t="n">
        <v>55944.34</v>
      </c>
      <c r="O2338" s="71" t="n">
        <v>503499.02</v>
      </c>
      <c r="P2338" s="71" t="n">
        <v>159434.56</v>
      </c>
      <c r="Q2338" s="71" t="n">
        <v>344064.46</v>
      </c>
      <c r="R2338" t="inlineStr">
        <is>
          <t>Vaccines</t>
        </is>
      </c>
      <c r="S2338" s="70" t="n">
        <v>1386</v>
      </c>
      <c r="T2338" s="71" t="n">
        <v>96580.73</v>
      </c>
      <c r="U2338" t="inlineStr">
        <is>
          <t>Low</t>
        </is>
      </c>
      <c r="V2338">
        <f>IF(AND(OR(Dashboard!$C$6="All",E2338=Dashboard!$C$6),OR(Dashboard!$F$6="All",G2338=Dashboard!$F$6),OR(Dashboard!$I$6="All",H2338=Dashboard!$I$6)),1,0)</f>
        <v/>
      </c>
    </row>
    <row r="2339">
      <c r="A2339" t="inlineStr">
        <is>
          <t>PF102330</t>
        </is>
      </c>
      <c r="B2339" s="68" t="n">
        <v>45938</v>
      </c>
      <c r="C2339" s="69" t="n">
        <v>2025</v>
      </c>
      <c r="D2339" t="inlineStr">
        <is>
          <t>Oct</t>
        </is>
      </c>
      <c r="E2339" t="inlineStr">
        <is>
          <t>Europe</t>
        </is>
      </c>
      <c r="F2339" t="inlineStr">
        <is>
          <t>Spain</t>
        </is>
      </c>
      <c r="G2339" t="inlineStr">
        <is>
          <t>Eliquis</t>
        </is>
      </c>
      <c r="H2339" t="inlineStr">
        <is>
          <t>Retail pharmacy</t>
        </is>
      </c>
      <c r="I2339" t="inlineStr">
        <is>
          <t>Private insurer</t>
        </is>
      </c>
      <c r="J2339" t="inlineStr">
        <is>
          <t>Wei Chen</t>
        </is>
      </c>
      <c r="K2339" s="70" t="n">
        <v>2329</v>
      </c>
      <c r="L2339" s="71" t="n">
        <v>383.94</v>
      </c>
      <c r="M2339" s="71" t="n">
        <v>894196.26</v>
      </c>
      <c r="N2339" s="71" t="n">
        <v>223549.07</v>
      </c>
      <c r="O2339" s="71" t="n">
        <v>670647.1899999999</v>
      </c>
      <c r="P2339" s="71" t="n">
        <v>172905.33</v>
      </c>
      <c r="Q2339" s="71" t="n">
        <v>497741.86</v>
      </c>
      <c r="R2339" t="inlineStr">
        <is>
          <t>Cardiology</t>
        </is>
      </c>
      <c r="S2339" s="70" t="n">
        <v>1705</v>
      </c>
      <c r="T2339" s="71" t="n">
        <v>189638.95</v>
      </c>
      <c r="U2339" t="inlineStr">
        <is>
          <t>High</t>
        </is>
      </c>
      <c r="V2339">
        <f>IF(AND(OR(Dashboard!$C$6="All",E2339=Dashboard!$C$6),OR(Dashboard!$F$6="All",G2339=Dashboard!$F$6),OR(Dashboard!$I$6="All",H2339=Dashboard!$I$6)),1,0)</f>
        <v/>
      </c>
    </row>
    <row r="2340">
      <c r="A2340" t="inlineStr">
        <is>
          <t>PF102331</t>
        </is>
      </c>
      <c r="B2340" s="68" t="n">
        <v>45938</v>
      </c>
      <c r="C2340" s="69" t="n">
        <v>2025</v>
      </c>
      <c r="D2340" t="inlineStr">
        <is>
          <t>Oct</t>
        </is>
      </c>
      <c r="E2340" t="inlineStr">
        <is>
          <t>Emerging markets</t>
        </is>
      </c>
      <c r="F2340" t="inlineStr">
        <is>
          <t>China</t>
        </is>
      </c>
      <c r="G2340" t="inlineStr">
        <is>
          <t>Prevnar 20</t>
        </is>
      </c>
      <c r="H2340" t="inlineStr">
        <is>
          <t>Hospital</t>
        </is>
      </c>
      <c r="I2340" t="inlineStr">
        <is>
          <t>Self-pay</t>
        </is>
      </c>
      <c r="J2340" t="inlineStr">
        <is>
          <t>Carlos Silva</t>
        </is>
      </c>
      <c r="K2340" s="70" t="n">
        <v>1453</v>
      </c>
      <c r="L2340" s="71" t="n">
        <v>234.4</v>
      </c>
      <c r="M2340" s="71" t="n">
        <v>340583.2</v>
      </c>
      <c r="N2340" s="71" t="n">
        <v>34058.32</v>
      </c>
      <c r="O2340" s="71" t="n">
        <v>306524.88</v>
      </c>
      <c r="P2340" s="71" t="n">
        <v>97593.09</v>
      </c>
      <c r="Q2340" s="71" t="n">
        <v>208931.79</v>
      </c>
      <c r="R2340" t="inlineStr">
        <is>
          <t>Vaccines</t>
        </is>
      </c>
      <c r="S2340" s="70" t="n">
        <v>909</v>
      </c>
      <c r="T2340" s="71" t="n">
        <v>73060.75</v>
      </c>
      <c r="U2340" t="inlineStr">
        <is>
          <t>Low</t>
        </is>
      </c>
      <c r="V2340">
        <f>IF(AND(OR(Dashboard!$C$6="All",E2340=Dashboard!$C$6),OR(Dashboard!$F$6="All",G2340=Dashboard!$F$6),OR(Dashboard!$I$6="All",H2340=Dashboard!$I$6)),1,0)</f>
        <v/>
      </c>
    </row>
    <row r="2341">
      <c r="A2341" t="inlineStr">
        <is>
          <t>PF102332</t>
        </is>
      </c>
      <c r="B2341" s="68" t="n">
        <v>45938</v>
      </c>
      <c r="C2341" s="69" t="n">
        <v>2025</v>
      </c>
      <c r="D2341" t="inlineStr">
        <is>
          <t>Oct</t>
        </is>
      </c>
      <c r="E2341" t="inlineStr">
        <is>
          <t>United States</t>
        </is>
      </c>
      <c r="F2341" t="inlineStr">
        <is>
          <t>USA</t>
        </is>
      </c>
      <c r="G2341" t="inlineStr">
        <is>
          <t>Vyndaqel</t>
        </is>
      </c>
      <c r="H2341" t="inlineStr">
        <is>
          <t>Retail pharmacy</t>
        </is>
      </c>
      <c r="I2341" t="inlineStr">
        <is>
          <t>Private insurer</t>
        </is>
      </c>
      <c r="J2341" t="inlineStr">
        <is>
          <t>Fatima Al-Saud</t>
        </is>
      </c>
      <c r="K2341" s="70" t="n">
        <v>3000</v>
      </c>
      <c r="L2341" s="71" t="n">
        <v>8222.530000000001</v>
      </c>
      <c r="M2341" s="71" t="n">
        <v>24667590</v>
      </c>
      <c r="N2341" s="71" t="n">
        <v>7400277</v>
      </c>
      <c r="O2341" s="71" t="n">
        <v>17267313</v>
      </c>
      <c r="P2341" s="71" t="n">
        <v>1830626.57</v>
      </c>
      <c r="Q2341" s="71" t="n">
        <v>15436686.43</v>
      </c>
      <c r="R2341" t="inlineStr">
        <is>
          <t>Rare disease</t>
        </is>
      </c>
      <c r="S2341" s="70" t="n">
        <v>2532</v>
      </c>
      <c r="T2341" s="71" t="n">
        <v>3873927.66</v>
      </c>
      <c r="U2341" t="inlineStr">
        <is>
          <t>Medium</t>
        </is>
      </c>
      <c r="V2341">
        <f>IF(AND(OR(Dashboard!$C$6="All",E2341=Dashboard!$C$6),OR(Dashboard!$F$6="All",G2341=Dashboard!$F$6),OR(Dashboard!$I$6="All",H2341=Dashboard!$I$6)),1,0)</f>
        <v/>
      </c>
    </row>
    <row r="2342">
      <c r="A2342" t="inlineStr">
        <is>
          <t>PF102333</t>
        </is>
      </c>
      <c r="B2342" s="68" t="n">
        <v>45939</v>
      </c>
      <c r="C2342" s="69" t="n">
        <v>2025</v>
      </c>
      <c r="D2342" t="inlineStr">
        <is>
          <t>Oct</t>
        </is>
      </c>
      <c r="E2342" t="inlineStr">
        <is>
          <t>United States</t>
        </is>
      </c>
      <c r="F2342" t="inlineStr">
        <is>
          <t>USA</t>
        </is>
      </c>
      <c r="G2342" t="inlineStr">
        <is>
          <t>Vyndaqel</t>
        </is>
      </c>
      <c r="H2342" t="inlineStr">
        <is>
          <t>Retail pharmacy</t>
        </is>
      </c>
      <c r="I2342" t="inlineStr">
        <is>
          <t>Private insurer</t>
        </is>
      </c>
      <c r="J2342" t="inlineStr">
        <is>
          <t>Kofi Mensah</t>
        </is>
      </c>
      <c r="K2342" s="70" t="n">
        <v>1749</v>
      </c>
      <c r="L2342" s="71" t="n">
        <v>8460.99</v>
      </c>
      <c r="M2342" s="71" t="n">
        <v>14798271.51</v>
      </c>
      <c r="N2342" s="71" t="n">
        <v>4439481.45</v>
      </c>
      <c r="O2342" s="71" t="n">
        <v>10358790.06</v>
      </c>
      <c r="P2342" s="71" t="n">
        <v>1120993.35</v>
      </c>
      <c r="Q2342" s="71" t="n">
        <v>9237796.710000001</v>
      </c>
      <c r="R2342" t="inlineStr">
        <is>
          <t>Rare disease</t>
        </is>
      </c>
      <c r="S2342" s="70" t="n">
        <v>1323</v>
      </c>
      <c r="T2342" s="71" t="n">
        <v>2535736.43</v>
      </c>
      <c r="U2342" t="inlineStr">
        <is>
          <t>Medium</t>
        </is>
      </c>
      <c r="V2342">
        <f>IF(AND(OR(Dashboard!$C$6="All",E2342=Dashboard!$C$6),OR(Dashboard!$F$6="All",G2342=Dashboard!$F$6),OR(Dashboard!$I$6="All",H2342=Dashboard!$I$6)),1,0)</f>
        <v/>
      </c>
    </row>
    <row r="2343">
      <c r="A2343" t="inlineStr">
        <is>
          <t>PF102334</t>
        </is>
      </c>
      <c r="B2343" s="68" t="n">
        <v>45939</v>
      </c>
      <c r="C2343" s="69" t="n">
        <v>2025</v>
      </c>
      <c r="D2343" t="inlineStr">
        <is>
          <t>Oct</t>
        </is>
      </c>
      <c r="E2343" t="inlineStr">
        <is>
          <t>International developed</t>
        </is>
      </c>
      <c r="F2343" t="inlineStr">
        <is>
          <t>Japan</t>
        </is>
      </c>
      <c r="G2343" t="inlineStr">
        <is>
          <t>Abrysvo</t>
        </is>
      </c>
      <c r="H2343" t="inlineStr">
        <is>
          <t>Hospital</t>
        </is>
      </c>
      <c r="I2343" t="inlineStr">
        <is>
          <t>Private insurer</t>
        </is>
      </c>
      <c r="J2343" t="inlineStr">
        <is>
          <t>Wei Chen</t>
        </is>
      </c>
      <c r="K2343" s="70" t="n">
        <v>326</v>
      </c>
      <c r="L2343" s="71" t="n">
        <v>253.49</v>
      </c>
      <c r="M2343" s="71" t="n">
        <v>82637.74000000001</v>
      </c>
      <c r="N2343" s="71" t="n">
        <v>16527.55</v>
      </c>
      <c r="O2343" s="71" t="n">
        <v>66110.19</v>
      </c>
      <c r="P2343" s="71" t="n">
        <v>26912.52</v>
      </c>
      <c r="Q2343" s="71" t="n">
        <v>39197.67</v>
      </c>
      <c r="R2343" t="inlineStr">
        <is>
          <t>Vaccines</t>
        </is>
      </c>
      <c r="S2343" s="70" t="n">
        <v>243</v>
      </c>
      <c r="T2343" s="71" t="n">
        <v>16628.05</v>
      </c>
      <c r="U2343" t="inlineStr">
        <is>
          <t>Low</t>
        </is>
      </c>
      <c r="V2343">
        <f>IF(AND(OR(Dashboard!$C$6="All",E2343=Dashboard!$C$6),OR(Dashboard!$F$6="All",G2343=Dashboard!$F$6),OR(Dashboard!$I$6="All",H2343=Dashboard!$I$6)),1,0)</f>
        <v/>
      </c>
    </row>
    <row r="2344">
      <c r="A2344" t="inlineStr">
        <is>
          <t>PF102335</t>
        </is>
      </c>
      <c r="B2344" s="68" t="n">
        <v>45939</v>
      </c>
      <c r="C2344" s="69" t="n">
        <v>2025</v>
      </c>
      <c r="D2344" t="inlineStr">
        <is>
          <t>Oct</t>
        </is>
      </c>
      <c r="E2344" t="inlineStr">
        <is>
          <t>United States</t>
        </is>
      </c>
      <c r="F2344" t="inlineStr">
        <is>
          <t>USA</t>
        </is>
      </c>
      <c r="G2344" t="inlineStr">
        <is>
          <t>Xeljanz</t>
        </is>
      </c>
      <c r="H2344" t="inlineStr">
        <is>
          <t>Retail pharmacy</t>
        </is>
      </c>
      <c r="I2344" t="inlineStr">
        <is>
          <t>Public payer</t>
        </is>
      </c>
      <c r="J2344" t="inlineStr">
        <is>
          <t>Olivia Brown</t>
        </is>
      </c>
      <c r="K2344" s="70" t="n">
        <v>1606</v>
      </c>
      <c r="L2344" s="71" t="n">
        <v>2280.91</v>
      </c>
      <c r="M2344" s="71" t="n">
        <v>3663141.46</v>
      </c>
      <c r="N2344" s="71" t="n">
        <v>1098942.44</v>
      </c>
      <c r="O2344" s="71" t="n">
        <v>2564199.02</v>
      </c>
      <c r="P2344" s="71" t="n">
        <v>397418.31</v>
      </c>
      <c r="Q2344" s="71" t="n">
        <v>2166780.71</v>
      </c>
      <c r="R2344" t="inlineStr">
        <is>
          <t>Inflammation</t>
        </is>
      </c>
      <c r="S2344" s="70" t="n">
        <v>1358</v>
      </c>
      <c r="T2344" s="71" t="n">
        <v>756159.83</v>
      </c>
      <c r="U2344" t="inlineStr">
        <is>
          <t>High</t>
        </is>
      </c>
      <c r="V2344">
        <f>IF(AND(OR(Dashboard!$C$6="All",E2344=Dashboard!$C$6),OR(Dashboard!$F$6="All",G2344=Dashboard!$F$6),OR(Dashboard!$I$6="All",H2344=Dashboard!$I$6)),1,0)</f>
        <v/>
      </c>
    </row>
    <row r="2345">
      <c r="A2345" t="inlineStr">
        <is>
          <t>PF102336</t>
        </is>
      </c>
      <c r="B2345" s="68" t="n">
        <v>45939</v>
      </c>
      <c r="C2345" s="69" t="n">
        <v>2025</v>
      </c>
      <c r="D2345" t="inlineStr">
        <is>
          <t>Oct</t>
        </is>
      </c>
      <c r="E2345" t="inlineStr">
        <is>
          <t>United States</t>
        </is>
      </c>
      <c r="F2345" t="inlineStr">
        <is>
          <t>USA</t>
        </is>
      </c>
      <c r="G2345" t="inlineStr">
        <is>
          <t>Prevnar 20</t>
        </is>
      </c>
      <c r="H2345" t="inlineStr">
        <is>
          <t>Retail pharmacy</t>
        </is>
      </c>
      <c r="I2345" t="inlineStr">
        <is>
          <t>Public payer</t>
        </is>
      </c>
      <c r="J2345" t="inlineStr">
        <is>
          <t>Noah Smith</t>
        </is>
      </c>
      <c r="K2345" s="70" t="n">
        <v>2049</v>
      </c>
      <c r="L2345" s="71" t="n">
        <v>356</v>
      </c>
      <c r="M2345" s="71" t="n">
        <v>729444</v>
      </c>
      <c r="N2345" s="71" t="n">
        <v>255305.4</v>
      </c>
      <c r="O2345" s="71" t="n">
        <v>474138.6</v>
      </c>
      <c r="P2345" s="71" t="n">
        <v>138560.02</v>
      </c>
      <c r="Q2345" s="71" t="n">
        <v>335578.58</v>
      </c>
      <c r="R2345" t="inlineStr">
        <is>
          <t>Vaccines</t>
        </is>
      </c>
      <c r="S2345" s="70" t="n">
        <v>1363</v>
      </c>
      <c r="T2345" s="71" t="n">
        <v>97853.48</v>
      </c>
      <c r="U2345" t="inlineStr">
        <is>
          <t>Low</t>
        </is>
      </c>
      <c r="V2345">
        <f>IF(AND(OR(Dashboard!$C$6="All",E2345=Dashboard!$C$6),OR(Dashboard!$F$6="All",G2345=Dashboard!$F$6),OR(Dashboard!$I$6="All",H2345=Dashboard!$I$6)),1,0)</f>
        <v/>
      </c>
    </row>
    <row r="2346">
      <c r="A2346" t="inlineStr">
        <is>
          <t>PF102337</t>
        </is>
      </c>
      <c r="B2346" s="68" t="n">
        <v>45939</v>
      </c>
      <c r="C2346" s="69" t="n">
        <v>2025</v>
      </c>
      <c r="D2346" t="inlineStr">
        <is>
          <t>Oct</t>
        </is>
      </c>
      <c r="E2346" t="inlineStr">
        <is>
          <t>United States</t>
        </is>
      </c>
      <c r="F2346" t="inlineStr">
        <is>
          <t>USA</t>
        </is>
      </c>
      <c r="G2346" t="inlineStr">
        <is>
          <t>Vyndaqel</t>
        </is>
      </c>
      <c r="H2346" t="inlineStr">
        <is>
          <t>Hospital</t>
        </is>
      </c>
      <c r="I2346" t="inlineStr">
        <is>
          <t>Private insurer</t>
        </is>
      </c>
      <c r="J2346" t="inlineStr">
        <is>
          <t>Priya Nair</t>
        </is>
      </c>
      <c r="K2346" s="70" t="n">
        <v>2472</v>
      </c>
      <c r="L2346" s="71" t="n">
        <v>8403.280000000001</v>
      </c>
      <c r="M2346" s="71" t="n">
        <v>20772908.16</v>
      </c>
      <c r="N2346" s="71" t="n">
        <v>3115936.22</v>
      </c>
      <c r="O2346" s="71" t="n">
        <v>17656971.94</v>
      </c>
      <c r="P2346" s="71" t="n">
        <v>1526977.12</v>
      </c>
      <c r="Q2346" s="71" t="n">
        <v>16129994.82</v>
      </c>
      <c r="R2346" t="inlineStr">
        <is>
          <t>Rare disease</t>
        </is>
      </c>
      <c r="S2346" s="70" t="n">
        <v>1780</v>
      </c>
      <c r="T2346" s="71" t="n">
        <v>3569323.64</v>
      </c>
      <c r="U2346" t="inlineStr">
        <is>
          <t>Medium</t>
        </is>
      </c>
      <c r="V2346">
        <f>IF(AND(OR(Dashboard!$C$6="All",E2346=Dashboard!$C$6),OR(Dashboard!$F$6="All",G2346=Dashboard!$F$6),OR(Dashboard!$I$6="All",H2346=Dashboard!$I$6)),1,0)</f>
        <v/>
      </c>
    </row>
    <row r="2347">
      <c r="A2347" t="inlineStr">
        <is>
          <t>PF102338</t>
        </is>
      </c>
      <c r="B2347" s="68" t="n">
        <v>45939</v>
      </c>
      <c r="C2347" s="69" t="n">
        <v>2025</v>
      </c>
      <c r="D2347" t="inlineStr">
        <is>
          <t>Oct</t>
        </is>
      </c>
      <c r="E2347" t="inlineStr">
        <is>
          <t>United States</t>
        </is>
      </c>
      <c r="F2347" t="inlineStr">
        <is>
          <t>USA</t>
        </is>
      </c>
      <c r="G2347" t="inlineStr">
        <is>
          <t>Abrysvo</t>
        </is>
      </c>
      <c r="H2347" t="inlineStr">
        <is>
          <t>Retail pharmacy</t>
        </is>
      </c>
      <c r="I2347" t="inlineStr">
        <is>
          <t>Self-pay</t>
        </is>
      </c>
      <c r="J2347" t="inlineStr">
        <is>
          <t>Liam O'Brien</t>
        </is>
      </c>
      <c r="K2347" s="70" t="n">
        <v>2228</v>
      </c>
      <c r="L2347" s="71" t="n">
        <v>452.59</v>
      </c>
      <c r="M2347" s="71" t="n">
        <v>1008370.52</v>
      </c>
      <c r="N2347" s="71" t="n">
        <v>252092.63</v>
      </c>
      <c r="O2347" s="71" t="n">
        <v>756277.89</v>
      </c>
      <c r="P2347" s="71" t="n">
        <v>182302.18</v>
      </c>
      <c r="Q2347" s="71" t="n">
        <v>573975.71</v>
      </c>
      <c r="R2347" t="inlineStr">
        <is>
          <t>Vaccines</t>
        </is>
      </c>
      <c r="S2347" s="70" t="n">
        <v>1484</v>
      </c>
      <c r="T2347" s="71" t="n">
        <v>146363.44</v>
      </c>
      <c r="U2347" t="inlineStr">
        <is>
          <t>Low</t>
        </is>
      </c>
      <c r="V2347">
        <f>IF(AND(OR(Dashboard!$C$6="All",E2347=Dashboard!$C$6),OR(Dashboard!$F$6="All",G2347=Dashboard!$F$6),OR(Dashboard!$I$6="All",H2347=Dashboard!$I$6)),1,0)</f>
        <v/>
      </c>
    </row>
    <row r="2348">
      <c r="A2348" t="inlineStr">
        <is>
          <t>PF102339</t>
        </is>
      </c>
      <c r="B2348" s="68" t="n">
        <v>45939</v>
      </c>
      <c r="C2348" s="69" t="n">
        <v>2025</v>
      </c>
      <c r="D2348" t="inlineStr">
        <is>
          <t>Oct</t>
        </is>
      </c>
      <c r="E2348" t="inlineStr">
        <is>
          <t>Europe</t>
        </is>
      </c>
      <c r="F2348" t="inlineStr">
        <is>
          <t>UK</t>
        </is>
      </c>
      <c r="G2348" t="inlineStr">
        <is>
          <t>Paxlovid</t>
        </is>
      </c>
      <c r="H2348" t="inlineStr">
        <is>
          <t>Retail pharmacy</t>
        </is>
      </c>
      <c r="I2348" t="inlineStr">
        <is>
          <t>Private insurer</t>
        </is>
      </c>
      <c r="J2348" t="inlineStr">
        <is>
          <t>Ravindra Patil</t>
        </is>
      </c>
      <c r="K2348" s="70" t="n">
        <v>1364</v>
      </c>
      <c r="L2348" s="71" t="n">
        <v>1176.66</v>
      </c>
      <c r="M2348" s="71" t="n">
        <v>1604964.24</v>
      </c>
      <c r="N2348" s="71" t="n">
        <v>320992.85</v>
      </c>
      <c r="O2348" s="71" t="n">
        <v>1283971.39</v>
      </c>
      <c r="P2348" s="71" t="n">
        <v>368176.73</v>
      </c>
      <c r="Q2348" s="71" t="n">
        <v>915794.66</v>
      </c>
      <c r="R2348" t="inlineStr">
        <is>
          <t>Antiviral</t>
        </is>
      </c>
      <c r="S2348" s="70" t="n">
        <v>1010</v>
      </c>
      <c r="T2348" s="71" t="n">
        <v>311273.21</v>
      </c>
      <c r="U2348" t="inlineStr">
        <is>
          <t>Low</t>
        </is>
      </c>
      <c r="V2348">
        <f>IF(AND(OR(Dashboard!$C$6="All",E2348=Dashboard!$C$6),OR(Dashboard!$F$6="All",G2348=Dashboard!$F$6),OR(Dashboard!$I$6="All",H2348=Dashboard!$I$6)),1,0)</f>
        <v/>
      </c>
    </row>
    <row r="2349">
      <c r="A2349" t="inlineStr">
        <is>
          <t>PF102340</t>
        </is>
      </c>
      <c r="B2349" s="68" t="n">
        <v>45939</v>
      </c>
      <c r="C2349" s="69" t="n">
        <v>2025</v>
      </c>
      <c r="D2349" t="inlineStr">
        <is>
          <t>Oct</t>
        </is>
      </c>
      <c r="E2349" t="inlineStr">
        <is>
          <t>United States</t>
        </is>
      </c>
      <c r="F2349" t="inlineStr">
        <is>
          <t>USA</t>
        </is>
      </c>
      <c r="G2349" t="inlineStr">
        <is>
          <t>Eliquis</t>
        </is>
      </c>
      <c r="H2349" t="inlineStr">
        <is>
          <t>Hospital</t>
        </is>
      </c>
      <c r="I2349" t="inlineStr">
        <is>
          <t>Private insurer</t>
        </is>
      </c>
      <c r="J2349" t="inlineStr">
        <is>
          <t>Ana Costa</t>
        </is>
      </c>
      <c r="K2349" s="70" t="n">
        <v>1945</v>
      </c>
      <c r="L2349" s="71" t="n">
        <v>736.02</v>
      </c>
      <c r="M2349" s="71" t="n">
        <v>1431558.9</v>
      </c>
      <c r="N2349" s="71" t="n">
        <v>357889.72</v>
      </c>
      <c r="O2349" s="71" t="n">
        <v>1073669.18</v>
      </c>
      <c r="P2349" s="71" t="n">
        <v>147944.28</v>
      </c>
      <c r="Q2349" s="71" t="n">
        <v>925724.9</v>
      </c>
      <c r="R2349" t="inlineStr">
        <is>
          <t>Cardiology</t>
        </is>
      </c>
      <c r="S2349" s="70" t="n">
        <v>1357</v>
      </c>
      <c r="T2349" s="71" t="n">
        <v>198073.2</v>
      </c>
      <c r="U2349" t="inlineStr">
        <is>
          <t>High</t>
        </is>
      </c>
      <c r="V2349">
        <f>IF(AND(OR(Dashboard!$C$6="All",E2349=Dashboard!$C$6),OR(Dashboard!$F$6="All",G2349=Dashboard!$F$6),OR(Dashboard!$I$6="All",H2349=Dashboard!$I$6)),1,0)</f>
        <v/>
      </c>
    </row>
    <row r="2350">
      <c r="A2350" t="inlineStr">
        <is>
          <t>PF102341</t>
        </is>
      </c>
      <c r="B2350" s="68" t="n">
        <v>45939</v>
      </c>
      <c r="C2350" s="69" t="n">
        <v>2025</v>
      </c>
      <c r="D2350" t="inlineStr">
        <is>
          <t>Oct</t>
        </is>
      </c>
      <c r="E2350" t="inlineStr">
        <is>
          <t>United States</t>
        </is>
      </c>
      <c r="F2350" t="inlineStr">
        <is>
          <t>USA</t>
        </is>
      </c>
      <c r="G2350" t="inlineStr">
        <is>
          <t>Prevnar 20</t>
        </is>
      </c>
      <c r="H2350" t="inlineStr">
        <is>
          <t>Hospital</t>
        </is>
      </c>
      <c r="I2350" t="inlineStr">
        <is>
          <t>Private insurer</t>
        </is>
      </c>
      <c r="J2350" t="inlineStr">
        <is>
          <t>Amir Khan</t>
        </is>
      </c>
      <c r="K2350" s="70" t="n">
        <v>2122</v>
      </c>
      <c r="L2350" s="71" t="n">
        <v>359.66</v>
      </c>
      <c r="M2350" s="71" t="n">
        <v>763198.52</v>
      </c>
      <c r="N2350" s="71" t="n">
        <v>267119.48</v>
      </c>
      <c r="O2350" s="71" t="n">
        <v>496079.04</v>
      </c>
      <c r="P2350" s="71" t="n">
        <v>147666.02</v>
      </c>
      <c r="Q2350" s="71" t="n">
        <v>348413.02</v>
      </c>
      <c r="R2350" t="inlineStr">
        <is>
          <t>Vaccines</t>
        </is>
      </c>
      <c r="S2350" s="70" t="n">
        <v>1366</v>
      </c>
      <c r="T2350" s="71" t="n">
        <v>115350.37</v>
      </c>
      <c r="U2350" t="inlineStr">
        <is>
          <t>Low</t>
        </is>
      </c>
      <c r="V2350">
        <f>IF(AND(OR(Dashboard!$C$6="All",E2350=Dashboard!$C$6),OR(Dashboard!$F$6="All",G2350=Dashboard!$F$6),OR(Dashboard!$I$6="All",H2350=Dashboard!$I$6)),1,0)</f>
        <v/>
      </c>
    </row>
    <row r="2351">
      <c r="A2351" t="inlineStr">
        <is>
          <t>PF102342</t>
        </is>
      </c>
      <c r="B2351" s="68" t="n">
        <v>45940</v>
      </c>
      <c r="C2351" s="69" t="n">
        <v>2025</v>
      </c>
      <c r="D2351" t="inlineStr">
        <is>
          <t>Oct</t>
        </is>
      </c>
      <c r="E2351" t="inlineStr">
        <is>
          <t>Emerging markets</t>
        </is>
      </c>
      <c r="F2351" t="inlineStr">
        <is>
          <t>India</t>
        </is>
      </c>
      <c r="G2351" t="inlineStr">
        <is>
          <t>Paxlovid</t>
        </is>
      </c>
      <c r="H2351" t="inlineStr">
        <is>
          <t>Retail pharmacy</t>
        </is>
      </c>
      <c r="I2351" t="inlineStr">
        <is>
          <t>Public payer</t>
        </is>
      </c>
      <c r="J2351" t="inlineStr">
        <is>
          <t>Hiroshi Tanaka</t>
        </is>
      </c>
      <c r="K2351" s="70" t="n">
        <v>2814</v>
      </c>
      <c r="L2351" s="71" t="n">
        <v>1132.04</v>
      </c>
      <c r="M2351" s="71" t="n">
        <v>3185560.56</v>
      </c>
      <c r="N2351" s="71" t="n">
        <v>159278.03</v>
      </c>
      <c r="O2351" s="71" t="n">
        <v>3026282.53</v>
      </c>
      <c r="P2351" s="71" t="n">
        <v>794332.23</v>
      </c>
      <c r="Q2351" s="71" t="n">
        <v>2231950.3</v>
      </c>
      <c r="R2351" t="inlineStr">
        <is>
          <t>Antiviral</t>
        </is>
      </c>
      <c r="S2351" s="70" t="n">
        <v>1908</v>
      </c>
      <c r="T2351" s="71" t="n">
        <v>693957.37</v>
      </c>
      <c r="U2351" t="inlineStr">
        <is>
          <t>Low</t>
        </is>
      </c>
      <c r="V2351">
        <f>IF(AND(OR(Dashboard!$C$6="All",E2351=Dashboard!$C$6),OR(Dashboard!$F$6="All",G2351=Dashboard!$F$6),OR(Dashboard!$I$6="All",H2351=Dashboard!$I$6)),1,0)</f>
        <v/>
      </c>
    </row>
    <row r="2352">
      <c r="A2352" t="inlineStr">
        <is>
          <t>PF102343</t>
        </is>
      </c>
      <c r="B2352" s="68" t="n">
        <v>45940</v>
      </c>
      <c r="C2352" s="69" t="n">
        <v>2025</v>
      </c>
      <c r="D2352" t="inlineStr">
        <is>
          <t>Oct</t>
        </is>
      </c>
      <c r="E2352" t="inlineStr">
        <is>
          <t>International developed</t>
        </is>
      </c>
      <c r="F2352" t="inlineStr">
        <is>
          <t>Australia</t>
        </is>
      </c>
      <c r="G2352" t="inlineStr">
        <is>
          <t>Eliquis</t>
        </is>
      </c>
      <c r="H2352" t="inlineStr">
        <is>
          <t>Retail pharmacy</t>
        </is>
      </c>
      <c r="I2352" t="inlineStr">
        <is>
          <t>Private insurer</t>
        </is>
      </c>
      <c r="J2352" t="inlineStr">
        <is>
          <t>Liam O'Brien</t>
        </is>
      </c>
      <c r="K2352" s="70" t="n">
        <v>1776</v>
      </c>
      <c r="L2352" s="71" t="n">
        <v>388.75</v>
      </c>
      <c r="M2352" s="71" t="n">
        <v>690420</v>
      </c>
      <c r="N2352" s="71" t="n">
        <v>34521</v>
      </c>
      <c r="O2352" s="71" t="n">
        <v>655899</v>
      </c>
      <c r="P2352" s="71" t="n">
        <v>138026.83</v>
      </c>
      <c r="Q2352" s="71" t="n">
        <v>517872.17</v>
      </c>
      <c r="R2352" t="inlineStr">
        <is>
          <t>Cardiology</t>
        </is>
      </c>
      <c r="S2352" s="70" t="n">
        <v>1706</v>
      </c>
      <c r="T2352" s="71" t="n">
        <v>89741.08</v>
      </c>
      <c r="U2352" t="inlineStr">
        <is>
          <t>High</t>
        </is>
      </c>
      <c r="V2352">
        <f>IF(AND(OR(Dashboard!$C$6="All",E2352=Dashboard!$C$6),OR(Dashboard!$F$6="All",G2352=Dashboard!$F$6),OR(Dashboard!$I$6="All",H2352=Dashboard!$I$6)),1,0)</f>
        <v/>
      </c>
    </row>
    <row r="2353">
      <c r="A2353" t="inlineStr">
        <is>
          <t>PF102344</t>
        </is>
      </c>
      <c r="B2353" s="68" t="n">
        <v>45940</v>
      </c>
      <c r="C2353" s="69" t="n">
        <v>2025</v>
      </c>
      <c r="D2353" t="inlineStr">
        <is>
          <t>Oct</t>
        </is>
      </c>
      <c r="E2353" t="inlineStr">
        <is>
          <t>International developed</t>
        </is>
      </c>
      <c r="F2353" t="inlineStr">
        <is>
          <t>Canada</t>
        </is>
      </c>
      <c r="G2353" t="inlineStr">
        <is>
          <t>Prevnar 20</t>
        </is>
      </c>
      <c r="H2353" t="inlineStr">
        <is>
          <t>Hospital</t>
        </is>
      </c>
      <c r="I2353" t="inlineStr">
        <is>
          <t>Public payer</t>
        </is>
      </c>
      <c r="J2353" t="inlineStr">
        <is>
          <t>Ruhi Shaikh</t>
        </is>
      </c>
      <c r="K2353" s="70" t="n">
        <v>2057</v>
      </c>
      <c r="L2353" s="71" t="n">
        <v>248.68</v>
      </c>
      <c r="M2353" s="71" t="n">
        <v>511534.76</v>
      </c>
      <c r="N2353" s="71" t="n">
        <v>76730.21000000001</v>
      </c>
      <c r="O2353" s="71" t="n">
        <v>434804.55</v>
      </c>
      <c r="P2353" s="71" t="n">
        <v>141418.45</v>
      </c>
      <c r="Q2353" s="71" t="n">
        <v>293386.1</v>
      </c>
      <c r="R2353" t="inlineStr">
        <is>
          <t>Vaccines</t>
        </is>
      </c>
      <c r="S2353" s="70" t="n">
        <v>1894</v>
      </c>
      <c r="T2353" s="71" t="n">
        <v>89576.59</v>
      </c>
      <c r="U2353" t="inlineStr">
        <is>
          <t>Low</t>
        </is>
      </c>
      <c r="V2353">
        <f>IF(AND(OR(Dashboard!$C$6="All",E2353=Dashboard!$C$6),OR(Dashboard!$F$6="All",G2353=Dashboard!$F$6),OR(Dashboard!$I$6="All",H2353=Dashboard!$I$6)),1,0)</f>
        <v/>
      </c>
    </row>
    <row r="2354">
      <c r="A2354" t="inlineStr">
        <is>
          <t>PF102345</t>
        </is>
      </c>
      <c r="B2354" s="68" t="n">
        <v>45940</v>
      </c>
      <c r="C2354" s="69" t="n">
        <v>2025</v>
      </c>
      <c r="D2354" t="inlineStr">
        <is>
          <t>Oct</t>
        </is>
      </c>
      <c r="E2354" t="inlineStr">
        <is>
          <t>Europe</t>
        </is>
      </c>
      <c r="F2354" t="inlineStr">
        <is>
          <t>France</t>
        </is>
      </c>
      <c r="G2354" t="inlineStr">
        <is>
          <t>Abrysvo</t>
        </is>
      </c>
      <c r="H2354" t="inlineStr">
        <is>
          <t>Retail pharmacy</t>
        </is>
      </c>
      <c r="I2354" t="inlineStr">
        <is>
          <t>Self-pay</t>
        </is>
      </c>
      <c r="J2354" t="inlineStr">
        <is>
          <t>Olivia Brown</t>
        </is>
      </c>
      <c r="K2354" s="70" t="n">
        <v>1854</v>
      </c>
      <c r="L2354" s="71" t="n">
        <v>254.13</v>
      </c>
      <c r="M2354" s="71" t="n">
        <v>471157.02</v>
      </c>
      <c r="N2354" s="71" t="n">
        <v>117789.26</v>
      </c>
      <c r="O2354" s="71" t="n">
        <v>353367.76</v>
      </c>
      <c r="P2354" s="71" t="n">
        <v>161050.8</v>
      </c>
      <c r="Q2354" s="71" t="n">
        <v>192316.96</v>
      </c>
      <c r="R2354" t="inlineStr">
        <is>
          <t>Vaccines</t>
        </is>
      </c>
      <c r="S2354" s="70" t="n">
        <v>1760</v>
      </c>
      <c r="T2354" s="71" t="n">
        <v>103606.91</v>
      </c>
      <c r="U2354" t="inlineStr">
        <is>
          <t>Low</t>
        </is>
      </c>
      <c r="V2354">
        <f>IF(AND(OR(Dashboard!$C$6="All",E2354=Dashboard!$C$6),OR(Dashboard!$F$6="All",G2354=Dashboard!$F$6),OR(Dashboard!$I$6="All",H2354=Dashboard!$I$6)),1,0)</f>
        <v/>
      </c>
    </row>
    <row r="2355">
      <c r="A2355" t="inlineStr">
        <is>
          <t>PF102346</t>
        </is>
      </c>
      <c r="B2355" s="68" t="n">
        <v>45940</v>
      </c>
      <c r="C2355" s="69" t="n">
        <v>2025</v>
      </c>
      <c r="D2355" t="inlineStr">
        <is>
          <t>Oct</t>
        </is>
      </c>
      <c r="E2355" t="inlineStr">
        <is>
          <t>United States</t>
        </is>
      </c>
      <c r="F2355" t="inlineStr">
        <is>
          <t>USA</t>
        </is>
      </c>
      <c r="G2355" t="inlineStr">
        <is>
          <t>Xeljanz</t>
        </is>
      </c>
      <c r="H2355" t="inlineStr">
        <is>
          <t>Government / tender</t>
        </is>
      </c>
      <c r="I2355" t="inlineStr">
        <is>
          <t>Private insurer</t>
        </is>
      </c>
      <c r="J2355" t="inlineStr">
        <is>
          <t>Zoya Ahmed</t>
        </is>
      </c>
      <c r="K2355" s="70" t="n">
        <v>232</v>
      </c>
      <c r="L2355" s="71" t="n">
        <v>2342.54</v>
      </c>
      <c r="M2355" s="71" t="n">
        <v>543469.28</v>
      </c>
      <c r="N2355" s="71" t="n">
        <v>108693.86</v>
      </c>
      <c r="O2355" s="71" t="n">
        <v>434775.42</v>
      </c>
      <c r="P2355" s="71" t="n">
        <v>58982.91</v>
      </c>
      <c r="Q2355" s="71" t="n">
        <v>375792.51</v>
      </c>
      <c r="R2355" t="inlineStr">
        <is>
          <t>Inflammation</t>
        </is>
      </c>
      <c r="S2355" s="70" t="n">
        <v>229</v>
      </c>
      <c r="T2355" s="71" t="n">
        <v>91251.56</v>
      </c>
      <c r="U2355" t="inlineStr">
        <is>
          <t>High</t>
        </is>
      </c>
      <c r="V2355">
        <f>IF(AND(OR(Dashboard!$C$6="All",E2355=Dashboard!$C$6),OR(Dashboard!$F$6="All",G2355=Dashboard!$F$6),OR(Dashboard!$I$6="All",H2355=Dashboard!$I$6)),1,0)</f>
        <v/>
      </c>
    </row>
    <row r="2356">
      <c r="A2356" t="inlineStr">
        <is>
          <t>PF102347</t>
        </is>
      </c>
      <c r="B2356" s="68" t="n">
        <v>45940</v>
      </c>
      <c r="C2356" s="69" t="n">
        <v>2025</v>
      </c>
      <c r="D2356" t="inlineStr">
        <is>
          <t>Oct</t>
        </is>
      </c>
      <c r="E2356" t="inlineStr">
        <is>
          <t>United States</t>
        </is>
      </c>
      <c r="F2356" t="inlineStr">
        <is>
          <t>USA</t>
        </is>
      </c>
      <c r="G2356" t="inlineStr">
        <is>
          <t>Abrysvo</t>
        </is>
      </c>
      <c r="H2356" t="inlineStr">
        <is>
          <t>Hospital</t>
        </is>
      </c>
      <c r="I2356" t="inlineStr">
        <is>
          <t>Public payer</t>
        </is>
      </c>
      <c r="J2356" t="inlineStr">
        <is>
          <t>Amir Khan</t>
        </is>
      </c>
      <c r="K2356" s="70" t="n">
        <v>1515</v>
      </c>
      <c r="L2356" s="71" t="n">
        <v>468.8</v>
      </c>
      <c r="M2356" s="71" t="n">
        <v>710232</v>
      </c>
      <c r="N2356" s="71" t="n">
        <v>213069.6</v>
      </c>
      <c r="O2356" s="71" t="n">
        <v>497162.4</v>
      </c>
      <c r="P2356" s="71" t="n">
        <v>124738.78</v>
      </c>
      <c r="Q2356" s="71" t="n">
        <v>372423.62</v>
      </c>
      <c r="R2356" t="inlineStr">
        <is>
          <t>Vaccines</t>
        </is>
      </c>
      <c r="S2356" s="70" t="n">
        <v>1040</v>
      </c>
      <c r="T2356" s="71" t="n">
        <v>100443.3</v>
      </c>
      <c r="U2356" t="inlineStr">
        <is>
          <t>Low</t>
        </is>
      </c>
      <c r="V2356">
        <f>IF(AND(OR(Dashboard!$C$6="All",E2356=Dashboard!$C$6),OR(Dashboard!$F$6="All",G2356=Dashboard!$F$6),OR(Dashboard!$I$6="All",H2356=Dashboard!$I$6)),1,0)</f>
        <v/>
      </c>
    </row>
    <row r="2357">
      <c r="A2357" t="inlineStr">
        <is>
          <t>PF102348</t>
        </is>
      </c>
      <c r="B2357" s="68" t="n">
        <v>45940</v>
      </c>
      <c r="C2357" s="69" t="n">
        <v>2025</v>
      </c>
      <c r="D2357" t="inlineStr">
        <is>
          <t>Oct</t>
        </is>
      </c>
      <c r="E2357" t="inlineStr">
        <is>
          <t>Europe</t>
        </is>
      </c>
      <c r="F2357" t="inlineStr">
        <is>
          <t>Germany</t>
        </is>
      </c>
      <c r="G2357" t="inlineStr">
        <is>
          <t>Paxlovid</t>
        </is>
      </c>
      <c r="H2357" t="inlineStr">
        <is>
          <t>Retail pharmacy</t>
        </is>
      </c>
      <c r="I2357" t="inlineStr">
        <is>
          <t>Private insurer</t>
        </is>
      </c>
      <c r="J2357" t="inlineStr">
        <is>
          <t>Carlos Silva</t>
        </is>
      </c>
      <c r="K2357" s="70" t="n">
        <v>1637</v>
      </c>
      <c r="L2357" s="71" t="n">
        <v>1044.4</v>
      </c>
      <c r="M2357" s="71" t="n">
        <v>1709682.8</v>
      </c>
      <c r="N2357" s="71" t="n">
        <v>256452.42</v>
      </c>
      <c r="O2357" s="71" t="n">
        <v>1453230.38</v>
      </c>
      <c r="P2357" s="71" t="n">
        <v>455794.88</v>
      </c>
      <c r="Q2357" s="71" t="n">
        <v>997435.5</v>
      </c>
      <c r="R2357" t="inlineStr">
        <is>
          <t>Antiviral</t>
        </is>
      </c>
      <c r="S2357" s="70" t="n">
        <v>1360</v>
      </c>
      <c r="T2357" s="71" t="n">
        <v>224336.06</v>
      </c>
      <c r="U2357" t="inlineStr">
        <is>
          <t>Low</t>
        </is>
      </c>
      <c r="V2357">
        <f>IF(AND(OR(Dashboard!$C$6="All",E2357=Dashboard!$C$6),OR(Dashboard!$F$6="All",G2357=Dashboard!$F$6),OR(Dashboard!$I$6="All",H2357=Dashboard!$I$6)),1,0)</f>
        <v/>
      </c>
    </row>
    <row r="2358">
      <c r="A2358" t="inlineStr">
        <is>
          <t>PF102349</t>
        </is>
      </c>
      <c r="B2358" s="68" t="n">
        <v>45940</v>
      </c>
      <c r="C2358" s="69" t="n">
        <v>2025</v>
      </c>
      <c r="D2358" t="inlineStr">
        <is>
          <t>Oct</t>
        </is>
      </c>
      <c r="E2358" t="inlineStr">
        <is>
          <t>International developed</t>
        </is>
      </c>
      <c r="F2358" t="inlineStr">
        <is>
          <t>Japan</t>
        </is>
      </c>
      <c r="G2358" t="inlineStr">
        <is>
          <t>Eliquis</t>
        </is>
      </c>
      <c r="H2358" t="inlineStr">
        <is>
          <t>Retail pharmacy</t>
        </is>
      </c>
      <c r="I2358" t="inlineStr">
        <is>
          <t>Self-pay</t>
        </is>
      </c>
      <c r="J2358" t="inlineStr">
        <is>
          <t>Arjun Mehta</t>
        </is>
      </c>
      <c r="K2358" s="70" t="n">
        <v>3096</v>
      </c>
      <c r="L2358" s="71" t="n">
        <v>415.82</v>
      </c>
      <c r="M2358" s="71" t="n">
        <v>1287378.72</v>
      </c>
      <c r="N2358" s="71" t="n">
        <v>193106.81</v>
      </c>
      <c r="O2358" s="71" t="n">
        <v>1094271.91</v>
      </c>
      <c r="P2358" s="71" t="n">
        <v>227013.46</v>
      </c>
      <c r="Q2358" s="71" t="n">
        <v>867258.45</v>
      </c>
      <c r="R2358" t="inlineStr">
        <is>
          <t>Cardiology</t>
        </is>
      </c>
      <c r="S2358" s="70" t="n">
        <v>2378</v>
      </c>
      <c r="T2358" s="71" t="n">
        <v>270276.8</v>
      </c>
      <c r="U2358" t="inlineStr">
        <is>
          <t>High</t>
        </is>
      </c>
      <c r="V2358">
        <f>IF(AND(OR(Dashboard!$C$6="All",E2358=Dashboard!$C$6),OR(Dashboard!$F$6="All",G2358=Dashboard!$F$6),OR(Dashboard!$I$6="All",H2358=Dashboard!$I$6)),1,0)</f>
        <v/>
      </c>
    </row>
    <row r="2359">
      <c r="A2359" t="inlineStr">
        <is>
          <t>PF102350</t>
        </is>
      </c>
      <c r="B2359" s="68" t="n">
        <v>45940</v>
      </c>
      <c r="C2359" s="69" t="n">
        <v>2025</v>
      </c>
      <c r="D2359" t="inlineStr">
        <is>
          <t>Oct</t>
        </is>
      </c>
      <c r="E2359" t="inlineStr">
        <is>
          <t>Emerging markets</t>
        </is>
      </c>
      <c r="F2359" t="inlineStr">
        <is>
          <t>India</t>
        </is>
      </c>
      <c r="G2359" t="inlineStr">
        <is>
          <t>Comirnaty</t>
        </is>
      </c>
      <c r="H2359" t="inlineStr">
        <is>
          <t>Hospital</t>
        </is>
      </c>
      <c r="I2359" t="inlineStr">
        <is>
          <t>Private insurer</t>
        </is>
      </c>
      <c r="J2359" t="inlineStr">
        <is>
          <t>Mei Lin</t>
        </is>
      </c>
      <c r="K2359" s="70" t="n">
        <v>498</v>
      </c>
      <c r="L2359" s="71" t="n">
        <v>108.14</v>
      </c>
      <c r="M2359" s="71" t="n">
        <v>53853.72</v>
      </c>
      <c r="N2359" s="71" t="n">
        <v>2692.69</v>
      </c>
      <c r="O2359" s="71" t="n">
        <v>51161.03</v>
      </c>
      <c r="P2359" s="71" t="n">
        <v>19638.32</v>
      </c>
      <c r="Q2359" s="71" t="n">
        <v>31522.71</v>
      </c>
      <c r="R2359" t="inlineStr">
        <is>
          <t>Vaccines</t>
        </is>
      </c>
      <c r="S2359" s="70" t="n">
        <v>317</v>
      </c>
      <c r="T2359" s="71" t="n">
        <v>10424.99</v>
      </c>
      <c r="U2359" t="inlineStr">
        <is>
          <t>Low</t>
        </is>
      </c>
      <c r="V2359">
        <f>IF(AND(OR(Dashboard!$C$6="All",E2359=Dashboard!$C$6),OR(Dashboard!$F$6="All",G2359=Dashboard!$F$6),OR(Dashboard!$I$6="All",H2359=Dashboard!$I$6)),1,0)</f>
        <v/>
      </c>
    </row>
    <row r="2360">
      <c r="A2360" t="inlineStr">
        <is>
          <t>PF102351</t>
        </is>
      </c>
      <c r="B2360" s="68" t="n">
        <v>45940</v>
      </c>
      <c r="C2360" s="69" t="n">
        <v>2025</v>
      </c>
      <c r="D2360" t="inlineStr">
        <is>
          <t>Oct</t>
        </is>
      </c>
      <c r="E2360" t="inlineStr">
        <is>
          <t>International developed</t>
        </is>
      </c>
      <c r="F2360" t="inlineStr">
        <is>
          <t>Japan</t>
        </is>
      </c>
      <c r="G2360" t="inlineStr">
        <is>
          <t>Eliquis</t>
        </is>
      </c>
      <c r="H2360" t="inlineStr">
        <is>
          <t>Retail pharmacy</t>
        </is>
      </c>
      <c r="I2360" t="inlineStr">
        <is>
          <t>Public payer</t>
        </is>
      </c>
      <c r="J2360" t="inlineStr">
        <is>
          <t>Hiroshi Tanaka</t>
        </is>
      </c>
      <c r="K2360" s="70" t="n">
        <v>1150</v>
      </c>
      <c r="L2360" s="71" t="n">
        <v>399.7</v>
      </c>
      <c r="M2360" s="71" t="n">
        <v>459655</v>
      </c>
      <c r="N2360" s="71" t="n">
        <v>91931</v>
      </c>
      <c r="O2360" s="71" t="n">
        <v>367724</v>
      </c>
      <c r="P2360" s="71" t="n">
        <v>89753.85000000001</v>
      </c>
      <c r="Q2360" s="71" t="n">
        <v>277970.15</v>
      </c>
      <c r="R2360" t="inlineStr">
        <is>
          <t>Cardiology</t>
        </is>
      </c>
      <c r="S2360" s="70" t="n">
        <v>966</v>
      </c>
      <c r="T2360" s="71" t="n">
        <v>74178.78</v>
      </c>
      <c r="U2360" t="inlineStr">
        <is>
          <t>High</t>
        </is>
      </c>
      <c r="V2360">
        <f>IF(AND(OR(Dashboard!$C$6="All",E2360=Dashboard!$C$6),OR(Dashboard!$F$6="All",G2360=Dashboard!$F$6),OR(Dashboard!$I$6="All",H2360=Dashboard!$I$6)),1,0)</f>
        <v/>
      </c>
    </row>
    <row r="2361">
      <c r="A2361" t="inlineStr">
        <is>
          <t>PF102352</t>
        </is>
      </c>
      <c r="B2361" s="68" t="n">
        <v>45940</v>
      </c>
      <c r="C2361" s="69" t="n">
        <v>2025</v>
      </c>
      <c r="D2361" t="inlineStr">
        <is>
          <t>Oct</t>
        </is>
      </c>
      <c r="E2361" t="inlineStr">
        <is>
          <t>United States</t>
        </is>
      </c>
      <c r="F2361" t="inlineStr">
        <is>
          <t>USA</t>
        </is>
      </c>
      <c r="G2361" t="inlineStr">
        <is>
          <t>Eliquis</t>
        </is>
      </c>
      <c r="H2361" t="inlineStr">
        <is>
          <t>Hospital</t>
        </is>
      </c>
      <c r="I2361" t="inlineStr">
        <is>
          <t>Self-pay</t>
        </is>
      </c>
      <c r="J2361" t="inlineStr">
        <is>
          <t>Fatima Al-Saud</t>
        </is>
      </c>
      <c r="K2361" s="70" t="n">
        <v>586</v>
      </c>
      <c r="L2361" s="71" t="n">
        <v>684.8200000000001</v>
      </c>
      <c r="M2361" s="71" t="n">
        <v>401304.52</v>
      </c>
      <c r="N2361" s="71" t="n">
        <v>80260.89999999999</v>
      </c>
      <c r="O2361" s="71" t="n">
        <v>321043.62</v>
      </c>
      <c r="P2361" s="71" t="n">
        <v>43878.38</v>
      </c>
      <c r="Q2361" s="71" t="n">
        <v>277165.24</v>
      </c>
      <c r="R2361" t="inlineStr">
        <is>
          <t>Cardiology</t>
        </is>
      </c>
      <c r="S2361" s="70" t="n">
        <v>521</v>
      </c>
      <c r="T2361" s="71" t="n">
        <v>86569.55</v>
      </c>
      <c r="U2361" t="inlineStr">
        <is>
          <t>High</t>
        </is>
      </c>
      <c r="V2361">
        <f>IF(AND(OR(Dashboard!$C$6="All",E2361=Dashboard!$C$6),OR(Dashboard!$F$6="All",G2361=Dashboard!$F$6),OR(Dashboard!$I$6="All",H2361=Dashboard!$I$6)),1,0)</f>
        <v/>
      </c>
    </row>
    <row r="2362">
      <c r="A2362" t="inlineStr">
        <is>
          <t>PF102353</t>
        </is>
      </c>
      <c r="B2362" s="68" t="n">
        <v>45940</v>
      </c>
      <c r="C2362" s="69" t="n">
        <v>2025</v>
      </c>
      <c r="D2362" t="inlineStr">
        <is>
          <t>Oct</t>
        </is>
      </c>
      <c r="E2362" t="inlineStr">
        <is>
          <t>United States</t>
        </is>
      </c>
      <c r="F2362" t="inlineStr">
        <is>
          <t>USA</t>
        </is>
      </c>
      <c r="G2362" t="inlineStr">
        <is>
          <t>Eliquis</t>
        </is>
      </c>
      <c r="H2362" t="inlineStr">
        <is>
          <t>Retail pharmacy</t>
        </is>
      </c>
      <c r="I2362" t="inlineStr">
        <is>
          <t>Private insurer</t>
        </is>
      </c>
      <c r="J2362" t="inlineStr">
        <is>
          <t>Mei Lin</t>
        </is>
      </c>
      <c r="K2362" s="70" t="n">
        <v>1804</v>
      </c>
      <c r="L2362" s="71" t="n">
        <v>642.75</v>
      </c>
      <c r="M2362" s="71" t="n">
        <v>1159521</v>
      </c>
      <c r="N2362" s="71" t="n">
        <v>347856.3</v>
      </c>
      <c r="O2362" s="71" t="n">
        <v>811664.7</v>
      </c>
      <c r="P2362" s="71" t="n">
        <v>138283.08</v>
      </c>
      <c r="Q2362" s="71" t="n">
        <v>673381.62</v>
      </c>
      <c r="R2362" t="inlineStr">
        <is>
          <t>Cardiology</t>
        </is>
      </c>
      <c r="S2362" s="70" t="n">
        <v>1131</v>
      </c>
      <c r="T2362" s="71" t="n">
        <v>225858.1</v>
      </c>
      <c r="U2362" t="inlineStr">
        <is>
          <t>High</t>
        </is>
      </c>
      <c r="V2362">
        <f>IF(AND(OR(Dashboard!$C$6="All",E2362=Dashboard!$C$6),OR(Dashboard!$F$6="All",G2362=Dashboard!$F$6),OR(Dashboard!$I$6="All",H2362=Dashboard!$I$6)),1,0)</f>
        <v/>
      </c>
    </row>
    <row r="2363">
      <c r="A2363" t="inlineStr">
        <is>
          <t>PF102354</t>
        </is>
      </c>
      <c r="B2363" s="68" t="n">
        <v>45940</v>
      </c>
      <c r="C2363" s="69" t="n">
        <v>2025</v>
      </c>
      <c r="D2363" t="inlineStr">
        <is>
          <t>Oct</t>
        </is>
      </c>
      <c r="E2363" t="inlineStr">
        <is>
          <t>United States</t>
        </is>
      </c>
      <c r="F2363" t="inlineStr">
        <is>
          <t>USA</t>
        </is>
      </c>
      <c r="G2363" t="inlineStr">
        <is>
          <t>Prevnar 20</t>
        </is>
      </c>
      <c r="H2363" t="inlineStr">
        <is>
          <t>Government / tender</t>
        </is>
      </c>
      <c r="I2363" t="inlineStr">
        <is>
          <t>Public payer</t>
        </is>
      </c>
      <c r="J2363" t="inlineStr">
        <is>
          <t>Emma Clarke</t>
        </is>
      </c>
      <c r="K2363" s="70" t="n">
        <v>1289</v>
      </c>
      <c r="L2363" s="71" t="n">
        <v>396.21</v>
      </c>
      <c r="M2363" s="71" t="n">
        <v>510714.69</v>
      </c>
      <c r="N2363" s="71" t="n">
        <v>153214.41</v>
      </c>
      <c r="O2363" s="71" t="n">
        <v>357500.28</v>
      </c>
      <c r="P2363" s="71" t="n">
        <v>92477.3</v>
      </c>
      <c r="Q2363" s="71" t="n">
        <v>265022.98</v>
      </c>
      <c r="R2363" t="inlineStr">
        <is>
          <t>Vaccines</t>
        </is>
      </c>
      <c r="S2363" s="70" t="n">
        <v>987</v>
      </c>
      <c r="T2363" s="71" t="n">
        <v>88466.38</v>
      </c>
      <c r="U2363" t="inlineStr">
        <is>
          <t>Low</t>
        </is>
      </c>
      <c r="V2363">
        <f>IF(AND(OR(Dashboard!$C$6="All",E2363=Dashboard!$C$6),OR(Dashboard!$F$6="All",G2363=Dashboard!$F$6),OR(Dashboard!$I$6="All",H2363=Dashboard!$I$6)),1,0)</f>
        <v/>
      </c>
    </row>
    <row r="2364">
      <c r="A2364" t="inlineStr">
        <is>
          <t>PF102355</t>
        </is>
      </c>
      <c r="B2364" s="68" t="n">
        <v>45941</v>
      </c>
      <c r="C2364" s="69" t="n">
        <v>2025</v>
      </c>
      <c r="D2364" t="inlineStr">
        <is>
          <t>Oct</t>
        </is>
      </c>
      <c r="E2364" t="inlineStr">
        <is>
          <t>International developed</t>
        </is>
      </c>
      <c r="F2364" t="inlineStr">
        <is>
          <t>Japan</t>
        </is>
      </c>
      <c r="G2364" t="inlineStr">
        <is>
          <t>Prevnar 20</t>
        </is>
      </c>
      <c r="H2364" t="inlineStr">
        <is>
          <t>Hospital</t>
        </is>
      </c>
      <c r="I2364" t="inlineStr">
        <is>
          <t>Public payer</t>
        </is>
      </c>
      <c r="J2364" t="inlineStr">
        <is>
          <t>Priya Nair</t>
        </is>
      </c>
      <c r="K2364" s="70" t="n">
        <v>1699</v>
      </c>
      <c r="L2364" s="71" t="n">
        <v>233.36</v>
      </c>
      <c r="M2364" s="71" t="n">
        <v>396478.64</v>
      </c>
      <c r="N2364" s="71" t="n">
        <v>79295.73</v>
      </c>
      <c r="O2364" s="71" t="n">
        <v>317182.91</v>
      </c>
      <c r="P2364" s="71" t="n">
        <v>116125.15</v>
      </c>
      <c r="Q2364" s="71" t="n">
        <v>201057.76</v>
      </c>
      <c r="R2364" t="inlineStr">
        <is>
          <t>Vaccines</t>
        </is>
      </c>
      <c r="S2364" s="70" t="n">
        <v>1319</v>
      </c>
      <c r="T2364" s="71" t="n">
        <v>58348.64</v>
      </c>
      <c r="U2364" t="inlineStr">
        <is>
          <t>Low</t>
        </is>
      </c>
      <c r="V2364">
        <f>IF(AND(OR(Dashboard!$C$6="All",E2364=Dashboard!$C$6),OR(Dashboard!$F$6="All",G2364=Dashboard!$F$6),OR(Dashboard!$I$6="All",H2364=Dashboard!$I$6)),1,0)</f>
        <v/>
      </c>
    </row>
    <row r="2365">
      <c r="A2365" t="inlineStr">
        <is>
          <t>PF102356</t>
        </is>
      </c>
      <c r="B2365" s="68" t="n">
        <v>45941</v>
      </c>
      <c r="C2365" s="69" t="n">
        <v>2025</v>
      </c>
      <c r="D2365" t="inlineStr">
        <is>
          <t>Oct</t>
        </is>
      </c>
      <c r="E2365" t="inlineStr">
        <is>
          <t>United States</t>
        </is>
      </c>
      <c r="F2365" t="inlineStr">
        <is>
          <t>USA</t>
        </is>
      </c>
      <c r="G2365" t="inlineStr">
        <is>
          <t>Ibrance</t>
        </is>
      </c>
      <c r="H2365" t="inlineStr">
        <is>
          <t>Retail pharmacy</t>
        </is>
      </c>
      <c r="I2365" t="inlineStr">
        <is>
          <t>Public payer</t>
        </is>
      </c>
      <c r="J2365" t="inlineStr">
        <is>
          <t>Priya Nair</t>
        </is>
      </c>
      <c r="K2365" s="70" t="n">
        <v>112</v>
      </c>
      <c r="L2365" s="71" t="n">
        <v>4339.22</v>
      </c>
      <c r="M2365" s="71" t="n">
        <v>485992.64</v>
      </c>
      <c r="N2365" s="71" t="n">
        <v>72898.89999999999</v>
      </c>
      <c r="O2365" s="71" t="n">
        <v>413093.74</v>
      </c>
      <c r="P2365" s="71" t="n">
        <v>49975.7</v>
      </c>
      <c r="Q2365" s="71" t="n">
        <v>363118.04</v>
      </c>
      <c r="R2365" t="inlineStr">
        <is>
          <t>Oncology</t>
        </is>
      </c>
      <c r="S2365" s="70" t="n">
        <v>104</v>
      </c>
      <c r="T2365" s="71" t="n">
        <v>104408.94</v>
      </c>
      <c r="U2365" t="inlineStr">
        <is>
          <t>High</t>
        </is>
      </c>
      <c r="V2365">
        <f>IF(AND(OR(Dashboard!$C$6="All",E2365=Dashboard!$C$6),OR(Dashboard!$F$6="All",G2365=Dashboard!$F$6),OR(Dashboard!$I$6="All",H2365=Dashboard!$I$6)),1,0)</f>
        <v/>
      </c>
    </row>
    <row r="2366">
      <c r="A2366" t="inlineStr">
        <is>
          <t>PF102357</t>
        </is>
      </c>
      <c r="B2366" s="68" t="n">
        <v>45941</v>
      </c>
      <c r="C2366" s="69" t="n">
        <v>2025</v>
      </c>
      <c r="D2366" t="inlineStr">
        <is>
          <t>Oct</t>
        </is>
      </c>
      <c r="E2366" t="inlineStr">
        <is>
          <t>United States</t>
        </is>
      </c>
      <c r="F2366" t="inlineStr">
        <is>
          <t>USA</t>
        </is>
      </c>
      <c r="G2366" t="inlineStr">
        <is>
          <t>Prevnar 20</t>
        </is>
      </c>
      <c r="H2366" t="inlineStr">
        <is>
          <t>Hospital</t>
        </is>
      </c>
      <c r="I2366" t="inlineStr">
        <is>
          <t>Public payer</t>
        </is>
      </c>
      <c r="J2366" t="inlineStr">
        <is>
          <t>Arjun Mehta</t>
        </is>
      </c>
      <c r="K2366" s="70" t="n">
        <v>2095</v>
      </c>
      <c r="L2366" s="71" t="n">
        <v>354.35</v>
      </c>
      <c r="M2366" s="71" t="n">
        <v>742363.25</v>
      </c>
      <c r="N2366" s="71" t="n">
        <v>148472.65</v>
      </c>
      <c r="O2366" s="71" t="n">
        <v>593890.6</v>
      </c>
      <c r="P2366" s="71" t="n">
        <v>141814.64</v>
      </c>
      <c r="Q2366" s="71" t="n">
        <v>452075.96</v>
      </c>
      <c r="R2366" t="inlineStr">
        <is>
          <t>Vaccines</t>
        </is>
      </c>
      <c r="S2366" s="70" t="n">
        <v>1921</v>
      </c>
      <c r="T2366" s="71" t="n">
        <v>101649.95</v>
      </c>
      <c r="U2366" t="inlineStr">
        <is>
          <t>Low</t>
        </is>
      </c>
      <c r="V2366">
        <f>IF(AND(OR(Dashboard!$C$6="All",E2366=Dashboard!$C$6),OR(Dashboard!$F$6="All",G2366=Dashboard!$F$6),OR(Dashboard!$I$6="All",H2366=Dashboard!$I$6)),1,0)</f>
        <v/>
      </c>
    </row>
    <row r="2367">
      <c r="A2367" t="inlineStr">
        <is>
          <t>PF102358</t>
        </is>
      </c>
      <c r="B2367" s="68" t="n">
        <v>45941</v>
      </c>
      <c r="C2367" s="69" t="n">
        <v>2025</v>
      </c>
      <c r="D2367" t="inlineStr">
        <is>
          <t>Oct</t>
        </is>
      </c>
      <c r="E2367" t="inlineStr">
        <is>
          <t>United States</t>
        </is>
      </c>
      <c r="F2367" t="inlineStr">
        <is>
          <t>USA</t>
        </is>
      </c>
      <c r="G2367" t="inlineStr">
        <is>
          <t>Vyndaqel</t>
        </is>
      </c>
      <c r="H2367" t="inlineStr">
        <is>
          <t>Retail pharmacy</t>
        </is>
      </c>
      <c r="I2367" t="inlineStr">
        <is>
          <t>Private insurer</t>
        </is>
      </c>
      <c r="J2367" t="inlineStr">
        <is>
          <t>Lucas Martin</t>
        </is>
      </c>
      <c r="K2367" s="70" t="n">
        <v>310</v>
      </c>
      <c r="L2367" s="71" t="n">
        <v>7500.69</v>
      </c>
      <c r="M2367" s="71" t="n">
        <v>2325213.9</v>
      </c>
      <c r="N2367" s="71" t="n">
        <v>465042.78</v>
      </c>
      <c r="O2367" s="71" t="n">
        <v>1860171.12</v>
      </c>
      <c r="P2367" s="71" t="n">
        <v>201110.88</v>
      </c>
      <c r="Q2367" s="71" t="n">
        <v>1659060.24</v>
      </c>
      <c r="R2367" t="inlineStr">
        <is>
          <t>Rare disease</t>
        </is>
      </c>
      <c r="S2367" s="70" t="n">
        <v>239</v>
      </c>
      <c r="T2367" s="71" t="n">
        <v>415474.56</v>
      </c>
      <c r="U2367" t="inlineStr">
        <is>
          <t>Medium</t>
        </is>
      </c>
      <c r="V2367">
        <f>IF(AND(OR(Dashboard!$C$6="All",E2367=Dashboard!$C$6),OR(Dashboard!$F$6="All",G2367=Dashboard!$F$6),OR(Dashboard!$I$6="All",H2367=Dashboard!$I$6)),1,0)</f>
        <v/>
      </c>
    </row>
    <row r="2368">
      <c r="A2368" t="inlineStr">
        <is>
          <t>PF102359</t>
        </is>
      </c>
      <c r="B2368" s="68" t="n">
        <v>45941</v>
      </c>
      <c r="C2368" s="69" t="n">
        <v>2025</v>
      </c>
      <c r="D2368" t="inlineStr">
        <is>
          <t>Oct</t>
        </is>
      </c>
      <c r="E2368" t="inlineStr">
        <is>
          <t>International developed</t>
        </is>
      </c>
      <c r="F2368" t="inlineStr">
        <is>
          <t>Canada</t>
        </is>
      </c>
      <c r="G2368" t="inlineStr">
        <is>
          <t>Comirnaty</t>
        </is>
      </c>
      <c r="H2368" t="inlineStr">
        <is>
          <t>Government / tender</t>
        </is>
      </c>
      <c r="I2368" t="inlineStr">
        <is>
          <t>Public payer</t>
        </is>
      </c>
      <c r="J2368" t="inlineStr">
        <is>
          <t>Fatima Al-Saud</t>
        </is>
      </c>
      <c r="K2368" s="70" t="n">
        <v>965</v>
      </c>
      <c r="L2368" s="71" t="n">
        <v>117.69</v>
      </c>
      <c r="M2368" s="71" t="n">
        <v>113570.85</v>
      </c>
      <c r="N2368" s="71" t="n">
        <v>5678.54</v>
      </c>
      <c r="O2368" s="71" t="n">
        <v>107892.31</v>
      </c>
      <c r="P2368" s="71" t="n">
        <v>35677.56</v>
      </c>
      <c r="Q2368" s="71" t="n">
        <v>72214.75</v>
      </c>
      <c r="R2368" t="inlineStr">
        <is>
          <t>Vaccines</t>
        </is>
      </c>
      <c r="S2368" s="70" t="n">
        <v>713</v>
      </c>
      <c r="T2368" s="71" t="n">
        <v>24632.02</v>
      </c>
      <c r="U2368" t="inlineStr">
        <is>
          <t>Low</t>
        </is>
      </c>
      <c r="V2368">
        <f>IF(AND(OR(Dashboard!$C$6="All",E2368=Dashboard!$C$6),OR(Dashboard!$F$6="All",G2368=Dashboard!$F$6),OR(Dashboard!$I$6="All",H2368=Dashboard!$I$6)),1,0)</f>
        <v/>
      </c>
    </row>
    <row r="2369">
      <c r="A2369" t="inlineStr">
        <is>
          <t>PF102360</t>
        </is>
      </c>
      <c r="B2369" s="68" t="n">
        <v>45941</v>
      </c>
      <c r="C2369" s="69" t="n">
        <v>2025</v>
      </c>
      <c r="D2369" t="inlineStr">
        <is>
          <t>Oct</t>
        </is>
      </c>
      <c r="E2369" t="inlineStr">
        <is>
          <t>Europe</t>
        </is>
      </c>
      <c r="F2369" t="inlineStr">
        <is>
          <t>Germany</t>
        </is>
      </c>
      <c r="G2369" t="inlineStr">
        <is>
          <t>Eliquis</t>
        </is>
      </c>
      <c r="H2369" t="inlineStr">
        <is>
          <t>Hospital</t>
        </is>
      </c>
      <c r="I2369" t="inlineStr">
        <is>
          <t>Private insurer</t>
        </is>
      </c>
      <c r="J2369" t="inlineStr">
        <is>
          <t>Emma Clarke</t>
        </is>
      </c>
      <c r="K2369" s="70" t="n">
        <v>3106</v>
      </c>
      <c r="L2369" s="71" t="n">
        <v>407.37</v>
      </c>
      <c r="M2369" s="71" t="n">
        <v>1265291.22</v>
      </c>
      <c r="N2369" s="71" t="n">
        <v>253058.24</v>
      </c>
      <c r="O2369" s="71" t="n">
        <v>1012232.98</v>
      </c>
      <c r="P2369" s="71" t="n">
        <v>237080.06</v>
      </c>
      <c r="Q2369" s="71" t="n">
        <v>775152.92</v>
      </c>
      <c r="R2369" t="inlineStr">
        <is>
          <t>Cardiology</t>
        </is>
      </c>
      <c r="S2369" s="70" t="n">
        <v>2006</v>
      </c>
      <c r="T2369" s="71" t="n">
        <v>214306.99</v>
      </c>
      <c r="U2369" t="inlineStr">
        <is>
          <t>High</t>
        </is>
      </c>
      <c r="V2369">
        <f>IF(AND(OR(Dashboard!$C$6="All",E2369=Dashboard!$C$6),OR(Dashboard!$F$6="All",G2369=Dashboard!$F$6),OR(Dashboard!$I$6="All",H2369=Dashboard!$I$6)),1,0)</f>
        <v/>
      </c>
    </row>
    <row r="2370">
      <c r="A2370" t="inlineStr">
        <is>
          <t>PF102361</t>
        </is>
      </c>
      <c r="B2370" s="68" t="n">
        <v>45941</v>
      </c>
      <c r="C2370" s="69" t="n">
        <v>2025</v>
      </c>
      <c r="D2370" t="inlineStr">
        <is>
          <t>Oct</t>
        </is>
      </c>
      <c r="E2370" t="inlineStr">
        <is>
          <t>Emerging markets</t>
        </is>
      </c>
      <c r="F2370" t="inlineStr">
        <is>
          <t>Brazil</t>
        </is>
      </c>
      <c r="G2370" t="inlineStr">
        <is>
          <t>Prevnar 20</t>
        </is>
      </c>
      <c r="H2370" t="inlineStr">
        <is>
          <t>Hospital</t>
        </is>
      </c>
      <c r="I2370" t="inlineStr">
        <is>
          <t>Private insurer</t>
        </is>
      </c>
      <c r="J2370" t="inlineStr">
        <is>
          <t>Olivia Brown</t>
        </is>
      </c>
      <c r="K2370" s="70" t="n">
        <v>368</v>
      </c>
      <c r="L2370" s="71" t="n">
        <v>208.77</v>
      </c>
      <c r="M2370" s="71" t="n">
        <v>76827.36</v>
      </c>
      <c r="N2370" s="71" t="n">
        <v>7682.74</v>
      </c>
      <c r="O2370" s="71" t="n">
        <v>69144.62</v>
      </c>
      <c r="P2370" s="71" t="n">
        <v>25642.08</v>
      </c>
      <c r="Q2370" s="71" t="n">
        <v>43502.54</v>
      </c>
      <c r="R2370" t="inlineStr">
        <is>
          <t>Vaccines</t>
        </is>
      </c>
      <c r="S2370" s="70" t="n">
        <v>271</v>
      </c>
      <c r="T2370" s="71" t="n">
        <v>16102.14</v>
      </c>
      <c r="U2370" t="inlineStr">
        <is>
          <t>Low</t>
        </is>
      </c>
      <c r="V2370">
        <f>IF(AND(OR(Dashboard!$C$6="All",E2370=Dashboard!$C$6),OR(Dashboard!$F$6="All",G2370=Dashboard!$F$6),OR(Dashboard!$I$6="All",H2370=Dashboard!$I$6)),1,0)</f>
        <v/>
      </c>
    </row>
    <row r="2371">
      <c r="A2371" t="inlineStr">
        <is>
          <t>PF102362</t>
        </is>
      </c>
      <c r="B2371" s="68" t="n">
        <v>45941</v>
      </c>
      <c r="C2371" s="69" t="n">
        <v>2025</v>
      </c>
      <c r="D2371" t="inlineStr">
        <is>
          <t>Oct</t>
        </is>
      </c>
      <c r="E2371" t="inlineStr">
        <is>
          <t>International developed</t>
        </is>
      </c>
      <c r="F2371" t="inlineStr">
        <is>
          <t>Japan</t>
        </is>
      </c>
      <c r="G2371" t="inlineStr">
        <is>
          <t>Comirnaty</t>
        </is>
      </c>
      <c r="H2371" t="inlineStr">
        <is>
          <t>Hospital</t>
        </is>
      </c>
      <c r="I2371" t="inlineStr">
        <is>
          <t>Self-pay</t>
        </is>
      </c>
      <c r="J2371" t="inlineStr">
        <is>
          <t>Fatima Al-Saud</t>
        </is>
      </c>
      <c r="K2371" s="70" t="n">
        <v>185</v>
      </c>
      <c r="L2371" s="71" t="n">
        <v>106.72</v>
      </c>
      <c r="M2371" s="71" t="n">
        <v>19743.2</v>
      </c>
      <c r="N2371" s="71" t="n">
        <v>987.16</v>
      </c>
      <c r="O2371" s="71" t="n">
        <v>18756.04</v>
      </c>
      <c r="P2371" s="71" t="n">
        <v>7384.84</v>
      </c>
      <c r="Q2371" s="71" t="n">
        <v>11371.2</v>
      </c>
      <c r="R2371" t="inlineStr">
        <is>
          <t>Vaccines</t>
        </is>
      </c>
      <c r="S2371" s="70" t="n">
        <v>133</v>
      </c>
      <c r="T2371" s="71" t="n">
        <v>3577.54</v>
      </c>
      <c r="U2371" t="inlineStr">
        <is>
          <t>Low</t>
        </is>
      </c>
      <c r="V2371">
        <f>IF(AND(OR(Dashboard!$C$6="All",E2371=Dashboard!$C$6),OR(Dashboard!$F$6="All",G2371=Dashboard!$F$6),OR(Dashboard!$I$6="All",H2371=Dashboard!$I$6)),1,0)</f>
        <v/>
      </c>
    </row>
    <row r="2372">
      <c r="A2372" t="inlineStr">
        <is>
          <t>PF102363</t>
        </is>
      </c>
      <c r="B2372" s="68" t="n">
        <v>45941</v>
      </c>
      <c r="C2372" s="69" t="n">
        <v>2025</v>
      </c>
      <c r="D2372" t="inlineStr">
        <is>
          <t>Oct</t>
        </is>
      </c>
      <c r="E2372" t="inlineStr">
        <is>
          <t>United States</t>
        </is>
      </c>
      <c r="F2372" t="inlineStr">
        <is>
          <t>USA</t>
        </is>
      </c>
      <c r="G2372" t="inlineStr">
        <is>
          <t>Eliquis</t>
        </is>
      </c>
      <c r="H2372" t="inlineStr">
        <is>
          <t>Retail pharmacy</t>
        </is>
      </c>
      <c r="I2372" t="inlineStr">
        <is>
          <t>Public payer</t>
        </is>
      </c>
      <c r="J2372" t="inlineStr">
        <is>
          <t>Aisha Bello</t>
        </is>
      </c>
      <c r="K2372" s="70" t="n">
        <v>1314</v>
      </c>
      <c r="L2372" s="71" t="n">
        <v>636.0599999999999</v>
      </c>
      <c r="M2372" s="71" t="n">
        <v>835782.84</v>
      </c>
      <c r="N2372" s="71" t="n">
        <v>125367.43</v>
      </c>
      <c r="O2372" s="71" t="n">
        <v>710415.41</v>
      </c>
      <c r="P2372" s="71" t="n">
        <v>100818.91</v>
      </c>
      <c r="Q2372" s="71" t="n">
        <v>609596.5</v>
      </c>
      <c r="R2372" t="inlineStr">
        <is>
          <t>Cardiology</t>
        </is>
      </c>
      <c r="S2372" s="70" t="n">
        <v>900</v>
      </c>
      <c r="T2372" s="71" t="n">
        <v>183087.97</v>
      </c>
      <c r="U2372" t="inlineStr">
        <is>
          <t>High</t>
        </is>
      </c>
      <c r="V2372">
        <f>IF(AND(OR(Dashboard!$C$6="All",E2372=Dashboard!$C$6),OR(Dashboard!$F$6="All",G2372=Dashboard!$F$6),OR(Dashboard!$I$6="All",H2372=Dashboard!$I$6)),1,0)</f>
        <v/>
      </c>
    </row>
    <row r="2373">
      <c r="A2373" t="inlineStr">
        <is>
          <t>PF102364</t>
        </is>
      </c>
      <c r="B2373" s="68" t="n">
        <v>45942</v>
      </c>
      <c r="C2373" s="69" t="n">
        <v>2025</v>
      </c>
      <c r="D2373" t="inlineStr">
        <is>
          <t>Oct</t>
        </is>
      </c>
      <c r="E2373" t="inlineStr">
        <is>
          <t>Europe</t>
        </is>
      </c>
      <c r="F2373" t="inlineStr">
        <is>
          <t>France</t>
        </is>
      </c>
      <c r="G2373" t="inlineStr">
        <is>
          <t>Vyndaqel</t>
        </is>
      </c>
      <c r="H2373" t="inlineStr">
        <is>
          <t>Government / tender</t>
        </is>
      </c>
      <c r="I2373" t="inlineStr">
        <is>
          <t>Public payer</t>
        </is>
      </c>
      <c r="J2373" t="inlineStr">
        <is>
          <t>Emma Clarke</t>
        </is>
      </c>
      <c r="K2373" s="70" t="n">
        <v>2201</v>
      </c>
      <c r="L2373" s="71" t="n">
        <v>5380.66</v>
      </c>
      <c r="M2373" s="71" t="n">
        <v>11842832.66</v>
      </c>
      <c r="N2373" s="71" t="n">
        <v>1776424.9</v>
      </c>
      <c r="O2373" s="71" t="n">
        <v>10066407.76</v>
      </c>
      <c r="P2373" s="71" t="n">
        <v>1382948.2</v>
      </c>
      <c r="Q2373" s="71" t="n">
        <v>8683459.560000001</v>
      </c>
      <c r="R2373" t="inlineStr">
        <is>
          <t>Rare disease</t>
        </is>
      </c>
      <c r="S2373" s="70" t="n">
        <v>1909</v>
      </c>
      <c r="T2373" s="71" t="n">
        <v>1895383.61</v>
      </c>
      <c r="U2373" t="inlineStr">
        <is>
          <t>Medium</t>
        </is>
      </c>
      <c r="V2373">
        <f>IF(AND(OR(Dashboard!$C$6="All",E2373=Dashboard!$C$6),OR(Dashboard!$F$6="All",G2373=Dashboard!$F$6),OR(Dashboard!$I$6="All",H2373=Dashboard!$I$6)),1,0)</f>
        <v/>
      </c>
    </row>
    <row r="2374">
      <c r="A2374" t="inlineStr">
        <is>
          <t>PF102365</t>
        </is>
      </c>
      <c r="B2374" s="68" t="n">
        <v>45942</v>
      </c>
      <c r="C2374" s="69" t="n">
        <v>2025</v>
      </c>
      <c r="D2374" t="inlineStr">
        <is>
          <t>Oct</t>
        </is>
      </c>
      <c r="E2374" t="inlineStr">
        <is>
          <t>Emerging markets</t>
        </is>
      </c>
      <c r="F2374" t="inlineStr">
        <is>
          <t>India</t>
        </is>
      </c>
      <c r="G2374" t="inlineStr">
        <is>
          <t>Paxlovid</t>
        </is>
      </c>
      <c r="H2374" t="inlineStr">
        <is>
          <t>Government / tender</t>
        </is>
      </c>
      <c r="I2374" t="inlineStr">
        <is>
          <t>Public payer</t>
        </is>
      </c>
      <c r="J2374" t="inlineStr">
        <is>
          <t>Omar Haddad</t>
        </is>
      </c>
      <c r="K2374" s="70" t="n">
        <v>2840</v>
      </c>
      <c r="L2374" s="71" t="n">
        <v>1131.93</v>
      </c>
      <c r="M2374" s="71" t="n">
        <v>3214681.2</v>
      </c>
      <c r="N2374" s="71" t="n">
        <v>321468.12</v>
      </c>
      <c r="O2374" s="71" t="n">
        <v>2893213.08</v>
      </c>
      <c r="P2374" s="71" t="n">
        <v>797620.65</v>
      </c>
      <c r="Q2374" s="71" t="n">
        <v>2095592.43</v>
      </c>
      <c r="R2374" t="inlineStr">
        <is>
          <t>Antiviral</t>
        </is>
      </c>
      <c r="S2374" s="70" t="n">
        <v>1995</v>
      </c>
      <c r="T2374" s="71" t="n">
        <v>419006.96</v>
      </c>
      <c r="U2374" t="inlineStr">
        <is>
          <t>Low</t>
        </is>
      </c>
      <c r="V2374">
        <f>IF(AND(OR(Dashboard!$C$6="All",E2374=Dashboard!$C$6),OR(Dashboard!$F$6="All",G2374=Dashboard!$F$6),OR(Dashboard!$I$6="All",H2374=Dashboard!$I$6)),1,0)</f>
        <v/>
      </c>
    </row>
    <row r="2375">
      <c r="A2375" t="inlineStr">
        <is>
          <t>PF102366</t>
        </is>
      </c>
      <c r="B2375" s="68" t="n">
        <v>45942</v>
      </c>
      <c r="C2375" s="69" t="n">
        <v>2025</v>
      </c>
      <c r="D2375" t="inlineStr">
        <is>
          <t>Oct</t>
        </is>
      </c>
      <c r="E2375" t="inlineStr">
        <is>
          <t>United States</t>
        </is>
      </c>
      <c r="F2375" t="inlineStr">
        <is>
          <t>USA</t>
        </is>
      </c>
      <c r="G2375" t="inlineStr">
        <is>
          <t>Xeljanz</t>
        </is>
      </c>
      <c r="H2375" t="inlineStr">
        <is>
          <t>Hospital</t>
        </is>
      </c>
      <c r="I2375" t="inlineStr">
        <is>
          <t>Private insurer</t>
        </is>
      </c>
      <c r="J2375" t="inlineStr">
        <is>
          <t>Liam O'Brien</t>
        </is>
      </c>
      <c r="K2375" s="70" t="n">
        <v>2401</v>
      </c>
      <c r="L2375" s="71" t="n">
        <v>2373.33</v>
      </c>
      <c r="M2375" s="71" t="n">
        <v>5698365.33</v>
      </c>
      <c r="N2375" s="71" t="n">
        <v>1709509.6</v>
      </c>
      <c r="O2375" s="71" t="n">
        <v>3988855.73</v>
      </c>
      <c r="P2375" s="71" t="n">
        <v>591201.33</v>
      </c>
      <c r="Q2375" s="71" t="n">
        <v>3397654.4</v>
      </c>
      <c r="R2375" t="inlineStr">
        <is>
          <t>Inflammation</t>
        </is>
      </c>
      <c r="S2375" s="70" t="n">
        <v>1514</v>
      </c>
      <c r="T2375" s="71" t="n">
        <v>969690.1800000001</v>
      </c>
      <c r="U2375" t="inlineStr">
        <is>
          <t>High</t>
        </is>
      </c>
      <c r="V2375">
        <f>IF(AND(OR(Dashboard!$C$6="All",E2375=Dashboard!$C$6),OR(Dashboard!$F$6="All",G2375=Dashboard!$F$6),OR(Dashboard!$I$6="All",H2375=Dashboard!$I$6)),1,0)</f>
        <v/>
      </c>
    </row>
    <row r="2376">
      <c r="A2376" t="inlineStr">
        <is>
          <t>PF102367</t>
        </is>
      </c>
      <c r="B2376" s="68" t="n">
        <v>45942</v>
      </c>
      <c r="C2376" s="69" t="n">
        <v>2025</v>
      </c>
      <c r="D2376" t="inlineStr">
        <is>
          <t>Oct</t>
        </is>
      </c>
      <c r="E2376" t="inlineStr">
        <is>
          <t>Europe</t>
        </is>
      </c>
      <c r="F2376" t="inlineStr">
        <is>
          <t>France</t>
        </is>
      </c>
      <c r="G2376" t="inlineStr">
        <is>
          <t>Eliquis</t>
        </is>
      </c>
      <c r="H2376" t="inlineStr">
        <is>
          <t>Hospital</t>
        </is>
      </c>
      <c r="I2376" t="inlineStr">
        <is>
          <t>Private insurer</t>
        </is>
      </c>
      <c r="J2376" t="inlineStr">
        <is>
          <t>Sara Rossi</t>
        </is>
      </c>
      <c r="K2376" s="70" t="n">
        <v>540</v>
      </c>
      <c r="L2376" s="71" t="n">
        <v>443.07</v>
      </c>
      <c r="M2376" s="71" t="n">
        <v>239257.8</v>
      </c>
      <c r="N2376" s="71" t="n">
        <v>59814.45</v>
      </c>
      <c r="O2376" s="71" t="n">
        <v>179443.35</v>
      </c>
      <c r="P2376" s="71" t="n">
        <v>41859.47</v>
      </c>
      <c r="Q2376" s="71" t="n">
        <v>137583.88</v>
      </c>
      <c r="R2376" t="inlineStr">
        <is>
          <t>Cardiology</t>
        </is>
      </c>
      <c r="S2376" s="70" t="n">
        <v>457</v>
      </c>
      <c r="T2376" s="71" t="n">
        <v>50054.53</v>
      </c>
      <c r="U2376" t="inlineStr">
        <is>
          <t>High</t>
        </is>
      </c>
      <c r="V2376">
        <f>IF(AND(OR(Dashboard!$C$6="All",E2376=Dashboard!$C$6),OR(Dashboard!$F$6="All",G2376=Dashboard!$F$6),OR(Dashboard!$I$6="All",H2376=Dashboard!$I$6)),1,0)</f>
        <v/>
      </c>
    </row>
    <row r="2377">
      <c r="A2377" t="inlineStr">
        <is>
          <t>PF102368</t>
        </is>
      </c>
      <c r="B2377" s="68" t="n">
        <v>45942</v>
      </c>
      <c r="C2377" s="69" t="n">
        <v>2025</v>
      </c>
      <c r="D2377" t="inlineStr">
        <is>
          <t>Oct</t>
        </is>
      </c>
      <c r="E2377" t="inlineStr">
        <is>
          <t>United States</t>
        </is>
      </c>
      <c r="F2377" t="inlineStr">
        <is>
          <t>USA</t>
        </is>
      </c>
      <c r="G2377" t="inlineStr">
        <is>
          <t>Eliquis</t>
        </is>
      </c>
      <c r="H2377" t="inlineStr">
        <is>
          <t>Government / tender</t>
        </is>
      </c>
      <c r="I2377" t="inlineStr">
        <is>
          <t>Public payer</t>
        </is>
      </c>
      <c r="J2377" t="inlineStr">
        <is>
          <t>Priya Nair</t>
        </is>
      </c>
      <c r="K2377" s="70" t="n">
        <v>1334</v>
      </c>
      <c r="L2377" s="71" t="n">
        <v>723.66</v>
      </c>
      <c r="M2377" s="71" t="n">
        <v>965362.4399999999</v>
      </c>
      <c r="N2377" s="71" t="n">
        <v>241340.61</v>
      </c>
      <c r="O2377" s="71" t="n">
        <v>724021.83</v>
      </c>
      <c r="P2377" s="71" t="n">
        <v>104363.92</v>
      </c>
      <c r="Q2377" s="71" t="n">
        <v>619657.91</v>
      </c>
      <c r="R2377" t="inlineStr">
        <is>
          <t>Cardiology</t>
        </is>
      </c>
      <c r="S2377" s="70" t="n">
        <v>1307</v>
      </c>
      <c r="T2377" s="71" t="n">
        <v>144484.07</v>
      </c>
      <c r="U2377" t="inlineStr">
        <is>
          <t>High</t>
        </is>
      </c>
      <c r="V2377">
        <f>IF(AND(OR(Dashboard!$C$6="All",E2377=Dashboard!$C$6),OR(Dashboard!$F$6="All",G2377=Dashboard!$F$6),OR(Dashboard!$I$6="All",H2377=Dashboard!$I$6)),1,0)</f>
        <v/>
      </c>
    </row>
    <row r="2378">
      <c r="A2378" t="inlineStr">
        <is>
          <t>PF102369</t>
        </is>
      </c>
      <c r="B2378" s="68" t="n">
        <v>45943</v>
      </c>
      <c r="C2378" s="69" t="n">
        <v>2025</v>
      </c>
      <c r="D2378" t="inlineStr">
        <is>
          <t>Oct</t>
        </is>
      </c>
      <c r="E2378" t="inlineStr">
        <is>
          <t>United States</t>
        </is>
      </c>
      <c r="F2378" t="inlineStr">
        <is>
          <t>USA</t>
        </is>
      </c>
      <c r="G2378" t="inlineStr">
        <is>
          <t>Eliquis</t>
        </is>
      </c>
      <c r="H2378" t="inlineStr">
        <is>
          <t>Retail pharmacy</t>
        </is>
      </c>
      <c r="I2378" t="inlineStr">
        <is>
          <t>Public payer</t>
        </is>
      </c>
      <c r="J2378" t="inlineStr">
        <is>
          <t>Shraddha Kulkarni</t>
        </is>
      </c>
      <c r="K2378" s="70" t="n">
        <v>2361</v>
      </c>
      <c r="L2378" s="71" t="n">
        <v>623.26</v>
      </c>
      <c r="M2378" s="71" t="n">
        <v>1471516.86</v>
      </c>
      <c r="N2378" s="71" t="n">
        <v>441455.06</v>
      </c>
      <c r="O2378" s="71" t="n">
        <v>1030061.8</v>
      </c>
      <c r="P2378" s="71" t="n">
        <v>182146.38</v>
      </c>
      <c r="Q2378" s="71" t="n">
        <v>847915.42</v>
      </c>
      <c r="R2378" t="inlineStr">
        <is>
          <t>Cardiology</t>
        </is>
      </c>
      <c r="S2378" s="70" t="n">
        <v>2247</v>
      </c>
      <c r="T2378" s="71" t="n">
        <v>222031.95</v>
      </c>
      <c r="U2378" t="inlineStr">
        <is>
          <t>High</t>
        </is>
      </c>
      <c r="V2378">
        <f>IF(AND(OR(Dashboard!$C$6="All",E2378=Dashboard!$C$6),OR(Dashboard!$F$6="All",G2378=Dashboard!$F$6),OR(Dashboard!$I$6="All",H2378=Dashboard!$I$6)),1,0)</f>
        <v/>
      </c>
    </row>
    <row r="2379">
      <c r="A2379" t="inlineStr">
        <is>
          <t>PF102370</t>
        </is>
      </c>
      <c r="B2379" s="68" t="n">
        <v>45943</v>
      </c>
      <c r="C2379" s="69" t="n">
        <v>2025</v>
      </c>
      <c r="D2379" t="inlineStr">
        <is>
          <t>Oct</t>
        </is>
      </c>
      <c r="E2379" t="inlineStr">
        <is>
          <t>United States</t>
        </is>
      </c>
      <c r="F2379" t="inlineStr">
        <is>
          <t>USA</t>
        </is>
      </c>
      <c r="G2379" t="inlineStr">
        <is>
          <t>Ibrance</t>
        </is>
      </c>
      <c r="H2379" t="inlineStr">
        <is>
          <t>Retail pharmacy</t>
        </is>
      </c>
      <c r="I2379" t="inlineStr">
        <is>
          <t>Public payer</t>
        </is>
      </c>
      <c r="J2379" t="inlineStr">
        <is>
          <t>Arjun Mehta</t>
        </is>
      </c>
      <c r="K2379" s="70" t="n">
        <v>491</v>
      </c>
      <c r="L2379" s="71" t="n">
        <v>4972.8</v>
      </c>
      <c r="M2379" s="71" t="n">
        <v>2441644.8</v>
      </c>
      <c r="N2379" s="71" t="n">
        <v>366246.72</v>
      </c>
      <c r="O2379" s="71" t="n">
        <v>2075398.08</v>
      </c>
      <c r="P2379" s="71" t="n">
        <v>218207.46</v>
      </c>
      <c r="Q2379" s="71" t="n">
        <v>1857190.62</v>
      </c>
      <c r="R2379" t="inlineStr">
        <is>
          <t>Oncology</t>
        </is>
      </c>
      <c r="S2379" s="70" t="n">
        <v>405</v>
      </c>
      <c r="T2379" s="71" t="n">
        <v>304855.31</v>
      </c>
      <c r="U2379" t="inlineStr">
        <is>
          <t>High</t>
        </is>
      </c>
      <c r="V2379">
        <f>IF(AND(OR(Dashboard!$C$6="All",E2379=Dashboard!$C$6),OR(Dashboard!$F$6="All",G2379=Dashboard!$F$6),OR(Dashboard!$I$6="All",H2379=Dashboard!$I$6)),1,0)</f>
        <v/>
      </c>
    </row>
    <row r="2380">
      <c r="A2380" t="inlineStr">
        <is>
          <t>PF102371</t>
        </is>
      </c>
      <c r="B2380" s="68" t="n">
        <v>45943</v>
      </c>
      <c r="C2380" s="69" t="n">
        <v>2025</v>
      </c>
      <c r="D2380" t="inlineStr">
        <is>
          <t>Oct</t>
        </is>
      </c>
      <c r="E2380" t="inlineStr">
        <is>
          <t>Emerging markets</t>
        </is>
      </c>
      <c r="F2380" t="inlineStr">
        <is>
          <t>China</t>
        </is>
      </c>
      <c r="G2380" t="inlineStr">
        <is>
          <t>Prevnar 20</t>
        </is>
      </c>
      <c r="H2380" t="inlineStr">
        <is>
          <t>Government / tender</t>
        </is>
      </c>
      <c r="I2380" t="inlineStr">
        <is>
          <t>Public payer</t>
        </is>
      </c>
      <c r="J2380" t="inlineStr">
        <is>
          <t>Aisha Bello</t>
        </is>
      </c>
      <c r="K2380" s="70" t="n">
        <v>3064</v>
      </c>
      <c r="L2380" s="71" t="n">
        <v>226.07</v>
      </c>
      <c r="M2380" s="71" t="n">
        <v>692678.48</v>
      </c>
      <c r="N2380" s="71" t="n">
        <v>138535.7</v>
      </c>
      <c r="O2380" s="71" t="n">
        <v>554142.78</v>
      </c>
      <c r="P2380" s="71" t="n">
        <v>219454.91</v>
      </c>
      <c r="Q2380" s="71" t="n">
        <v>334687.87</v>
      </c>
      <c r="R2380" t="inlineStr">
        <is>
          <t>Vaccines</t>
        </is>
      </c>
      <c r="S2380" s="70" t="n">
        <v>2095</v>
      </c>
      <c r="T2380" s="71" t="n">
        <v>100760.43</v>
      </c>
      <c r="U2380" t="inlineStr">
        <is>
          <t>Low</t>
        </is>
      </c>
      <c r="V2380">
        <f>IF(AND(OR(Dashboard!$C$6="All",E2380=Dashboard!$C$6),OR(Dashboard!$F$6="All",G2380=Dashboard!$F$6),OR(Dashboard!$I$6="All",H2380=Dashboard!$I$6)),1,0)</f>
        <v/>
      </c>
    </row>
    <row r="2381">
      <c r="A2381" t="inlineStr">
        <is>
          <t>PF102372</t>
        </is>
      </c>
      <c r="B2381" s="68" t="n">
        <v>45943</v>
      </c>
      <c r="C2381" s="69" t="n">
        <v>2025</v>
      </c>
      <c r="D2381" t="inlineStr">
        <is>
          <t>Oct</t>
        </is>
      </c>
      <c r="E2381" t="inlineStr">
        <is>
          <t>United States</t>
        </is>
      </c>
      <c r="F2381" t="inlineStr">
        <is>
          <t>USA</t>
        </is>
      </c>
      <c r="G2381" t="inlineStr">
        <is>
          <t>Prevnar 20</t>
        </is>
      </c>
      <c r="H2381" t="inlineStr">
        <is>
          <t>Retail pharmacy</t>
        </is>
      </c>
      <c r="I2381" t="inlineStr">
        <is>
          <t>Private insurer</t>
        </is>
      </c>
      <c r="J2381" t="inlineStr">
        <is>
          <t>Omar Haddad</t>
        </is>
      </c>
      <c r="K2381" s="70" t="n">
        <v>994</v>
      </c>
      <c r="L2381" s="71" t="n">
        <v>383.68</v>
      </c>
      <c r="M2381" s="71" t="n">
        <v>381377.92</v>
      </c>
      <c r="N2381" s="71" t="n">
        <v>57206.69</v>
      </c>
      <c r="O2381" s="71" t="n">
        <v>324171.23</v>
      </c>
      <c r="P2381" s="71" t="n">
        <v>67195.39</v>
      </c>
      <c r="Q2381" s="71" t="n">
        <v>256975.84</v>
      </c>
      <c r="R2381" t="inlineStr">
        <is>
          <t>Vaccines</t>
        </is>
      </c>
      <c r="S2381" s="70" t="n">
        <v>853</v>
      </c>
      <c r="T2381" s="71" t="n">
        <v>71188.11</v>
      </c>
      <c r="U2381" t="inlineStr">
        <is>
          <t>Low</t>
        </is>
      </c>
      <c r="V2381">
        <f>IF(AND(OR(Dashboard!$C$6="All",E2381=Dashboard!$C$6),OR(Dashboard!$F$6="All",G2381=Dashboard!$F$6),OR(Dashboard!$I$6="All",H2381=Dashboard!$I$6)),1,0)</f>
        <v/>
      </c>
    </row>
    <row r="2382">
      <c r="A2382" t="inlineStr">
        <is>
          <t>PF102373</t>
        </is>
      </c>
      <c r="B2382" s="68" t="n">
        <v>45943</v>
      </c>
      <c r="C2382" s="69" t="n">
        <v>2025</v>
      </c>
      <c r="D2382" t="inlineStr">
        <is>
          <t>Oct</t>
        </is>
      </c>
      <c r="E2382" t="inlineStr">
        <is>
          <t>Europe</t>
        </is>
      </c>
      <c r="F2382" t="inlineStr">
        <is>
          <t>Italy</t>
        </is>
      </c>
      <c r="G2382" t="inlineStr">
        <is>
          <t>Paxlovid</t>
        </is>
      </c>
      <c r="H2382" t="inlineStr">
        <is>
          <t>Government / tender</t>
        </is>
      </c>
      <c r="I2382" t="inlineStr">
        <is>
          <t>Private insurer</t>
        </is>
      </c>
      <c r="J2382" t="inlineStr">
        <is>
          <t>Ana Costa</t>
        </is>
      </c>
      <c r="K2382" s="70" t="n">
        <v>2092</v>
      </c>
      <c r="L2382" s="71" t="n">
        <v>1029.41</v>
      </c>
      <c r="M2382" s="71" t="n">
        <v>2153525.72</v>
      </c>
      <c r="N2382" s="71" t="n">
        <v>215352.57</v>
      </c>
      <c r="O2382" s="71" t="n">
        <v>1938173.15</v>
      </c>
      <c r="P2382" s="71" t="n">
        <v>584909.33</v>
      </c>
      <c r="Q2382" s="71" t="n">
        <v>1353263.82</v>
      </c>
      <c r="R2382" t="inlineStr">
        <is>
          <t>Antiviral</t>
        </is>
      </c>
      <c r="S2382" s="70" t="n">
        <v>1906</v>
      </c>
      <c r="T2382" s="71" t="n">
        <v>326079.42</v>
      </c>
      <c r="U2382" t="inlineStr">
        <is>
          <t>Low</t>
        </is>
      </c>
      <c r="V2382">
        <f>IF(AND(OR(Dashboard!$C$6="All",E2382=Dashboard!$C$6),OR(Dashboard!$F$6="All",G2382=Dashboard!$F$6),OR(Dashboard!$I$6="All",H2382=Dashboard!$I$6)),1,0)</f>
        <v/>
      </c>
    </row>
    <row r="2383">
      <c r="A2383" t="inlineStr">
        <is>
          <t>PF102374</t>
        </is>
      </c>
      <c r="B2383" s="68" t="n">
        <v>45943</v>
      </c>
      <c r="C2383" s="69" t="n">
        <v>2025</v>
      </c>
      <c r="D2383" t="inlineStr">
        <is>
          <t>Oct</t>
        </is>
      </c>
      <c r="E2383" t="inlineStr">
        <is>
          <t>United States</t>
        </is>
      </c>
      <c r="F2383" t="inlineStr">
        <is>
          <t>USA</t>
        </is>
      </c>
      <c r="G2383" t="inlineStr">
        <is>
          <t>Comirnaty</t>
        </is>
      </c>
      <c r="H2383" t="inlineStr">
        <is>
          <t>Hospital</t>
        </is>
      </c>
      <c r="I2383" t="inlineStr">
        <is>
          <t>Private insurer</t>
        </is>
      </c>
      <c r="J2383" t="inlineStr">
        <is>
          <t>Priya Nair</t>
        </is>
      </c>
      <c r="K2383" s="70" t="n">
        <v>686</v>
      </c>
      <c r="L2383" s="71" t="n">
        <v>165.34</v>
      </c>
      <c r="M2383" s="71" t="n">
        <v>113423.24</v>
      </c>
      <c r="N2383" s="71" t="n">
        <v>34026.97</v>
      </c>
      <c r="O2383" s="71" t="n">
        <v>79396.27</v>
      </c>
      <c r="P2383" s="71" t="n">
        <v>25356.49</v>
      </c>
      <c r="Q2383" s="71" t="n">
        <v>54039.78</v>
      </c>
      <c r="R2383" t="inlineStr">
        <is>
          <t>Vaccines</t>
        </is>
      </c>
      <c r="S2383" s="70" t="n">
        <v>494</v>
      </c>
      <c r="T2383" s="71" t="n">
        <v>22420.75</v>
      </c>
      <c r="U2383" t="inlineStr">
        <is>
          <t>Low</t>
        </is>
      </c>
      <c r="V2383">
        <f>IF(AND(OR(Dashboard!$C$6="All",E2383=Dashboard!$C$6),OR(Dashboard!$F$6="All",G2383=Dashboard!$F$6),OR(Dashboard!$I$6="All",H2383=Dashboard!$I$6)),1,0)</f>
        <v/>
      </c>
    </row>
    <row r="2384">
      <c r="A2384" t="inlineStr">
        <is>
          <t>PF102375</t>
        </is>
      </c>
      <c r="B2384" s="68" t="n">
        <v>45943</v>
      </c>
      <c r="C2384" s="69" t="n">
        <v>2025</v>
      </c>
      <c r="D2384" t="inlineStr">
        <is>
          <t>Oct</t>
        </is>
      </c>
      <c r="E2384" t="inlineStr">
        <is>
          <t>United States</t>
        </is>
      </c>
      <c r="F2384" t="inlineStr">
        <is>
          <t>USA</t>
        </is>
      </c>
      <c r="G2384" t="inlineStr">
        <is>
          <t>Eliquis</t>
        </is>
      </c>
      <c r="H2384" t="inlineStr">
        <is>
          <t>Retail pharmacy</t>
        </is>
      </c>
      <c r="I2384" t="inlineStr">
        <is>
          <t>Private insurer</t>
        </is>
      </c>
      <c r="J2384" t="inlineStr">
        <is>
          <t>Sara Rossi</t>
        </is>
      </c>
      <c r="K2384" s="70" t="n">
        <v>2693</v>
      </c>
      <c r="L2384" s="71" t="n">
        <v>728.86</v>
      </c>
      <c r="M2384" s="71" t="n">
        <v>1962819.98</v>
      </c>
      <c r="N2384" s="71" t="n">
        <v>294423</v>
      </c>
      <c r="O2384" s="71" t="n">
        <v>1668396.98</v>
      </c>
      <c r="P2384" s="71" t="n">
        <v>211409.54</v>
      </c>
      <c r="Q2384" s="71" t="n">
        <v>1456987.44</v>
      </c>
      <c r="R2384" t="inlineStr">
        <is>
          <t>Cardiology</t>
        </is>
      </c>
      <c r="S2384" s="70" t="n">
        <v>2004</v>
      </c>
      <c r="T2384" s="71" t="n">
        <v>303396.96</v>
      </c>
      <c r="U2384" t="inlineStr">
        <is>
          <t>High</t>
        </is>
      </c>
      <c r="V2384">
        <f>IF(AND(OR(Dashboard!$C$6="All",E2384=Dashboard!$C$6),OR(Dashboard!$F$6="All",G2384=Dashboard!$F$6),OR(Dashboard!$I$6="All",H2384=Dashboard!$I$6)),1,0)</f>
        <v/>
      </c>
    </row>
    <row r="2385">
      <c r="A2385" t="inlineStr">
        <is>
          <t>PF102376</t>
        </is>
      </c>
      <c r="B2385" s="68" t="n">
        <v>45943</v>
      </c>
      <c r="C2385" s="69" t="n">
        <v>2025</v>
      </c>
      <c r="D2385" t="inlineStr">
        <is>
          <t>Oct</t>
        </is>
      </c>
      <c r="E2385" t="inlineStr">
        <is>
          <t>United States</t>
        </is>
      </c>
      <c r="F2385" t="inlineStr">
        <is>
          <t>USA</t>
        </is>
      </c>
      <c r="G2385" t="inlineStr">
        <is>
          <t>Abrysvo</t>
        </is>
      </c>
      <c r="H2385" t="inlineStr">
        <is>
          <t>Retail pharmacy</t>
        </is>
      </c>
      <c r="I2385" t="inlineStr">
        <is>
          <t>Public payer</t>
        </is>
      </c>
      <c r="J2385" t="inlineStr">
        <is>
          <t>Liam O'Brien</t>
        </is>
      </c>
      <c r="K2385" s="70" t="n">
        <v>1743</v>
      </c>
      <c r="L2385" s="71" t="n">
        <v>463.9</v>
      </c>
      <c r="M2385" s="71" t="n">
        <v>808577.7</v>
      </c>
      <c r="N2385" s="71" t="n">
        <v>161715.54</v>
      </c>
      <c r="O2385" s="71" t="n">
        <v>646862.16</v>
      </c>
      <c r="P2385" s="71" t="n">
        <v>140968.29</v>
      </c>
      <c r="Q2385" s="71" t="n">
        <v>505893.87</v>
      </c>
      <c r="R2385" t="inlineStr">
        <is>
          <t>Vaccines</t>
        </is>
      </c>
      <c r="S2385" s="70" t="n">
        <v>1626</v>
      </c>
      <c r="T2385" s="71" t="n">
        <v>143850.41</v>
      </c>
      <c r="U2385" t="inlineStr">
        <is>
          <t>Low</t>
        </is>
      </c>
      <c r="V2385">
        <f>IF(AND(OR(Dashboard!$C$6="All",E2385=Dashboard!$C$6),OR(Dashboard!$F$6="All",G2385=Dashboard!$F$6),OR(Dashboard!$I$6="All",H2385=Dashboard!$I$6)),1,0)</f>
        <v/>
      </c>
    </row>
    <row r="2386">
      <c r="A2386" t="inlineStr">
        <is>
          <t>PF102377</t>
        </is>
      </c>
      <c r="B2386" s="68" t="n">
        <v>45943</v>
      </c>
      <c r="C2386" s="69" t="n">
        <v>2025</v>
      </c>
      <c r="D2386" t="inlineStr">
        <is>
          <t>Oct</t>
        </is>
      </c>
      <c r="E2386" t="inlineStr">
        <is>
          <t>International developed</t>
        </is>
      </c>
      <c r="F2386" t="inlineStr">
        <is>
          <t>Australia</t>
        </is>
      </c>
      <c r="G2386" t="inlineStr">
        <is>
          <t>Ibrance</t>
        </is>
      </c>
      <c r="H2386" t="inlineStr">
        <is>
          <t>Hospital</t>
        </is>
      </c>
      <c r="I2386" t="inlineStr">
        <is>
          <t>Public payer</t>
        </is>
      </c>
      <c r="J2386" t="inlineStr">
        <is>
          <t>Hiroshi Tanaka</t>
        </is>
      </c>
      <c r="K2386" s="70" t="n">
        <v>1741</v>
      </c>
      <c r="L2386" s="71" t="n">
        <v>2827.01</v>
      </c>
      <c r="M2386" s="71" t="n">
        <v>4921824.41</v>
      </c>
      <c r="N2386" s="71" t="n">
        <v>984364.88</v>
      </c>
      <c r="O2386" s="71" t="n">
        <v>3937459.53</v>
      </c>
      <c r="P2386" s="71" t="n">
        <v>774702.34</v>
      </c>
      <c r="Q2386" s="71" t="n">
        <v>3162757.19</v>
      </c>
      <c r="R2386" t="inlineStr">
        <is>
          <t>Oncology</t>
        </is>
      </c>
      <c r="S2386" s="70" t="n">
        <v>1484</v>
      </c>
      <c r="T2386" s="71" t="n">
        <v>821596.29</v>
      </c>
      <c r="U2386" t="inlineStr">
        <is>
          <t>High</t>
        </is>
      </c>
      <c r="V2386">
        <f>IF(AND(OR(Dashboard!$C$6="All",E2386=Dashboard!$C$6),OR(Dashboard!$F$6="All",G2386=Dashboard!$F$6),OR(Dashboard!$I$6="All",H2386=Dashboard!$I$6)),1,0)</f>
        <v/>
      </c>
    </row>
    <row r="2387">
      <c r="A2387" t="inlineStr">
        <is>
          <t>PF102378</t>
        </is>
      </c>
      <c r="B2387" s="68" t="n">
        <v>45943</v>
      </c>
      <c r="C2387" s="69" t="n">
        <v>2025</v>
      </c>
      <c r="D2387" t="inlineStr">
        <is>
          <t>Oct</t>
        </is>
      </c>
      <c r="E2387" t="inlineStr">
        <is>
          <t>United States</t>
        </is>
      </c>
      <c r="F2387" t="inlineStr">
        <is>
          <t>USA</t>
        </is>
      </c>
      <c r="G2387" t="inlineStr">
        <is>
          <t>Ibrance</t>
        </is>
      </c>
      <c r="H2387" t="inlineStr">
        <is>
          <t>Hospital</t>
        </is>
      </c>
      <c r="I2387" t="inlineStr">
        <is>
          <t>Private insurer</t>
        </is>
      </c>
      <c r="J2387" t="inlineStr">
        <is>
          <t>Ravindra Patil</t>
        </is>
      </c>
      <c r="K2387" s="70" t="n">
        <v>1055</v>
      </c>
      <c r="L2387" s="71" t="n">
        <v>4387.36</v>
      </c>
      <c r="M2387" s="71" t="n">
        <v>4628664.8</v>
      </c>
      <c r="N2387" s="71" t="n">
        <v>1388599.44</v>
      </c>
      <c r="O2387" s="71" t="n">
        <v>3240065.36</v>
      </c>
      <c r="P2387" s="71" t="n">
        <v>453760.16</v>
      </c>
      <c r="Q2387" s="71" t="n">
        <v>2786305.2</v>
      </c>
      <c r="R2387" t="inlineStr">
        <is>
          <t>Oncology</t>
        </is>
      </c>
      <c r="S2387" s="70" t="n">
        <v>733</v>
      </c>
      <c r="T2387" s="71" t="n">
        <v>595227.97</v>
      </c>
      <c r="U2387" t="inlineStr">
        <is>
          <t>High</t>
        </is>
      </c>
      <c r="V2387">
        <f>IF(AND(OR(Dashboard!$C$6="All",E2387=Dashboard!$C$6),OR(Dashboard!$F$6="All",G2387=Dashboard!$F$6),OR(Dashboard!$I$6="All",H2387=Dashboard!$I$6)),1,0)</f>
        <v/>
      </c>
    </row>
    <row r="2388">
      <c r="A2388" t="inlineStr">
        <is>
          <t>PF102379</t>
        </is>
      </c>
      <c r="B2388" s="68" t="n">
        <v>45944</v>
      </c>
      <c r="C2388" s="69" t="n">
        <v>2025</v>
      </c>
      <c r="D2388" t="inlineStr">
        <is>
          <t>Oct</t>
        </is>
      </c>
      <c r="E2388" t="inlineStr">
        <is>
          <t>Emerging markets</t>
        </is>
      </c>
      <c r="F2388" t="inlineStr">
        <is>
          <t>India</t>
        </is>
      </c>
      <c r="G2388" t="inlineStr">
        <is>
          <t>Ibrance</t>
        </is>
      </c>
      <c r="H2388" t="inlineStr">
        <is>
          <t>Retail pharmacy</t>
        </is>
      </c>
      <c r="I2388" t="inlineStr">
        <is>
          <t>Public payer</t>
        </is>
      </c>
      <c r="J2388" t="inlineStr">
        <is>
          <t>Sophie Müller</t>
        </is>
      </c>
      <c r="K2388" s="70" t="n">
        <v>3145</v>
      </c>
      <c r="L2388" s="71" t="n">
        <v>2889.5</v>
      </c>
      <c r="M2388" s="71" t="n">
        <v>9087477.5</v>
      </c>
      <c r="N2388" s="71" t="n">
        <v>908747.75</v>
      </c>
      <c r="O2388" s="71" t="n">
        <v>8178729.75</v>
      </c>
      <c r="P2388" s="71" t="n">
        <v>1322061.88</v>
      </c>
      <c r="Q2388" s="71" t="n">
        <v>6856667.87</v>
      </c>
      <c r="R2388" t="inlineStr">
        <is>
          <t>Oncology</t>
        </is>
      </c>
      <c r="S2388" s="70" t="n">
        <v>2853</v>
      </c>
      <c r="T2388" s="71" t="n">
        <v>1276946.59</v>
      </c>
      <c r="U2388" t="inlineStr">
        <is>
          <t>High</t>
        </is>
      </c>
      <c r="V2388">
        <f>IF(AND(OR(Dashboard!$C$6="All",E2388=Dashboard!$C$6),OR(Dashboard!$F$6="All",G2388=Dashboard!$F$6),OR(Dashboard!$I$6="All",H2388=Dashboard!$I$6)),1,0)</f>
        <v/>
      </c>
    </row>
    <row r="2389">
      <c r="A2389" t="inlineStr">
        <is>
          <t>PF102380</t>
        </is>
      </c>
      <c r="B2389" s="68" t="n">
        <v>45944</v>
      </c>
      <c r="C2389" s="69" t="n">
        <v>2025</v>
      </c>
      <c r="D2389" t="inlineStr">
        <is>
          <t>Oct</t>
        </is>
      </c>
      <c r="E2389" t="inlineStr">
        <is>
          <t>United States</t>
        </is>
      </c>
      <c r="F2389" t="inlineStr">
        <is>
          <t>USA</t>
        </is>
      </c>
      <c r="G2389" t="inlineStr">
        <is>
          <t>Ibrance</t>
        </is>
      </c>
      <c r="H2389" t="inlineStr">
        <is>
          <t>Retail pharmacy</t>
        </is>
      </c>
      <c r="I2389" t="inlineStr">
        <is>
          <t>Public payer</t>
        </is>
      </c>
      <c r="J2389" t="inlineStr">
        <is>
          <t>Ruhi Shaikh</t>
        </is>
      </c>
      <c r="K2389" s="70" t="n">
        <v>1587</v>
      </c>
      <c r="L2389" s="71" t="n">
        <v>4394.5</v>
      </c>
      <c r="M2389" s="71" t="n">
        <v>6974071.5</v>
      </c>
      <c r="N2389" s="71" t="n">
        <v>1743517.88</v>
      </c>
      <c r="O2389" s="71" t="n">
        <v>5230553.62</v>
      </c>
      <c r="P2389" s="71" t="n">
        <v>712015.98</v>
      </c>
      <c r="Q2389" s="71" t="n">
        <v>4518537.64</v>
      </c>
      <c r="R2389" t="inlineStr">
        <is>
          <t>Oncology</t>
        </is>
      </c>
      <c r="S2389" s="70" t="n">
        <v>1103</v>
      </c>
      <c r="T2389" s="71" t="n">
        <v>1217137.3</v>
      </c>
      <c r="U2389" t="inlineStr">
        <is>
          <t>High</t>
        </is>
      </c>
      <c r="V2389">
        <f>IF(AND(OR(Dashboard!$C$6="All",E2389=Dashboard!$C$6),OR(Dashboard!$F$6="All",G2389=Dashboard!$F$6),OR(Dashboard!$I$6="All",H2389=Dashboard!$I$6)),1,0)</f>
        <v/>
      </c>
    </row>
    <row r="2390">
      <c r="A2390" t="inlineStr">
        <is>
          <t>PF102381</t>
        </is>
      </c>
      <c r="B2390" s="68" t="n">
        <v>45944</v>
      </c>
      <c r="C2390" s="69" t="n">
        <v>2025</v>
      </c>
      <c r="D2390" t="inlineStr">
        <is>
          <t>Oct</t>
        </is>
      </c>
      <c r="E2390" t="inlineStr">
        <is>
          <t>Europe</t>
        </is>
      </c>
      <c r="F2390" t="inlineStr">
        <is>
          <t>UK</t>
        </is>
      </c>
      <c r="G2390" t="inlineStr">
        <is>
          <t>Paxlovid</t>
        </is>
      </c>
      <c r="H2390" t="inlineStr">
        <is>
          <t>Hospital</t>
        </is>
      </c>
      <c r="I2390" t="inlineStr">
        <is>
          <t>Private insurer</t>
        </is>
      </c>
      <c r="J2390" t="inlineStr">
        <is>
          <t>Aisha Bello</t>
        </is>
      </c>
      <c r="K2390" s="70" t="n">
        <v>2952</v>
      </c>
      <c r="L2390" s="71" t="n">
        <v>1091.92</v>
      </c>
      <c r="M2390" s="71" t="n">
        <v>3223347.84</v>
      </c>
      <c r="N2390" s="71" t="n">
        <v>644669.5699999999</v>
      </c>
      <c r="O2390" s="71" t="n">
        <v>2578678.27</v>
      </c>
      <c r="P2390" s="71" t="n">
        <v>802141.22</v>
      </c>
      <c r="Q2390" s="71" t="n">
        <v>1776537.05</v>
      </c>
      <c r="R2390" t="inlineStr">
        <is>
          <t>Antiviral</t>
        </is>
      </c>
      <c r="S2390" s="70" t="n">
        <v>2477</v>
      </c>
      <c r="T2390" s="71" t="n">
        <v>576918.0600000001</v>
      </c>
      <c r="U2390" t="inlineStr">
        <is>
          <t>Low</t>
        </is>
      </c>
      <c r="V2390">
        <f>IF(AND(OR(Dashboard!$C$6="All",E2390=Dashboard!$C$6),OR(Dashboard!$F$6="All",G2390=Dashboard!$F$6),OR(Dashboard!$I$6="All",H2390=Dashboard!$I$6)),1,0)</f>
        <v/>
      </c>
    </row>
    <row r="2391">
      <c r="A2391" t="inlineStr">
        <is>
          <t>PF102382</t>
        </is>
      </c>
      <c r="B2391" s="68" t="n">
        <v>45944</v>
      </c>
      <c r="C2391" s="69" t="n">
        <v>2025</v>
      </c>
      <c r="D2391" t="inlineStr">
        <is>
          <t>Oct</t>
        </is>
      </c>
      <c r="E2391" t="inlineStr">
        <is>
          <t>United States</t>
        </is>
      </c>
      <c r="F2391" t="inlineStr">
        <is>
          <t>USA</t>
        </is>
      </c>
      <c r="G2391" t="inlineStr">
        <is>
          <t>Eliquis</t>
        </is>
      </c>
      <c r="H2391" t="inlineStr">
        <is>
          <t>Hospital</t>
        </is>
      </c>
      <c r="I2391" t="inlineStr">
        <is>
          <t>Public payer</t>
        </is>
      </c>
      <c r="J2391" t="inlineStr">
        <is>
          <t>Ravindra Patil</t>
        </is>
      </c>
      <c r="K2391" s="70" t="n">
        <v>3039</v>
      </c>
      <c r="L2391" s="71" t="n">
        <v>665.22</v>
      </c>
      <c r="M2391" s="71" t="n">
        <v>2021603.58</v>
      </c>
      <c r="N2391" s="71" t="n">
        <v>505400.9</v>
      </c>
      <c r="O2391" s="71" t="n">
        <v>1516202.68</v>
      </c>
      <c r="P2391" s="71" t="n">
        <v>228666.54</v>
      </c>
      <c r="Q2391" s="71" t="n">
        <v>1287536.14</v>
      </c>
      <c r="R2391" t="inlineStr">
        <is>
          <t>Cardiology</t>
        </is>
      </c>
      <c r="S2391" s="70" t="n">
        <v>2173</v>
      </c>
      <c r="T2391" s="71" t="n">
        <v>324637.47</v>
      </c>
      <c r="U2391" t="inlineStr">
        <is>
          <t>High</t>
        </is>
      </c>
      <c r="V2391">
        <f>IF(AND(OR(Dashboard!$C$6="All",E2391=Dashboard!$C$6),OR(Dashboard!$F$6="All",G2391=Dashboard!$F$6),OR(Dashboard!$I$6="All",H2391=Dashboard!$I$6)),1,0)</f>
        <v/>
      </c>
    </row>
    <row r="2392">
      <c r="A2392" t="inlineStr">
        <is>
          <t>PF102383</t>
        </is>
      </c>
      <c r="B2392" s="68" t="n">
        <v>45944</v>
      </c>
      <c r="C2392" s="69" t="n">
        <v>2025</v>
      </c>
      <c r="D2392" t="inlineStr">
        <is>
          <t>Oct</t>
        </is>
      </c>
      <c r="E2392" t="inlineStr">
        <is>
          <t>Emerging markets</t>
        </is>
      </c>
      <c r="F2392" t="inlineStr">
        <is>
          <t>China</t>
        </is>
      </c>
      <c r="G2392" t="inlineStr">
        <is>
          <t>Xeljanz</t>
        </is>
      </c>
      <c r="H2392" t="inlineStr">
        <is>
          <t>Retail pharmacy</t>
        </is>
      </c>
      <c r="I2392" t="inlineStr">
        <is>
          <t>Public payer</t>
        </is>
      </c>
      <c r="J2392" t="inlineStr">
        <is>
          <t>Sophie Müller</t>
        </is>
      </c>
      <c r="K2392" s="70" t="n">
        <v>743</v>
      </c>
      <c r="L2392" s="71" t="n">
        <v>1499.65</v>
      </c>
      <c r="M2392" s="71" t="n">
        <v>1114239.95</v>
      </c>
      <c r="N2392" s="71" t="n">
        <v>278559.99</v>
      </c>
      <c r="O2392" s="71" t="n">
        <v>835679.96</v>
      </c>
      <c r="P2392" s="71" t="n">
        <v>182919.6</v>
      </c>
      <c r="Q2392" s="71" t="n">
        <v>652760.36</v>
      </c>
      <c r="R2392" t="inlineStr">
        <is>
          <t>Inflammation</t>
        </is>
      </c>
      <c r="S2392" s="70" t="n">
        <v>472</v>
      </c>
      <c r="T2392" s="71" t="n">
        <v>201234.03</v>
      </c>
      <c r="U2392" t="inlineStr">
        <is>
          <t>High</t>
        </is>
      </c>
      <c r="V2392">
        <f>IF(AND(OR(Dashboard!$C$6="All",E2392=Dashboard!$C$6),OR(Dashboard!$F$6="All",G2392=Dashboard!$F$6),OR(Dashboard!$I$6="All",H2392=Dashboard!$I$6)),1,0)</f>
        <v/>
      </c>
    </row>
    <row r="2393">
      <c r="A2393" t="inlineStr">
        <is>
          <t>PF102384</t>
        </is>
      </c>
      <c r="B2393" s="68" t="n">
        <v>45944</v>
      </c>
      <c r="C2393" s="69" t="n">
        <v>2025</v>
      </c>
      <c r="D2393" t="inlineStr">
        <is>
          <t>Oct</t>
        </is>
      </c>
      <c r="E2393" t="inlineStr">
        <is>
          <t>Europe</t>
        </is>
      </c>
      <c r="F2393" t="inlineStr">
        <is>
          <t>Spain</t>
        </is>
      </c>
      <c r="G2393" t="inlineStr">
        <is>
          <t>Prevnar 20</t>
        </is>
      </c>
      <c r="H2393" t="inlineStr">
        <is>
          <t>Hospital</t>
        </is>
      </c>
      <c r="I2393" t="inlineStr">
        <is>
          <t>Public payer</t>
        </is>
      </c>
      <c r="J2393" t="inlineStr">
        <is>
          <t>Olivia Brown</t>
        </is>
      </c>
      <c r="K2393" s="70" t="n">
        <v>1535</v>
      </c>
      <c r="L2393" s="71" t="n">
        <v>240.92</v>
      </c>
      <c r="M2393" s="71" t="n">
        <v>369812.2</v>
      </c>
      <c r="N2393" s="71" t="n">
        <v>73962.44</v>
      </c>
      <c r="O2393" s="71" t="n">
        <v>295849.76</v>
      </c>
      <c r="P2393" s="71" t="n">
        <v>106049.56</v>
      </c>
      <c r="Q2393" s="71" t="n">
        <v>189800.2</v>
      </c>
      <c r="R2393" t="inlineStr">
        <is>
          <t>Vaccines</t>
        </is>
      </c>
      <c r="S2393" s="70" t="n">
        <v>1499</v>
      </c>
      <c r="T2393" s="71" t="n">
        <v>64270.84</v>
      </c>
      <c r="U2393" t="inlineStr">
        <is>
          <t>Low</t>
        </is>
      </c>
      <c r="V2393">
        <f>IF(AND(OR(Dashboard!$C$6="All",E2393=Dashboard!$C$6),OR(Dashboard!$F$6="All",G2393=Dashboard!$F$6),OR(Dashboard!$I$6="All",H2393=Dashboard!$I$6)),1,0)</f>
        <v/>
      </c>
    </row>
    <row r="2394">
      <c r="A2394" t="inlineStr">
        <is>
          <t>PF102385</t>
        </is>
      </c>
      <c r="B2394" s="68" t="n">
        <v>45944</v>
      </c>
      <c r="C2394" s="69" t="n">
        <v>2025</v>
      </c>
      <c r="D2394" t="inlineStr">
        <is>
          <t>Oct</t>
        </is>
      </c>
      <c r="E2394" t="inlineStr">
        <is>
          <t>Europe</t>
        </is>
      </c>
      <c r="F2394" t="inlineStr">
        <is>
          <t>Italy</t>
        </is>
      </c>
      <c r="G2394" t="inlineStr">
        <is>
          <t>Xeljanz</t>
        </is>
      </c>
      <c r="H2394" t="inlineStr">
        <is>
          <t>Hospital</t>
        </is>
      </c>
      <c r="I2394" t="inlineStr">
        <is>
          <t>Public payer</t>
        </is>
      </c>
      <c r="J2394" t="inlineStr">
        <is>
          <t>Omar Haddad</t>
        </is>
      </c>
      <c r="K2394" s="70" t="n">
        <v>1071</v>
      </c>
      <c r="L2394" s="71" t="n">
        <v>1313.71</v>
      </c>
      <c r="M2394" s="71" t="n">
        <v>1406983.41</v>
      </c>
      <c r="N2394" s="71" t="n">
        <v>281396.68</v>
      </c>
      <c r="O2394" s="71" t="n">
        <v>1125586.73</v>
      </c>
      <c r="P2394" s="71" t="n">
        <v>266618.17</v>
      </c>
      <c r="Q2394" s="71" t="n">
        <v>858968.5600000001</v>
      </c>
      <c r="R2394" t="inlineStr">
        <is>
          <t>Inflammation</t>
        </is>
      </c>
      <c r="S2394" s="70" t="n">
        <v>709</v>
      </c>
      <c r="T2394" s="71" t="n">
        <v>309196.49</v>
      </c>
      <c r="U2394" t="inlineStr">
        <is>
          <t>High</t>
        </is>
      </c>
      <c r="V2394">
        <f>IF(AND(OR(Dashboard!$C$6="All",E2394=Dashboard!$C$6),OR(Dashboard!$F$6="All",G2394=Dashboard!$F$6),OR(Dashboard!$I$6="All",H2394=Dashboard!$I$6)),1,0)</f>
        <v/>
      </c>
    </row>
    <row r="2395">
      <c r="A2395" t="inlineStr">
        <is>
          <t>PF102386</t>
        </is>
      </c>
      <c r="B2395" s="68" t="n">
        <v>45944</v>
      </c>
      <c r="C2395" s="69" t="n">
        <v>2025</v>
      </c>
      <c r="D2395" t="inlineStr">
        <is>
          <t>Oct</t>
        </is>
      </c>
      <c r="E2395" t="inlineStr">
        <is>
          <t>Emerging markets</t>
        </is>
      </c>
      <c r="F2395" t="inlineStr">
        <is>
          <t>Brazil</t>
        </is>
      </c>
      <c r="G2395" t="inlineStr">
        <is>
          <t>Eliquis</t>
        </is>
      </c>
      <c r="H2395" t="inlineStr">
        <is>
          <t>Hospital</t>
        </is>
      </c>
      <c r="I2395" t="inlineStr">
        <is>
          <t>Public payer</t>
        </is>
      </c>
      <c r="J2395" t="inlineStr">
        <is>
          <t>Sophie Müller</t>
        </is>
      </c>
      <c r="K2395" s="70" t="n">
        <v>321</v>
      </c>
      <c r="L2395" s="71" t="n">
        <v>384.24</v>
      </c>
      <c r="M2395" s="71" t="n">
        <v>123341.04</v>
      </c>
      <c r="N2395" s="71" t="n">
        <v>24668.21</v>
      </c>
      <c r="O2395" s="71" t="n">
        <v>98672.83</v>
      </c>
      <c r="P2395" s="71" t="n">
        <v>24979.01</v>
      </c>
      <c r="Q2395" s="71" t="n">
        <v>73693.82000000001</v>
      </c>
      <c r="R2395" t="inlineStr">
        <is>
          <t>Cardiology</t>
        </is>
      </c>
      <c r="S2395" s="70" t="n">
        <v>218</v>
      </c>
      <c r="T2395" s="71" t="n">
        <v>18805.28</v>
      </c>
      <c r="U2395" t="inlineStr">
        <is>
          <t>High</t>
        </is>
      </c>
      <c r="V2395">
        <f>IF(AND(OR(Dashboard!$C$6="All",E2395=Dashboard!$C$6),OR(Dashboard!$F$6="All",G2395=Dashboard!$F$6),OR(Dashboard!$I$6="All",H2395=Dashboard!$I$6)),1,0)</f>
        <v/>
      </c>
    </row>
    <row r="2396">
      <c r="A2396" t="inlineStr">
        <is>
          <t>PF102387</t>
        </is>
      </c>
      <c r="B2396" s="68" t="n">
        <v>45945</v>
      </c>
      <c r="C2396" s="69" t="n">
        <v>2025</v>
      </c>
      <c r="D2396" t="inlineStr">
        <is>
          <t>Oct</t>
        </is>
      </c>
      <c r="E2396" t="inlineStr">
        <is>
          <t>Europe</t>
        </is>
      </c>
      <c r="F2396" t="inlineStr">
        <is>
          <t>Spain</t>
        </is>
      </c>
      <c r="G2396" t="inlineStr">
        <is>
          <t>Prevnar 20</t>
        </is>
      </c>
      <c r="H2396" t="inlineStr">
        <is>
          <t>Hospital</t>
        </is>
      </c>
      <c r="I2396" t="inlineStr">
        <is>
          <t>Public payer</t>
        </is>
      </c>
      <c r="J2396" t="inlineStr">
        <is>
          <t>Arjun Mehta</t>
        </is>
      </c>
      <c r="K2396" s="70" t="n">
        <v>278</v>
      </c>
      <c r="L2396" s="71" t="n">
        <v>212.65</v>
      </c>
      <c r="M2396" s="71" t="n">
        <v>59116.7</v>
      </c>
      <c r="N2396" s="71" t="n">
        <v>8867.5</v>
      </c>
      <c r="O2396" s="71" t="n">
        <v>50249.2</v>
      </c>
      <c r="P2396" s="71" t="n">
        <v>19427.92</v>
      </c>
      <c r="Q2396" s="71" t="n">
        <v>30821.28</v>
      </c>
      <c r="R2396" t="inlineStr">
        <is>
          <t>Vaccines</t>
        </is>
      </c>
      <c r="S2396" s="70" t="n">
        <v>230</v>
      </c>
      <c r="T2396" s="71" t="n">
        <v>10803.87</v>
      </c>
      <c r="U2396" t="inlineStr">
        <is>
          <t>Low</t>
        </is>
      </c>
      <c r="V2396">
        <f>IF(AND(OR(Dashboard!$C$6="All",E2396=Dashboard!$C$6),OR(Dashboard!$F$6="All",G2396=Dashboard!$F$6),OR(Dashboard!$I$6="All",H2396=Dashboard!$I$6)),1,0)</f>
        <v/>
      </c>
    </row>
    <row r="2397">
      <c r="A2397" t="inlineStr">
        <is>
          <t>PF102388</t>
        </is>
      </c>
      <c r="B2397" s="68" t="n">
        <v>45945</v>
      </c>
      <c r="C2397" s="69" t="n">
        <v>2025</v>
      </c>
      <c r="D2397" t="inlineStr">
        <is>
          <t>Oct</t>
        </is>
      </c>
      <c r="E2397" t="inlineStr">
        <is>
          <t>International developed</t>
        </is>
      </c>
      <c r="F2397" t="inlineStr">
        <is>
          <t>Japan</t>
        </is>
      </c>
      <c r="G2397" t="inlineStr">
        <is>
          <t>Eliquis</t>
        </is>
      </c>
      <c r="H2397" t="inlineStr">
        <is>
          <t>Retail pharmacy</t>
        </is>
      </c>
      <c r="I2397" t="inlineStr">
        <is>
          <t>Private insurer</t>
        </is>
      </c>
      <c r="J2397" t="inlineStr">
        <is>
          <t>Fatima Al-Saud</t>
        </is>
      </c>
      <c r="K2397" s="70" t="n">
        <v>1432</v>
      </c>
      <c r="L2397" s="71" t="n">
        <v>433.84</v>
      </c>
      <c r="M2397" s="71" t="n">
        <v>621258.88</v>
      </c>
      <c r="N2397" s="71" t="n">
        <v>124251.78</v>
      </c>
      <c r="O2397" s="71" t="n">
        <v>497007.1</v>
      </c>
      <c r="P2397" s="71" t="n">
        <v>108251.91</v>
      </c>
      <c r="Q2397" s="71" t="n">
        <v>388755.19</v>
      </c>
      <c r="R2397" t="inlineStr">
        <is>
          <t>Cardiology</t>
        </is>
      </c>
      <c r="S2397" s="70" t="n">
        <v>940</v>
      </c>
      <c r="T2397" s="71" t="n">
        <v>126494.83</v>
      </c>
      <c r="U2397" t="inlineStr">
        <is>
          <t>High</t>
        </is>
      </c>
      <c r="V2397">
        <f>IF(AND(OR(Dashboard!$C$6="All",E2397=Dashboard!$C$6),OR(Dashboard!$F$6="All",G2397=Dashboard!$F$6),OR(Dashboard!$I$6="All",H2397=Dashboard!$I$6)),1,0)</f>
        <v/>
      </c>
    </row>
    <row r="2398">
      <c r="A2398" t="inlineStr">
        <is>
          <t>PF102389</t>
        </is>
      </c>
      <c r="B2398" s="68" t="n">
        <v>45945</v>
      </c>
      <c r="C2398" s="69" t="n">
        <v>2025</v>
      </c>
      <c r="D2398" t="inlineStr">
        <is>
          <t>Oct</t>
        </is>
      </c>
      <c r="E2398" t="inlineStr">
        <is>
          <t>Emerging markets</t>
        </is>
      </c>
      <c r="F2398" t="inlineStr">
        <is>
          <t>China</t>
        </is>
      </c>
      <c r="G2398" t="inlineStr">
        <is>
          <t>Prevnar 20</t>
        </is>
      </c>
      <c r="H2398" t="inlineStr">
        <is>
          <t>Hospital</t>
        </is>
      </c>
      <c r="I2398" t="inlineStr">
        <is>
          <t>Private insurer</t>
        </is>
      </c>
      <c r="J2398" t="inlineStr">
        <is>
          <t>Fatima Al-Saud</t>
        </is>
      </c>
      <c r="K2398" s="70" t="n">
        <v>86</v>
      </c>
      <c r="L2398" s="71" t="n">
        <v>221.43</v>
      </c>
      <c r="M2398" s="71" t="n">
        <v>19042.98</v>
      </c>
      <c r="N2398" s="71" t="n">
        <v>2856.45</v>
      </c>
      <c r="O2398" s="71" t="n">
        <v>16186.53</v>
      </c>
      <c r="P2398" s="71" t="n">
        <v>6037.59</v>
      </c>
      <c r="Q2398" s="71" t="n">
        <v>10148.94</v>
      </c>
      <c r="R2398" t="inlineStr">
        <is>
          <t>Vaccines</t>
        </is>
      </c>
      <c r="S2398" s="70" t="n">
        <v>61</v>
      </c>
      <c r="T2398" s="71" t="n">
        <v>3899.2</v>
      </c>
      <c r="U2398" t="inlineStr">
        <is>
          <t>Low</t>
        </is>
      </c>
      <c r="V2398">
        <f>IF(AND(OR(Dashboard!$C$6="All",E2398=Dashboard!$C$6),OR(Dashboard!$F$6="All",G2398=Dashboard!$F$6),OR(Dashboard!$I$6="All",H2398=Dashboard!$I$6)),1,0)</f>
        <v/>
      </c>
    </row>
    <row r="2399">
      <c r="A2399" t="inlineStr">
        <is>
          <t>PF102390</t>
        </is>
      </c>
      <c r="B2399" s="68" t="n">
        <v>45945</v>
      </c>
      <c r="C2399" s="69" t="n">
        <v>2025</v>
      </c>
      <c r="D2399" t="inlineStr">
        <is>
          <t>Oct</t>
        </is>
      </c>
      <c r="E2399" t="inlineStr">
        <is>
          <t>Emerging markets</t>
        </is>
      </c>
      <c r="F2399" t="inlineStr">
        <is>
          <t>China</t>
        </is>
      </c>
      <c r="G2399" t="inlineStr">
        <is>
          <t>Ibrance</t>
        </is>
      </c>
      <c r="H2399" t="inlineStr">
        <is>
          <t>Retail pharmacy</t>
        </is>
      </c>
      <c r="I2399" t="inlineStr">
        <is>
          <t>Private insurer</t>
        </is>
      </c>
      <c r="J2399" t="inlineStr">
        <is>
          <t>Hiroshi Tanaka</t>
        </is>
      </c>
      <c r="K2399" s="70" t="n">
        <v>3123</v>
      </c>
      <c r="L2399" s="71" t="n">
        <v>2682.09</v>
      </c>
      <c r="M2399" s="71" t="n">
        <v>8376167.07</v>
      </c>
      <c r="N2399" s="71" t="n">
        <v>2094041.77</v>
      </c>
      <c r="O2399" s="71" t="n">
        <v>6282125.3</v>
      </c>
      <c r="P2399" s="71" t="n">
        <v>1347882.5</v>
      </c>
      <c r="Q2399" s="71" t="n">
        <v>4934242.8</v>
      </c>
      <c r="R2399" t="inlineStr">
        <is>
          <t>Oncology</t>
        </is>
      </c>
      <c r="S2399" s="70" t="n">
        <v>2811</v>
      </c>
      <c r="T2399" s="71" t="n">
        <v>1411027.88</v>
      </c>
      <c r="U2399" t="inlineStr">
        <is>
          <t>High</t>
        </is>
      </c>
      <c r="V2399">
        <f>IF(AND(OR(Dashboard!$C$6="All",E2399=Dashboard!$C$6),OR(Dashboard!$F$6="All",G2399=Dashboard!$F$6),OR(Dashboard!$I$6="All",H2399=Dashboard!$I$6)),1,0)</f>
        <v/>
      </c>
    </row>
    <row r="2400">
      <c r="A2400" t="inlineStr">
        <is>
          <t>PF102391</t>
        </is>
      </c>
      <c r="B2400" s="68" t="n">
        <v>45945</v>
      </c>
      <c r="C2400" s="69" t="n">
        <v>2025</v>
      </c>
      <c r="D2400" t="inlineStr">
        <is>
          <t>Oct</t>
        </is>
      </c>
      <c r="E2400" t="inlineStr">
        <is>
          <t>United States</t>
        </is>
      </c>
      <c r="F2400" t="inlineStr">
        <is>
          <t>USA</t>
        </is>
      </c>
      <c r="G2400" t="inlineStr">
        <is>
          <t>Prevnar 20</t>
        </is>
      </c>
      <c r="H2400" t="inlineStr">
        <is>
          <t>Hospital</t>
        </is>
      </c>
      <c r="I2400" t="inlineStr">
        <is>
          <t>Self-pay</t>
        </is>
      </c>
      <c r="J2400" t="inlineStr">
        <is>
          <t>Olivia Brown</t>
        </is>
      </c>
      <c r="K2400" s="70" t="n">
        <v>1458</v>
      </c>
      <c r="L2400" s="71" t="n">
        <v>360.98</v>
      </c>
      <c r="M2400" s="71" t="n">
        <v>526308.84</v>
      </c>
      <c r="N2400" s="71" t="n">
        <v>78946.33</v>
      </c>
      <c r="O2400" s="71" t="n">
        <v>447362.51</v>
      </c>
      <c r="P2400" s="71" t="n">
        <v>104134.44</v>
      </c>
      <c r="Q2400" s="71" t="n">
        <v>343228.07</v>
      </c>
      <c r="R2400" t="inlineStr">
        <is>
          <t>Vaccines</t>
        </is>
      </c>
      <c r="S2400" s="70" t="n">
        <v>1412</v>
      </c>
      <c r="T2400" s="71" t="n">
        <v>64150.47</v>
      </c>
      <c r="U2400" t="inlineStr">
        <is>
          <t>Low</t>
        </is>
      </c>
      <c r="V2400">
        <f>IF(AND(OR(Dashboard!$C$6="All",E2400=Dashboard!$C$6),OR(Dashboard!$F$6="All",G2400=Dashboard!$F$6),OR(Dashboard!$I$6="All",H2400=Dashboard!$I$6)),1,0)</f>
        <v/>
      </c>
    </row>
    <row r="2401">
      <c r="A2401" t="inlineStr">
        <is>
          <t>PF102392</t>
        </is>
      </c>
      <c r="B2401" s="68" t="n">
        <v>45945</v>
      </c>
      <c r="C2401" s="69" t="n">
        <v>2025</v>
      </c>
      <c r="D2401" t="inlineStr">
        <is>
          <t>Oct</t>
        </is>
      </c>
      <c r="E2401" t="inlineStr">
        <is>
          <t>Europe</t>
        </is>
      </c>
      <c r="F2401" t="inlineStr">
        <is>
          <t>UK</t>
        </is>
      </c>
      <c r="G2401" t="inlineStr">
        <is>
          <t>Eliquis</t>
        </is>
      </c>
      <c r="H2401" t="inlineStr">
        <is>
          <t>Hospital</t>
        </is>
      </c>
      <c r="I2401" t="inlineStr">
        <is>
          <t>Public payer</t>
        </is>
      </c>
      <c r="J2401" t="inlineStr">
        <is>
          <t>Zoya Ahmed</t>
        </is>
      </c>
      <c r="K2401" s="70" t="n">
        <v>600</v>
      </c>
      <c r="L2401" s="71" t="n">
        <v>431.86</v>
      </c>
      <c r="M2401" s="71" t="n">
        <v>259116</v>
      </c>
      <c r="N2401" s="71" t="n">
        <v>12955.8</v>
      </c>
      <c r="O2401" s="71" t="n">
        <v>246160.2</v>
      </c>
      <c r="P2401" s="71" t="n">
        <v>45275.22</v>
      </c>
      <c r="Q2401" s="71" t="n">
        <v>200884.98</v>
      </c>
      <c r="R2401" t="inlineStr">
        <is>
          <t>Cardiology</t>
        </is>
      </c>
      <c r="S2401" s="70" t="n">
        <v>454</v>
      </c>
      <c r="T2401" s="71" t="n">
        <v>54651.22</v>
      </c>
      <c r="U2401" t="inlineStr">
        <is>
          <t>High</t>
        </is>
      </c>
      <c r="V2401">
        <f>IF(AND(OR(Dashboard!$C$6="All",E2401=Dashboard!$C$6),OR(Dashboard!$F$6="All",G2401=Dashboard!$F$6),OR(Dashboard!$I$6="All",H2401=Dashboard!$I$6)),1,0)</f>
        <v/>
      </c>
    </row>
    <row r="2402">
      <c r="A2402" t="inlineStr">
        <is>
          <t>PF102393</t>
        </is>
      </c>
      <c r="B2402" s="68" t="n">
        <v>45945</v>
      </c>
      <c r="C2402" s="69" t="n">
        <v>2025</v>
      </c>
      <c r="D2402" t="inlineStr">
        <is>
          <t>Oct</t>
        </is>
      </c>
      <c r="E2402" t="inlineStr">
        <is>
          <t>Emerging markets</t>
        </is>
      </c>
      <c r="F2402" t="inlineStr">
        <is>
          <t>Brazil</t>
        </is>
      </c>
      <c r="G2402" t="inlineStr">
        <is>
          <t>Xeljanz</t>
        </is>
      </c>
      <c r="H2402" t="inlineStr">
        <is>
          <t>Retail pharmacy</t>
        </is>
      </c>
      <c r="I2402" t="inlineStr">
        <is>
          <t>Public payer</t>
        </is>
      </c>
      <c r="J2402" t="inlineStr">
        <is>
          <t>Olivia Brown</t>
        </is>
      </c>
      <c r="K2402" s="70" t="n">
        <v>2340</v>
      </c>
      <c r="L2402" s="71" t="n">
        <v>1494.88</v>
      </c>
      <c r="M2402" s="71" t="n">
        <v>3498019.2</v>
      </c>
      <c r="N2402" s="71" t="n">
        <v>699603.84</v>
      </c>
      <c r="O2402" s="71" t="n">
        <v>2798415.36</v>
      </c>
      <c r="P2402" s="71" t="n">
        <v>590872.39</v>
      </c>
      <c r="Q2402" s="71" t="n">
        <v>2207542.97</v>
      </c>
      <c r="R2402" t="inlineStr">
        <is>
          <t>Inflammation</t>
        </is>
      </c>
      <c r="S2402" s="70" t="n">
        <v>1681</v>
      </c>
      <c r="T2402" s="71" t="n">
        <v>703527.6899999999</v>
      </c>
      <c r="U2402" t="inlineStr">
        <is>
          <t>High</t>
        </is>
      </c>
      <c r="V2402">
        <f>IF(AND(OR(Dashboard!$C$6="All",E2402=Dashboard!$C$6),OR(Dashboard!$F$6="All",G2402=Dashboard!$F$6),OR(Dashboard!$I$6="All",H2402=Dashboard!$I$6)),1,0)</f>
        <v/>
      </c>
    </row>
    <row r="2403">
      <c r="A2403" t="inlineStr">
        <is>
          <t>PF102394</t>
        </is>
      </c>
      <c r="B2403" s="68" t="n">
        <v>45945</v>
      </c>
      <c r="C2403" s="69" t="n">
        <v>2025</v>
      </c>
      <c r="D2403" t="inlineStr">
        <is>
          <t>Oct</t>
        </is>
      </c>
      <c r="E2403" t="inlineStr">
        <is>
          <t>United States</t>
        </is>
      </c>
      <c r="F2403" t="inlineStr">
        <is>
          <t>USA</t>
        </is>
      </c>
      <c r="G2403" t="inlineStr">
        <is>
          <t>Prevnar 20</t>
        </is>
      </c>
      <c r="H2403" t="inlineStr">
        <is>
          <t>Retail pharmacy</t>
        </is>
      </c>
      <c r="I2403" t="inlineStr">
        <is>
          <t>Public payer</t>
        </is>
      </c>
      <c r="J2403" t="inlineStr">
        <is>
          <t>Priya Nair</t>
        </is>
      </c>
      <c r="K2403" s="70" t="n">
        <v>1344</v>
      </c>
      <c r="L2403" s="71" t="n">
        <v>361.1</v>
      </c>
      <c r="M2403" s="71" t="n">
        <v>485318.4</v>
      </c>
      <c r="N2403" s="71" t="n">
        <v>72797.75999999999</v>
      </c>
      <c r="O2403" s="71" t="n">
        <v>412520.64</v>
      </c>
      <c r="P2403" s="71" t="n">
        <v>94727.53</v>
      </c>
      <c r="Q2403" s="71" t="n">
        <v>317793.11</v>
      </c>
      <c r="R2403" t="inlineStr">
        <is>
          <t>Vaccines</t>
        </is>
      </c>
      <c r="S2403" s="70" t="n">
        <v>1168</v>
      </c>
      <c r="T2403" s="71" t="n">
        <v>61869.73</v>
      </c>
      <c r="U2403" t="inlineStr">
        <is>
          <t>Low</t>
        </is>
      </c>
      <c r="V2403">
        <f>IF(AND(OR(Dashboard!$C$6="All",E2403=Dashboard!$C$6),OR(Dashboard!$F$6="All",G2403=Dashboard!$F$6),OR(Dashboard!$I$6="All",H2403=Dashboard!$I$6)),1,0)</f>
        <v/>
      </c>
    </row>
    <row r="2404">
      <c r="A2404" t="inlineStr">
        <is>
          <t>PF102395</t>
        </is>
      </c>
      <c r="B2404" s="68" t="n">
        <v>45946</v>
      </c>
      <c r="C2404" s="69" t="n">
        <v>2025</v>
      </c>
      <c r="D2404" t="inlineStr">
        <is>
          <t>Oct</t>
        </is>
      </c>
      <c r="E2404" t="inlineStr">
        <is>
          <t>Emerging markets</t>
        </is>
      </c>
      <c r="F2404" t="inlineStr">
        <is>
          <t>Mexico</t>
        </is>
      </c>
      <c r="G2404" t="inlineStr">
        <is>
          <t>Eliquis</t>
        </is>
      </c>
      <c r="H2404" t="inlineStr">
        <is>
          <t>Retail pharmacy</t>
        </is>
      </c>
      <c r="I2404" t="inlineStr">
        <is>
          <t>Public payer</t>
        </is>
      </c>
      <c r="J2404" t="inlineStr">
        <is>
          <t>Liam O'Brien</t>
        </is>
      </c>
      <c r="K2404" s="70" t="n">
        <v>2139</v>
      </c>
      <c r="L2404" s="71" t="n">
        <v>387.46</v>
      </c>
      <c r="M2404" s="71" t="n">
        <v>828776.9399999999</v>
      </c>
      <c r="N2404" s="71" t="n">
        <v>207194.23</v>
      </c>
      <c r="O2404" s="71" t="n">
        <v>621582.71</v>
      </c>
      <c r="P2404" s="71" t="n">
        <v>155624.06</v>
      </c>
      <c r="Q2404" s="71" t="n">
        <v>465958.65</v>
      </c>
      <c r="R2404" t="inlineStr">
        <is>
          <t>Cardiology</t>
        </is>
      </c>
      <c r="S2404" s="70" t="n">
        <v>1406</v>
      </c>
      <c r="T2404" s="71" t="n">
        <v>111173.95</v>
      </c>
      <c r="U2404" t="inlineStr">
        <is>
          <t>High</t>
        </is>
      </c>
      <c r="V2404">
        <f>IF(AND(OR(Dashboard!$C$6="All",E2404=Dashboard!$C$6),OR(Dashboard!$F$6="All",G2404=Dashboard!$F$6),OR(Dashboard!$I$6="All",H2404=Dashboard!$I$6)),1,0)</f>
        <v/>
      </c>
    </row>
    <row r="2405">
      <c r="A2405" t="inlineStr">
        <is>
          <t>PF102396</t>
        </is>
      </c>
      <c r="B2405" s="68" t="n">
        <v>45946</v>
      </c>
      <c r="C2405" s="69" t="n">
        <v>2025</v>
      </c>
      <c r="D2405" t="inlineStr">
        <is>
          <t>Oct</t>
        </is>
      </c>
      <c r="E2405" t="inlineStr">
        <is>
          <t>United States</t>
        </is>
      </c>
      <c r="F2405" t="inlineStr">
        <is>
          <t>USA</t>
        </is>
      </c>
      <c r="G2405" t="inlineStr">
        <is>
          <t>Abrysvo</t>
        </is>
      </c>
      <c r="H2405" t="inlineStr">
        <is>
          <t>Government / tender</t>
        </is>
      </c>
      <c r="I2405" t="inlineStr">
        <is>
          <t>Public payer</t>
        </is>
      </c>
      <c r="J2405" t="inlineStr">
        <is>
          <t>Kofi Mensah</t>
        </is>
      </c>
      <c r="K2405" s="70" t="n">
        <v>1486</v>
      </c>
      <c r="L2405" s="71" t="n">
        <v>491.76</v>
      </c>
      <c r="M2405" s="71" t="n">
        <v>730755.36</v>
      </c>
      <c r="N2405" s="71" t="n">
        <v>182688.84</v>
      </c>
      <c r="O2405" s="71" t="n">
        <v>548066.52</v>
      </c>
      <c r="P2405" s="71" t="n">
        <v>121149.78</v>
      </c>
      <c r="Q2405" s="71" t="n">
        <v>426916.74</v>
      </c>
      <c r="R2405" t="inlineStr">
        <is>
          <t>Vaccines</t>
        </is>
      </c>
      <c r="S2405" s="70" t="n">
        <v>1074</v>
      </c>
      <c r="T2405" s="71" t="n">
        <v>120336.95</v>
      </c>
      <c r="U2405" t="inlineStr">
        <is>
          <t>Low</t>
        </is>
      </c>
      <c r="V2405">
        <f>IF(AND(OR(Dashboard!$C$6="All",E2405=Dashboard!$C$6),OR(Dashboard!$F$6="All",G2405=Dashboard!$F$6),OR(Dashboard!$I$6="All",H2405=Dashboard!$I$6)),1,0)</f>
        <v/>
      </c>
    </row>
    <row r="2406">
      <c r="A2406" t="inlineStr">
        <is>
          <t>PF102397</t>
        </is>
      </c>
      <c r="B2406" s="68" t="n">
        <v>45946</v>
      </c>
      <c r="C2406" s="69" t="n">
        <v>2025</v>
      </c>
      <c r="D2406" t="inlineStr">
        <is>
          <t>Oct</t>
        </is>
      </c>
      <c r="E2406" t="inlineStr">
        <is>
          <t>United States</t>
        </is>
      </c>
      <c r="F2406" t="inlineStr">
        <is>
          <t>USA</t>
        </is>
      </c>
      <c r="G2406" t="inlineStr">
        <is>
          <t>Ibrance</t>
        </is>
      </c>
      <c r="H2406" t="inlineStr">
        <is>
          <t>Retail pharmacy</t>
        </is>
      </c>
      <c r="I2406" t="inlineStr">
        <is>
          <t>Public payer</t>
        </is>
      </c>
      <c r="J2406" t="inlineStr">
        <is>
          <t>Ravindra Patil</t>
        </is>
      </c>
      <c r="K2406" s="70" t="n">
        <v>483</v>
      </c>
      <c r="L2406" s="71" t="n">
        <v>4659.94</v>
      </c>
      <c r="M2406" s="71" t="n">
        <v>2250751.02</v>
      </c>
      <c r="N2406" s="71" t="n">
        <v>675225.3100000001</v>
      </c>
      <c r="O2406" s="71" t="n">
        <v>1575525.71</v>
      </c>
      <c r="P2406" s="71" t="n">
        <v>204590.93</v>
      </c>
      <c r="Q2406" s="71" t="n">
        <v>1370934.78</v>
      </c>
      <c r="R2406" t="inlineStr">
        <is>
          <t>Oncology</t>
        </is>
      </c>
      <c r="S2406" s="70" t="n">
        <v>426</v>
      </c>
      <c r="T2406" s="71" t="n">
        <v>302877.09</v>
      </c>
      <c r="U2406" t="inlineStr">
        <is>
          <t>High</t>
        </is>
      </c>
      <c r="V2406">
        <f>IF(AND(OR(Dashboard!$C$6="All",E2406=Dashboard!$C$6),OR(Dashboard!$F$6="All",G2406=Dashboard!$F$6),OR(Dashboard!$I$6="All",H2406=Dashboard!$I$6)),1,0)</f>
        <v/>
      </c>
    </row>
    <row r="2407">
      <c r="A2407" t="inlineStr">
        <is>
          <t>PF102398</t>
        </is>
      </c>
      <c r="B2407" s="68" t="n">
        <v>45946</v>
      </c>
      <c r="C2407" s="69" t="n">
        <v>2025</v>
      </c>
      <c r="D2407" t="inlineStr">
        <is>
          <t>Oct</t>
        </is>
      </c>
      <c r="E2407" t="inlineStr">
        <is>
          <t>Emerging markets</t>
        </is>
      </c>
      <c r="F2407" t="inlineStr">
        <is>
          <t>Brazil</t>
        </is>
      </c>
      <c r="G2407" t="inlineStr">
        <is>
          <t>Prevnar 20</t>
        </is>
      </c>
      <c r="H2407" t="inlineStr">
        <is>
          <t>Retail pharmacy</t>
        </is>
      </c>
      <c r="I2407" t="inlineStr">
        <is>
          <t>Public payer</t>
        </is>
      </c>
      <c r="J2407" t="inlineStr">
        <is>
          <t>Priya Nair</t>
        </is>
      </c>
      <c r="K2407" s="70" t="n">
        <v>665</v>
      </c>
      <c r="L2407" s="71" t="n">
        <v>232.44</v>
      </c>
      <c r="M2407" s="71" t="n">
        <v>154572.6</v>
      </c>
      <c r="N2407" s="71" t="n">
        <v>15457.26</v>
      </c>
      <c r="O2407" s="71" t="n">
        <v>139115.34</v>
      </c>
      <c r="P2407" s="71" t="n">
        <v>45315.67</v>
      </c>
      <c r="Q2407" s="71" t="n">
        <v>93799.67</v>
      </c>
      <c r="R2407" t="inlineStr">
        <is>
          <t>Vaccines</t>
        </is>
      </c>
      <c r="S2407" s="70" t="n">
        <v>609</v>
      </c>
      <c r="T2407" s="71" t="n">
        <v>33043.65</v>
      </c>
      <c r="U2407" t="inlineStr">
        <is>
          <t>Low</t>
        </is>
      </c>
      <c r="V2407">
        <f>IF(AND(OR(Dashboard!$C$6="All",E2407=Dashboard!$C$6),OR(Dashboard!$F$6="All",G2407=Dashboard!$F$6),OR(Dashboard!$I$6="All",H2407=Dashboard!$I$6)),1,0)</f>
        <v/>
      </c>
    </row>
    <row r="2408">
      <c r="A2408" t="inlineStr">
        <is>
          <t>PF102399</t>
        </is>
      </c>
      <c r="B2408" s="68" t="n">
        <v>45946</v>
      </c>
      <c r="C2408" s="69" t="n">
        <v>2025</v>
      </c>
      <c r="D2408" t="inlineStr">
        <is>
          <t>Oct</t>
        </is>
      </c>
      <c r="E2408" t="inlineStr">
        <is>
          <t>Emerging markets</t>
        </is>
      </c>
      <c r="F2408" t="inlineStr">
        <is>
          <t>China</t>
        </is>
      </c>
      <c r="G2408" t="inlineStr">
        <is>
          <t>Eliquis</t>
        </is>
      </c>
      <c r="H2408" t="inlineStr">
        <is>
          <t>Retail pharmacy</t>
        </is>
      </c>
      <c r="I2408" t="inlineStr">
        <is>
          <t>Private insurer</t>
        </is>
      </c>
      <c r="J2408" t="inlineStr">
        <is>
          <t>Lucas Martin</t>
        </is>
      </c>
      <c r="K2408" s="70" t="n">
        <v>3126</v>
      </c>
      <c r="L2408" s="71" t="n">
        <v>454.2</v>
      </c>
      <c r="M2408" s="71" t="n">
        <v>1419829.2</v>
      </c>
      <c r="N2408" s="71" t="n">
        <v>212974.38</v>
      </c>
      <c r="O2408" s="71" t="n">
        <v>1206854.82</v>
      </c>
      <c r="P2408" s="71" t="n">
        <v>228268.49</v>
      </c>
      <c r="Q2408" s="71" t="n">
        <v>978586.33</v>
      </c>
      <c r="R2408" t="inlineStr">
        <is>
          <t>Cardiology</t>
        </is>
      </c>
      <c r="S2408" s="70" t="n">
        <v>2392</v>
      </c>
      <c r="T2408" s="71" t="n">
        <v>301368.05</v>
      </c>
      <c r="U2408" t="inlineStr">
        <is>
          <t>High</t>
        </is>
      </c>
      <c r="V2408">
        <f>IF(AND(OR(Dashboard!$C$6="All",E2408=Dashboard!$C$6),OR(Dashboard!$F$6="All",G2408=Dashboard!$F$6),OR(Dashboard!$I$6="All",H2408=Dashboard!$I$6)),1,0)</f>
        <v/>
      </c>
    </row>
    <row r="2409">
      <c r="A2409" t="inlineStr">
        <is>
          <t>PF102400</t>
        </is>
      </c>
      <c r="B2409" s="68" t="n">
        <v>45946</v>
      </c>
      <c r="C2409" s="69" t="n">
        <v>2025</v>
      </c>
      <c r="D2409" t="inlineStr">
        <is>
          <t>Oct</t>
        </is>
      </c>
      <c r="E2409" t="inlineStr">
        <is>
          <t>United States</t>
        </is>
      </c>
      <c r="F2409" t="inlineStr">
        <is>
          <t>USA</t>
        </is>
      </c>
      <c r="G2409" t="inlineStr">
        <is>
          <t>Eliquis</t>
        </is>
      </c>
      <c r="H2409" t="inlineStr">
        <is>
          <t>Retail pharmacy</t>
        </is>
      </c>
      <c r="I2409" t="inlineStr">
        <is>
          <t>Private insurer</t>
        </is>
      </c>
      <c r="J2409" t="inlineStr">
        <is>
          <t>Olivia Brown</t>
        </is>
      </c>
      <c r="K2409" s="70" t="n">
        <v>201</v>
      </c>
      <c r="L2409" s="71" t="n">
        <v>732.4</v>
      </c>
      <c r="M2409" s="71" t="n">
        <v>147212.4</v>
      </c>
      <c r="N2409" s="71" t="n">
        <v>29442.48</v>
      </c>
      <c r="O2409" s="71" t="n">
        <v>117769.92</v>
      </c>
      <c r="P2409" s="71" t="n">
        <v>15581.84</v>
      </c>
      <c r="Q2409" s="71" t="n">
        <v>102188.08</v>
      </c>
      <c r="R2409" t="inlineStr">
        <is>
          <t>Cardiology</t>
        </is>
      </c>
      <c r="S2409" s="70" t="n">
        <v>193</v>
      </c>
      <c r="T2409" s="71" t="n">
        <v>19861.06</v>
      </c>
      <c r="U2409" t="inlineStr">
        <is>
          <t>High</t>
        </is>
      </c>
      <c r="V2409">
        <f>IF(AND(OR(Dashboard!$C$6="All",E2409=Dashboard!$C$6),OR(Dashboard!$F$6="All",G2409=Dashboard!$F$6),OR(Dashboard!$I$6="All",H2409=Dashboard!$I$6)),1,0)</f>
        <v/>
      </c>
    </row>
    <row r="2410">
      <c r="A2410" t="inlineStr">
        <is>
          <t>PF102401</t>
        </is>
      </c>
      <c r="B2410" s="68" t="n">
        <v>45946</v>
      </c>
      <c r="C2410" s="69" t="n">
        <v>2025</v>
      </c>
      <c r="D2410" t="inlineStr">
        <is>
          <t>Oct</t>
        </is>
      </c>
      <c r="E2410" t="inlineStr">
        <is>
          <t>Emerging markets</t>
        </is>
      </c>
      <c r="F2410" t="inlineStr">
        <is>
          <t>Mexico</t>
        </is>
      </c>
      <c r="G2410" t="inlineStr">
        <is>
          <t>Comirnaty</t>
        </is>
      </c>
      <c r="H2410" t="inlineStr">
        <is>
          <t>Retail pharmacy</t>
        </is>
      </c>
      <c r="I2410" t="inlineStr">
        <is>
          <t>Public payer</t>
        </is>
      </c>
      <c r="J2410" t="inlineStr">
        <is>
          <t>Noah Smith</t>
        </is>
      </c>
      <c r="K2410" s="70" t="n">
        <v>3047</v>
      </c>
      <c r="L2410" s="71" t="n">
        <v>100.99</v>
      </c>
      <c r="M2410" s="71" t="n">
        <v>307716.53</v>
      </c>
      <c r="N2410" s="71" t="n">
        <v>76929.13</v>
      </c>
      <c r="O2410" s="71" t="n">
        <v>230787.4</v>
      </c>
      <c r="P2410" s="71" t="n">
        <v>113721.63</v>
      </c>
      <c r="Q2410" s="71" t="n">
        <v>117065.77</v>
      </c>
      <c r="R2410" t="inlineStr">
        <is>
          <t>Vaccines</t>
        </is>
      </c>
      <c r="S2410" s="70" t="n">
        <v>2097</v>
      </c>
      <c r="T2410" s="71" t="n">
        <v>48735.36</v>
      </c>
      <c r="U2410" t="inlineStr">
        <is>
          <t>Low</t>
        </is>
      </c>
      <c r="V2410">
        <f>IF(AND(OR(Dashboard!$C$6="All",E2410=Dashboard!$C$6),OR(Dashboard!$F$6="All",G2410=Dashboard!$F$6),OR(Dashboard!$I$6="All",H2410=Dashboard!$I$6)),1,0)</f>
        <v/>
      </c>
    </row>
    <row r="2411">
      <c r="A2411" t="inlineStr">
        <is>
          <t>PF102402</t>
        </is>
      </c>
      <c r="B2411" s="68" t="n">
        <v>45946</v>
      </c>
      <c r="C2411" s="69" t="n">
        <v>2025</v>
      </c>
      <c r="D2411" t="inlineStr">
        <is>
          <t>Oct</t>
        </is>
      </c>
      <c r="E2411" t="inlineStr">
        <is>
          <t>Europe</t>
        </is>
      </c>
      <c r="F2411" t="inlineStr">
        <is>
          <t>Germany</t>
        </is>
      </c>
      <c r="G2411" t="inlineStr">
        <is>
          <t>Eliquis</t>
        </is>
      </c>
      <c r="H2411" t="inlineStr">
        <is>
          <t>Government / tender</t>
        </is>
      </c>
      <c r="I2411" t="inlineStr">
        <is>
          <t>Private insurer</t>
        </is>
      </c>
      <c r="J2411" t="inlineStr">
        <is>
          <t>Noah Smith</t>
        </is>
      </c>
      <c r="K2411" s="70" t="n">
        <v>1029</v>
      </c>
      <c r="L2411" s="71" t="n">
        <v>445.7</v>
      </c>
      <c r="M2411" s="71" t="n">
        <v>458625.3</v>
      </c>
      <c r="N2411" s="71" t="n">
        <v>45862.53</v>
      </c>
      <c r="O2411" s="71" t="n">
        <v>412762.77</v>
      </c>
      <c r="P2411" s="71" t="n">
        <v>79521.32000000001</v>
      </c>
      <c r="Q2411" s="71" t="n">
        <v>333241.45</v>
      </c>
      <c r="R2411" t="inlineStr">
        <is>
          <t>Cardiology</t>
        </is>
      </c>
      <c r="S2411" s="70" t="n">
        <v>807</v>
      </c>
      <c r="T2411" s="71" t="n">
        <v>83936.2</v>
      </c>
      <c r="U2411" t="inlineStr">
        <is>
          <t>High</t>
        </is>
      </c>
      <c r="V2411">
        <f>IF(AND(OR(Dashboard!$C$6="All",E2411=Dashboard!$C$6),OR(Dashboard!$F$6="All",G2411=Dashboard!$F$6),OR(Dashboard!$I$6="All",H2411=Dashboard!$I$6)),1,0)</f>
        <v/>
      </c>
    </row>
    <row r="2412">
      <c r="A2412" t="inlineStr">
        <is>
          <t>PF102403</t>
        </is>
      </c>
      <c r="B2412" s="68" t="n">
        <v>45947</v>
      </c>
      <c r="C2412" s="69" t="n">
        <v>2025</v>
      </c>
      <c r="D2412" t="inlineStr">
        <is>
          <t>Oct</t>
        </is>
      </c>
      <c r="E2412" t="inlineStr">
        <is>
          <t>International developed</t>
        </is>
      </c>
      <c r="F2412" t="inlineStr">
        <is>
          <t>Australia</t>
        </is>
      </c>
      <c r="G2412" t="inlineStr">
        <is>
          <t>Abrysvo</t>
        </is>
      </c>
      <c r="H2412" t="inlineStr">
        <is>
          <t>Hospital</t>
        </is>
      </c>
      <c r="I2412" t="inlineStr">
        <is>
          <t>Private insurer</t>
        </is>
      </c>
      <c r="J2412" t="inlineStr">
        <is>
          <t>Omar Haddad</t>
        </is>
      </c>
      <c r="K2412" s="70" t="n">
        <v>355</v>
      </c>
      <c r="L2412" s="71" t="n">
        <v>258.33</v>
      </c>
      <c r="M2412" s="71" t="n">
        <v>91707.14999999999</v>
      </c>
      <c r="N2412" s="71" t="n">
        <v>18341.43</v>
      </c>
      <c r="O2412" s="71" t="n">
        <v>73365.72</v>
      </c>
      <c r="P2412" s="71" t="n">
        <v>28866.28</v>
      </c>
      <c r="Q2412" s="71" t="n">
        <v>44499.44</v>
      </c>
      <c r="R2412" t="inlineStr">
        <is>
          <t>Vaccines</t>
        </is>
      </c>
      <c r="S2412" s="70" t="n">
        <v>293</v>
      </c>
      <c r="T2412" s="71" t="n">
        <v>17316.23</v>
      </c>
      <c r="U2412" t="inlineStr">
        <is>
          <t>Low</t>
        </is>
      </c>
      <c r="V2412">
        <f>IF(AND(OR(Dashboard!$C$6="All",E2412=Dashboard!$C$6),OR(Dashboard!$F$6="All",G2412=Dashboard!$F$6),OR(Dashboard!$I$6="All",H2412=Dashboard!$I$6)),1,0)</f>
        <v/>
      </c>
    </row>
    <row r="2413">
      <c r="A2413" t="inlineStr">
        <is>
          <t>PF102404</t>
        </is>
      </c>
      <c r="B2413" s="68" t="n">
        <v>45947</v>
      </c>
      <c r="C2413" s="69" t="n">
        <v>2025</v>
      </c>
      <c r="D2413" t="inlineStr">
        <is>
          <t>Oct</t>
        </is>
      </c>
      <c r="E2413" t="inlineStr">
        <is>
          <t>United States</t>
        </is>
      </c>
      <c r="F2413" t="inlineStr">
        <is>
          <t>USA</t>
        </is>
      </c>
      <c r="G2413" t="inlineStr">
        <is>
          <t>Eliquis</t>
        </is>
      </c>
      <c r="H2413" t="inlineStr">
        <is>
          <t>Retail pharmacy</t>
        </is>
      </c>
      <c r="I2413" t="inlineStr">
        <is>
          <t>Public payer</t>
        </is>
      </c>
      <c r="J2413" t="inlineStr">
        <is>
          <t>Olivia Brown</t>
        </is>
      </c>
      <c r="K2413" s="70" t="n">
        <v>2517</v>
      </c>
      <c r="L2413" s="71" t="n">
        <v>693.26</v>
      </c>
      <c r="M2413" s="71" t="n">
        <v>1744935.42</v>
      </c>
      <c r="N2413" s="71" t="n">
        <v>261740.31</v>
      </c>
      <c r="O2413" s="71" t="n">
        <v>1483195.11</v>
      </c>
      <c r="P2413" s="71" t="n">
        <v>183978.77</v>
      </c>
      <c r="Q2413" s="71" t="n">
        <v>1299216.34</v>
      </c>
      <c r="R2413" t="inlineStr">
        <is>
          <t>Cardiology</t>
        </is>
      </c>
      <c r="S2413" s="70" t="n">
        <v>2015</v>
      </c>
      <c r="T2413" s="71" t="n">
        <v>339534.05</v>
      </c>
      <c r="U2413" t="inlineStr">
        <is>
          <t>High</t>
        </is>
      </c>
      <c r="V2413">
        <f>IF(AND(OR(Dashboard!$C$6="All",E2413=Dashboard!$C$6),OR(Dashboard!$F$6="All",G2413=Dashboard!$F$6),OR(Dashboard!$I$6="All",H2413=Dashboard!$I$6)),1,0)</f>
        <v/>
      </c>
    </row>
    <row r="2414">
      <c r="A2414" t="inlineStr">
        <is>
          <t>PF102405</t>
        </is>
      </c>
      <c r="B2414" s="68" t="n">
        <v>45947</v>
      </c>
      <c r="C2414" s="69" t="n">
        <v>2025</v>
      </c>
      <c r="D2414" t="inlineStr">
        <is>
          <t>Oct</t>
        </is>
      </c>
      <c r="E2414" t="inlineStr">
        <is>
          <t>Europe</t>
        </is>
      </c>
      <c r="F2414" t="inlineStr">
        <is>
          <t>UK</t>
        </is>
      </c>
      <c r="G2414" t="inlineStr">
        <is>
          <t>Vyndaqel</t>
        </is>
      </c>
      <c r="H2414" t="inlineStr">
        <is>
          <t>Government / tender</t>
        </is>
      </c>
      <c r="I2414" t="inlineStr">
        <is>
          <t>Private insurer</t>
        </is>
      </c>
      <c r="J2414" t="inlineStr">
        <is>
          <t>Carlos Silva</t>
        </is>
      </c>
      <c r="K2414" s="70" t="n">
        <v>866</v>
      </c>
      <c r="L2414" s="71" t="n">
        <v>4847.9</v>
      </c>
      <c r="M2414" s="71" t="n">
        <v>4198281.4</v>
      </c>
      <c r="N2414" s="71" t="n">
        <v>839656.28</v>
      </c>
      <c r="O2414" s="71" t="n">
        <v>3358625.12</v>
      </c>
      <c r="P2414" s="71" t="n">
        <v>534036.24</v>
      </c>
      <c r="Q2414" s="71" t="n">
        <v>2824588.88</v>
      </c>
      <c r="R2414" t="inlineStr">
        <is>
          <t>Rare disease</t>
        </is>
      </c>
      <c r="S2414" s="70" t="n">
        <v>733</v>
      </c>
      <c r="T2414" s="71" t="n">
        <v>732497.79</v>
      </c>
      <c r="U2414" t="inlineStr">
        <is>
          <t>Medium</t>
        </is>
      </c>
      <c r="V2414">
        <f>IF(AND(OR(Dashboard!$C$6="All",E2414=Dashboard!$C$6),OR(Dashboard!$F$6="All",G2414=Dashboard!$F$6),OR(Dashboard!$I$6="All",H2414=Dashboard!$I$6)),1,0)</f>
        <v/>
      </c>
    </row>
    <row r="2415">
      <c r="A2415" t="inlineStr">
        <is>
          <t>PF102406</t>
        </is>
      </c>
      <c r="B2415" s="68" t="n">
        <v>45947</v>
      </c>
      <c r="C2415" s="69" t="n">
        <v>2025</v>
      </c>
      <c r="D2415" t="inlineStr">
        <is>
          <t>Oct</t>
        </is>
      </c>
      <c r="E2415" t="inlineStr">
        <is>
          <t>Emerging markets</t>
        </is>
      </c>
      <c r="F2415" t="inlineStr">
        <is>
          <t>Mexico</t>
        </is>
      </c>
      <c r="G2415" t="inlineStr">
        <is>
          <t>Eliquis</t>
        </is>
      </c>
      <c r="H2415" t="inlineStr">
        <is>
          <t>Retail pharmacy</t>
        </is>
      </c>
      <c r="I2415" t="inlineStr">
        <is>
          <t>Public payer</t>
        </is>
      </c>
      <c r="J2415" t="inlineStr">
        <is>
          <t>Sophie Müller</t>
        </is>
      </c>
      <c r="K2415" s="70" t="n">
        <v>2988</v>
      </c>
      <c r="L2415" s="71" t="n">
        <v>429.15</v>
      </c>
      <c r="M2415" s="71" t="n">
        <v>1282300.2</v>
      </c>
      <c r="N2415" s="71" t="n">
        <v>256460.04</v>
      </c>
      <c r="O2415" s="71" t="n">
        <v>1025840.16</v>
      </c>
      <c r="P2415" s="71" t="n">
        <v>224733.08</v>
      </c>
      <c r="Q2415" s="71" t="n">
        <v>801107.08</v>
      </c>
      <c r="R2415" t="inlineStr">
        <is>
          <t>Cardiology</t>
        </is>
      </c>
      <c r="S2415" s="70" t="n">
        <v>2616</v>
      </c>
      <c r="T2415" s="71" t="n">
        <v>262510.17</v>
      </c>
      <c r="U2415" t="inlineStr">
        <is>
          <t>High</t>
        </is>
      </c>
      <c r="V2415">
        <f>IF(AND(OR(Dashboard!$C$6="All",E2415=Dashboard!$C$6),OR(Dashboard!$F$6="All",G2415=Dashboard!$F$6),OR(Dashboard!$I$6="All",H2415=Dashboard!$I$6)),1,0)</f>
        <v/>
      </c>
    </row>
    <row r="2416">
      <c r="A2416" t="inlineStr">
        <is>
          <t>PF102407</t>
        </is>
      </c>
      <c r="B2416" s="68" t="n">
        <v>45947</v>
      </c>
      <c r="C2416" s="69" t="n">
        <v>2025</v>
      </c>
      <c r="D2416" t="inlineStr">
        <is>
          <t>Oct</t>
        </is>
      </c>
      <c r="E2416" t="inlineStr">
        <is>
          <t>United States</t>
        </is>
      </c>
      <c r="F2416" t="inlineStr">
        <is>
          <t>USA</t>
        </is>
      </c>
      <c r="G2416" t="inlineStr">
        <is>
          <t>Xeljanz</t>
        </is>
      </c>
      <c r="H2416" t="inlineStr">
        <is>
          <t>Retail pharmacy</t>
        </is>
      </c>
      <c r="I2416" t="inlineStr">
        <is>
          <t>Private insurer</t>
        </is>
      </c>
      <c r="J2416" t="inlineStr">
        <is>
          <t>Lucas Martin</t>
        </is>
      </c>
      <c r="K2416" s="70" t="n">
        <v>696</v>
      </c>
      <c r="L2416" s="71" t="n">
        <v>2456.27</v>
      </c>
      <c r="M2416" s="71" t="n">
        <v>1709563.92</v>
      </c>
      <c r="N2416" s="71" t="n">
        <v>256434.59</v>
      </c>
      <c r="O2416" s="71" t="n">
        <v>1453129.33</v>
      </c>
      <c r="P2416" s="71" t="n">
        <v>171911.51</v>
      </c>
      <c r="Q2416" s="71" t="n">
        <v>1281217.82</v>
      </c>
      <c r="R2416" t="inlineStr">
        <is>
          <t>Inflammation</t>
        </is>
      </c>
      <c r="S2416" s="70" t="n">
        <v>495</v>
      </c>
      <c r="T2416" s="71" t="n">
        <v>205508.52</v>
      </c>
      <c r="U2416" t="inlineStr">
        <is>
          <t>High</t>
        </is>
      </c>
      <c r="V2416">
        <f>IF(AND(OR(Dashboard!$C$6="All",E2416=Dashboard!$C$6),OR(Dashboard!$F$6="All",G2416=Dashboard!$F$6),OR(Dashboard!$I$6="All",H2416=Dashboard!$I$6)),1,0)</f>
        <v/>
      </c>
    </row>
    <row r="2417">
      <c r="A2417" t="inlineStr">
        <is>
          <t>PF102408</t>
        </is>
      </c>
      <c r="B2417" s="68" t="n">
        <v>45947</v>
      </c>
      <c r="C2417" s="69" t="n">
        <v>2025</v>
      </c>
      <c r="D2417" t="inlineStr">
        <is>
          <t>Oct</t>
        </is>
      </c>
      <c r="E2417" t="inlineStr">
        <is>
          <t>Emerging markets</t>
        </is>
      </c>
      <c r="F2417" t="inlineStr">
        <is>
          <t>India</t>
        </is>
      </c>
      <c r="G2417" t="inlineStr">
        <is>
          <t>Prevnar 20</t>
        </is>
      </c>
      <c r="H2417" t="inlineStr">
        <is>
          <t>Hospital</t>
        </is>
      </c>
      <c r="I2417" t="inlineStr">
        <is>
          <t>Private insurer</t>
        </is>
      </c>
      <c r="J2417" t="inlineStr">
        <is>
          <t>Noah Smith</t>
        </is>
      </c>
      <c r="K2417" s="70" t="n">
        <v>388</v>
      </c>
      <c r="L2417" s="71" t="n">
        <v>220.05</v>
      </c>
      <c r="M2417" s="71" t="n">
        <v>85379.39999999999</v>
      </c>
      <c r="N2417" s="71" t="n">
        <v>17075.88</v>
      </c>
      <c r="O2417" s="71" t="n">
        <v>68303.52</v>
      </c>
      <c r="P2417" s="71" t="n">
        <v>26954.63</v>
      </c>
      <c r="Q2417" s="71" t="n">
        <v>41348.89</v>
      </c>
      <c r="R2417" t="inlineStr">
        <is>
          <t>Vaccines</t>
        </is>
      </c>
      <c r="S2417" s="70" t="n">
        <v>324</v>
      </c>
      <c r="T2417" s="71" t="n">
        <v>13369.85</v>
      </c>
      <c r="U2417" t="inlineStr">
        <is>
          <t>Low</t>
        </is>
      </c>
      <c r="V2417">
        <f>IF(AND(OR(Dashboard!$C$6="All",E2417=Dashboard!$C$6),OR(Dashboard!$F$6="All",G2417=Dashboard!$F$6),OR(Dashboard!$I$6="All",H2417=Dashboard!$I$6)),1,0)</f>
        <v/>
      </c>
    </row>
    <row r="2418">
      <c r="A2418" t="inlineStr">
        <is>
          <t>PF102409</t>
        </is>
      </c>
      <c r="B2418" s="68" t="n">
        <v>45947</v>
      </c>
      <c r="C2418" s="69" t="n">
        <v>2025</v>
      </c>
      <c r="D2418" t="inlineStr">
        <is>
          <t>Oct</t>
        </is>
      </c>
      <c r="E2418" t="inlineStr">
        <is>
          <t>United States</t>
        </is>
      </c>
      <c r="F2418" t="inlineStr">
        <is>
          <t>USA</t>
        </is>
      </c>
      <c r="G2418" t="inlineStr">
        <is>
          <t>Abrysvo</t>
        </is>
      </c>
      <c r="H2418" t="inlineStr">
        <is>
          <t>Government / tender</t>
        </is>
      </c>
      <c r="I2418" t="inlineStr">
        <is>
          <t>Private insurer</t>
        </is>
      </c>
      <c r="J2418" t="inlineStr">
        <is>
          <t>Olivia Brown</t>
        </is>
      </c>
      <c r="K2418" s="70" t="n">
        <v>995</v>
      </c>
      <c r="L2418" s="71" t="n">
        <v>428.64</v>
      </c>
      <c r="M2418" s="71" t="n">
        <v>426496.8</v>
      </c>
      <c r="N2418" s="71" t="n">
        <v>63974.52</v>
      </c>
      <c r="O2418" s="71" t="n">
        <v>362522.28</v>
      </c>
      <c r="P2418" s="71" t="n">
        <v>82211.23</v>
      </c>
      <c r="Q2418" s="71" t="n">
        <v>280311.05</v>
      </c>
      <c r="R2418" t="inlineStr">
        <is>
          <t>Vaccines</t>
        </is>
      </c>
      <c r="S2418" s="70" t="n">
        <v>654</v>
      </c>
      <c r="T2418" s="71" t="n">
        <v>62092.02</v>
      </c>
      <c r="U2418" t="inlineStr">
        <is>
          <t>Low</t>
        </is>
      </c>
      <c r="V2418">
        <f>IF(AND(OR(Dashboard!$C$6="All",E2418=Dashboard!$C$6),OR(Dashboard!$F$6="All",G2418=Dashboard!$F$6),OR(Dashboard!$I$6="All",H2418=Dashboard!$I$6)),1,0)</f>
        <v/>
      </c>
    </row>
    <row r="2419">
      <c r="A2419" t="inlineStr">
        <is>
          <t>PF102410</t>
        </is>
      </c>
      <c r="B2419" s="68" t="n">
        <v>45948</v>
      </c>
      <c r="C2419" s="69" t="n">
        <v>2025</v>
      </c>
      <c r="D2419" t="inlineStr">
        <is>
          <t>Oct</t>
        </is>
      </c>
      <c r="E2419" t="inlineStr">
        <is>
          <t>Emerging markets</t>
        </is>
      </c>
      <c r="F2419" t="inlineStr">
        <is>
          <t>Brazil</t>
        </is>
      </c>
      <c r="G2419" t="inlineStr">
        <is>
          <t>Abrysvo</t>
        </is>
      </c>
      <c r="H2419" t="inlineStr">
        <is>
          <t>Retail pharmacy</t>
        </is>
      </c>
      <c r="I2419" t="inlineStr">
        <is>
          <t>Self-pay</t>
        </is>
      </c>
      <c r="J2419" t="inlineStr">
        <is>
          <t>Sara Rossi</t>
        </is>
      </c>
      <c r="K2419" s="70" t="n">
        <v>395</v>
      </c>
      <c r="L2419" s="71" t="n">
        <v>290.74</v>
      </c>
      <c r="M2419" s="71" t="n">
        <v>114842.3</v>
      </c>
      <c r="N2419" s="71" t="n">
        <v>22968.46</v>
      </c>
      <c r="O2419" s="71" t="n">
        <v>91873.84</v>
      </c>
      <c r="P2419" s="71" t="n">
        <v>34268.39</v>
      </c>
      <c r="Q2419" s="71" t="n">
        <v>57605.45</v>
      </c>
      <c r="R2419" t="inlineStr">
        <is>
          <t>Vaccines</t>
        </is>
      </c>
      <c r="S2419" s="70" t="n">
        <v>249</v>
      </c>
      <c r="T2419" s="71" t="n">
        <v>15047.16</v>
      </c>
      <c r="U2419" t="inlineStr">
        <is>
          <t>Low</t>
        </is>
      </c>
      <c r="V2419">
        <f>IF(AND(OR(Dashboard!$C$6="All",E2419=Dashboard!$C$6),OR(Dashboard!$F$6="All",G2419=Dashboard!$F$6),OR(Dashboard!$I$6="All",H2419=Dashboard!$I$6)),1,0)</f>
        <v/>
      </c>
    </row>
    <row r="2420">
      <c r="A2420" t="inlineStr">
        <is>
          <t>PF102411</t>
        </is>
      </c>
      <c r="B2420" s="68" t="n">
        <v>45948</v>
      </c>
      <c r="C2420" s="69" t="n">
        <v>2025</v>
      </c>
      <c r="D2420" t="inlineStr">
        <is>
          <t>Oct</t>
        </is>
      </c>
      <c r="E2420" t="inlineStr">
        <is>
          <t>Europe</t>
        </is>
      </c>
      <c r="F2420" t="inlineStr">
        <is>
          <t>Germany</t>
        </is>
      </c>
      <c r="G2420" t="inlineStr">
        <is>
          <t>Ibrance</t>
        </is>
      </c>
      <c r="H2420" t="inlineStr">
        <is>
          <t>Hospital</t>
        </is>
      </c>
      <c r="I2420" t="inlineStr">
        <is>
          <t>Public payer</t>
        </is>
      </c>
      <c r="J2420" t="inlineStr">
        <is>
          <t>Shraddha Kulkarni</t>
        </is>
      </c>
      <c r="K2420" s="70" t="n">
        <v>1111</v>
      </c>
      <c r="L2420" s="71" t="n">
        <v>2925.83</v>
      </c>
      <c r="M2420" s="71" t="n">
        <v>3250597.13</v>
      </c>
      <c r="N2420" s="71" t="n">
        <v>650119.4300000001</v>
      </c>
      <c r="O2420" s="71" t="n">
        <v>2600477.7</v>
      </c>
      <c r="P2420" s="71" t="n">
        <v>502433.64</v>
      </c>
      <c r="Q2420" s="71" t="n">
        <v>2098044.06</v>
      </c>
      <c r="R2420" t="inlineStr">
        <is>
          <t>Oncology</t>
        </is>
      </c>
      <c r="S2420" s="70" t="n">
        <v>695</v>
      </c>
      <c r="T2420" s="71" t="n">
        <v>600575.4300000001</v>
      </c>
      <c r="U2420" t="inlineStr">
        <is>
          <t>High</t>
        </is>
      </c>
      <c r="V2420">
        <f>IF(AND(OR(Dashboard!$C$6="All",E2420=Dashboard!$C$6),OR(Dashboard!$F$6="All",G2420=Dashboard!$F$6),OR(Dashboard!$I$6="All",H2420=Dashboard!$I$6)),1,0)</f>
        <v/>
      </c>
    </row>
    <row r="2421">
      <c r="A2421" t="inlineStr">
        <is>
          <t>PF102412</t>
        </is>
      </c>
      <c r="B2421" s="68" t="n">
        <v>45948</v>
      </c>
      <c r="C2421" s="69" t="n">
        <v>2025</v>
      </c>
      <c r="D2421" t="inlineStr">
        <is>
          <t>Oct</t>
        </is>
      </c>
      <c r="E2421" t="inlineStr">
        <is>
          <t>United States</t>
        </is>
      </c>
      <c r="F2421" t="inlineStr">
        <is>
          <t>USA</t>
        </is>
      </c>
      <c r="G2421" t="inlineStr">
        <is>
          <t>Eliquis</t>
        </is>
      </c>
      <c r="H2421" t="inlineStr">
        <is>
          <t>Hospital</t>
        </is>
      </c>
      <c r="I2421" t="inlineStr">
        <is>
          <t>Private insurer</t>
        </is>
      </c>
      <c r="J2421" t="inlineStr">
        <is>
          <t>Zoya Ahmed</t>
        </is>
      </c>
      <c r="K2421" s="70" t="n">
        <v>80</v>
      </c>
      <c r="L2421" s="71" t="n">
        <v>655.12</v>
      </c>
      <c r="M2421" s="71" t="n">
        <v>52409.6</v>
      </c>
      <c r="N2421" s="71" t="n">
        <v>15722.88</v>
      </c>
      <c r="O2421" s="71" t="n">
        <v>36686.72</v>
      </c>
      <c r="P2421" s="71" t="n">
        <v>5852.19</v>
      </c>
      <c r="Q2421" s="71" t="n">
        <v>30834.53</v>
      </c>
      <c r="R2421" t="inlineStr">
        <is>
          <t>Cardiology</t>
        </is>
      </c>
      <c r="S2421" s="70" t="n">
        <v>75</v>
      </c>
      <c r="T2421" s="71" t="n">
        <v>11162.49</v>
      </c>
      <c r="U2421" t="inlineStr">
        <is>
          <t>High</t>
        </is>
      </c>
      <c r="V2421">
        <f>IF(AND(OR(Dashboard!$C$6="All",E2421=Dashboard!$C$6),OR(Dashboard!$F$6="All",G2421=Dashboard!$F$6),OR(Dashboard!$I$6="All",H2421=Dashboard!$I$6)),1,0)</f>
        <v/>
      </c>
    </row>
    <row r="2422">
      <c r="A2422" t="inlineStr">
        <is>
          <t>PF102413</t>
        </is>
      </c>
      <c r="B2422" s="68" t="n">
        <v>45948</v>
      </c>
      <c r="C2422" s="69" t="n">
        <v>2025</v>
      </c>
      <c r="D2422" t="inlineStr">
        <is>
          <t>Oct</t>
        </is>
      </c>
      <c r="E2422" t="inlineStr">
        <is>
          <t>United States</t>
        </is>
      </c>
      <c r="F2422" t="inlineStr">
        <is>
          <t>USA</t>
        </is>
      </c>
      <c r="G2422" t="inlineStr">
        <is>
          <t>Eliquis</t>
        </is>
      </c>
      <c r="H2422" t="inlineStr">
        <is>
          <t>Hospital</t>
        </is>
      </c>
      <c r="I2422" t="inlineStr">
        <is>
          <t>Private insurer</t>
        </is>
      </c>
      <c r="J2422" t="inlineStr">
        <is>
          <t>Shraddha Kulkarni</t>
        </is>
      </c>
      <c r="K2422" s="70" t="n">
        <v>1001</v>
      </c>
      <c r="L2422" s="71" t="n">
        <v>708.72</v>
      </c>
      <c r="M2422" s="71" t="n">
        <v>709428.72</v>
      </c>
      <c r="N2422" s="71" t="n">
        <v>106414.31</v>
      </c>
      <c r="O2422" s="71" t="n">
        <v>603014.41</v>
      </c>
      <c r="P2422" s="71" t="n">
        <v>73153.22</v>
      </c>
      <c r="Q2422" s="71" t="n">
        <v>529861.1899999999</v>
      </c>
      <c r="R2422" t="inlineStr">
        <is>
          <t>Cardiology</t>
        </is>
      </c>
      <c r="S2422" s="70" t="n">
        <v>999</v>
      </c>
      <c r="T2422" s="71" t="n">
        <v>86466.42</v>
      </c>
      <c r="U2422" t="inlineStr">
        <is>
          <t>High</t>
        </is>
      </c>
      <c r="V2422">
        <f>IF(AND(OR(Dashboard!$C$6="All",E2422=Dashboard!$C$6),OR(Dashboard!$F$6="All",G2422=Dashboard!$F$6),OR(Dashboard!$I$6="All",H2422=Dashboard!$I$6)),1,0)</f>
        <v/>
      </c>
    </row>
    <row r="2423">
      <c r="A2423" t="inlineStr">
        <is>
          <t>PF102414</t>
        </is>
      </c>
      <c r="B2423" s="68" t="n">
        <v>45948</v>
      </c>
      <c r="C2423" s="69" t="n">
        <v>2025</v>
      </c>
      <c r="D2423" t="inlineStr">
        <is>
          <t>Oct</t>
        </is>
      </c>
      <c r="E2423" t="inlineStr">
        <is>
          <t>Emerging markets</t>
        </is>
      </c>
      <c r="F2423" t="inlineStr">
        <is>
          <t>India</t>
        </is>
      </c>
      <c r="G2423" t="inlineStr">
        <is>
          <t>Eliquis</t>
        </is>
      </c>
      <c r="H2423" t="inlineStr">
        <is>
          <t>Retail pharmacy</t>
        </is>
      </c>
      <c r="I2423" t="inlineStr">
        <is>
          <t>Public payer</t>
        </is>
      </c>
      <c r="J2423" t="inlineStr">
        <is>
          <t>Shraddha Kulkarni</t>
        </is>
      </c>
      <c r="K2423" s="70" t="n">
        <v>96</v>
      </c>
      <c r="L2423" s="71" t="n">
        <v>459.84</v>
      </c>
      <c r="M2423" s="71" t="n">
        <v>44144.64</v>
      </c>
      <c r="N2423" s="71" t="n">
        <v>8828.93</v>
      </c>
      <c r="O2423" s="71" t="n">
        <v>35315.71</v>
      </c>
      <c r="P2423" s="71" t="n">
        <v>7425.23</v>
      </c>
      <c r="Q2423" s="71" t="n">
        <v>27890.48</v>
      </c>
      <c r="R2423" t="inlineStr">
        <is>
          <t>Cardiology</t>
        </is>
      </c>
      <c r="S2423" s="70" t="n">
        <v>64</v>
      </c>
      <c r="T2423" s="71" t="n">
        <v>6498.77</v>
      </c>
      <c r="U2423" t="inlineStr">
        <is>
          <t>High</t>
        </is>
      </c>
      <c r="V2423">
        <f>IF(AND(OR(Dashboard!$C$6="All",E2423=Dashboard!$C$6),OR(Dashboard!$F$6="All",G2423=Dashboard!$F$6),OR(Dashboard!$I$6="All",H2423=Dashboard!$I$6)),1,0)</f>
        <v/>
      </c>
    </row>
    <row r="2424">
      <c r="A2424" t="inlineStr">
        <is>
          <t>PF102415</t>
        </is>
      </c>
      <c r="B2424" s="68" t="n">
        <v>45948</v>
      </c>
      <c r="C2424" s="69" t="n">
        <v>2025</v>
      </c>
      <c r="D2424" t="inlineStr">
        <is>
          <t>Oct</t>
        </is>
      </c>
      <c r="E2424" t="inlineStr">
        <is>
          <t>Europe</t>
        </is>
      </c>
      <c r="F2424" t="inlineStr">
        <is>
          <t>Spain</t>
        </is>
      </c>
      <c r="G2424" t="inlineStr">
        <is>
          <t>Comirnaty</t>
        </is>
      </c>
      <c r="H2424" t="inlineStr">
        <is>
          <t>Retail pharmacy</t>
        </is>
      </c>
      <c r="I2424" t="inlineStr">
        <is>
          <t>Private insurer</t>
        </is>
      </c>
      <c r="J2424" t="inlineStr">
        <is>
          <t>Priya Nair</t>
        </is>
      </c>
      <c r="K2424" s="70" t="n">
        <v>1646</v>
      </c>
      <c r="L2424" s="71" t="n">
        <v>110.92</v>
      </c>
      <c r="M2424" s="71" t="n">
        <v>182574.32</v>
      </c>
      <c r="N2424" s="71" t="n">
        <v>18257.43</v>
      </c>
      <c r="O2424" s="71" t="n">
        <v>164316.89</v>
      </c>
      <c r="P2424" s="71" t="n">
        <v>63338.87</v>
      </c>
      <c r="Q2424" s="71" t="n">
        <v>100978.02</v>
      </c>
      <c r="R2424" t="inlineStr">
        <is>
          <t>Vaccines</t>
        </is>
      </c>
      <c r="S2424" s="70" t="n">
        <v>1359</v>
      </c>
      <c r="T2424" s="71" t="n">
        <v>33682.83</v>
      </c>
      <c r="U2424" t="inlineStr">
        <is>
          <t>Low</t>
        </is>
      </c>
      <c r="V2424">
        <f>IF(AND(OR(Dashboard!$C$6="All",E2424=Dashboard!$C$6),OR(Dashboard!$F$6="All",G2424=Dashboard!$F$6),OR(Dashboard!$I$6="All",H2424=Dashboard!$I$6)),1,0)</f>
        <v/>
      </c>
    </row>
    <row r="2425">
      <c r="A2425" t="inlineStr">
        <is>
          <t>PF102416</t>
        </is>
      </c>
      <c r="B2425" s="68" t="n">
        <v>45948</v>
      </c>
      <c r="C2425" s="69" t="n">
        <v>2025</v>
      </c>
      <c r="D2425" t="inlineStr">
        <is>
          <t>Oct</t>
        </is>
      </c>
      <c r="E2425" t="inlineStr">
        <is>
          <t>International developed</t>
        </is>
      </c>
      <c r="F2425" t="inlineStr">
        <is>
          <t>Japan</t>
        </is>
      </c>
      <c r="G2425" t="inlineStr">
        <is>
          <t>Xeljanz</t>
        </is>
      </c>
      <c r="H2425" t="inlineStr">
        <is>
          <t>Government / tender</t>
        </is>
      </c>
      <c r="I2425" t="inlineStr">
        <is>
          <t>Public payer</t>
        </is>
      </c>
      <c r="J2425" t="inlineStr">
        <is>
          <t>Olivia Brown</t>
        </is>
      </c>
      <c r="K2425" s="70" t="n">
        <v>458</v>
      </c>
      <c r="L2425" s="71" t="n">
        <v>1490.04</v>
      </c>
      <c r="M2425" s="71" t="n">
        <v>682438.3199999999</v>
      </c>
      <c r="N2425" s="71" t="n">
        <v>170609.58</v>
      </c>
      <c r="O2425" s="71" t="n">
        <v>511828.74</v>
      </c>
      <c r="P2425" s="71" t="n">
        <v>119016.33</v>
      </c>
      <c r="Q2425" s="71" t="n">
        <v>392812.41</v>
      </c>
      <c r="R2425" t="inlineStr">
        <is>
          <t>Inflammation</t>
        </is>
      </c>
      <c r="S2425" s="70" t="n">
        <v>344</v>
      </c>
      <c r="T2425" s="71" t="n">
        <v>140433.62</v>
      </c>
      <c r="U2425" t="inlineStr">
        <is>
          <t>High</t>
        </is>
      </c>
      <c r="V2425">
        <f>IF(AND(OR(Dashboard!$C$6="All",E2425=Dashboard!$C$6),OR(Dashboard!$F$6="All",G2425=Dashboard!$F$6),OR(Dashboard!$I$6="All",H2425=Dashboard!$I$6)),1,0)</f>
        <v/>
      </c>
    </row>
    <row r="2426">
      <c r="A2426" t="inlineStr">
        <is>
          <t>PF102417</t>
        </is>
      </c>
      <c r="B2426" s="68" t="n">
        <v>45948</v>
      </c>
      <c r="C2426" s="69" t="n">
        <v>2025</v>
      </c>
      <c r="D2426" t="inlineStr">
        <is>
          <t>Oct</t>
        </is>
      </c>
      <c r="E2426" t="inlineStr">
        <is>
          <t>Europe</t>
        </is>
      </c>
      <c r="F2426" t="inlineStr">
        <is>
          <t>UK</t>
        </is>
      </c>
      <c r="G2426" t="inlineStr">
        <is>
          <t>Abrysvo</t>
        </is>
      </c>
      <c r="H2426" t="inlineStr">
        <is>
          <t>Retail pharmacy</t>
        </is>
      </c>
      <c r="I2426" t="inlineStr">
        <is>
          <t>Private insurer</t>
        </is>
      </c>
      <c r="J2426" t="inlineStr">
        <is>
          <t>Kofi Mensah</t>
        </is>
      </c>
      <c r="K2426" s="70" t="n">
        <v>2904</v>
      </c>
      <c r="L2426" s="71" t="n">
        <v>274.24</v>
      </c>
      <c r="M2426" s="71" t="n">
        <v>796392.96</v>
      </c>
      <c r="N2426" s="71" t="n">
        <v>119458.94</v>
      </c>
      <c r="O2426" s="71" t="n">
        <v>676934.02</v>
      </c>
      <c r="P2426" s="71" t="n">
        <v>243129.45</v>
      </c>
      <c r="Q2426" s="71" t="n">
        <v>433804.57</v>
      </c>
      <c r="R2426" t="inlineStr">
        <is>
          <t>Vaccines</t>
        </is>
      </c>
      <c r="S2426" s="70" t="n">
        <v>2538</v>
      </c>
      <c r="T2426" s="71" t="n">
        <v>99108.63</v>
      </c>
      <c r="U2426" t="inlineStr">
        <is>
          <t>Low</t>
        </is>
      </c>
      <c r="V2426">
        <f>IF(AND(OR(Dashboard!$C$6="All",E2426=Dashboard!$C$6),OR(Dashboard!$F$6="All",G2426=Dashboard!$F$6),OR(Dashboard!$I$6="All",H2426=Dashboard!$I$6)),1,0)</f>
        <v/>
      </c>
    </row>
    <row r="2427">
      <c r="A2427" t="inlineStr">
        <is>
          <t>PF102418</t>
        </is>
      </c>
      <c r="B2427" s="68" t="n">
        <v>45948</v>
      </c>
      <c r="C2427" s="69" t="n">
        <v>2025</v>
      </c>
      <c r="D2427" t="inlineStr">
        <is>
          <t>Oct</t>
        </is>
      </c>
      <c r="E2427" t="inlineStr">
        <is>
          <t>Emerging markets</t>
        </is>
      </c>
      <c r="F2427" t="inlineStr">
        <is>
          <t>Brazil</t>
        </is>
      </c>
      <c r="G2427" t="inlineStr">
        <is>
          <t>Prevnar 20</t>
        </is>
      </c>
      <c r="H2427" t="inlineStr">
        <is>
          <t>Government / tender</t>
        </is>
      </c>
      <c r="I2427" t="inlineStr">
        <is>
          <t>Public payer</t>
        </is>
      </c>
      <c r="J2427" t="inlineStr">
        <is>
          <t>Ana Costa</t>
        </is>
      </c>
      <c r="K2427" s="70" t="n">
        <v>2325</v>
      </c>
      <c r="L2427" s="71" t="n">
        <v>212.57</v>
      </c>
      <c r="M2427" s="71" t="n">
        <v>494225.25</v>
      </c>
      <c r="N2427" s="71" t="n">
        <v>123556.31</v>
      </c>
      <c r="O2427" s="71" t="n">
        <v>370668.94</v>
      </c>
      <c r="P2427" s="71" t="n">
        <v>161749.45</v>
      </c>
      <c r="Q2427" s="71" t="n">
        <v>208919.49</v>
      </c>
      <c r="R2427" t="inlineStr">
        <is>
          <t>Vaccines</t>
        </is>
      </c>
      <c r="S2427" s="70" t="n">
        <v>1780</v>
      </c>
      <c r="T2427" s="71" t="n">
        <v>98479.73</v>
      </c>
      <c r="U2427" t="inlineStr">
        <is>
          <t>Low</t>
        </is>
      </c>
      <c r="V2427">
        <f>IF(AND(OR(Dashboard!$C$6="All",E2427=Dashboard!$C$6),OR(Dashboard!$F$6="All",G2427=Dashboard!$F$6),OR(Dashboard!$I$6="All",H2427=Dashboard!$I$6)),1,0)</f>
        <v/>
      </c>
    </row>
    <row r="2428">
      <c r="A2428" t="inlineStr">
        <is>
          <t>PF102419</t>
        </is>
      </c>
      <c r="B2428" s="68" t="n">
        <v>45949</v>
      </c>
      <c r="C2428" s="69" t="n">
        <v>2025</v>
      </c>
      <c r="D2428" t="inlineStr">
        <is>
          <t>Oct</t>
        </is>
      </c>
      <c r="E2428" t="inlineStr">
        <is>
          <t>United States</t>
        </is>
      </c>
      <c r="F2428" t="inlineStr">
        <is>
          <t>USA</t>
        </is>
      </c>
      <c r="G2428" t="inlineStr">
        <is>
          <t>Prevnar 20</t>
        </is>
      </c>
      <c r="H2428" t="inlineStr">
        <is>
          <t>Retail pharmacy</t>
        </is>
      </c>
      <c r="I2428" t="inlineStr">
        <is>
          <t>Private insurer</t>
        </is>
      </c>
      <c r="J2428" t="inlineStr">
        <is>
          <t>Carlos Silva</t>
        </is>
      </c>
      <c r="K2428" s="70" t="n">
        <v>2408</v>
      </c>
      <c r="L2428" s="71" t="n">
        <v>390.08</v>
      </c>
      <c r="M2428" s="71" t="n">
        <v>939312.64</v>
      </c>
      <c r="N2428" s="71" t="n">
        <v>140896.9</v>
      </c>
      <c r="O2428" s="71" t="n">
        <v>798415.74</v>
      </c>
      <c r="P2428" s="71" t="n">
        <v>160058.69</v>
      </c>
      <c r="Q2428" s="71" t="n">
        <v>638357.05</v>
      </c>
      <c r="R2428" t="inlineStr">
        <is>
          <t>Vaccines</t>
        </is>
      </c>
      <c r="S2428" s="70" t="n">
        <v>1750</v>
      </c>
      <c r="T2428" s="71" t="n">
        <v>193065.51</v>
      </c>
      <c r="U2428" t="inlineStr">
        <is>
          <t>Low</t>
        </is>
      </c>
      <c r="V2428">
        <f>IF(AND(OR(Dashboard!$C$6="All",E2428=Dashboard!$C$6),OR(Dashboard!$F$6="All",G2428=Dashboard!$F$6),OR(Dashboard!$I$6="All",H2428=Dashboard!$I$6)),1,0)</f>
        <v/>
      </c>
    </row>
    <row r="2429">
      <c r="A2429" t="inlineStr">
        <is>
          <t>PF102420</t>
        </is>
      </c>
      <c r="B2429" s="68" t="n">
        <v>45949</v>
      </c>
      <c r="C2429" s="69" t="n">
        <v>2025</v>
      </c>
      <c r="D2429" t="inlineStr">
        <is>
          <t>Oct</t>
        </is>
      </c>
      <c r="E2429" t="inlineStr">
        <is>
          <t>Europe</t>
        </is>
      </c>
      <c r="F2429" t="inlineStr">
        <is>
          <t>France</t>
        </is>
      </c>
      <c r="G2429" t="inlineStr">
        <is>
          <t>Paxlovid</t>
        </is>
      </c>
      <c r="H2429" t="inlineStr">
        <is>
          <t>Government / tender</t>
        </is>
      </c>
      <c r="I2429" t="inlineStr">
        <is>
          <t>Public payer</t>
        </is>
      </c>
      <c r="J2429" t="inlineStr">
        <is>
          <t>Arjun Mehta</t>
        </is>
      </c>
      <c r="K2429" s="70" t="n">
        <v>267</v>
      </c>
      <c r="L2429" s="71" t="n">
        <v>1146.02</v>
      </c>
      <c r="M2429" s="71" t="n">
        <v>305987.34</v>
      </c>
      <c r="N2429" s="71" t="n">
        <v>76496.84</v>
      </c>
      <c r="O2429" s="71" t="n">
        <v>229490.5</v>
      </c>
      <c r="P2429" s="71" t="n">
        <v>72124.5</v>
      </c>
      <c r="Q2429" s="71" t="n">
        <v>157366</v>
      </c>
      <c r="R2429" t="inlineStr">
        <is>
          <t>Antiviral</t>
        </is>
      </c>
      <c r="S2429" s="70" t="n">
        <v>178</v>
      </c>
      <c r="T2429" s="71" t="n">
        <v>56687.07</v>
      </c>
      <c r="U2429" t="inlineStr">
        <is>
          <t>Low</t>
        </is>
      </c>
      <c r="V2429">
        <f>IF(AND(OR(Dashboard!$C$6="All",E2429=Dashboard!$C$6),OR(Dashboard!$F$6="All",G2429=Dashboard!$F$6),OR(Dashboard!$I$6="All",H2429=Dashboard!$I$6)),1,0)</f>
        <v/>
      </c>
    </row>
    <row r="2430">
      <c r="A2430" t="inlineStr">
        <is>
          <t>PF102421</t>
        </is>
      </c>
      <c r="B2430" s="68" t="n">
        <v>45949</v>
      </c>
      <c r="C2430" s="69" t="n">
        <v>2025</v>
      </c>
      <c r="D2430" t="inlineStr">
        <is>
          <t>Oct</t>
        </is>
      </c>
      <c r="E2430" t="inlineStr">
        <is>
          <t>United States</t>
        </is>
      </c>
      <c r="F2430" t="inlineStr">
        <is>
          <t>USA</t>
        </is>
      </c>
      <c r="G2430" t="inlineStr">
        <is>
          <t>Eliquis</t>
        </is>
      </c>
      <c r="H2430" t="inlineStr">
        <is>
          <t>Government / tender</t>
        </is>
      </c>
      <c r="I2430" t="inlineStr">
        <is>
          <t>Public payer</t>
        </is>
      </c>
      <c r="J2430" t="inlineStr">
        <is>
          <t>Ana Costa</t>
        </is>
      </c>
      <c r="K2430" s="70" t="n">
        <v>2868</v>
      </c>
      <c r="L2430" s="71" t="n">
        <v>653.0599999999999</v>
      </c>
      <c r="M2430" s="71" t="n">
        <v>1872976.08</v>
      </c>
      <c r="N2430" s="71" t="n">
        <v>468244.02</v>
      </c>
      <c r="O2430" s="71" t="n">
        <v>1404732.06</v>
      </c>
      <c r="P2430" s="71" t="n">
        <v>224628.86</v>
      </c>
      <c r="Q2430" s="71" t="n">
        <v>1180103.2</v>
      </c>
      <c r="R2430" t="inlineStr">
        <is>
          <t>Cardiology</t>
        </is>
      </c>
      <c r="S2430" s="70" t="n">
        <v>2408</v>
      </c>
      <c r="T2430" s="71" t="n">
        <v>367916.56</v>
      </c>
      <c r="U2430" t="inlineStr">
        <is>
          <t>High</t>
        </is>
      </c>
      <c r="V2430">
        <f>IF(AND(OR(Dashboard!$C$6="All",E2430=Dashboard!$C$6),OR(Dashboard!$F$6="All",G2430=Dashboard!$F$6),OR(Dashboard!$I$6="All",H2430=Dashboard!$I$6)),1,0)</f>
        <v/>
      </c>
    </row>
    <row r="2431">
      <c r="A2431" t="inlineStr">
        <is>
          <t>PF102422</t>
        </is>
      </c>
      <c r="B2431" s="68" t="n">
        <v>45949</v>
      </c>
      <c r="C2431" s="69" t="n">
        <v>2025</v>
      </c>
      <c r="D2431" t="inlineStr">
        <is>
          <t>Oct</t>
        </is>
      </c>
      <c r="E2431" t="inlineStr">
        <is>
          <t>United States</t>
        </is>
      </c>
      <c r="F2431" t="inlineStr">
        <is>
          <t>USA</t>
        </is>
      </c>
      <c r="G2431" t="inlineStr">
        <is>
          <t>Comirnaty</t>
        </is>
      </c>
      <c r="H2431" t="inlineStr">
        <is>
          <t>Retail pharmacy</t>
        </is>
      </c>
      <c r="I2431" t="inlineStr">
        <is>
          <t>Public payer</t>
        </is>
      </c>
      <c r="J2431" t="inlineStr">
        <is>
          <t>Arjun Mehta</t>
        </is>
      </c>
      <c r="K2431" s="70" t="n">
        <v>2777</v>
      </c>
      <c r="L2431" s="71" t="n">
        <v>177.49</v>
      </c>
      <c r="M2431" s="71" t="n">
        <v>492889.73</v>
      </c>
      <c r="N2431" s="71" t="n">
        <v>98577.95</v>
      </c>
      <c r="O2431" s="71" t="n">
        <v>394311.78</v>
      </c>
      <c r="P2431" s="71" t="n">
        <v>106132.9</v>
      </c>
      <c r="Q2431" s="71" t="n">
        <v>288178.88</v>
      </c>
      <c r="R2431" t="inlineStr">
        <is>
          <t>Vaccines</t>
        </is>
      </c>
      <c r="S2431" s="70" t="n">
        <v>1897</v>
      </c>
      <c r="T2431" s="71" t="n">
        <v>94736.33</v>
      </c>
      <c r="U2431" t="inlineStr">
        <is>
          <t>Low</t>
        </is>
      </c>
      <c r="V2431">
        <f>IF(AND(OR(Dashboard!$C$6="All",E2431=Dashboard!$C$6),OR(Dashboard!$F$6="All",G2431=Dashboard!$F$6),OR(Dashboard!$I$6="All",H2431=Dashboard!$I$6)),1,0)</f>
        <v/>
      </c>
    </row>
    <row r="2432">
      <c r="A2432" t="inlineStr">
        <is>
          <t>PF102423</t>
        </is>
      </c>
      <c r="B2432" s="68" t="n">
        <v>45949</v>
      </c>
      <c r="C2432" s="69" t="n">
        <v>2025</v>
      </c>
      <c r="D2432" t="inlineStr">
        <is>
          <t>Oct</t>
        </is>
      </c>
      <c r="E2432" t="inlineStr">
        <is>
          <t>United States</t>
        </is>
      </c>
      <c r="F2432" t="inlineStr">
        <is>
          <t>USA</t>
        </is>
      </c>
      <c r="G2432" t="inlineStr">
        <is>
          <t>Comirnaty</t>
        </is>
      </c>
      <c r="H2432" t="inlineStr">
        <is>
          <t>Retail pharmacy</t>
        </is>
      </c>
      <c r="I2432" t="inlineStr">
        <is>
          <t>Public payer</t>
        </is>
      </c>
      <c r="J2432" t="inlineStr">
        <is>
          <t>Wei Chen</t>
        </is>
      </c>
      <c r="K2432" s="70" t="n">
        <v>1115</v>
      </c>
      <c r="L2432" s="71" t="n">
        <v>182.74</v>
      </c>
      <c r="M2432" s="71" t="n">
        <v>203755.1</v>
      </c>
      <c r="N2432" s="71" t="n">
        <v>50938.78</v>
      </c>
      <c r="O2432" s="71" t="n">
        <v>152816.32</v>
      </c>
      <c r="P2432" s="71" t="n">
        <v>42748.5</v>
      </c>
      <c r="Q2432" s="71" t="n">
        <v>110067.82</v>
      </c>
      <c r="R2432" t="inlineStr">
        <is>
          <t>Vaccines</t>
        </is>
      </c>
      <c r="S2432" s="70" t="n">
        <v>724</v>
      </c>
      <c r="T2432" s="71" t="n">
        <v>40216.69</v>
      </c>
      <c r="U2432" t="inlineStr">
        <is>
          <t>Low</t>
        </is>
      </c>
      <c r="V2432">
        <f>IF(AND(OR(Dashboard!$C$6="All",E2432=Dashboard!$C$6),OR(Dashboard!$F$6="All",G2432=Dashboard!$F$6),OR(Dashboard!$I$6="All",H2432=Dashboard!$I$6)),1,0)</f>
        <v/>
      </c>
    </row>
    <row r="2433">
      <c r="A2433" t="inlineStr">
        <is>
          <t>PF102424</t>
        </is>
      </c>
      <c r="B2433" s="68" t="n">
        <v>45949</v>
      </c>
      <c r="C2433" s="69" t="n">
        <v>2025</v>
      </c>
      <c r="D2433" t="inlineStr">
        <is>
          <t>Oct</t>
        </is>
      </c>
      <c r="E2433" t="inlineStr">
        <is>
          <t>International developed</t>
        </is>
      </c>
      <c r="F2433" t="inlineStr">
        <is>
          <t>Australia</t>
        </is>
      </c>
      <c r="G2433" t="inlineStr">
        <is>
          <t>Xeljanz</t>
        </is>
      </c>
      <c r="H2433" t="inlineStr">
        <is>
          <t>Government / tender</t>
        </is>
      </c>
      <c r="I2433" t="inlineStr">
        <is>
          <t>Public payer</t>
        </is>
      </c>
      <c r="J2433" t="inlineStr">
        <is>
          <t>Omar Haddad</t>
        </is>
      </c>
      <c r="K2433" s="70" t="n">
        <v>2770</v>
      </c>
      <c r="L2433" s="71" t="n">
        <v>1350.76</v>
      </c>
      <c r="M2433" s="71" t="n">
        <v>3741605.2</v>
      </c>
      <c r="N2433" s="71" t="n">
        <v>187080.26</v>
      </c>
      <c r="O2433" s="71" t="n">
        <v>3554524.94</v>
      </c>
      <c r="P2433" s="71" t="n">
        <v>709860.6800000001</v>
      </c>
      <c r="Q2433" s="71" t="n">
        <v>2844664.26</v>
      </c>
      <c r="R2433" t="inlineStr">
        <is>
          <t>Inflammation</t>
        </is>
      </c>
      <c r="S2433" s="70" t="n">
        <v>2473</v>
      </c>
      <c r="T2433" s="71" t="n">
        <v>805654.8</v>
      </c>
      <c r="U2433" t="inlineStr">
        <is>
          <t>High</t>
        </is>
      </c>
      <c r="V2433">
        <f>IF(AND(OR(Dashboard!$C$6="All",E2433=Dashboard!$C$6),OR(Dashboard!$F$6="All",G2433=Dashboard!$F$6),OR(Dashboard!$I$6="All",H2433=Dashboard!$I$6)),1,0)</f>
        <v/>
      </c>
    </row>
    <row r="2434">
      <c r="A2434" t="inlineStr">
        <is>
          <t>PF102425</t>
        </is>
      </c>
      <c r="B2434" s="68" t="n">
        <v>45949</v>
      </c>
      <c r="C2434" s="69" t="n">
        <v>2025</v>
      </c>
      <c r="D2434" t="inlineStr">
        <is>
          <t>Oct</t>
        </is>
      </c>
      <c r="E2434" t="inlineStr">
        <is>
          <t>United States</t>
        </is>
      </c>
      <c r="F2434" t="inlineStr">
        <is>
          <t>USA</t>
        </is>
      </c>
      <c r="G2434" t="inlineStr">
        <is>
          <t>Abrysvo</t>
        </is>
      </c>
      <c r="H2434" t="inlineStr">
        <is>
          <t>Retail pharmacy</t>
        </is>
      </c>
      <c r="I2434" t="inlineStr">
        <is>
          <t>Public payer</t>
        </is>
      </c>
      <c r="J2434" t="inlineStr">
        <is>
          <t>Arjun Mehta</t>
        </is>
      </c>
      <c r="K2434" s="70" t="n">
        <v>1680</v>
      </c>
      <c r="L2434" s="71" t="n">
        <v>409.14</v>
      </c>
      <c r="M2434" s="71" t="n">
        <v>687355.2</v>
      </c>
      <c r="N2434" s="71" t="n">
        <v>206206.56</v>
      </c>
      <c r="O2434" s="71" t="n">
        <v>481148.64</v>
      </c>
      <c r="P2434" s="71" t="n">
        <v>138598.95</v>
      </c>
      <c r="Q2434" s="71" t="n">
        <v>342549.69</v>
      </c>
      <c r="R2434" t="inlineStr">
        <is>
          <t>Vaccines</t>
        </is>
      </c>
      <c r="S2434" s="70" t="n">
        <v>1596</v>
      </c>
      <c r="T2434" s="71" t="n">
        <v>142453.5</v>
      </c>
      <c r="U2434" t="inlineStr">
        <is>
          <t>Low</t>
        </is>
      </c>
      <c r="V2434">
        <f>IF(AND(OR(Dashboard!$C$6="All",E2434=Dashboard!$C$6),OR(Dashboard!$F$6="All",G2434=Dashboard!$F$6),OR(Dashboard!$I$6="All",H2434=Dashboard!$I$6)),1,0)</f>
        <v/>
      </c>
    </row>
    <row r="2435">
      <c r="A2435" t="inlineStr">
        <is>
          <t>PF102426</t>
        </is>
      </c>
      <c r="B2435" s="68" t="n">
        <v>45949</v>
      </c>
      <c r="C2435" s="69" t="n">
        <v>2025</v>
      </c>
      <c r="D2435" t="inlineStr">
        <is>
          <t>Oct</t>
        </is>
      </c>
      <c r="E2435" t="inlineStr">
        <is>
          <t>International developed</t>
        </is>
      </c>
      <c r="F2435" t="inlineStr">
        <is>
          <t>Japan</t>
        </is>
      </c>
      <c r="G2435" t="inlineStr">
        <is>
          <t>Vyndaqel</t>
        </is>
      </c>
      <c r="H2435" t="inlineStr">
        <is>
          <t>Hospital</t>
        </is>
      </c>
      <c r="I2435" t="inlineStr">
        <is>
          <t>Private insurer</t>
        </is>
      </c>
      <c r="J2435" t="inlineStr">
        <is>
          <t>Shraddha Kulkarni</t>
        </is>
      </c>
      <c r="K2435" s="70" t="n">
        <v>120</v>
      </c>
      <c r="L2435" s="71" t="n">
        <v>5311.36</v>
      </c>
      <c r="M2435" s="71" t="n">
        <v>637363.2</v>
      </c>
      <c r="N2435" s="71" t="n">
        <v>159340.8</v>
      </c>
      <c r="O2435" s="71" t="n">
        <v>478022.4</v>
      </c>
      <c r="P2435" s="71" t="n">
        <v>74479.41</v>
      </c>
      <c r="Q2435" s="71" t="n">
        <v>403542.99</v>
      </c>
      <c r="R2435" t="inlineStr">
        <is>
          <t>Rare disease</t>
        </is>
      </c>
      <c r="S2435" s="70" t="n">
        <v>105</v>
      </c>
      <c r="T2435" s="71" t="n">
        <v>98481.03999999999</v>
      </c>
      <c r="U2435" t="inlineStr">
        <is>
          <t>Medium</t>
        </is>
      </c>
      <c r="V2435">
        <f>IF(AND(OR(Dashboard!$C$6="All",E2435=Dashboard!$C$6),OR(Dashboard!$F$6="All",G2435=Dashboard!$F$6),OR(Dashboard!$I$6="All",H2435=Dashboard!$I$6)),1,0)</f>
        <v/>
      </c>
    </row>
    <row r="2436">
      <c r="A2436" t="inlineStr">
        <is>
          <t>PF102427</t>
        </is>
      </c>
      <c r="B2436" s="68" t="n">
        <v>45949</v>
      </c>
      <c r="C2436" s="69" t="n">
        <v>2025</v>
      </c>
      <c r="D2436" t="inlineStr">
        <is>
          <t>Oct</t>
        </is>
      </c>
      <c r="E2436" t="inlineStr">
        <is>
          <t>Europe</t>
        </is>
      </c>
      <c r="F2436" t="inlineStr">
        <is>
          <t>Italy</t>
        </is>
      </c>
      <c r="G2436" t="inlineStr">
        <is>
          <t>Comirnaty</t>
        </is>
      </c>
      <c r="H2436" t="inlineStr">
        <is>
          <t>Hospital</t>
        </is>
      </c>
      <c r="I2436" t="inlineStr">
        <is>
          <t>Private insurer</t>
        </is>
      </c>
      <c r="J2436" t="inlineStr">
        <is>
          <t>Omar Haddad</t>
        </is>
      </c>
      <c r="K2436" s="70" t="n">
        <v>307</v>
      </c>
      <c r="L2436" s="71" t="n">
        <v>110.35</v>
      </c>
      <c r="M2436" s="71" t="n">
        <v>33877.45</v>
      </c>
      <c r="N2436" s="71" t="n">
        <v>6775.49</v>
      </c>
      <c r="O2436" s="71" t="n">
        <v>27101.96</v>
      </c>
      <c r="P2436" s="71" t="n">
        <v>11794.08</v>
      </c>
      <c r="Q2436" s="71" t="n">
        <v>15307.88</v>
      </c>
      <c r="R2436" t="inlineStr">
        <is>
          <t>Vaccines</t>
        </is>
      </c>
      <c r="S2436" s="70" t="n">
        <v>302</v>
      </c>
      <c r="T2436" s="71" t="n">
        <v>4136.46</v>
      </c>
      <c r="U2436" t="inlineStr">
        <is>
          <t>Low</t>
        </is>
      </c>
      <c r="V2436">
        <f>IF(AND(OR(Dashboard!$C$6="All",E2436=Dashboard!$C$6),OR(Dashboard!$F$6="All",G2436=Dashboard!$F$6),OR(Dashboard!$I$6="All",H2436=Dashboard!$I$6)),1,0)</f>
        <v/>
      </c>
    </row>
    <row r="2437">
      <c r="A2437" t="inlineStr">
        <is>
          <t>PF102428</t>
        </is>
      </c>
      <c r="B2437" s="68" t="n">
        <v>45949</v>
      </c>
      <c r="C2437" s="69" t="n">
        <v>2025</v>
      </c>
      <c r="D2437" t="inlineStr">
        <is>
          <t>Oct</t>
        </is>
      </c>
      <c r="E2437" t="inlineStr">
        <is>
          <t>International developed</t>
        </is>
      </c>
      <c r="F2437" t="inlineStr">
        <is>
          <t>Japan</t>
        </is>
      </c>
      <c r="G2437" t="inlineStr">
        <is>
          <t>Xeljanz</t>
        </is>
      </c>
      <c r="H2437" t="inlineStr">
        <is>
          <t>Hospital</t>
        </is>
      </c>
      <c r="I2437" t="inlineStr">
        <is>
          <t>Public payer</t>
        </is>
      </c>
      <c r="J2437" t="inlineStr">
        <is>
          <t>Shraddha Kulkarni</t>
        </is>
      </c>
      <c r="K2437" s="70" t="n">
        <v>842</v>
      </c>
      <c r="L2437" s="71" t="n">
        <v>1324.92</v>
      </c>
      <c r="M2437" s="71" t="n">
        <v>1115582.64</v>
      </c>
      <c r="N2437" s="71" t="n">
        <v>111558.26</v>
      </c>
      <c r="O2437" s="71" t="n">
        <v>1004024.38</v>
      </c>
      <c r="P2437" s="71" t="n">
        <v>207363.19</v>
      </c>
      <c r="Q2437" s="71" t="n">
        <v>796661.1899999999</v>
      </c>
      <c r="R2437" t="inlineStr">
        <is>
          <t>Inflammation</t>
        </is>
      </c>
      <c r="S2437" s="70" t="n">
        <v>669</v>
      </c>
      <c r="T2437" s="71" t="n">
        <v>213020.17</v>
      </c>
      <c r="U2437" t="inlineStr">
        <is>
          <t>High</t>
        </is>
      </c>
      <c r="V2437">
        <f>IF(AND(OR(Dashboard!$C$6="All",E2437=Dashboard!$C$6),OR(Dashboard!$F$6="All",G2437=Dashboard!$F$6),OR(Dashboard!$I$6="All",H2437=Dashboard!$I$6)),1,0)</f>
        <v/>
      </c>
    </row>
    <row r="2438">
      <c r="A2438" t="inlineStr">
        <is>
          <t>PF102429</t>
        </is>
      </c>
      <c r="B2438" s="68" t="n">
        <v>45949</v>
      </c>
      <c r="C2438" s="69" t="n">
        <v>2025</v>
      </c>
      <c r="D2438" t="inlineStr">
        <is>
          <t>Oct</t>
        </is>
      </c>
      <c r="E2438" t="inlineStr">
        <is>
          <t>Europe</t>
        </is>
      </c>
      <c r="F2438" t="inlineStr">
        <is>
          <t>UK</t>
        </is>
      </c>
      <c r="G2438" t="inlineStr">
        <is>
          <t>Eliquis</t>
        </is>
      </c>
      <c r="H2438" t="inlineStr">
        <is>
          <t>Retail pharmacy</t>
        </is>
      </c>
      <c r="I2438" t="inlineStr">
        <is>
          <t>Public payer</t>
        </is>
      </c>
      <c r="J2438" t="inlineStr">
        <is>
          <t>Yuki Sato</t>
        </is>
      </c>
      <c r="K2438" s="70" t="n">
        <v>1264</v>
      </c>
      <c r="L2438" s="71" t="n">
        <v>424.38</v>
      </c>
      <c r="M2438" s="71" t="n">
        <v>536416.3199999999</v>
      </c>
      <c r="N2438" s="71" t="n">
        <v>26820.82</v>
      </c>
      <c r="O2438" s="71" t="n">
        <v>509595.5</v>
      </c>
      <c r="P2438" s="71" t="n">
        <v>98732.73</v>
      </c>
      <c r="Q2438" s="71" t="n">
        <v>410862.77</v>
      </c>
      <c r="R2438" t="inlineStr">
        <is>
          <t>Cardiology</t>
        </is>
      </c>
      <c r="S2438" s="70" t="n">
        <v>1207</v>
      </c>
      <c r="T2438" s="71" t="n">
        <v>86703.69</v>
      </c>
      <c r="U2438" t="inlineStr">
        <is>
          <t>High</t>
        </is>
      </c>
      <c r="V2438">
        <f>IF(AND(OR(Dashboard!$C$6="All",E2438=Dashboard!$C$6),OR(Dashboard!$F$6="All",G2438=Dashboard!$F$6),OR(Dashboard!$I$6="All",H2438=Dashboard!$I$6)),1,0)</f>
        <v/>
      </c>
    </row>
    <row r="2439">
      <c r="A2439" t="inlineStr">
        <is>
          <t>PF102430</t>
        </is>
      </c>
      <c r="B2439" s="68" t="n">
        <v>45949</v>
      </c>
      <c r="C2439" s="69" t="n">
        <v>2025</v>
      </c>
      <c r="D2439" t="inlineStr">
        <is>
          <t>Oct</t>
        </is>
      </c>
      <c r="E2439" t="inlineStr">
        <is>
          <t>United States</t>
        </is>
      </c>
      <c r="F2439" t="inlineStr">
        <is>
          <t>USA</t>
        </is>
      </c>
      <c r="G2439" t="inlineStr">
        <is>
          <t>Abrysvo</t>
        </is>
      </c>
      <c r="H2439" t="inlineStr">
        <is>
          <t>Retail pharmacy</t>
        </is>
      </c>
      <c r="I2439" t="inlineStr">
        <is>
          <t>Public payer</t>
        </is>
      </c>
      <c r="J2439" t="inlineStr">
        <is>
          <t>Mei Lin</t>
        </is>
      </c>
      <c r="K2439" s="70" t="n">
        <v>2228</v>
      </c>
      <c r="L2439" s="71" t="n">
        <v>428.27</v>
      </c>
      <c r="M2439" s="71" t="n">
        <v>954185.5600000001</v>
      </c>
      <c r="N2439" s="71" t="n">
        <v>286255.67</v>
      </c>
      <c r="O2439" s="71" t="n">
        <v>667929.89</v>
      </c>
      <c r="P2439" s="71" t="n">
        <v>188175.81</v>
      </c>
      <c r="Q2439" s="71" t="n">
        <v>479754.08</v>
      </c>
      <c r="R2439" t="inlineStr">
        <is>
          <t>Vaccines</t>
        </is>
      </c>
      <c r="S2439" s="70" t="n">
        <v>1767</v>
      </c>
      <c r="T2439" s="71" t="n">
        <v>118347.5</v>
      </c>
      <c r="U2439" t="inlineStr">
        <is>
          <t>Low</t>
        </is>
      </c>
      <c r="V2439">
        <f>IF(AND(OR(Dashboard!$C$6="All",E2439=Dashboard!$C$6),OR(Dashboard!$F$6="All",G2439=Dashboard!$F$6),OR(Dashboard!$I$6="All",H2439=Dashboard!$I$6)),1,0)</f>
        <v/>
      </c>
    </row>
    <row r="2440">
      <c r="A2440" t="inlineStr">
        <is>
          <t>PF102431</t>
        </is>
      </c>
      <c r="B2440" s="68" t="n">
        <v>45949</v>
      </c>
      <c r="C2440" s="69" t="n">
        <v>2025</v>
      </c>
      <c r="D2440" t="inlineStr">
        <is>
          <t>Oct</t>
        </is>
      </c>
      <c r="E2440" t="inlineStr">
        <is>
          <t>International developed</t>
        </is>
      </c>
      <c r="F2440" t="inlineStr">
        <is>
          <t>Canada</t>
        </is>
      </c>
      <c r="G2440" t="inlineStr">
        <is>
          <t>Comirnaty</t>
        </is>
      </c>
      <c r="H2440" t="inlineStr">
        <is>
          <t>Government / tender</t>
        </is>
      </c>
      <c r="I2440" t="inlineStr">
        <is>
          <t>Private insurer</t>
        </is>
      </c>
      <c r="J2440" t="inlineStr">
        <is>
          <t>Noah Smith</t>
        </is>
      </c>
      <c r="K2440" s="70" t="n">
        <v>2479</v>
      </c>
      <c r="L2440" s="71" t="n">
        <v>120.61</v>
      </c>
      <c r="M2440" s="71" t="n">
        <v>298992.19</v>
      </c>
      <c r="N2440" s="71" t="n">
        <v>74748.05</v>
      </c>
      <c r="O2440" s="71" t="n">
        <v>224244.14</v>
      </c>
      <c r="P2440" s="71" t="n">
        <v>97839.73</v>
      </c>
      <c r="Q2440" s="71" t="n">
        <v>126404.41</v>
      </c>
      <c r="R2440" t="inlineStr">
        <is>
          <t>Vaccines</t>
        </is>
      </c>
      <c r="S2440" s="70" t="n">
        <v>1886</v>
      </c>
      <c r="T2440" s="71" t="n">
        <v>51628.53</v>
      </c>
      <c r="U2440" t="inlineStr">
        <is>
          <t>Low</t>
        </is>
      </c>
      <c r="V2440">
        <f>IF(AND(OR(Dashboard!$C$6="All",E2440=Dashboard!$C$6),OR(Dashboard!$F$6="All",G2440=Dashboard!$F$6),OR(Dashboard!$I$6="All",H2440=Dashboard!$I$6)),1,0)</f>
        <v/>
      </c>
    </row>
    <row r="2441">
      <c r="A2441" t="inlineStr">
        <is>
          <t>PF102432</t>
        </is>
      </c>
      <c r="B2441" s="68" t="n">
        <v>45950</v>
      </c>
      <c r="C2441" s="69" t="n">
        <v>2025</v>
      </c>
      <c r="D2441" t="inlineStr">
        <is>
          <t>Oct</t>
        </is>
      </c>
      <c r="E2441" t="inlineStr">
        <is>
          <t>Emerging markets</t>
        </is>
      </c>
      <c r="F2441" t="inlineStr">
        <is>
          <t>Brazil</t>
        </is>
      </c>
      <c r="G2441" t="inlineStr">
        <is>
          <t>Prevnar 20</t>
        </is>
      </c>
      <c r="H2441" t="inlineStr">
        <is>
          <t>Government / tender</t>
        </is>
      </c>
      <c r="I2441" t="inlineStr">
        <is>
          <t>Private insurer</t>
        </is>
      </c>
      <c r="J2441" t="inlineStr">
        <is>
          <t>Lucas Martin</t>
        </is>
      </c>
      <c r="K2441" s="70" t="n">
        <v>920</v>
      </c>
      <c r="L2441" s="71" t="n">
        <v>246.65</v>
      </c>
      <c r="M2441" s="71" t="n">
        <v>226918</v>
      </c>
      <c r="N2441" s="71" t="n">
        <v>22691.8</v>
      </c>
      <c r="O2441" s="71" t="n">
        <v>204226.2</v>
      </c>
      <c r="P2441" s="71" t="n">
        <v>62213.59</v>
      </c>
      <c r="Q2441" s="71" t="n">
        <v>142012.61</v>
      </c>
      <c r="R2441" t="inlineStr">
        <is>
          <t>Vaccines</t>
        </is>
      </c>
      <c r="S2441" s="70" t="n">
        <v>813</v>
      </c>
      <c r="T2441" s="71" t="n">
        <v>29673.64</v>
      </c>
      <c r="U2441" t="inlineStr">
        <is>
          <t>Low</t>
        </is>
      </c>
      <c r="V2441">
        <f>IF(AND(OR(Dashboard!$C$6="All",E2441=Dashboard!$C$6),OR(Dashboard!$F$6="All",G2441=Dashboard!$F$6),OR(Dashboard!$I$6="All",H2441=Dashboard!$I$6)),1,0)</f>
        <v/>
      </c>
    </row>
    <row r="2442">
      <c r="A2442" t="inlineStr">
        <is>
          <t>PF102433</t>
        </is>
      </c>
      <c r="B2442" s="68" t="n">
        <v>45950</v>
      </c>
      <c r="C2442" s="69" t="n">
        <v>2025</v>
      </c>
      <c r="D2442" t="inlineStr">
        <is>
          <t>Oct</t>
        </is>
      </c>
      <c r="E2442" t="inlineStr">
        <is>
          <t>United States</t>
        </is>
      </c>
      <c r="F2442" t="inlineStr">
        <is>
          <t>USA</t>
        </is>
      </c>
      <c r="G2442" t="inlineStr">
        <is>
          <t>Prevnar 20</t>
        </is>
      </c>
      <c r="H2442" t="inlineStr">
        <is>
          <t>Retail pharmacy</t>
        </is>
      </c>
      <c r="I2442" t="inlineStr">
        <is>
          <t>Self-pay</t>
        </is>
      </c>
      <c r="J2442" t="inlineStr">
        <is>
          <t>Ruhi Shaikh</t>
        </is>
      </c>
      <c r="K2442" s="70" t="n">
        <v>2124</v>
      </c>
      <c r="L2442" s="71" t="n">
        <v>392.21</v>
      </c>
      <c r="M2442" s="71" t="n">
        <v>833054.04</v>
      </c>
      <c r="N2442" s="71" t="n">
        <v>124958.11</v>
      </c>
      <c r="O2442" s="71" t="n">
        <v>708095.9300000001</v>
      </c>
      <c r="P2442" s="71" t="n">
        <v>144692.81</v>
      </c>
      <c r="Q2442" s="71" t="n">
        <v>563403.12</v>
      </c>
      <c r="R2442" t="inlineStr">
        <is>
          <t>Vaccines</t>
        </is>
      </c>
      <c r="S2442" s="70" t="n">
        <v>2042</v>
      </c>
      <c r="T2442" s="71" t="n">
        <v>163231.04</v>
      </c>
      <c r="U2442" t="inlineStr">
        <is>
          <t>Low</t>
        </is>
      </c>
      <c r="V2442">
        <f>IF(AND(OR(Dashboard!$C$6="All",E2442=Dashboard!$C$6),OR(Dashboard!$F$6="All",G2442=Dashboard!$F$6),OR(Dashboard!$I$6="All",H2442=Dashboard!$I$6)),1,0)</f>
        <v/>
      </c>
    </row>
    <row r="2443">
      <c r="A2443" t="inlineStr">
        <is>
          <t>PF102434</t>
        </is>
      </c>
      <c r="B2443" s="68" t="n">
        <v>45950</v>
      </c>
      <c r="C2443" s="69" t="n">
        <v>2025</v>
      </c>
      <c r="D2443" t="inlineStr">
        <is>
          <t>Oct</t>
        </is>
      </c>
      <c r="E2443" t="inlineStr">
        <is>
          <t>United States</t>
        </is>
      </c>
      <c r="F2443" t="inlineStr">
        <is>
          <t>USA</t>
        </is>
      </c>
      <c r="G2443" t="inlineStr">
        <is>
          <t>Eliquis</t>
        </is>
      </c>
      <c r="H2443" t="inlineStr">
        <is>
          <t>Government / tender</t>
        </is>
      </c>
      <c r="I2443" t="inlineStr">
        <is>
          <t>Public payer</t>
        </is>
      </c>
      <c r="J2443" t="inlineStr">
        <is>
          <t>Carlos Silva</t>
        </is>
      </c>
      <c r="K2443" s="70" t="n">
        <v>2148</v>
      </c>
      <c r="L2443" s="71" t="n">
        <v>613.04</v>
      </c>
      <c r="M2443" s="71" t="n">
        <v>1316809.92</v>
      </c>
      <c r="N2443" s="71" t="n">
        <v>460883.47</v>
      </c>
      <c r="O2443" s="71" t="n">
        <v>855926.45</v>
      </c>
      <c r="P2443" s="71" t="n">
        <v>166806.11</v>
      </c>
      <c r="Q2443" s="71" t="n">
        <v>689120.34</v>
      </c>
      <c r="R2443" t="inlineStr">
        <is>
          <t>Cardiology</t>
        </is>
      </c>
      <c r="S2443" s="70" t="n">
        <v>2026</v>
      </c>
      <c r="T2443" s="71" t="n">
        <v>185838.41</v>
      </c>
      <c r="U2443" t="inlineStr">
        <is>
          <t>High</t>
        </is>
      </c>
      <c r="V2443">
        <f>IF(AND(OR(Dashboard!$C$6="All",E2443=Dashboard!$C$6),OR(Dashboard!$F$6="All",G2443=Dashboard!$F$6),OR(Dashboard!$I$6="All",H2443=Dashboard!$I$6)),1,0)</f>
        <v/>
      </c>
    </row>
    <row r="2444">
      <c r="A2444" t="inlineStr">
        <is>
          <t>PF102435</t>
        </is>
      </c>
      <c r="B2444" s="68" t="n">
        <v>45950</v>
      </c>
      <c r="C2444" s="69" t="n">
        <v>2025</v>
      </c>
      <c r="D2444" t="inlineStr">
        <is>
          <t>Oct</t>
        </is>
      </c>
      <c r="E2444" t="inlineStr">
        <is>
          <t>Europe</t>
        </is>
      </c>
      <c r="F2444" t="inlineStr">
        <is>
          <t>France</t>
        </is>
      </c>
      <c r="G2444" t="inlineStr">
        <is>
          <t>Ibrance</t>
        </is>
      </c>
      <c r="H2444" t="inlineStr">
        <is>
          <t>Retail pharmacy</t>
        </is>
      </c>
      <c r="I2444" t="inlineStr">
        <is>
          <t>Self-pay</t>
        </is>
      </c>
      <c r="J2444" t="inlineStr">
        <is>
          <t>Ana Costa</t>
        </is>
      </c>
      <c r="K2444" s="70" t="n">
        <v>1221</v>
      </c>
      <c r="L2444" s="71" t="n">
        <v>2845.96</v>
      </c>
      <c r="M2444" s="71" t="n">
        <v>3474917.16</v>
      </c>
      <c r="N2444" s="71" t="n">
        <v>521237.57</v>
      </c>
      <c r="O2444" s="71" t="n">
        <v>2953679.59</v>
      </c>
      <c r="P2444" s="71" t="n">
        <v>518105.81</v>
      </c>
      <c r="Q2444" s="71" t="n">
        <v>2435573.78</v>
      </c>
      <c r="R2444" t="inlineStr">
        <is>
          <t>Oncology</t>
        </is>
      </c>
      <c r="S2444" s="70" t="n">
        <v>953</v>
      </c>
      <c r="T2444" s="71" t="n">
        <v>590494.1800000001</v>
      </c>
      <c r="U2444" t="inlineStr">
        <is>
          <t>High</t>
        </is>
      </c>
      <c r="V2444">
        <f>IF(AND(OR(Dashboard!$C$6="All",E2444=Dashboard!$C$6),OR(Dashboard!$F$6="All",G2444=Dashboard!$F$6),OR(Dashboard!$I$6="All",H2444=Dashboard!$I$6)),1,0)</f>
        <v/>
      </c>
    </row>
    <row r="2445">
      <c r="A2445" t="inlineStr">
        <is>
          <t>PF102436</t>
        </is>
      </c>
      <c r="B2445" s="68" t="n">
        <v>45950</v>
      </c>
      <c r="C2445" s="69" t="n">
        <v>2025</v>
      </c>
      <c r="D2445" t="inlineStr">
        <is>
          <t>Oct</t>
        </is>
      </c>
      <c r="E2445" t="inlineStr">
        <is>
          <t>United States</t>
        </is>
      </c>
      <c r="F2445" t="inlineStr">
        <is>
          <t>USA</t>
        </is>
      </c>
      <c r="G2445" t="inlineStr">
        <is>
          <t>Prevnar 20</t>
        </is>
      </c>
      <c r="H2445" t="inlineStr">
        <is>
          <t>Retail pharmacy</t>
        </is>
      </c>
      <c r="I2445" t="inlineStr">
        <is>
          <t>Public payer</t>
        </is>
      </c>
      <c r="J2445" t="inlineStr">
        <is>
          <t>Amir Khan</t>
        </is>
      </c>
      <c r="K2445" s="70" t="n">
        <v>2208</v>
      </c>
      <c r="L2445" s="71" t="n">
        <v>358.35</v>
      </c>
      <c r="M2445" s="71" t="n">
        <v>791236.8</v>
      </c>
      <c r="N2445" s="71" t="n">
        <v>158247.36</v>
      </c>
      <c r="O2445" s="71" t="n">
        <v>632989.4399999999</v>
      </c>
      <c r="P2445" s="71" t="n">
        <v>153989.89</v>
      </c>
      <c r="Q2445" s="71" t="n">
        <v>478999.55</v>
      </c>
      <c r="R2445" t="inlineStr">
        <is>
          <t>Vaccines</t>
        </is>
      </c>
      <c r="S2445" s="70" t="n">
        <v>1649</v>
      </c>
      <c r="T2445" s="71" t="n">
        <v>169124.55</v>
      </c>
      <c r="U2445" t="inlineStr">
        <is>
          <t>Low</t>
        </is>
      </c>
      <c r="V2445">
        <f>IF(AND(OR(Dashboard!$C$6="All",E2445=Dashboard!$C$6),OR(Dashboard!$F$6="All",G2445=Dashboard!$F$6),OR(Dashboard!$I$6="All",H2445=Dashboard!$I$6)),1,0)</f>
        <v/>
      </c>
    </row>
    <row r="2446">
      <c r="A2446" t="inlineStr">
        <is>
          <t>PF102437</t>
        </is>
      </c>
      <c r="B2446" s="68" t="n">
        <v>45950</v>
      </c>
      <c r="C2446" s="69" t="n">
        <v>2025</v>
      </c>
      <c r="D2446" t="inlineStr">
        <is>
          <t>Oct</t>
        </is>
      </c>
      <c r="E2446" t="inlineStr">
        <is>
          <t>United States</t>
        </is>
      </c>
      <c r="F2446" t="inlineStr">
        <is>
          <t>USA</t>
        </is>
      </c>
      <c r="G2446" t="inlineStr">
        <is>
          <t>Ibrance</t>
        </is>
      </c>
      <c r="H2446" t="inlineStr">
        <is>
          <t>Retail pharmacy</t>
        </is>
      </c>
      <c r="I2446" t="inlineStr">
        <is>
          <t>Public payer</t>
        </is>
      </c>
      <c r="J2446" t="inlineStr">
        <is>
          <t>Kofi Mensah</t>
        </is>
      </c>
      <c r="K2446" s="70" t="n">
        <v>295</v>
      </c>
      <c r="L2446" s="71" t="n">
        <v>4426.62</v>
      </c>
      <c r="M2446" s="71" t="n">
        <v>1305852.9</v>
      </c>
      <c r="N2446" s="71" t="n">
        <v>326463.22</v>
      </c>
      <c r="O2446" s="71" t="n">
        <v>979389.6800000001</v>
      </c>
      <c r="P2446" s="71" t="n">
        <v>132754.23</v>
      </c>
      <c r="Q2446" s="71" t="n">
        <v>846635.45</v>
      </c>
      <c r="R2446" t="inlineStr">
        <is>
          <t>Oncology</t>
        </is>
      </c>
      <c r="S2446" s="70" t="n">
        <v>267</v>
      </c>
      <c r="T2446" s="71" t="n">
        <v>205180.52</v>
      </c>
      <c r="U2446" t="inlineStr">
        <is>
          <t>High</t>
        </is>
      </c>
      <c r="V2446">
        <f>IF(AND(OR(Dashboard!$C$6="All",E2446=Dashboard!$C$6),OR(Dashboard!$F$6="All",G2446=Dashboard!$F$6),OR(Dashboard!$I$6="All",H2446=Dashboard!$I$6)),1,0)</f>
        <v/>
      </c>
    </row>
    <row r="2447">
      <c r="A2447" t="inlineStr">
        <is>
          <t>PF102438</t>
        </is>
      </c>
      <c r="B2447" s="68" t="n">
        <v>45950</v>
      </c>
      <c r="C2447" s="69" t="n">
        <v>2025</v>
      </c>
      <c r="D2447" t="inlineStr">
        <is>
          <t>Oct</t>
        </is>
      </c>
      <c r="E2447" t="inlineStr">
        <is>
          <t>United States</t>
        </is>
      </c>
      <c r="F2447" t="inlineStr">
        <is>
          <t>USA</t>
        </is>
      </c>
      <c r="G2447" t="inlineStr">
        <is>
          <t>Prevnar 20</t>
        </is>
      </c>
      <c r="H2447" t="inlineStr">
        <is>
          <t>Hospital</t>
        </is>
      </c>
      <c r="I2447" t="inlineStr">
        <is>
          <t>Private insurer</t>
        </is>
      </c>
      <c r="J2447" t="inlineStr">
        <is>
          <t>Yuki Sato</t>
        </is>
      </c>
      <c r="K2447" s="70" t="n">
        <v>2708</v>
      </c>
      <c r="L2447" s="71" t="n">
        <v>370.77</v>
      </c>
      <c r="M2447" s="71" t="n">
        <v>1004045.16</v>
      </c>
      <c r="N2447" s="71" t="n">
        <v>251011.29</v>
      </c>
      <c r="O2447" s="71" t="n">
        <v>753033.87</v>
      </c>
      <c r="P2447" s="71" t="n">
        <v>181763.47</v>
      </c>
      <c r="Q2447" s="71" t="n">
        <v>571270.4</v>
      </c>
      <c r="R2447" t="inlineStr">
        <is>
          <t>Vaccines</t>
        </is>
      </c>
      <c r="S2447" s="70" t="n">
        <v>2198</v>
      </c>
      <c r="T2447" s="71" t="n">
        <v>217598.88</v>
      </c>
      <c r="U2447" t="inlineStr">
        <is>
          <t>Low</t>
        </is>
      </c>
      <c r="V2447">
        <f>IF(AND(OR(Dashboard!$C$6="All",E2447=Dashboard!$C$6),OR(Dashboard!$F$6="All",G2447=Dashboard!$F$6),OR(Dashboard!$I$6="All",H2447=Dashboard!$I$6)),1,0)</f>
        <v/>
      </c>
    </row>
    <row r="2448">
      <c r="A2448" t="inlineStr">
        <is>
          <t>PF102439</t>
        </is>
      </c>
      <c r="B2448" s="68" t="n">
        <v>45950</v>
      </c>
      <c r="C2448" s="69" t="n">
        <v>2025</v>
      </c>
      <c r="D2448" t="inlineStr">
        <is>
          <t>Oct</t>
        </is>
      </c>
      <c r="E2448" t="inlineStr">
        <is>
          <t>Europe</t>
        </is>
      </c>
      <c r="F2448" t="inlineStr">
        <is>
          <t>Germany</t>
        </is>
      </c>
      <c r="G2448" t="inlineStr">
        <is>
          <t>Vyndaqel</t>
        </is>
      </c>
      <c r="H2448" t="inlineStr">
        <is>
          <t>Government / tender</t>
        </is>
      </c>
      <c r="I2448" t="inlineStr">
        <is>
          <t>Private insurer</t>
        </is>
      </c>
      <c r="J2448" t="inlineStr">
        <is>
          <t>Shraddha Kulkarni</t>
        </is>
      </c>
      <c r="K2448" s="70" t="n">
        <v>2207</v>
      </c>
      <c r="L2448" s="71" t="n">
        <v>4955.12</v>
      </c>
      <c r="M2448" s="71" t="n">
        <v>10935949.84</v>
      </c>
      <c r="N2448" s="71" t="n">
        <v>2733987.46</v>
      </c>
      <c r="O2448" s="71" t="n">
        <v>8201962.38</v>
      </c>
      <c r="P2448" s="71" t="n">
        <v>1334679.76</v>
      </c>
      <c r="Q2448" s="71" t="n">
        <v>6867282.62</v>
      </c>
      <c r="R2448" t="inlineStr">
        <is>
          <t>Rare disease</t>
        </is>
      </c>
      <c r="S2448" s="70" t="n">
        <v>1502</v>
      </c>
      <c r="T2448" s="71" t="n">
        <v>1451900.33</v>
      </c>
      <c r="U2448" t="inlineStr">
        <is>
          <t>Medium</t>
        </is>
      </c>
      <c r="V2448">
        <f>IF(AND(OR(Dashboard!$C$6="All",E2448=Dashboard!$C$6),OR(Dashboard!$F$6="All",G2448=Dashboard!$F$6),OR(Dashboard!$I$6="All",H2448=Dashboard!$I$6)),1,0)</f>
        <v/>
      </c>
    </row>
    <row r="2449">
      <c r="A2449" t="inlineStr">
        <is>
          <t>PF102440</t>
        </is>
      </c>
      <c r="B2449" s="68" t="n">
        <v>45951</v>
      </c>
      <c r="C2449" s="69" t="n">
        <v>2025</v>
      </c>
      <c r="D2449" t="inlineStr">
        <is>
          <t>Oct</t>
        </is>
      </c>
      <c r="E2449" t="inlineStr">
        <is>
          <t>United States</t>
        </is>
      </c>
      <c r="F2449" t="inlineStr">
        <is>
          <t>USA</t>
        </is>
      </c>
      <c r="G2449" t="inlineStr">
        <is>
          <t>Abrysvo</t>
        </is>
      </c>
      <c r="H2449" t="inlineStr">
        <is>
          <t>Retail pharmacy</t>
        </is>
      </c>
      <c r="I2449" t="inlineStr">
        <is>
          <t>Private insurer</t>
        </is>
      </c>
      <c r="J2449" t="inlineStr">
        <is>
          <t>Ana Costa</t>
        </is>
      </c>
      <c r="K2449" s="70" t="n">
        <v>370</v>
      </c>
      <c r="L2449" s="71" t="n">
        <v>480.02</v>
      </c>
      <c r="M2449" s="71" t="n">
        <v>177607.4</v>
      </c>
      <c r="N2449" s="71" t="n">
        <v>26641.11</v>
      </c>
      <c r="O2449" s="71" t="n">
        <v>150966.29</v>
      </c>
      <c r="P2449" s="71" t="n">
        <v>30923.77</v>
      </c>
      <c r="Q2449" s="71" t="n">
        <v>120042.52</v>
      </c>
      <c r="R2449" t="inlineStr">
        <is>
          <t>Vaccines</t>
        </is>
      </c>
      <c r="S2449" s="70" t="n">
        <v>293</v>
      </c>
      <c r="T2449" s="71" t="n">
        <v>25611.2</v>
      </c>
      <c r="U2449" t="inlineStr">
        <is>
          <t>Low</t>
        </is>
      </c>
      <c r="V2449">
        <f>IF(AND(OR(Dashboard!$C$6="All",E2449=Dashboard!$C$6),OR(Dashboard!$F$6="All",G2449=Dashboard!$F$6),OR(Dashboard!$I$6="All",H2449=Dashboard!$I$6)),1,0)</f>
        <v/>
      </c>
    </row>
    <row r="2450">
      <c r="A2450" t="inlineStr">
        <is>
          <t>PF102441</t>
        </is>
      </c>
      <c r="B2450" s="68" t="n">
        <v>45951</v>
      </c>
      <c r="C2450" s="69" t="n">
        <v>2025</v>
      </c>
      <c r="D2450" t="inlineStr">
        <is>
          <t>Oct</t>
        </is>
      </c>
      <c r="E2450" t="inlineStr">
        <is>
          <t>International developed</t>
        </is>
      </c>
      <c r="F2450" t="inlineStr">
        <is>
          <t>Japan</t>
        </is>
      </c>
      <c r="G2450" t="inlineStr">
        <is>
          <t>Paxlovid</t>
        </is>
      </c>
      <c r="H2450" t="inlineStr">
        <is>
          <t>Retail pharmacy</t>
        </is>
      </c>
      <c r="I2450" t="inlineStr">
        <is>
          <t>Private insurer</t>
        </is>
      </c>
      <c r="J2450" t="inlineStr">
        <is>
          <t>Shraddha Kulkarni</t>
        </is>
      </c>
      <c r="K2450" s="70" t="n">
        <v>1134</v>
      </c>
      <c r="L2450" s="71" t="n">
        <v>1036.54</v>
      </c>
      <c r="M2450" s="71" t="n">
        <v>1175436.36</v>
      </c>
      <c r="N2450" s="71" t="n">
        <v>293859.09</v>
      </c>
      <c r="O2450" s="71" t="n">
        <v>881577.27</v>
      </c>
      <c r="P2450" s="71" t="n">
        <v>307403.55</v>
      </c>
      <c r="Q2450" s="71" t="n">
        <v>574173.72</v>
      </c>
      <c r="R2450" t="inlineStr">
        <is>
          <t>Antiviral</t>
        </is>
      </c>
      <c r="S2450" s="70" t="n">
        <v>867</v>
      </c>
      <c r="T2450" s="71" t="n">
        <v>226504.04</v>
      </c>
      <c r="U2450" t="inlineStr">
        <is>
          <t>Low</t>
        </is>
      </c>
      <c r="V2450">
        <f>IF(AND(OR(Dashboard!$C$6="All",E2450=Dashboard!$C$6),OR(Dashboard!$F$6="All",G2450=Dashboard!$F$6),OR(Dashboard!$I$6="All",H2450=Dashboard!$I$6)),1,0)</f>
        <v/>
      </c>
    </row>
    <row r="2451">
      <c r="A2451" t="inlineStr">
        <is>
          <t>PF102442</t>
        </is>
      </c>
      <c r="B2451" s="68" t="n">
        <v>45951</v>
      </c>
      <c r="C2451" s="69" t="n">
        <v>2025</v>
      </c>
      <c r="D2451" t="inlineStr">
        <is>
          <t>Oct</t>
        </is>
      </c>
      <c r="E2451" t="inlineStr">
        <is>
          <t>Europe</t>
        </is>
      </c>
      <c r="F2451" t="inlineStr">
        <is>
          <t>UK</t>
        </is>
      </c>
      <c r="G2451" t="inlineStr">
        <is>
          <t>Vyndaqel</t>
        </is>
      </c>
      <c r="H2451" t="inlineStr">
        <is>
          <t>Hospital</t>
        </is>
      </c>
      <c r="I2451" t="inlineStr">
        <is>
          <t>Private insurer</t>
        </is>
      </c>
      <c r="J2451" t="inlineStr">
        <is>
          <t>Mei Lin</t>
        </is>
      </c>
      <c r="K2451" s="70" t="n">
        <v>2688</v>
      </c>
      <c r="L2451" s="71" t="n">
        <v>5378.95</v>
      </c>
      <c r="M2451" s="71" t="n">
        <v>14458617.6</v>
      </c>
      <c r="N2451" s="71" t="n">
        <v>1445861.76</v>
      </c>
      <c r="O2451" s="71" t="n">
        <v>13012755.84</v>
      </c>
      <c r="P2451" s="71" t="n">
        <v>1682511.39</v>
      </c>
      <c r="Q2451" s="71" t="n">
        <v>11330244.45</v>
      </c>
      <c r="R2451" t="inlineStr">
        <is>
          <t>Rare disease</t>
        </is>
      </c>
      <c r="S2451" s="70" t="n">
        <v>2264</v>
      </c>
      <c r="T2451" s="71" t="n">
        <v>2104402.09</v>
      </c>
      <c r="U2451" t="inlineStr">
        <is>
          <t>Medium</t>
        </is>
      </c>
      <c r="V2451">
        <f>IF(AND(OR(Dashboard!$C$6="All",E2451=Dashboard!$C$6),OR(Dashboard!$F$6="All",G2451=Dashboard!$F$6),OR(Dashboard!$I$6="All",H2451=Dashboard!$I$6)),1,0)</f>
        <v/>
      </c>
    </row>
    <row r="2452">
      <c r="A2452" t="inlineStr">
        <is>
          <t>PF102443</t>
        </is>
      </c>
      <c r="B2452" s="68" t="n">
        <v>45951</v>
      </c>
      <c r="C2452" s="69" t="n">
        <v>2025</v>
      </c>
      <c r="D2452" t="inlineStr">
        <is>
          <t>Oct</t>
        </is>
      </c>
      <c r="E2452" t="inlineStr">
        <is>
          <t>Europe</t>
        </is>
      </c>
      <c r="F2452" t="inlineStr">
        <is>
          <t>Italy</t>
        </is>
      </c>
      <c r="G2452" t="inlineStr">
        <is>
          <t>Xeljanz</t>
        </is>
      </c>
      <c r="H2452" t="inlineStr">
        <is>
          <t>Government / tender</t>
        </is>
      </c>
      <c r="I2452" t="inlineStr">
        <is>
          <t>Self-pay</t>
        </is>
      </c>
      <c r="J2452" t="inlineStr">
        <is>
          <t>Hiroshi Tanaka</t>
        </is>
      </c>
      <c r="K2452" s="70" t="n">
        <v>2285</v>
      </c>
      <c r="L2452" s="71" t="n">
        <v>1416.07</v>
      </c>
      <c r="M2452" s="71" t="n">
        <v>3235719.95</v>
      </c>
      <c r="N2452" s="71" t="n">
        <v>161786</v>
      </c>
      <c r="O2452" s="71" t="n">
        <v>3073933.95</v>
      </c>
      <c r="P2452" s="71" t="n">
        <v>577973.92</v>
      </c>
      <c r="Q2452" s="71" t="n">
        <v>2495960.03</v>
      </c>
      <c r="R2452" t="inlineStr">
        <is>
          <t>Inflammation</t>
        </is>
      </c>
      <c r="S2452" s="70" t="n">
        <v>1619</v>
      </c>
      <c r="T2452" s="71" t="n">
        <v>669048.3</v>
      </c>
      <c r="U2452" t="inlineStr">
        <is>
          <t>High</t>
        </is>
      </c>
      <c r="V2452">
        <f>IF(AND(OR(Dashboard!$C$6="All",E2452=Dashboard!$C$6),OR(Dashboard!$F$6="All",G2452=Dashboard!$F$6),OR(Dashboard!$I$6="All",H2452=Dashboard!$I$6)),1,0)</f>
        <v/>
      </c>
    </row>
    <row r="2453">
      <c r="A2453" t="inlineStr">
        <is>
          <t>PF102444</t>
        </is>
      </c>
      <c r="B2453" s="68" t="n">
        <v>45951</v>
      </c>
      <c r="C2453" s="69" t="n">
        <v>2025</v>
      </c>
      <c r="D2453" t="inlineStr">
        <is>
          <t>Oct</t>
        </is>
      </c>
      <c r="E2453" t="inlineStr">
        <is>
          <t>United States</t>
        </is>
      </c>
      <c r="F2453" t="inlineStr">
        <is>
          <t>USA</t>
        </is>
      </c>
      <c r="G2453" t="inlineStr">
        <is>
          <t>Xeljanz</t>
        </is>
      </c>
      <c r="H2453" t="inlineStr">
        <is>
          <t>Government / tender</t>
        </is>
      </c>
      <c r="I2453" t="inlineStr">
        <is>
          <t>Public payer</t>
        </is>
      </c>
      <c r="J2453" t="inlineStr">
        <is>
          <t>Ana Costa</t>
        </is>
      </c>
      <c r="K2453" s="70" t="n">
        <v>91</v>
      </c>
      <c r="L2453" s="71" t="n">
        <v>2142.82</v>
      </c>
      <c r="M2453" s="71" t="n">
        <v>194996.62</v>
      </c>
      <c r="N2453" s="71" t="n">
        <v>48749.15</v>
      </c>
      <c r="O2453" s="71" t="n">
        <v>146247.47</v>
      </c>
      <c r="P2453" s="71" t="n">
        <v>23713.84</v>
      </c>
      <c r="Q2453" s="71" t="n">
        <v>122533.63</v>
      </c>
      <c r="R2453" t="inlineStr">
        <is>
          <t>Inflammation</t>
        </is>
      </c>
      <c r="S2453" s="70" t="n">
        <v>83</v>
      </c>
      <c r="T2453" s="71" t="n">
        <v>25667.16</v>
      </c>
      <c r="U2453" t="inlineStr">
        <is>
          <t>High</t>
        </is>
      </c>
      <c r="V2453">
        <f>IF(AND(OR(Dashboard!$C$6="All",E2453=Dashboard!$C$6),OR(Dashboard!$F$6="All",G2453=Dashboard!$F$6),OR(Dashboard!$I$6="All",H2453=Dashboard!$I$6)),1,0)</f>
        <v/>
      </c>
    </row>
    <row r="2454">
      <c r="A2454" t="inlineStr">
        <is>
          <t>PF102445</t>
        </is>
      </c>
      <c r="B2454" s="68" t="n">
        <v>45951</v>
      </c>
      <c r="C2454" s="69" t="n">
        <v>2025</v>
      </c>
      <c r="D2454" t="inlineStr">
        <is>
          <t>Oct</t>
        </is>
      </c>
      <c r="E2454" t="inlineStr">
        <is>
          <t>Emerging markets</t>
        </is>
      </c>
      <c r="F2454" t="inlineStr">
        <is>
          <t>Mexico</t>
        </is>
      </c>
      <c r="G2454" t="inlineStr">
        <is>
          <t>Vyndaqel</t>
        </is>
      </c>
      <c r="H2454" t="inlineStr">
        <is>
          <t>Retail pharmacy</t>
        </is>
      </c>
      <c r="I2454" t="inlineStr">
        <is>
          <t>Private insurer</t>
        </is>
      </c>
      <c r="J2454" t="inlineStr">
        <is>
          <t>Shraddha Kulkarni</t>
        </is>
      </c>
      <c r="K2454" s="70" t="n">
        <v>2588</v>
      </c>
      <c r="L2454" s="71" t="n">
        <v>5587.62</v>
      </c>
      <c r="M2454" s="71" t="n">
        <v>14460760.56</v>
      </c>
      <c r="N2454" s="71" t="n">
        <v>723038.03</v>
      </c>
      <c r="O2454" s="71" t="n">
        <v>13737722.53</v>
      </c>
      <c r="P2454" s="71" t="n">
        <v>1566074.02</v>
      </c>
      <c r="Q2454" s="71" t="n">
        <v>12171648.51</v>
      </c>
      <c r="R2454" t="inlineStr">
        <is>
          <t>Rare disease</t>
        </is>
      </c>
      <c r="S2454" s="70" t="n">
        <v>1626</v>
      </c>
      <c r="T2454" s="71" t="n">
        <v>3077683.4</v>
      </c>
      <c r="U2454" t="inlineStr">
        <is>
          <t>Medium</t>
        </is>
      </c>
      <c r="V2454">
        <f>IF(AND(OR(Dashboard!$C$6="All",E2454=Dashboard!$C$6),OR(Dashboard!$F$6="All",G2454=Dashboard!$F$6),OR(Dashboard!$I$6="All",H2454=Dashboard!$I$6)),1,0)</f>
        <v/>
      </c>
    </row>
    <row r="2455">
      <c r="A2455" t="inlineStr">
        <is>
          <t>PF102446</t>
        </is>
      </c>
      <c r="B2455" s="68" t="n">
        <v>45951</v>
      </c>
      <c r="C2455" s="69" t="n">
        <v>2025</v>
      </c>
      <c r="D2455" t="inlineStr">
        <is>
          <t>Oct</t>
        </is>
      </c>
      <c r="E2455" t="inlineStr">
        <is>
          <t>United States</t>
        </is>
      </c>
      <c r="F2455" t="inlineStr">
        <is>
          <t>USA</t>
        </is>
      </c>
      <c r="G2455" t="inlineStr">
        <is>
          <t>Ibrance</t>
        </is>
      </c>
      <c r="H2455" t="inlineStr">
        <is>
          <t>Hospital</t>
        </is>
      </c>
      <c r="I2455" t="inlineStr">
        <is>
          <t>Private insurer</t>
        </is>
      </c>
      <c r="J2455" t="inlineStr">
        <is>
          <t>Omar Haddad</t>
        </is>
      </c>
      <c r="K2455" s="70" t="n">
        <v>1016</v>
      </c>
      <c r="L2455" s="71" t="n">
        <v>5066.05</v>
      </c>
      <c r="M2455" s="71" t="n">
        <v>5147106.8</v>
      </c>
      <c r="N2455" s="71" t="n">
        <v>1801487.38</v>
      </c>
      <c r="O2455" s="71" t="n">
        <v>3345619.42</v>
      </c>
      <c r="P2455" s="71" t="n">
        <v>446717.31</v>
      </c>
      <c r="Q2455" s="71" t="n">
        <v>2898902.11</v>
      </c>
      <c r="R2455" t="inlineStr">
        <is>
          <t>Oncology</t>
        </is>
      </c>
      <c r="S2455" s="70" t="n">
        <v>932</v>
      </c>
      <c r="T2455" s="71" t="n">
        <v>1099673.7</v>
      </c>
      <c r="U2455" t="inlineStr">
        <is>
          <t>High</t>
        </is>
      </c>
      <c r="V2455">
        <f>IF(AND(OR(Dashboard!$C$6="All",E2455=Dashboard!$C$6),OR(Dashboard!$F$6="All",G2455=Dashboard!$F$6),OR(Dashboard!$I$6="All",H2455=Dashboard!$I$6)),1,0)</f>
        <v/>
      </c>
    </row>
    <row r="2456">
      <c r="A2456" t="inlineStr">
        <is>
          <t>PF102447</t>
        </is>
      </c>
      <c r="B2456" s="68" t="n">
        <v>45952</v>
      </c>
      <c r="C2456" s="69" t="n">
        <v>2025</v>
      </c>
      <c r="D2456" t="inlineStr">
        <is>
          <t>Oct</t>
        </is>
      </c>
      <c r="E2456" t="inlineStr">
        <is>
          <t>United States</t>
        </is>
      </c>
      <c r="F2456" t="inlineStr">
        <is>
          <t>USA</t>
        </is>
      </c>
      <c r="G2456" t="inlineStr">
        <is>
          <t>Prevnar 20</t>
        </is>
      </c>
      <c r="H2456" t="inlineStr">
        <is>
          <t>Retail pharmacy</t>
        </is>
      </c>
      <c r="I2456" t="inlineStr">
        <is>
          <t>Private insurer</t>
        </is>
      </c>
      <c r="J2456" t="inlineStr">
        <is>
          <t>Liam O'Brien</t>
        </is>
      </c>
      <c r="K2456" s="70" t="n">
        <v>2826</v>
      </c>
      <c r="L2456" s="71" t="n">
        <v>388.66</v>
      </c>
      <c r="M2456" s="71" t="n">
        <v>1098353.16</v>
      </c>
      <c r="N2456" s="71" t="n">
        <v>164752.97</v>
      </c>
      <c r="O2456" s="71" t="n">
        <v>933600.1899999999</v>
      </c>
      <c r="P2456" s="71" t="n">
        <v>190854.92</v>
      </c>
      <c r="Q2456" s="71" t="n">
        <v>742745.27</v>
      </c>
      <c r="R2456" t="inlineStr">
        <is>
          <t>Vaccines</t>
        </is>
      </c>
      <c r="S2456" s="70" t="n">
        <v>2102</v>
      </c>
      <c r="T2456" s="71" t="n">
        <v>175023.35</v>
      </c>
      <c r="U2456" t="inlineStr">
        <is>
          <t>Low</t>
        </is>
      </c>
      <c r="V2456">
        <f>IF(AND(OR(Dashboard!$C$6="All",E2456=Dashboard!$C$6),OR(Dashboard!$F$6="All",G2456=Dashboard!$F$6),OR(Dashboard!$I$6="All",H2456=Dashboard!$I$6)),1,0)</f>
        <v/>
      </c>
    </row>
    <row r="2457">
      <c r="A2457" t="inlineStr">
        <is>
          <t>PF102448</t>
        </is>
      </c>
      <c r="B2457" s="68" t="n">
        <v>45952</v>
      </c>
      <c r="C2457" s="69" t="n">
        <v>2025</v>
      </c>
      <c r="D2457" t="inlineStr">
        <is>
          <t>Oct</t>
        </is>
      </c>
      <c r="E2457" t="inlineStr">
        <is>
          <t>International developed</t>
        </is>
      </c>
      <c r="F2457" t="inlineStr">
        <is>
          <t>Japan</t>
        </is>
      </c>
      <c r="G2457" t="inlineStr">
        <is>
          <t>Abrysvo</t>
        </is>
      </c>
      <c r="H2457" t="inlineStr">
        <is>
          <t>Hospital</t>
        </is>
      </c>
      <c r="I2457" t="inlineStr">
        <is>
          <t>Public payer</t>
        </is>
      </c>
      <c r="J2457" t="inlineStr">
        <is>
          <t>Ruhi Shaikh</t>
        </is>
      </c>
      <c r="K2457" s="70" t="n">
        <v>113</v>
      </c>
      <c r="L2457" s="71" t="n">
        <v>307.71</v>
      </c>
      <c r="M2457" s="71" t="n">
        <v>34771.23</v>
      </c>
      <c r="N2457" s="71" t="n">
        <v>3477.12</v>
      </c>
      <c r="O2457" s="71" t="n">
        <v>31294.11</v>
      </c>
      <c r="P2457" s="71" t="n">
        <v>9282.01</v>
      </c>
      <c r="Q2457" s="71" t="n">
        <v>22012.1</v>
      </c>
      <c r="R2457" t="inlineStr">
        <is>
          <t>Vaccines</t>
        </is>
      </c>
      <c r="S2457" s="70" t="n">
        <v>112</v>
      </c>
      <c r="T2457" s="71" t="n">
        <v>4223.95</v>
      </c>
      <c r="U2457" t="inlineStr">
        <is>
          <t>Low</t>
        </is>
      </c>
      <c r="V2457">
        <f>IF(AND(OR(Dashboard!$C$6="All",E2457=Dashboard!$C$6),OR(Dashboard!$F$6="All",G2457=Dashboard!$F$6),OR(Dashboard!$I$6="All",H2457=Dashboard!$I$6)),1,0)</f>
        <v/>
      </c>
    </row>
    <row r="2458">
      <c r="A2458" t="inlineStr">
        <is>
          <t>PF102449</t>
        </is>
      </c>
      <c r="B2458" s="68" t="n">
        <v>45952</v>
      </c>
      <c r="C2458" s="69" t="n">
        <v>2025</v>
      </c>
      <c r="D2458" t="inlineStr">
        <is>
          <t>Oct</t>
        </is>
      </c>
      <c r="E2458" t="inlineStr">
        <is>
          <t>Europe</t>
        </is>
      </c>
      <c r="F2458" t="inlineStr">
        <is>
          <t>Spain</t>
        </is>
      </c>
      <c r="G2458" t="inlineStr">
        <is>
          <t>Prevnar 20</t>
        </is>
      </c>
      <c r="H2458" t="inlineStr">
        <is>
          <t>Hospital</t>
        </is>
      </c>
      <c r="I2458" t="inlineStr">
        <is>
          <t>Public payer</t>
        </is>
      </c>
      <c r="J2458" t="inlineStr">
        <is>
          <t>Emma Clarke</t>
        </is>
      </c>
      <c r="K2458" s="70" t="n">
        <v>938</v>
      </c>
      <c r="L2458" s="71" t="n">
        <v>218.93</v>
      </c>
      <c r="M2458" s="71" t="n">
        <v>205356.34</v>
      </c>
      <c r="N2458" s="71" t="n">
        <v>41071.27</v>
      </c>
      <c r="O2458" s="71" t="n">
        <v>164285.07</v>
      </c>
      <c r="P2458" s="71" t="n">
        <v>63072.11</v>
      </c>
      <c r="Q2458" s="71" t="n">
        <v>101212.96</v>
      </c>
      <c r="R2458" t="inlineStr">
        <is>
          <t>Vaccines</t>
        </is>
      </c>
      <c r="S2458" s="70" t="n">
        <v>857</v>
      </c>
      <c r="T2458" s="71" t="n">
        <v>28569.44</v>
      </c>
      <c r="U2458" t="inlineStr">
        <is>
          <t>Low</t>
        </is>
      </c>
      <c r="V2458">
        <f>IF(AND(OR(Dashboard!$C$6="All",E2458=Dashboard!$C$6),OR(Dashboard!$F$6="All",G2458=Dashboard!$F$6),OR(Dashboard!$I$6="All",H2458=Dashboard!$I$6)),1,0)</f>
        <v/>
      </c>
    </row>
    <row r="2459">
      <c r="A2459" t="inlineStr">
        <is>
          <t>PF102450</t>
        </is>
      </c>
      <c r="B2459" s="68" t="n">
        <v>45952</v>
      </c>
      <c r="C2459" s="69" t="n">
        <v>2025</v>
      </c>
      <c r="D2459" t="inlineStr">
        <is>
          <t>Oct</t>
        </is>
      </c>
      <c r="E2459" t="inlineStr">
        <is>
          <t>United States</t>
        </is>
      </c>
      <c r="F2459" t="inlineStr">
        <is>
          <t>USA</t>
        </is>
      </c>
      <c r="G2459" t="inlineStr">
        <is>
          <t>Ibrance</t>
        </is>
      </c>
      <c r="H2459" t="inlineStr">
        <is>
          <t>Retail pharmacy</t>
        </is>
      </c>
      <c r="I2459" t="inlineStr">
        <is>
          <t>Self-pay</t>
        </is>
      </c>
      <c r="J2459" t="inlineStr">
        <is>
          <t>Mei Lin</t>
        </is>
      </c>
      <c r="K2459" s="70" t="n">
        <v>1648</v>
      </c>
      <c r="L2459" s="71" t="n">
        <v>4810.26</v>
      </c>
      <c r="M2459" s="71" t="n">
        <v>7927308.48</v>
      </c>
      <c r="N2459" s="71" t="n">
        <v>1981827.12</v>
      </c>
      <c r="O2459" s="71" t="n">
        <v>5945481.36</v>
      </c>
      <c r="P2459" s="71" t="n">
        <v>728673.42</v>
      </c>
      <c r="Q2459" s="71" t="n">
        <v>5216807.94</v>
      </c>
      <c r="R2459" t="inlineStr">
        <is>
          <t>Oncology</t>
        </is>
      </c>
      <c r="S2459" s="70" t="n">
        <v>1036</v>
      </c>
      <c r="T2459" s="71" t="n">
        <v>1113743.48</v>
      </c>
      <c r="U2459" t="inlineStr">
        <is>
          <t>High</t>
        </is>
      </c>
      <c r="V2459">
        <f>IF(AND(OR(Dashboard!$C$6="All",E2459=Dashboard!$C$6),OR(Dashboard!$F$6="All",G2459=Dashboard!$F$6),OR(Dashboard!$I$6="All",H2459=Dashboard!$I$6)),1,0)</f>
        <v/>
      </c>
    </row>
    <row r="2460">
      <c r="A2460" t="inlineStr">
        <is>
          <t>PF102451</t>
        </is>
      </c>
      <c r="B2460" s="68" t="n">
        <v>45952</v>
      </c>
      <c r="C2460" s="69" t="n">
        <v>2025</v>
      </c>
      <c r="D2460" t="inlineStr">
        <is>
          <t>Oct</t>
        </is>
      </c>
      <c r="E2460" t="inlineStr">
        <is>
          <t>International developed</t>
        </is>
      </c>
      <c r="F2460" t="inlineStr">
        <is>
          <t>Canada</t>
        </is>
      </c>
      <c r="G2460" t="inlineStr">
        <is>
          <t>Comirnaty</t>
        </is>
      </c>
      <c r="H2460" t="inlineStr">
        <is>
          <t>Retail pharmacy</t>
        </is>
      </c>
      <c r="I2460" t="inlineStr">
        <is>
          <t>Private insurer</t>
        </is>
      </c>
      <c r="J2460" t="inlineStr">
        <is>
          <t>Ravindra Patil</t>
        </is>
      </c>
      <c r="K2460" s="70" t="n">
        <v>2156</v>
      </c>
      <c r="L2460" s="71" t="n">
        <v>117.1</v>
      </c>
      <c r="M2460" s="71" t="n">
        <v>252467.6</v>
      </c>
      <c r="N2460" s="71" t="n">
        <v>25246.76</v>
      </c>
      <c r="O2460" s="71" t="n">
        <v>227220.84</v>
      </c>
      <c r="P2460" s="71" t="n">
        <v>83265.94</v>
      </c>
      <c r="Q2460" s="71" t="n">
        <v>143954.9</v>
      </c>
      <c r="R2460" t="inlineStr">
        <is>
          <t>Vaccines</t>
        </is>
      </c>
      <c r="S2460" s="70" t="n">
        <v>1412</v>
      </c>
      <c r="T2460" s="71" t="n">
        <v>35199.33</v>
      </c>
      <c r="U2460" t="inlineStr">
        <is>
          <t>Low</t>
        </is>
      </c>
      <c r="V2460">
        <f>IF(AND(OR(Dashboard!$C$6="All",E2460=Dashboard!$C$6),OR(Dashboard!$F$6="All",G2460=Dashboard!$F$6),OR(Dashboard!$I$6="All",H2460=Dashboard!$I$6)),1,0)</f>
        <v/>
      </c>
    </row>
    <row r="2461">
      <c r="A2461" t="inlineStr">
        <is>
          <t>PF102452</t>
        </is>
      </c>
      <c r="B2461" s="68" t="n">
        <v>45952</v>
      </c>
      <c r="C2461" s="69" t="n">
        <v>2025</v>
      </c>
      <c r="D2461" t="inlineStr">
        <is>
          <t>Oct</t>
        </is>
      </c>
      <c r="E2461" t="inlineStr">
        <is>
          <t>United States</t>
        </is>
      </c>
      <c r="F2461" t="inlineStr">
        <is>
          <t>USA</t>
        </is>
      </c>
      <c r="G2461" t="inlineStr">
        <is>
          <t>Prevnar 20</t>
        </is>
      </c>
      <c r="H2461" t="inlineStr">
        <is>
          <t>Retail pharmacy</t>
        </is>
      </c>
      <c r="I2461" t="inlineStr">
        <is>
          <t>Public payer</t>
        </is>
      </c>
      <c r="J2461" t="inlineStr">
        <is>
          <t>Mei Lin</t>
        </is>
      </c>
      <c r="K2461" s="70" t="n">
        <v>2123</v>
      </c>
      <c r="L2461" s="71" t="n">
        <v>362.06</v>
      </c>
      <c r="M2461" s="71" t="n">
        <v>768653.38</v>
      </c>
      <c r="N2461" s="71" t="n">
        <v>115298.01</v>
      </c>
      <c r="O2461" s="71" t="n">
        <v>653355.37</v>
      </c>
      <c r="P2461" s="71" t="n">
        <v>143747.26</v>
      </c>
      <c r="Q2461" s="71" t="n">
        <v>509608.11</v>
      </c>
      <c r="R2461" t="inlineStr">
        <is>
          <t>Vaccines</t>
        </is>
      </c>
      <c r="S2461" s="70" t="n">
        <v>1748</v>
      </c>
      <c r="T2461" s="71" t="n">
        <v>95452.73</v>
      </c>
      <c r="U2461" t="inlineStr">
        <is>
          <t>Low</t>
        </is>
      </c>
      <c r="V2461">
        <f>IF(AND(OR(Dashboard!$C$6="All",E2461=Dashboard!$C$6),OR(Dashboard!$F$6="All",G2461=Dashboard!$F$6),OR(Dashboard!$I$6="All",H2461=Dashboard!$I$6)),1,0)</f>
        <v/>
      </c>
    </row>
    <row r="2462">
      <c r="A2462" t="inlineStr">
        <is>
          <t>PF102453</t>
        </is>
      </c>
      <c r="B2462" s="68" t="n">
        <v>45952</v>
      </c>
      <c r="C2462" s="69" t="n">
        <v>2025</v>
      </c>
      <c r="D2462" t="inlineStr">
        <is>
          <t>Oct</t>
        </is>
      </c>
      <c r="E2462" t="inlineStr">
        <is>
          <t>Emerging markets</t>
        </is>
      </c>
      <c r="F2462" t="inlineStr">
        <is>
          <t>Mexico</t>
        </is>
      </c>
      <c r="G2462" t="inlineStr">
        <is>
          <t>Paxlovid</t>
        </is>
      </c>
      <c r="H2462" t="inlineStr">
        <is>
          <t>Retail pharmacy</t>
        </is>
      </c>
      <c r="I2462" t="inlineStr">
        <is>
          <t>Private insurer</t>
        </is>
      </c>
      <c r="J2462" t="inlineStr">
        <is>
          <t>Sara Rossi</t>
        </is>
      </c>
      <c r="K2462" s="70" t="n">
        <v>1544</v>
      </c>
      <c r="L2462" s="71" t="n">
        <v>1016.38</v>
      </c>
      <c r="M2462" s="71" t="n">
        <v>1569290.72</v>
      </c>
      <c r="N2462" s="71" t="n">
        <v>78464.53999999999</v>
      </c>
      <c r="O2462" s="71" t="n">
        <v>1490826.18</v>
      </c>
      <c r="P2462" s="71" t="n">
        <v>409519.42</v>
      </c>
      <c r="Q2462" s="71" t="n">
        <v>1081306.76</v>
      </c>
      <c r="R2462" t="inlineStr">
        <is>
          <t>Antiviral</t>
        </is>
      </c>
      <c r="S2462" s="70" t="n">
        <v>1484</v>
      </c>
      <c r="T2462" s="71" t="n">
        <v>195216.91</v>
      </c>
      <c r="U2462" t="inlineStr">
        <is>
          <t>Low</t>
        </is>
      </c>
      <c r="V2462">
        <f>IF(AND(OR(Dashboard!$C$6="All",E2462=Dashboard!$C$6),OR(Dashboard!$F$6="All",G2462=Dashboard!$F$6),OR(Dashboard!$I$6="All",H2462=Dashboard!$I$6)),1,0)</f>
        <v/>
      </c>
    </row>
    <row r="2463">
      <c r="A2463" t="inlineStr">
        <is>
          <t>PF102454</t>
        </is>
      </c>
      <c r="B2463" s="68" t="n">
        <v>45952</v>
      </c>
      <c r="C2463" s="69" t="n">
        <v>2025</v>
      </c>
      <c r="D2463" t="inlineStr">
        <is>
          <t>Oct</t>
        </is>
      </c>
      <c r="E2463" t="inlineStr">
        <is>
          <t>United States</t>
        </is>
      </c>
      <c r="F2463" t="inlineStr">
        <is>
          <t>USA</t>
        </is>
      </c>
      <c r="G2463" t="inlineStr">
        <is>
          <t>Vyndaqel</t>
        </is>
      </c>
      <c r="H2463" t="inlineStr">
        <is>
          <t>Hospital</t>
        </is>
      </c>
      <c r="I2463" t="inlineStr">
        <is>
          <t>Private insurer</t>
        </is>
      </c>
      <c r="J2463" t="inlineStr">
        <is>
          <t>Priya Nair</t>
        </is>
      </c>
      <c r="K2463" s="70" t="n">
        <v>303</v>
      </c>
      <c r="L2463" s="71" t="n">
        <v>8828.379999999999</v>
      </c>
      <c r="M2463" s="71" t="n">
        <v>2674999.14</v>
      </c>
      <c r="N2463" s="71" t="n">
        <v>668749.79</v>
      </c>
      <c r="O2463" s="71" t="n">
        <v>2006249.35</v>
      </c>
      <c r="P2463" s="71" t="n">
        <v>186330.96</v>
      </c>
      <c r="Q2463" s="71" t="n">
        <v>1819918.39</v>
      </c>
      <c r="R2463" t="inlineStr">
        <is>
          <t>Rare disease</t>
        </is>
      </c>
      <c r="S2463" s="70" t="n">
        <v>288</v>
      </c>
      <c r="T2463" s="71" t="n">
        <v>533236.29</v>
      </c>
      <c r="U2463" t="inlineStr">
        <is>
          <t>Medium</t>
        </is>
      </c>
      <c r="V2463">
        <f>IF(AND(OR(Dashboard!$C$6="All",E2463=Dashboard!$C$6),OR(Dashboard!$F$6="All",G2463=Dashboard!$F$6),OR(Dashboard!$I$6="All",H2463=Dashboard!$I$6)),1,0)</f>
        <v/>
      </c>
    </row>
    <row r="2464">
      <c r="A2464" t="inlineStr">
        <is>
          <t>PF102455</t>
        </is>
      </c>
      <c r="B2464" s="68" t="n">
        <v>45952</v>
      </c>
      <c r="C2464" s="69" t="n">
        <v>2025</v>
      </c>
      <c r="D2464" t="inlineStr">
        <is>
          <t>Oct</t>
        </is>
      </c>
      <c r="E2464" t="inlineStr">
        <is>
          <t>International developed</t>
        </is>
      </c>
      <c r="F2464" t="inlineStr">
        <is>
          <t>Canada</t>
        </is>
      </c>
      <c r="G2464" t="inlineStr">
        <is>
          <t>Vyndaqel</t>
        </is>
      </c>
      <c r="H2464" t="inlineStr">
        <is>
          <t>Retail pharmacy</t>
        </is>
      </c>
      <c r="I2464" t="inlineStr">
        <is>
          <t>Public payer</t>
        </is>
      </c>
      <c r="J2464" t="inlineStr">
        <is>
          <t>Arjun Mehta</t>
        </is>
      </c>
      <c r="K2464" s="70" t="n">
        <v>855</v>
      </c>
      <c r="L2464" s="71" t="n">
        <v>5550.51</v>
      </c>
      <c r="M2464" s="71" t="n">
        <v>4745686.05</v>
      </c>
      <c r="N2464" s="71" t="n">
        <v>237284.3</v>
      </c>
      <c r="O2464" s="71" t="n">
        <v>4508401.75</v>
      </c>
      <c r="P2464" s="71" t="n">
        <v>515982.26</v>
      </c>
      <c r="Q2464" s="71" t="n">
        <v>3992419.49</v>
      </c>
      <c r="R2464" t="inlineStr">
        <is>
          <t>Rare disease</t>
        </is>
      </c>
      <c r="S2464" s="70" t="n">
        <v>597</v>
      </c>
      <c r="T2464" s="71" t="n">
        <v>595625</v>
      </c>
      <c r="U2464" t="inlineStr">
        <is>
          <t>Medium</t>
        </is>
      </c>
      <c r="V2464">
        <f>IF(AND(OR(Dashboard!$C$6="All",E2464=Dashboard!$C$6),OR(Dashboard!$F$6="All",G2464=Dashboard!$F$6),OR(Dashboard!$I$6="All",H2464=Dashboard!$I$6)),1,0)</f>
        <v/>
      </c>
    </row>
    <row r="2465">
      <c r="A2465" t="inlineStr">
        <is>
          <t>PF102456</t>
        </is>
      </c>
      <c r="B2465" s="68" t="n">
        <v>45952</v>
      </c>
      <c r="C2465" s="69" t="n">
        <v>2025</v>
      </c>
      <c r="D2465" t="inlineStr">
        <is>
          <t>Oct</t>
        </is>
      </c>
      <c r="E2465" t="inlineStr">
        <is>
          <t>Emerging markets</t>
        </is>
      </c>
      <c r="F2465" t="inlineStr">
        <is>
          <t>Mexico</t>
        </is>
      </c>
      <c r="G2465" t="inlineStr">
        <is>
          <t>Paxlovid</t>
        </is>
      </c>
      <c r="H2465" t="inlineStr">
        <is>
          <t>Government / tender</t>
        </is>
      </c>
      <c r="I2465" t="inlineStr">
        <is>
          <t>Public payer</t>
        </is>
      </c>
      <c r="J2465" t="inlineStr">
        <is>
          <t>Mei Lin</t>
        </is>
      </c>
      <c r="K2465" s="70" t="n">
        <v>410</v>
      </c>
      <c r="L2465" s="71" t="n">
        <v>1030.31</v>
      </c>
      <c r="M2465" s="71" t="n">
        <v>422427.1</v>
      </c>
      <c r="N2465" s="71" t="n">
        <v>21121.35</v>
      </c>
      <c r="O2465" s="71" t="n">
        <v>401305.75</v>
      </c>
      <c r="P2465" s="71" t="n">
        <v>116249.24</v>
      </c>
      <c r="Q2465" s="71" t="n">
        <v>285056.51</v>
      </c>
      <c r="R2465" t="inlineStr">
        <is>
          <t>Antiviral</t>
        </is>
      </c>
      <c r="S2465" s="70" t="n">
        <v>258</v>
      </c>
      <c r="T2465" s="71" t="n">
        <v>54490.66</v>
      </c>
      <c r="U2465" t="inlineStr">
        <is>
          <t>Low</t>
        </is>
      </c>
      <c r="V2465">
        <f>IF(AND(OR(Dashboard!$C$6="All",E2465=Dashboard!$C$6),OR(Dashboard!$F$6="All",G2465=Dashboard!$F$6),OR(Dashboard!$I$6="All",H2465=Dashboard!$I$6)),1,0)</f>
        <v/>
      </c>
    </row>
    <row r="2466">
      <c r="A2466" t="inlineStr">
        <is>
          <t>PF102457</t>
        </is>
      </c>
      <c r="B2466" s="68" t="n">
        <v>45953</v>
      </c>
      <c r="C2466" s="69" t="n">
        <v>2025</v>
      </c>
      <c r="D2466" t="inlineStr">
        <is>
          <t>Oct</t>
        </is>
      </c>
      <c r="E2466" t="inlineStr">
        <is>
          <t>United States</t>
        </is>
      </c>
      <c r="F2466" t="inlineStr">
        <is>
          <t>USA</t>
        </is>
      </c>
      <c r="G2466" t="inlineStr">
        <is>
          <t>Prevnar 20</t>
        </is>
      </c>
      <c r="H2466" t="inlineStr">
        <is>
          <t>Government / tender</t>
        </is>
      </c>
      <c r="I2466" t="inlineStr">
        <is>
          <t>Public payer</t>
        </is>
      </c>
      <c r="J2466" t="inlineStr">
        <is>
          <t>Hiroshi Tanaka</t>
        </is>
      </c>
      <c r="K2466" s="70" t="n">
        <v>1054</v>
      </c>
      <c r="L2466" s="71" t="n">
        <v>352.32</v>
      </c>
      <c r="M2466" s="71" t="n">
        <v>371345.28</v>
      </c>
      <c r="N2466" s="71" t="n">
        <v>111403.58</v>
      </c>
      <c r="O2466" s="71" t="n">
        <v>259941.7</v>
      </c>
      <c r="P2466" s="71" t="n">
        <v>75242.28</v>
      </c>
      <c r="Q2466" s="71" t="n">
        <v>184699.42</v>
      </c>
      <c r="R2466" t="inlineStr">
        <is>
          <t>Vaccines</t>
        </is>
      </c>
      <c r="S2466" s="70" t="n">
        <v>830</v>
      </c>
      <c r="T2466" s="71" t="n">
        <v>45503.85</v>
      </c>
      <c r="U2466" t="inlineStr">
        <is>
          <t>Low</t>
        </is>
      </c>
      <c r="V2466">
        <f>IF(AND(OR(Dashboard!$C$6="All",E2466=Dashboard!$C$6),OR(Dashboard!$F$6="All",G2466=Dashboard!$F$6),OR(Dashboard!$I$6="All",H2466=Dashboard!$I$6)),1,0)</f>
        <v/>
      </c>
    </row>
    <row r="2467">
      <c r="A2467" t="inlineStr">
        <is>
          <t>PF102458</t>
        </is>
      </c>
      <c r="B2467" s="68" t="n">
        <v>45953</v>
      </c>
      <c r="C2467" s="69" t="n">
        <v>2025</v>
      </c>
      <c r="D2467" t="inlineStr">
        <is>
          <t>Oct</t>
        </is>
      </c>
      <c r="E2467" t="inlineStr">
        <is>
          <t>United States</t>
        </is>
      </c>
      <c r="F2467" t="inlineStr">
        <is>
          <t>USA</t>
        </is>
      </c>
      <c r="G2467" t="inlineStr">
        <is>
          <t>Prevnar 20</t>
        </is>
      </c>
      <c r="H2467" t="inlineStr">
        <is>
          <t>Government / tender</t>
        </is>
      </c>
      <c r="I2467" t="inlineStr">
        <is>
          <t>Private insurer</t>
        </is>
      </c>
      <c r="J2467" t="inlineStr">
        <is>
          <t>Wei Chen</t>
        </is>
      </c>
      <c r="K2467" s="70" t="n">
        <v>1359</v>
      </c>
      <c r="L2467" s="71" t="n">
        <v>366.21</v>
      </c>
      <c r="M2467" s="71" t="n">
        <v>497679.39</v>
      </c>
      <c r="N2467" s="71" t="n">
        <v>99535.88</v>
      </c>
      <c r="O2467" s="71" t="n">
        <v>398143.51</v>
      </c>
      <c r="P2467" s="71" t="n">
        <v>92009.2</v>
      </c>
      <c r="Q2467" s="71" t="n">
        <v>306134.31</v>
      </c>
      <c r="R2467" t="inlineStr">
        <is>
          <t>Vaccines</t>
        </is>
      </c>
      <c r="S2467" s="70" t="n">
        <v>1068</v>
      </c>
      <c r="T2467" s="71" t="n">
        <v>73249.23</v>
      </c>
      <c r="U2467" t="inlineStr">
        <is>
          <t>Low</t>
        </is>
      </c>
      <c r="V2467">
        <f>IF(AND(OR(Dashboard!$C$6="All",E2467=Dashboard!$C$6),OR(Dashboard!$F$6="All",G2467=Dashboard!$F$6),OR(Dashboard!$I$6="All",H2467=Dashboard!$I$6)),1,0)</f>
        <v/>
      </c>
    </row>
    <row r="2468">
      <c r="A2468" t="inlineStr">
        <is>
          <t>PF102459</t>
        </is>
      </c>
      <c r="B2468" s="68" t="n">
        <v>45953</v>
      </c>
      <c r="C2468" s="69" t="n">
        <v>2025</v>
      </c>
      <c r="D2468" t="inlineStr">
        <is>
          <t>Oct</t>
        </is>
      </c>
      <c r="E2468" t="inlineStr">
        <is>
          <t>Europe</t>
        </is>
      </c>
      <c r="F2468" t="inlineStr">
        <is>
          <t>UK</t>
        </is>
      </c>
      <c r="G2468" t="inlineStr">
        <is>
          <t>Xeljanz</t>
        </is>
      </c>
      <c r="H2468" t="inlineStr">
        <is>
          <t>Retail pharmacy</t>
        </is>
      </c>
      <c r="I2468" t="inlineStr">
        <is>
          <t>Public payer</t>
        </is>
      </c>
      <c r="J2468" t="inlineStr">
        <is>
          <t>Priya Nair</t>
        </is>
      </c>
      <c r="K2468" s="70" t="n">
        <v>1704</v>
      </c>
      <c r="L2468" s="71" t="n">
        <v>1436.15</v>
      </c>
      <c r="M2468" s="71" t="n">
        <v>2447199.6</v>
      </c>
      <c r="N2468" s="71" t="n">
        <v>244719.96</v>
      </c>
      <c r="O2468" s="71" t="n">
        <v>2202479.64</v>
      </c>
      <c r="P2468" s="71" t="n">
        <v>414415.66</v>
      </c>
      <c r="Q2468" s="71" t="n">
        <v>1788063.98</v>
      </c>
      <c r="R2468" t="inlineStr">
        <is>
          <t>Inflammation</t>
        </is>
      </c>
      <c r="S2468" s="70" t="n">
        <v>1459</v>
      </c>
      <c r="T2468" s="71" t="n">
        <v>410376.89</v>
      </c>
      <c r="U2468" t="inlineStr">
        <is>
          <t>High</t>
        </is>
      </c>
      <c r="V2468">
        <f>IF(AND(OR(Dashboard!$C$6="All",E2468=Dashboard!$C$6),OR(Dashboard!$F$6="All",G2468=Dashboard!$F$6),OR(Dashboard!$I$6="All",H2468=Dashboard!$I$6)),1,0)</f>
        <v/>
      </c>
    </row>
    <row r="2469">
      <c r="A2469" t="inlineStr">
        <is>
          <t>PF102460</t>
        </is>
      </c>
      <c r="B2469" s="68" t="n">
        <v>45953</v>
      </c>
      <c r="C2469" s="69" t="n">
        <v>2025</v>
      </c>
      <c r="D2469" t="inlineStr">
        <is>
          <t>Oct</t>
        </is>
      </c>
      <c r="E2469" t="inlineStr">
        <is>
          <t>Europe</t>
        </is>
      </c>
      <c r="F2469" t="inlineStr">
        <is>
          <t>France</t>
        </is>
      </c>
      <c r="G2469" t="inlineStr">
        <is>
          <t>Vyndaqel</t>
        </is>
      </c>
      <c r="H2469" t="inlineStr">
        <is>
          <t>Retail pharmacy</t>
        </is>
      </c>
      <c r="I2469" t="inlineStr">
        <is>
          <t>Private insurer</t>
        </is>
      </c>
      <c r="J2469" t="inlineStr">
        <is>
          <t>Emma Clarke</t>
        </is>
      </c>
      <c r="K2469" s="70" t="n">
        <v>2685</v>
      </c>
      <c r="L2469" s="71" t="n">
        <v>5350.09</v>
      </c>
      <c r="M2469" s="71" t="n">
        <v>14364991.65</v>
      </c>
      <c r="N2469" s="71" t="n">
        <v>3591247.91</v>
      </c>
      <c r="O2469" s="71" t="n">
        <v>10773743.74</v>
      </c>
      <c r="P2469" s="71" t="n">
        <v>1729714.18</v>
      </c>
      <c r="Q2469" s="71" t="n">
        <v>9044029.560000001</v>
      </c>
      <c r="R2469" t="inlineStr">
        <is>
          <t>Rare disease</t>
        </is>
      </c>
      <c r="S2469" s="70" t="n">
        <v>2031</v>
      </c>
      <c r="T2469" s="71" t="n">
        <v>3062220.35</v>
      </c>
      <c r="U2469" t="inlineStr">
        <is>
          <t>Medium</t>
        </is>
      </c>
      <c r="V2469">
        <f>IF(AND(OR(Dashboard!$C$6="All",E2469=Dashboard!$C$6),OR(Dashboard!$F$6="All",G2469=Dashboard!$F$6),OR(Dashboard!$I$6="All",H2469=Dashboard!$I$6)),1,0)</f>
        <v/>
      </c>
    </row>
    <row r="2470">
      <c r="A2470" t="inlineStr">
        <is>
          <t>PF102461</t>
        </is>
      </c>
      <c r="B2470" s="68" t="n">
        <v>45953</v>
      </c>
      <c r="C2470" s="69" t="n">
        <v>2025</v>
      </c>
      <c r="D2470" t="inlineStr">
        <is>
          <t>Oct</t>
        </is>
      </c>
      <c r="E2470" t="inlineStr">
        <is>
          <t>United States</t>
        </is>
      </c>
      <c r="F2470" t="inlineStr">
        <is>
          <t>USA</t>
        </is>
      </c>
      <c r="G2470" t="inlineStr">
        <is>
          <t>Paxlovid</t>
        </is>
      </c>
      <c r="H2470" t="inlineStr">
        <is>
          <t>Hospital</t>
        </is>
      </c>
      <c r="I2470" t="inlineStr">
        <is>
          <t>Public payer</t>
        </is>
      </c>
      <c r="J2470" t="inlineStr">
        <is>
          <t>Mei Lin</t>
        </is>
      </c>
      <c r="K2470" s="70" t="n">
        <v>1464</v>
      </c>
      <c r="L2470" s="71" t="n">
        <v>1598.13</v>
      </c>
      <c r="M2470" s="71" t="n">
        <v>2339662.32</v>
      </c>
      <c r="N2470" s="71" t="n">
        <v>584915.58</v>
      </c>
      <c r="O2470" s="71" t="n">
        <v>1754746.74</v>
      </c>
      <c r="P2470" s="71" t="n">
        <v>393996.94</v>
      </c>
      <c r="Q2470" s="71" t="n">
        <v>1360749.8</v>
      </c>
      <c r="R2470" t="inlineStr">
        <is>
          <t>Antiviral</t>
        </is>
      </c>
      <c r="S2470" s="70" t="n">
        <v>922</v>
      </c>
      <c r="T2470" s="71" t="n">
        <v>417730.06</v>
      </c>
      <c r="U2470" t="inlineStr">
        <is>
          <t>Low</t>
        </is>
      </c>
      <c r="V2470">
        <f>IF(AND(OR(Dashboard!$C$6="All",E2470=Dashboard!$C$6),OR(Dashboard!$F$6="All",G2470=Dashboard!$F$6),OR(Dashboard!$I$6="All",H2470=Dashboard!$I$6)),1,0)</f>
        <v/>
      </c>
    </row>
    <row r="2471">
      <c r="A2471" t="inlineStr">
        <is>
          <t>PF102462</t>
        </is>
      </c>
      <c r="B2471" s="68" t="n">
        <v>45953</v>
      </c>
      <c r="C2471" s="69" t="n">
        <v>2025</v>
      </c>
      <c r="D2471" t="inlineStr">
        <is>
          <t>Oct</t>
        </is>
      </c>
      <c r="E2471" t="inlineStr">
        <is>
          <t>United States</t>
        </is>
      </c>
      <c r="F2471" t="inlineStr">
        <is>
          <t>USA</t>
        </is>
      </c>
      <c r="G2471" t="inlineStr">
        <is>
          <t>Prevnar 20</t>
        </is>
      </c>
      <c r="H2471" t="inlineStr">
        <is>
          <t>Hospital</t>
        </is>
      </c>
      <c r="I2471" t="inlineStr">
        <is>
          <t>Public payer</t>
        </is>
      </c>
      <c r="J2471" t="inlineStr">
        <is>
          <t>Wei Chen</t>
        </is>
      </c>
      <c r="K2471" s="70" t="n">
        <v>1215</v>
      </c>
      <c r="L2471" s="71" t="n">
        <v>356.48</v>
      </c>
      <c r="M2471" s="71" t="n">
        <v>433123.2</v>
      </c>
      <c r="N2471" s="71" t="n">
        <v>86624.64</v>
      </c>
      <c r="O2471" s="71" t="n">
        <v>346498.56</v>
      </c>
      <c r="P2471" s="71" t="n">
        <v>81088.13</v>
      </c>
      <c r="Q2471" s="71" t="n">
        <v>265410.43</v>
      </c>
      <c r="R2471" t="inlineStr">
        <is>
          <t>Vaccines</t>
        </is>
      </c>
      <c r="S2471" s="70" t="n">
        <v>1023</v>
      </c>
      <c r="T2471" s="71" t="n">
        <v>79628.3</v>
      </c>
      <c r="U2471" t="inlineStr">
        <is>
          <t>Low</t>
        </is>
      </c>
      <c r="V2471">
        <f>IF(AND(OR(Dashboard!$C$6="All",E2471=Dashboard!$C$6),OR(Dashboard!$F$6="All",G2471=Dashboard!$F$6),OR(Dashboard!$I$6="All",H2471=Dashboard!$I$6)),1,0)</f>
        <v/>
      </c>
    </row>
    <row r="2472">
      <c r="A2472" t="inlineStr">
        <is>
          <t>PF102463</t>
        </is>
      </c>
      <c r="B2472" s="68" t="n">
        <v>45953</v>
      </c>
      <c r="C2472" s="69" t="n">
        <v>2025</v>
      </c>
      <c r="D2472" t="inlineStr">
        <is>
          <t>Oct</t>
        </is>
      </c>
      <c r="E2472" t="inlineStr">
        <is>
          <t>Europe</t>
        </is>
      </c>
      <c r="F2472" t="inlineStr">
        <is>
          <t>France</t>
        </is>
      </c>
      <c r="G2472" t="inlineStr">
        <is>
          <t>Prevnar 20</t>
        </is>
      </c>
      <c r="H2472" t="inlineStr">
        <is>
          <t>Retail pharmacy</t>
        </is>
      </c>
      <c r="I2472" t="inlineStr">
        <is>
          <t>Private insurer</t>
        </is>
      </c>
      <c r="J2472" t="inlineStr">
        <is>
          <t>Ravindra Patil</t>
        </is>
      </c>
      <c r="K2472" s="70" t="n">
        <v>1185</v>
      </c>
      <c r="L2472" s="71" t="n">
        <v>241.6</v>
      </c>
      <c r="M2472" s="71" t="n">
        <v>286296</v>
      </c>
      <c r="N2472" s="71" t="n">
        <v>14314.8</v>
      </c>
      <c r="O2472" s="71" t="n">
        <v>271981.2</v>
      </c>
      <c r="P2472" s="71" t="n">
        <v>83855.77</v>
      </c>
      <c r="Q2472" s="71" t="n">
        <v>188125.43</v>
      </c>
      <c r="R2472" t="inlineStr">
        <is>
          <t>Vaccines</t>
        </is>
      </c>
      <c r="S2472" s="70" t="n">
        <v>765</v>
      </c>
      <c r="T2472" s="71" t="n">
        <v>39539.85</v>
      </c>
      <c r="U2472" t="inlineStr">
        <is>
          <t>Low</t>
        </is>
      </c>
      <c r="V2472">
        <f>IF(AND(OR(Dashboard!$C$6="All",E2472=Dashboard!$C$6),OR(Dashboard!$F$6="All",G2472=Dashboard!$F$6),OR(Dashboard!$I$6="All",H2472=Dashboard!$I$6)),1,0)</f>
        <v/>
      </c>
    </row>
    <row r="2473">
      <c r="A2473" t="inlineStr">
        <is>
          <t>PF102464</t>
        </is>
      </c>
      <c r="B2473" s="68" t="n">
        <v>45953</v>
      </c>
      <c r="C2473" s="69" t="n">
        <v>2025</v>
      </c>
      <c r="D2473" t="inlineStr">
        <is>
          <t>Oct</t>
        </is>
      </c>
      <c r="E2473" t="inlineStr">
        <is>
          <t>International developed</t>
        </is>
      </c>
      <c r="F2473" t="inlineStr">
        <is>
          <t>Japan</t>
        </is>
      </c>
      <c r="G2473" t="inlineStr">
        <is>
          <t>Eliquis</t>
        </is>
      </c>
      <c r="H2473" t="inlineStr">
        <is>
          <t>Government / tender</t>
        </is>
      </c>
      <c r="I2473" t="inlineStr">
        <is>
          <t>Private insurer</t>
        </is>
      </c>
      <c r="J2473" t="inlineStr">
        <is>
          <t>Arjun Mehta</t>
        </is>
      </c>
      <c r="K2473" s="70" t="n">
        <v>998</v>
      </c>
      <c r="L2473" s="71" t="n">
        <v>383.94</v>
      </c>
      <c r="M2473" s="71" t="n">
        <v>383172.12</v>
      </c>
      <c r="N2473" s="71" t="n">
        <v>76634.42</v>
      </c>
      <c r="O2473" s="71" t="n">
        <v>306537.7</v>
      </c>
      <c r="P2473" s="71" t="n">
        <v>77330.74000000001</v>
      </c>
      <c r="Q2473" s="71" t="n">
        <v>229206.96</v>
      </c>
      <c r="R2473" t="inlineStr">
        <is>
          <t>Cardiology</t>
        </is>
      </c>
      <c r="S2473" s="70" t="n">
        <v>678</v>
      </c>
      <c r="T2473" s="71" t="n">
        <v>68684.32000000001</v>
      </c>
      <c r="U2473" t="inlineStr">
        <is>
          <t>High</t>
        </is>
      </c>
      <c r="V2473">
        <f>IF(AND(OR(Dashboard!$C$6="All",E2473=Dashboard!$C$6),OR(Dashboard!$F$6="All",G2473=Dashboard!$F$6),OR(Dashboard!$I$6="All",H2473=Dashboard!$I$6)),1,0)</f>
        <v/>
      </c>
    </row>
    <row r="2474">
      <c r="A2474" t="inlineStr">
        <is>
          <t>PF102465</t>
        </is>
      </c>
      <c r="B2474" s="68" t="n">
        <v>45953</v>
      </c>
      <c r="C2474" s="69" t="n">
        <v>2025</v>
      </c>
      <c r="D2474" t="inlineStr">
        <is>
          <t>Oct</t>
        </is>
      </c>
      <c r="E2474" t="inlineStr">
        <is>
          <t>Europe</t>
        </is>
      </c>
      <c r="F2474" t="inlineStr">
        <is>
          <t>Spain</t>
        </is>
      </c>
      <c r="G2474" t="inlineStr">
        <is>
          <t>Comirnaty</t>
        </is>
      </c>
      <c r="H2474" t="inlineStr">
        <is>
          <t>Retail pharmacy</t>
        </is>
      </c>
      <c r="I2474" t="inlineStr">
        <is>
          <t>Public payer</t>
        </is>
      </c>
      <c r="J2474" t="inlineStr">
        <is>
          <t>Lucas Martin</t>
        </is>
      </c>
      <c r="K2474" s="70" t="n">
        <v>2019</v>
      </c>
      <c r="L2474" s="71" t="n">
        <v>106.28</v>
      </c>
      <c r="M2474" s="71" t="n">
        <v>214579.32</v>
      </c>
      <c r="N2474" s="71" t="n">
        <v>42915.86</v>
      </c>
      <c r="O2474" s="71" t="n">
        <v>171663.46</v>
      </c>
      <c r="P2474" s="71" t="n">
        <v>75295.81</v>
      </c>
      <c r="Q2474" s="71" t="n">
        <v>96367.64999999999</v>
      </c>
      <c r="R2474" t="inlineStr">
        <is>
          <t>Vaccines</t>
        </is>
      </c>
      <c r="S2474" s="70" t="n">
        <v>1346</v>
      </c>
      <c r="T2474" s="71" t="n">
        <v>30389.09</v>
      </c>
      <c r="U2474" t="inlineStr">
        <is>
          <t>Low</t>
        </is>
      </c>
      <c r="V2474">
        <f>IF(AND(OR(Dashboard!$C$6="All",E2474=Dashboard!$C$6),OR(Dashboard!$F$6="All",G2474=Dashboard!$F$6),OR(Dashboard!$I$6="All",H2474=Dashboard!$I$6)),1,0)</f>
        <v/>
      </c>
    </row>
    <row r="2475">
      <c r="A2475" t="inlineStr">
        <is>
          <t>PF102466</t>
        </is>
      </c>
      <c r="B2475" s="68" t="n">
        <v>45953</v>
      </c>
      <c r="C2475" s="69" t="n">
        <v>2025</v>
      </c>
      <c r="D2475" t="inlineStr">
        <is>
          <t>Oct</t>
        </is>
      </c>
      <c r="E2475" t="inlineStr">
        <is>
          <t>United States</t>
        </is>
      </c>
      <c r="F2475" t="inlineStr">
        <is>
          <t>USA</t>
        </is>
      </c>
      <c r="G2475" t="inlineStr">
        <is>
          <t>Xeljanz</t>
        </is>
      </c>
      <c r="H2475" t="inlineStr">
        <is>
          <t>Retail pharmacy</t>
        </is>
      </c>
      <c r="I2475" t="inlineStr">
        <is>
          <t>Private insurer</t>
        </is>
      </c>
      <c r="J2475" t="inlineStr">
        <is>
          <t>Priya Nair</t>
        </is>
      </c>
      <c r="K2475" s="70" t="n">
        <v>2545</v>
      </c>
      <c r="L2475" s="71" t="n">
        <v>2218.16</v>
      </c>
      <c r="M2475" s="71" t="n">
        <v>5645217.2</v>
      </c>
      <c r="N2475" s="71" t="n">
        <v>1129043.44</v>
      </c>
      <c r="O2475" s="71" t="n">
        <v>4516173.76</v>
      </c>
      <c r="P2475" s="71" t="n">
        <v>649680.34</v>
      </c>
      <c r="Q2475" s="71" t="n">
        <v>3866493.42</v>
      </c>
      <c r="R2475" t="inlineStr">
        <is>
          <t>Inflammation</t>
        </is>
      </c>
      <c r="S2475" s="70" t="n">
        <v>2012</v>
      </c>
      <c r="T2475" s="71" t="n">
        <v>771465.24</v>
      </c>
      <c r="U2475" t="inlineStr">
        <is>
          <t>High</t>
        </is>
      </c>
      <c r="V2475">
        <f>IF(AND(OR(Dashboard!$C$6="All",E2475=Dashboard!$C$6),OR(Dashboard!$F$6="All",G2475=Dashboard!$F$6),OR(Dashboard!$I$6="All",H2475=Dashboard!$I$6)),1,0)</f>
        <v/>
      </c>
    </row>
    <row r="2476">
      <c r="A2476" t="inlineStr">
        <is>
          <t>PF102467</t>
        </is>
      </c>
      <c r="B2476" s="68" t="n">
        <v>45953</v>
      </c>
      <c r="C2476" s="69" t="n">
        <v>2025</v>
      </c>
      <c r="D2476" t="inlineStr">
        <is>
          <t>Oct</t>
        </is>
      </c>
      <c r="E2476" t="inlineStr">
        <is>
          <t>United States</t>
        </is>
      </c>
      <c r="F2476" t="inlineStr">
        <is>
          <t>USA</t>
        </is>
      </c>
      <c r="G2476" t="inlineStr">
        <is>
          <t>Ibrance</t>
        </is>
      </c>
      <c r="H2476" t="inlineStr">
        <is>
          <t>Retail pharmacy</t>
        </is>
      </c>
      <c r="I2476" t="inlineStr">
        <is>
          <t>Private insurer</t>
        </is>
      </c>
      <c r="J2476" t="inlineStr">
        <is>
          <t>Sara Rossi</t>
        </is>
      </c>
      <c r="K2476" s="70" t="n">
        <v>1643</v>
      </c>
      <c r="L2476" s="71" t="n">
        <v>4552.3</v>
      </c>
      <c r="M2476" s="71" t="n">
        <v>7479428.9</v>
      </c>
      <c r="N2476" s="71" t="n">
        <v>1869857.23</v>
      </c>
      <c r="O2476" s="71" t="n">
        <v>5609571.67</v>
      </c>
      <c r="P2476" s="71" t="n">
        <v>693707.6800000001</v>
      </c>
      <c r="Q2476" s="71" t="n">
        <v>4915863.99</v>
      </c>
      <c r="R2476" t="inlineStr">
        <is>
          <t>Oncology</t>
        </is>
      </c>
      <c r="S2476" s="70" t="n">
        <v>1157</v>
      </c>
      <c r="T2476" s="71" t="n">
        <v>1151188.77</v>
      </c>
      <c r="U2476" t="inlineStr">
        <is>
          <t>High</t>
        </is>
      </c>
      <c r="V2476">
        <f>IF(AND(OR(Dashboard!$C$6="All",E2476=Dashboard!$C$6),OR(Dashboard!$F$6="All",G2476=Dashboard!$F$6),OR(Dashboard!$I$6="All",H2476=Dashboard!$I$6)),1,0)</f>
        <v/>
      </c>
    </row>
    <row r="2477">
      <c r="A2477" t="inlineStr">
        <is>
          <t>PF102468</t>
        </is>
      </c>
      <c r="B2477" s="68" t="n">
        <v>45953</v>
      </c>
      <c r="C2477" s="69" t="n">
        <v>2025</v>
      </c>
      <c r="D2477" t="inlineStr">
        <is>
          <t>Oct</t>
        </is>
      </c>
      <c r="E2477" t="inlineStr">
        <is>
          <t>Europe</t>
        </is>
      </c>
      <c r="F2477" t="inlineStr">
        <is>
          <t>Italy</t>
        </is>
      </c>
      <c r="G2477" t="inlineStr">
        <is>
          <t>Comirnaty</t>
        </is>
      </c>
      <c r="H2477" t="inlineStr">
        <is>
          <t>Government / tender</t>
        </is>
      </c>
      <c r="I2477" t="inlineStr">
        <is>
          <t>Public payer</t>
        </is>
      </c>
      <c r="J2477" t="inlineStr">
        <is>
          <t>Kofi Mensah</t>
        </is>
      </c>
      <c r="K2477" s="70" t="n">
        <v>234</v>
      </c>
      <c r="L2477" s="71" t="n">
        <v>112.77</v>
      </c>
      <c r="M2477" s="71" t="n">
        <v>26388.18</v>
      </c>
      <c r="N2477" s="71" t="n">
        <v>5277.64</v>
      </c>
      <c r="O2477" s="71" t="n">
        <v>21110.54</v>
      </c>
      <c r="P2477" s="71" t="n">
        <v>8906.48</v>
      </c>
      <c r="Q2477" s="71" t="n">
        <v>12204.06</v>
      </c>
      <c r="R2477" t="inlineStr">
        <is>
          <t>Vaccines</t>
        </is>
      </c>
      <c r="S2477" s="70" t="n">
        <v>153</v>
      </c>
      <c r="T2477" s="71" t="n">
        <v>5794.31</v>
      </c>
      <c r="U2477" t="inlineStr">
        <is>
          <t>Low</t>
        </is>
      </c>
      <c r="V2477">
        <f>IF(AND(OR(Dashboard!$C$6="All",E2477=Dashboard!$C$6),OR(Dashboard!$F$6="All",G2477=Dashboard!$F$6),OR(Dashboard!$I$6="All",H2477=Dashboard!$I$6)),1,0)</f>
        <v/>
      </c>
    </row>
    <row r="2478">
      <c r="A2478" t="inlineStr">
        <is>
          <t>PF102469</t>
        </is>
      </c>
      <c r="B2478" s="68" t="n">
        <v>45953</v>
      </c>
      <c r="C2478" s="69" t="n">
        <v>2025</v>
      </c>
      <c r="D2478" t="inlineStr">
        <is>
          <t>Oct</t>
        </is>
      </c>
      <c r="E2478" t="inlineStr">
        <is>
          <t>Europe</t>
        </is>
      </c>
      <c r="F2478" t="inlineStr">
        <is>
          <t>UK</t>
        </is>
      </c>
      <c r="G2478" t="inlineStr">
        <is>
          <t>Xeljanz</t>
        </is>
      </c>
      <c r="H2478" t="inlineStr">
        <is>
          <t>Retail pharmacy</t>
        </is>
      </c>
      <c r="I2478" t="inlineStr">
        <is>
          <t>Private insurer</t>
        </is>
      </c>
      <c r="J2478" t="inlineStr">
        <is>
          <t>Mei Lin</t>
        </is>
      </c>
      <c r="K2478" s="70" t="n">
        <v>685</v>
      </c>
      <c r="L2478" s="71" t="n">
        <v>1519.64</v>
      </c>
      <c r="M2478" s="71" t="n">
        <v>1040953.4</v>
      </c>
      <c r="N2478" s="71" t="n">
        <v>52047.67</v>
      </c>
      <c r="O2478" s="71" t="n">
        <v>988905.73</v>
      </c>
      <c r="P2478" s="71" t="n">
        <v>173524.68</v>
      </c>
      <c r="Q2478" s="71" t="n">
        <v>815381.05</v>
      </c>
      <c r="R2478" t="inlineStr">
        <is>
          <t>Inflammation</t>
        </is>
      </c>
      <c r="S2478" s="70" t="n">
        <v>532</v>
      </c>
      <c r="T2478" s="71" t="n">
        <v>190451.03</v>
      </c>
      <c r="U2478" t="inlineStr">
        <is>
          <t>High</t>
        </is>
      </c>
      <c r="V2478">
        <f>IF(AND(OR(Dashboard!$C$6="All",E2478=Dashboard!$C$6),OR(Dashboard!$F$6="All",G2478=Dashboard!$F$6),OR(Dashboard!$I$6="All",H2478=Dashboard!$I$6)),1,0)</f>
        <v/>
      </c>
    </row>
    <row r="2479">
      <c r="A2479" t="inlineStr">
        <is>
          <t>PF102470</t>
        </is>
      </c>
      <c r="B2479" s="68" t="n">
        <v>45954</v>
      </c>
      <c r="C2479" s="69" t="n">
        <v>2025</v>
      </c>
      <c r="D2479" t="inlineStr">
        <is>
          <t>Oct</t>
        </is>
      </c>
      <c r="E2479" t="inlineStr">
        <is>
          <t>Emerging markets</t>
        </is>
      </c>
      <c r="F2479" t="inlineStr">
        <is>
          <t>India</t>
        </is>
      </c>
      <c r="G2479" t="inlineStr">
        <is>
          <t>Ibrance</t>
        </is>
      </c>
      <c r="H2479" t="inlineStr">
        <is>
          <t>Hospital</t>
        </is>
      </c>
      <c r="I2479" t="inlineStr">
        <is>
          <t>Public payer</t>
        </is>
      </c>
      <c r="J2479" t="inlineStr">
        <is>
          <t>Sara Rossi</t>
        </is>
      </c>
      <c r="K2479" s="70" t="n">
        <v>629</v>
      </c>
      <c r="L2479" s="71" t="n">
        <v>2764.28</v>
      </c>
      <c r="M2479" s="71" t="n">
        <v>1738732.12</v>
      </c>
      <c r="N2479" s="71" t="n">
        <v>347746.42</v>
      </c>
      <c r="O2479" s="71" t="n">
        <v>1390985.7</v>
      </c>
      <c r="P2479" s="71" t="n">
        <v>263645.58</v>
      </c>
      <c r="Q2479" s="71" t="n">
        <v>1127340.12</v>
      </c>
      <c r="R2479" t="inlineStr">
        <is>
          <t>Oncology</t>
        </is>
      </c>
      <c r="S2479" s="70" t="n">
        <v>585</v>
      </c>
      <c r="T2479" s="71" t="n">
        <v>381052.76</v>
      </c>
      <c r="U2479" t="inlineStr">
        <is>
          <t>High</t>
        </is>
      </c>
      <c r="V2479">
        <f>IF(AND(OR(Dashboard!$C$6="All",E2479=Dashboard!$C$6),OR(Dashboard!$F$6="All",G2479=Dashboard!$F$6),OR(Dashboard!$I$6="All",H2479=Dashboard!$I$6)),1,0)</f>
        <v/>
      </c>
    </row>
    <row r="2480">
      <c r="A2480" t="inlineStr">
        <is>
          <t>PF102471</t>
        </is>
      </c>
      <c r="B2480" s="68" t="n">
        <v>45954</v>
      </c>
      <c r="C2480" s="69" t="n">
        <v>2025</v>
      </c>
      <c r="D2480" t="inlineStr">
        <is>
          <t>Oct</t>
        </is>
      </c>
      <c r="E2480" t="inlineStr">
        <is>
          <t>United States</t>
        </is>
      </c>
      <c r="F2480" t="inlineStr">
        <is>
          <t>USA</t>
        </is>
      </c>
      <c r="G2480" t="inlineStr">
        <is>
          <t>Prevnar 20</t>
        </is>
      </c>
      <c r="H2480" t="inlineStr">
        <is>
          <t>Hospital</t>
        </is>
      </c>
      <c r="I2480" t="inlineStr">
        <is>
          <t>Private insurer</t>
        </is>
      </c>
      <c r="J2480" t="inlineStr">
        <is>
          <t>Fatima Al-Saud</t>
        </is>
      </c>
      <c r="K2480" s="70" t="n">
        <v>1546</v>
      </c>
      <c r="L2480" s="71" t="n">
        <v>332.8</v>
      </c>
      <c r="M2480" s="71" t="n">
        <v>514508.8</v>
      </c>
      <c r="N2480" s="71" t="n">
        <v>180078.08</v>
      </c>
      <c r="O2480" s="71" t="n">
        <v>334430.72</v>
      </c>
      <c r="P2480" s="71" t="n">
        <v>102525.89</v>
      </c>
      <c r="Q2480" s="71" t="n">
        <v>231904.83</v>
      </c>
      <c r="R2480" t="inlineStr">
        <is>
          <t>Vaccines</t>
        </is>
      </c>
      <c r="S2480" s="70" t="n">
        <v>1214</v>
      </c>
      <c r="T2480" s="71" t="n">
        <v>107497.96</v>
      </c>
      <c r="U2480" t="inlineStr">
        <is>
          <t>Low</t>
        </is>
      </c>
      <c r="V2480">
        <f>IF(AND(OR(Dashboard!$C$6="All",E2480=Dashboard!$C$6),OR(Dashboard!$F$6="All",G2480=Dashboard!$F$6),OR(Dashboard!$I$6="All",H2480=Dashboard!$I$6)),1,0)</f>
        <v/>
      </c>
    </row>
    <row r="2481">
      <c r="A2481" t="inlineStr">
        <is>
          <t>PF102472</t>
        </is>
      </c>
      <c r="B2481" s="68" t="n">
        <v>45954</v>
      </c>
      <c r="C2481" s="69" t="n">
        <v>2025</v>
      </c>
      <c r="D2481" t="inlineStr">
        <is>
          <t>Oct</t>
        </is>
      </c>
      <c r="E2481" t="inlineStr">
        <is>
          <t>United States</t>
        </is>
      </c>
      <c r="F2481" t="inlineStr">
        <is>
          <t>USA</t>
        </is>
      </c>
      <c r="G2481" t="inlineStr">
        <is>
          <t>Prevnar 20</t>
        </is>
      </c>
      <c r="H2481" t="inlineStr">
        <is>
          <t>Hospital</t>
        </is>
      </c>
      <c r="I2481" t="inlineStr">
        <is>
          <t>Private insurer</t>
        </is>
      </c>
      <c r="J2481" t="inlineStr">
        <is>
          <t>Sophie Müller</t>
        </is>
      </c>
      <c r="K2481" s="70" t="n">
        <v>1889</v>
      </c>
      <c r="L2481" s="71" t="n">
        <v>386.56</v>
      </c>
      <c r="M2481" s="71" t="n">
        <v>730211.84</v>
      </c>
      <c r="N2481" s="71" t="n">
        <v>146042.37</v>
      </c>
      <c r="O2481" s="71" t="n">
        <v>584169.47</v>
      </c>
      <c r="P2481" s="71" t="n">
        <v>129841.71</v>
      </c>
      <c r="Q2481" s="71" t="n">
        <v>454327.76</v>
      </c>
      <c r="R2481" t="inlineStr">
        <is>
          <t>Vaccines</t>
        </is>
      </c>
      <c r="S2481" s="70" t="n">
        <v>1188</v>
      </c>
      <c r="T2481" s="71" t="n">
        <v>159722.09</v>
      </c>
      <c r="U2481" t="inlineStr">
        <is>
          <t>Low</t>
        </is>
      </c>
      <c r="V2481">
        <f>IF(AND(OR(Dashboard!$C$6="All",E2481=Dashboard!$C$6),OR(Dashboard!$F$6="All",G2481=Dashboard!$F$6),OR(Dashboard!$I$6="All",H2481=Dashboard!$I$6)),1,0)</f>
        <v/>
      </c>
    </row>
    <row r="2482">
      <c r="A2482" t="inlineStr">
        <is>
          <t>PF102473</t>
        </is>
      </c>
      <c r="B2482" s="68" t="n">
        <v>45954</v>
      </c>
      <c r="C2482" s="69" t="n">
        <v>2025</v>
      </c>
      <c r="D2482" t="inlineStr">
        <is>
          <t>Oct</t>
        </is>
      </c>
      <c r="E2482" t="inlineStr">
        <is>
          <t>United States</t>
        </is>
      </c>
      <c r="F2482" t="inlineStr">
        <is>
          <t>USA</t>
        </is>
      </c>
      <c r="G2482" t="inlineStr">
        <is>
          <t>Eliquis</t>
        </is>
      </c>
      <c r="H2482" t="inlineStr">
        <is>
          <t>Government / tender</t>
        </is>
      </c>
      <c r="I2482" t="inlineStr">
        <is>
          <t>Private insurer</t>
        </is>
      </c>
      <c r="J2482" t="inlineStr">
        <is>
          <t>Fatima Al-Saud</t>
        </is>
      </c>
      <c r="K2482" s="70" t="n">
        <v>2223</v>
      </c>
      <c r="L2482" s="71" t="n">
        <v>632.1900000000001</v>
      </c>
      <c r="M2482" s="71" t="n">
        <v>1405358.37</v>
      </c>
      <c r="N2482" s="71" t="n">
        <v>421607.51</v>
      </c>
      <c r="O2482" s="71" t="n">
        <v>983750.86</v>
      </c>
      <c r="P2482" s="71" t="n">
        <v>168368.57</v>
      </c>
      <c r="Q2482" s="71" t="n">
        <v>815382.29</v>
      </c>
      <c r="R2482" t="inlineStr">
        <is>
          <t>Cardiology</t>
        </is>
      </c>
      <c r="S2482" s="70" t="n">
        <v>2089</v>
      </c>
      <c r="T2482" s="71" t="n">
        <v>288419.82</v>
      </c>
      <c r="U2482" t="inlineStr">
        <is>
          <t>High</t>
        </is>
      </c>
      <c r="V2482">
        <f>IF(AND(OR(Dashboard!$C$6="All",E2482=Dashboard!$C$6),OR(Dashboard!$F$6="All",G2482=Dashboard!$F$6),OR(Dashboard!$I$6="All",H2482=Dashboard!$I$6)),1,0)</f>
        <v/>
      </c>
    </row>
    <row r="2483">
      <c r="A2483" t="inlineStr">
        <is>
          <t>PF102474</t>
        </is>
      </c>
      <c r="B2483" s="68" t="n">
        <v>45954</v>
      </c>
      <c r="C2483" s="69" t="n">
        <v>2025</v>
      </c>
      <c r="D2483" t="inlineStr">
        <is>
          <t>Oct</t>
        </is>
      </c>
      <c r="E2483" t="inlineStr">
        <is>
          <t>United States</t>
        </is>
      </c>
      <c r="F2483" t="inlineStr">
        <is>
          <t>USA</t>
        </is>
      </c>
      <c r="G2483" t="inlineStr">
        <is>
          <t>Prevnar 20</t>
        </is>
      </c>
      <c r="H2483" t="inlineStr">
        <is>
          <t>Retail pharmacy</t>
        </is>
      </c>
      <c r="I2483" t="inlineStr">
        <is>
          <t>Public payer</t>
        </is>
      </c>
      <c r="J2483" t="inlineStr">
        <is>
          <t>Fatima Al-Saud</t>
        </is>
      </c>
      <c r="K2483" s="70" t="n">
        <v>2698</v>
      </c>
      <c r="L2483" s="71" t="n">
        <v>386.32</v>
      </c>
      <c r="M2483" s="71" t="n">
        <v>1042291.36</v>
      </c>
      <c r="N2483" s="71" t="n">
        <v>156343.7</v>
      </c>
      <c r="O2483" s="71" t="n">
        <v>885947.66</v>
      </c>
      <c r="P2483" s="71" t="n">
        <v>180363.98</v>
      </c>
      <c r="Q2483" s="71" t="n">
        <v>705583.6800000001</v>
      </c>
      <c r="R2483" t="inlineStr">
        <is>
          <t>Vaccines</t>
        </is>
      </c>
      <c r="S2483" s="70" t="n">
        <v>1898</v>
      </c>
      <c r="T2483" s="71" t="n">
        <v>143331.84</v>
      </c>
      <c r="U2483" t="inlineStr">
        <is>
          <t>Low</t>
        </is>
      </c>
      <c r="V2483">
        <f>IF(AND(OR(Dashboard!$C$6="All",E2483=Dashboard!$C$6),OR(Dashboard!$F$6="All",G2483=Dashboard!$F$6),OR(Dashboard!$I$6="All",H2483=Dashboard!$I$6)),1,0)</f>
        <v/>
      </c>
    </row>
    <row r="2484">
      <c r="A2484" t="inlineStr">
        <is>
          <t>PF102475</t>
        </is>
      </c>
      <c r="B2484" s="68" t="n">
        <v>45954</v>
      </c>
      <c r="C2484" s="69" t="n">
        <v>2025</v>
      </c>
      <c r="D2484" t="inlineStr">
        <is>
          <t>Oct</t>
        </is>
      </c>
      <c r="E2484" t="inlineStr">
        <is>
          <t>Emerging markets</t>
        </is>
      </c>
      <c r="F2484" t="inlineStr">
        <is>
          <t>Brazil</t>
        </is>
      </c>
      <c r="G2484" t="inlineStr">
        <is>
          <t>Vyndaqel</t>
        </is>
      </c>
      <c r="H2484" t="inlineStr">
        <is>
          <t>Hospital</t>
        </is>
      </c>
      <c r="I2484" t="inlineStr">
        <is>
          <t>Private insurer</t>
        </is>
      </c>
      <c r="J2484" t="inlineStr">
        <is>
          <t>Sara Rossi</t>
        </is>
      </c>
      <c r="K2484" s="70" t="n">
        <v>119</v>
      </c>
      <c r="L2484" s="71" t="n">
        <v>5304.25</v>
      </c>
      <c r="M2484" s="71" t="n">
        <v>631205.75</v>
      </c>
      <c r="N2484" s="71" t="n">
        <v>126241.15</v>
      </c>
      <c r="O2484" s="71" t="n">
        <v>504964.6</v>
      </c>
      <c r="P2484" s="71" t="n">
        <v>74148.57000000001</v>
      </c>
      <c r="Q2484" s="71" t="n">
        <v>430816.03</v>
      </c>
      <c r="R2484" t="inlineStr">
        <is>
          <t>Rare disease</t>
        </is>
      </c>
      <c r="S2484" s="70" t="n">
        <v>99</v>
      </c>
      <c r="T2484" s="71" t="n">
        <v>134959.07</v>
      </c>
      <c r="U2484" t="inlineStr">
        <is>
          <t>Medium</t>
        </is>
      </c>
      <c r="V2484">
        <f>IF(AND(OR(Dashboard!$C$6="All",E2484=Dashboard!$C$6),OR(Dashboard!$F$6="All",G2484=Dashboard!$F$6),OR(Dashboard!$I$6="All",H2484=Dashboard!$I$6)),1,0)</f>
        <v/>
      </c>
    </row>
    <row r="2485">
      <c r="A2485" t="inlineStr">
        <is>
          <t>PF102476</t>
        </is>
      </c>
      <c r="B2485" s="68" t="n">
        <v>45954</v>
      </c>
      <c r="C2485" s="69" t="n">
        <v>2025</v>
      </c>
      <c r="D2485" t="inlineStr">
        <is>
          <t>Oct</t>
        </is>
      </c>
      <c r="E2485" t="inlineStr">
        <is>
          <t>United States</t>
        </is>
      </c>
      <c r="F2485" t="inlineStr">
        <is>
          <t>USA</t>
        </is>
      </c>
      <c r="G2485" t="inlineStr">
        <is>
          <t>Prevnar 20</t>
        </is>
      </c>
      <c r="H2485" t="inlineStr">
        <is>
          <t>Hospital</t>
        </is>
      </c>
      <c r="I2485" t="inlineStr">
        <is>
          <t>Public payer</t>
        </is>
      </c>
      <c r="J2485" t="inlineStr">
        <is>
          <t>Fatima Al-Saud</t>
        </is>
      </c>
      <c r="K2485" s="70" t="n">
        <v>1956</v>
      </c>
      <c r="L2485" s="71" t="n">
        <v>377.9</v>
      </c>
      <c r="M2485" s="71" t="n">
        <v>739172.4</v>
      </c>
      <c r="N2485" s="71" t="n">
        <v>110875.86</v>
      </c>
      <c r="O2485" s="71" t="n">
        <v>628296.54</v>
      </c>
      <c r="P2485" s="71" t="n">
        <v>133261.8</v>
      </c>
      <c r="Q2485" s="71" t="n">
        <v>495034.74</v>
      </c>
      <c r="R2485" t="inlineStr">
        <is>
          <t>Vaccines</t>
        </is>
      </c>
      <c r="S2485" s="70" t="n">
        <v>1411</v>
      </c>
      <c r="T2485" s="71" t="n">
        <v>154062.36</v>
      </c>
      <c r="U2485" t="inlineStr">
        <is>
          <t>Low</t>
        </is>
      </c>
      <c r="V2485">
        <f>IF(AND(OR(Dashboard!$C$6="All",E2485=Dashboard!$C$6),OR(Dashboard!$F$6="All",G2485=Dashboard!$F$6),OR(Dashboard!$I$6="All",H2485=Dashboard!$I$6)),1,0)</f>
        <v/>
      </c>
    </row>
    <row r="2486">
      <c r="A2486" t="inlineStr">
        <is>
          <t>PF102477</t>
        </is>
      </c>
      <c r="B2486" s="68" t="n">
        <v>45954</v>
      </c>
      <c r="C2486" s="69" t="n">
        <v>2025</v>
      </c>
      <c r="D2486" t="inlineStr">
        <is>
          <t>Oct</t>
        </is>
      </c>
      <c r="E2486" t="inlineStr">
        <is>
          <t>United States</t>
        </is>
      </c>
      <c r="F2486" t="inlineStr">
        <is>
          <t>USA</t>
        </is>
      </c>
      <c r="G2486" t="inlineStr">
        <is>
          <t>Comirnaty</t>
        </is>
      </c>
      <c r="H2486" t="inlineStr">
        <is>
          <t>Government / tender</t>
        </is>
      </c>
      <c r="I2486" t="inlineStr">
        <is>
          <t>Public payer</t>
        </is>
      </c>
      <c r="J2486" t="inlineStr">
        <is>
          <t>Olivia Brown</t>
        </is>
      </c>
      <c r="K2486" s="70" t="n">
        <v>580</v>
      </c>
      <c r="L2486" s="71" t="n">
        <v>182.86</v>
      </c>
      <c r="M2486" s="71" t="n">
        <v>106058.8</v>
      </c>
      <c r="N2486" s="71" t="n">
        <v>37120.58</v>
      </c>
      <c r="O2486" s="71" t="n">
        <v>68938.22</v>
      </c>
      <c r="P2486" s="71" t="n">
        <v>22692.12</v>
      </c>
      <c r="Q2486" s="71" t="n">
        <v>46246.1</v>
      </c>
      <c r="R2486" t="inlineStr">
        <is>
          <t>Vaccines</t>
        </is>
      </c>
      <c r="S2486" s="70" t="n">
        <v>461</v>
      </c>
      <c r="T2486" s="71" t="n">
        <v>19222.08</v>
      </c>
      <c r="U2486" t="inlineStr">
        <is>
          <t>Low</t>
        </is>
      </c>
      <c r="V2486">
        <f>IF(AND(OR(Dashboard!$C$6="All",E2486=Dashboard!$C$6),OR(Dashboard!$F$6="All",G2486=Dashboard!$F$6),OR(Dashboard!$I$6="All",H2486=Dashboard!$I$6)),1,0)</f>
        <v/>
      </c>
    </row>
    <row r="2487">
      <c r="A2487" t="inlineStr">
        <is>
          <t>PF102478</t>
        </is>
      </c>
      <c r="B2487" s="68" t="n">
        <v>45954</v>
      </c>
      <c r="C2487" s="69" t="n">
        <v>2025</v>
      </c>
      <c r="D2487" t="inlineStr">
        <is>
          <t>Oct</t>
        </is>
      </c>
      <c r="E2487" t="inlineStr">
        <is>
          <t>United States</t>
        </is>
      </c>
      <c r="F2487" t="inlineStr">
        <is>
          <t>USA</t>
        </is>
      </c>
      <c r="G2487" t="inlineStr">
        <is>
          <t>Comirnaty</t>
        </is>
      </c>
      <c r="H2487" t="inlineStr">
        <is>
          <t>Government / tender</t>
        </is>
      </c>
      <c r="I2487" t="inlineStr">
        <is>
          <t>Public payer</t>
        </is>
      </c>
      <c r="J2487" t="inlineStr">
        <is>
          <t>Aisha Bello</t>
        </is>
      </c>
      <c r="K2487" s="70" t="n">
        <v>165</v>
      </c>
      <c r="L2487" s="71" t="n">
        <v>192.54</v>
      </c>
      <c r="M2487" s="71" t="n">
        <v>31769.1</v>
      </c>
      <c r="N2487" s="71" t="n">
        <v>7942.27</v>
      </c>
      <c r="O2487" s="71" t="n">
        <v>23826.83</v>
      </c>
      <c r="P2487" s="71" t="n">
        <v>6353.97</v>
      </c>
      <c r="Q2487" s="71" t="n">
        <v>17472.86</v>
      </c>
      <c r="R2487" t="inlineStr">
        <is>
          <t>Vaccines</t>
        </is>
      </c>
      <c r="S2487" s="70" t="n">
        <v>117</v>
      </c>
      <c r="T2487" s="71" t="n">
        <v>5407.84</v>
      </c>
      <c r="U2487" t="inlineStr">
        <is>
          <t>Low</t>
        </is>
      </c>
      <c r="V2487">
        <f>IF(AND(OR(Dashboard!$C$6="All",E2487=Dashboard!$C$6),OR(Dashboard!$F$6="All",G2487=Dashboard!$F$6),OR(Dashboard!$I$6="All",H2487=Dashboard!$I$6)),1,0)</f>
        <v/>
      </c>
    </row>
    <row r="2488">
      <c r="A2488" t="inlineStr">
        <is>
          <t>PF102479</t>
        </is>
      </c>
      <c r="B2488" s="68" t="n">
        <v>45954</v>
      </c>
      <c r="C2488" s="69" t="n">
        <v>2025</v>
      </c>
      <c r="D2488" t="inlineStr">
        <is>
          <t>Oct</t>
        </is>
      </c>
      <c r="E2488" t="inlineStr">
        <is>
          <t>United States</t>
        </is>
      </c>
      <c r="F2488" t="inlineStr">
        <is>
          <t>USA</t>
        </is>
      </c>
      <c r="G2488" t="inlineStr">
        <is>
          <t>Eliquis</t>
        </is>
      </c>
      <c r="H2488" t="inlineStr">
        <is>
          <t>Retail pharmacy</t>
        </is>
      </c>
      <c r="I2488" t="inlineStr">
        <is>
          <t>Self-pay</t>
        </is>
      </c>
      <c r="J2488" t="inlineStr">
        <is>
          <t>Sara Rossi</t>
        </is>
      </c>
      <c r="K2488" s="70" t="n">
        <v>424</v>
      </c>
      <c r="L2488" s="71" t="n">
        <v>673.54</v>
      </c>
      <c r="M2488" s="71" t="n">
        <v>285580.96</v>
      </c>
      <c r="N2488" s="71" t="n">
        <v>42837.14</v>
      </c>
      <c r="O2488" s="71" t="n">
        <v>242743.82</v>
      </c>
      <c r="P2488" s="71" t="n">
        <v>32205.79</v>
      </c>
      <c r="Q2488" s="71" t="n">
        <v>210538.03</v>
      </c>
      <c r="R2488" t="inlineStr">
        <is>
          <t>Cardiology</t>
        </is>
      </c>
      <c r="S2488" s="70" t="n">
        <v>266</v>
      </c>
      <c r="T2488" s="71" t="n">
        <v>36375.88</v>
      </c>
      <c r="U2488" t="inlineStr">
        <is>
          <t>High</t>
        </is>
      </c>
      <c r="V2488">
        <f>IF(AND(OR(Dashboard!$C$6="All",E2488=Dashboard!$C$6),OR(Dashboard!$F$6="All",G2488=Dashboard!$F$6),OR(Dashboard!$I$6="All",H2488=Dashboard!$I$6)),1,0)</f>
        <v/>
      </c>
    </row>
    <row r="2489">
      <c r="A2489" t="inlineStr">
        <is>
          <t>PF102480</t>
        </is>
      </c>
      <c r="B2489" s="68" t="n">
        <v>45955</v>
      </c>
      <c r="C2489" s="69" t="n">
        <v>2025</v>
      </c>
      <c r="D2489" t="inlineStr">
        <is>
          <t>Oct</t>
        </is>
      </c>
      <c r="E2489" t="inlineStr">
        <is>
          <t>United States</t>
        </is>
      </c>
      <c r="F2489" t="inlineStr">
        <is>
          <t>USA</t>
        </is>
      </c>
      <c r="G2489" t="inlineStr">
        <is>
          <t>Comirnaty</t>
        </is>
      </c>
      <c r="H2489" t="inlineStr">
        <is>
          <t>Retail pharmacy</t>
        </is>
      </c>
      <c r="I2489" t="inlineStr">
        <is>
          <t>Public payer</t>
        </is>
      </c>
      <c r="J2489" t="inlineStr">
        <is>
          <t>Zoya Ahmed</t>
        </is>
      </c>
      <c r="K2489" s="70" t="n">
        <v>1357</v>
      </c>
      <c r="L2489" s="71" t="n">
        <v>188.38</v>
      </c>
      <c r="M2489" s="71" t="n">
        <v>255631.66</v>
      </c>
      <c r="N2489" s="71" t="n">
        <v>38344.75</v>
      </c>
      <c r="O2489" s="71" t="n">
        <v>217286.91</v>
      </c>
      <c r="P2489" s="71" t="n">
        <v>51156.64</v>
      </c>
      <c r="Q2489" s="71" t="n">
        <v>166130.27</v>
      </c>
      <c r="R2489" t="inlineStr">
        <is>
          <t>Vaccines</t>
        </is>
      </c>
      <c r="S2489" s="70" t="n">
        <v>864</v>
      </c>
      <c r="T2489" s="71" t="n">
        <v>43220.57</v>
      </c>
      <c r="U2489" t="inlineStr">
        <is>
          <t>Low</t>
        </is>
      </c>
      <c r="V2489">
        <f>IF(AND(OR(Dashboard!$C$6="All",E2489=Dashboard!$C$6),OR(Dashboard!$F$6="All",G2489=Dashboard!$F$6),OR(Dashboard!$I$6="All",H2489=Dashboard!$I$6)),1,0)</f>
        <v/>
      </c>
    </row>
    <row r="2490">
      <c r="A2490" t="inlineStr">
        <is>
          <t>PF102481</t>
        </is>
      </c>
      <c r="B2490" s="68" t="n">
        <v>45955</v>
      </c>
      <c r="C2490" s="69" t="n">
        <v>2025</v>
      </c>
      <c r="D2490" t="inlineStr">
        <is>
          <t>Oct</t>
        </is>
      </c>
      <c r="E2490" t="inlineStr">
        <is>
          <t>Europe</t>
        </is>
      </c>
      <c r="F2490" t="inlineStr">
        <is>
          <t>Germany</t>
        </is>
      </c>
      <c r="G2490" t="inlineStr">
        <is>
          <t>Eliquis</t>
        </is>
      </c>
      <c r="H2490" t="inlineStr">
        <is>
          <t>Hospital</t>
        </is>
      </c>
      <c r="I2490" t="inlineStr">
        <is>
          <t>Private insurer</t>
        </is>
      </c>
      <c r="J2490" t="inlineStr">
        <is>
          <t>Lucas Martin</t>
        </is>
      </c>
      <c r="K2490" s="70" t="n">
        <v>814</v>
      </c>
      <c r="L2490" s="71" t="n">
        <v>398.93</v>
      </c>
      <c r="M2490" s="71" t="n">
        <v>324729.02</v>
      </c>
      <c r="N2490" s="71" t="n">
        <v>48709.35</v>
      </c>
      <c r="O2490" s="71" t="n">
        <v>276019.67</v>
      </c>
      <c r="P2490" s="71" t="n">
        <v>61903.69</v>
      </c>
      <c r="Q2490" s="71" t="n">
        <v>214115.98</v>
      </c>
      <c r="R2490" t="inlineStr">
        <is>
          <t>Cardiology</t>
        </is>
      </c>
      <c r="S2490" s="70" t="n">
        <v>614</v>
      </c>
      <c r="T2490" s="71" t="n">
        <v>47487.57</v>
      </c>
      <c r="U2490" t="inlineStr">
        <is>
          <t>High</t>
        </is>
      </c>
      <c r="V2490">
        <f>IF(AND(OR(Dashboard!$C$6="All",E2490=Dashboard!$C$6),OR(Dashboard!$F$6="All",G2490=Dashboard!$F$6),OR(Dashboard!$I$6="All",H2490=Dashboard!$I$6)),1,0)</f>
        <v/>
      </c>
    </row>
    <row r="2491">
      <c r="A2491" t="inlineStr">
        <is>
          <t>PF102482</t>
        </is>
      </c>
      <c r="B2491" s="68" t="n">
        <v>45955</v>
      </c>
      <c r="C2491" s="69" t="n">
        <v>2025</v>
      </c>
      <c r="D2491" t="inlineStr">
        <is>
          <t>Oct</t>
        </is>
      </c>
      <c r="E2491" t="inlineStr">
        <is>
          <t>United States</t>
        </is>
      </c>
      <c r="F2491" t="inlineStr">
        <is>
          <t>USA</t>
        </is>
      </c>
      <c r="G2491" t="inlineStr">
        <is>
          <t>Prevnar 20</t>
        </is>
      </c>
      <c r="H2491" t="inlineStr">
        <is>
          <t>Retail pharmacy</t>
        </is>
      </c>
      <c r="I2491" t="inlineStr">
        <is>
          <t>Private insurer</t>
        </is>
      </c>
      <c r="J2491" t="inlineStr">
        <is>
          <t>Liam O'Brien</t>
        </is>
      </c>
      <c r="K2491" s="70" t="n">
        <v>2521</v>
      </c>
      <c r="L2491" s="71" t="n">
        <v>340.5</v>
      </c>
      <c r="M2491" s="71" t="n">
        <v>858400.5</v>
      </c>
      <c r="N2491" s="71" t="n">
        <v>214600.12</v>
      </c>
      <c r="O2491" s="71" t="n">
        <v>643800.38</v>
      </c>
      <c r="P2491" s="71" t="n">
        <v>177956.12</v>
      </c>
      <c r="Q2491" s="71" t="n">
        <v>465844.26</v>
      </c>
      <c r="R2491" t="inlineStr">
        <is>
          <t>Vaccines</t>
        </is>
      </c>
      <c r="S2491" s="70" t="n">
        <v>1787</v>
      </c>
      <c r="T2491" s="71" t="n">
        <v>121287.57</v>
      </c>
      <c r="U2491" t="inlineStr">
        <is>
          <t>Low</t>
        </is>
      </c>
      <c r="V2491">
        <f>IF(AND(OR(Dashboard!$C$6="All",E2491=Dashboard!$C$6),OR(Dashboard!$F$6="All",G2491=Dashboard!$F$6),OR(Dashboard!$I$6="All",H2491=Dashboard!$I$6)),1,0)</f>
        <v/>
      </c>
    </row>
    <row r="2492">
      <c r="A2492" t="inlineStr">
        <is>
          <t>PF102483</t>
        </is>
      </c>
      <c r="B2492" s="68" t="n">
        <v>45955</v>
      </c>
      <c r="C2492" s="69" t="n">
        <v>2025</v>
      </c>
      <c r="D2492" t="inlineStr">
        <is>
          <t>Oct</t>
        </is>
      </c>
      <c r="E2492" t="inlineStr">
        <is>
          <t>Emerging markets</t>
        </is>
      </c>
      <c r="F2492" t="inlineStr">
        <is>
          <t>India</t>
        </is>
      </c>
      <c r="G2492" t="inlineStr">
        <is>
          <t>Paxlovid</t>
        </is>
      </c>
      <c r="H2492" t="inlineStr">
        <is>
          <t>Retail pharmacy</t>
        </is>
      </c>
      <c r="I2492" t="inlineStr">
        <is>
          <t>Public payer</t>
        </is>
      </c>
      <c r="J2492" t="inlineStr">
        <is>
          <t>Ana Costa</t>
        </is>
      </c>
      <c r="K2492" s="70" t="n">
        <v>2204</v>
      </c>
      <c r="L2492" s="71" t="n">
        <v>1076.16</v>
      </c>
      <c r="M2492" s="71" t="n">
        <v>2371856.64</v>
      </c>
      <c r="N2492" s="71" t="n">
        <v>118592.83</v>
      </c>
      <c r="O2492" s="71" t="n">
        <v>2253263.81</v>
      </c>
      <c r="P2492" s="71" t="n">
        <v>582042.89</v>
      </c>
      <c r="Q2492" s="71" t="n">
        <v>1671220.92</v>
      </c>
      <c r="R2492" t="inlineStr">
        <is>
          <t>Antiviral</t>
        </is>
      </c>
      <c r="S2492" s="70" t="n">
        <v>1787</v>
      </c>
      <c r="T2492" s="71" t="n">
        <v>329268.2</v>
      </c>
      <c r="U2492" t="inlineStr">
        <is>
          <t>Low</t>
        </is>
      </c>
      <c r="V2492">
        <f>IF(AND(OR(Dashboard!$C$6="All",E2492=Dashboard!$C$6),OR(Dashboard!$F$6="All",G2492=Dashboard!$F$6),OR(Dashboard!$I$6="All",H2492=Dashboard!$I$6)),1,0)</f>
        <v/>
      </c>
    </row>
    <row r="2493">
      <c r="A2493" t="inlineStr">
        <is>
          <t>PF102484</t>
        </is>
      </c>
      <c r="B2493" s="68" t="n">
        <v>45955</v>
      </c>
      <c r="C2493" s="69" t="n">
        <v>2025</v>
      </c>
      <c r="D2493" t="inlineStr">
        <is>
          <t>Oct</t>
        </is>
      </c>
      <c r="E2493" t="inlineStr">
        <is>
          <t>Emerging markets</t>
        </is>
      </c>
      <c r="F2493" t="inlineStr">
        <is>
          <t>China</t>
        </is>
      </c>
      <c r="G2493" t="inlineStr">
        <is>
          <t>Prevnar 20</t>
        </is>
      </c>
      <c r="H2493" t="inlineStr">
        <is>
          <t>Government / tender</t>
        </is>
      </c>
      <c r="I2493" t="inlineStr">
        <is>
          <t>Private insurer</t>
        </is>
      </c>
      <c r="J2493" t="inlineStr">
        <is>
          <t>Sophie Müller</t>
        </is>
      </c>
      <c r="K2493" s="70" t="n">
        <v>3087</v>
      </c>
      <c r="L2493" s="71" t="n">
        <v>228.29</v>
      </c>
      <c r="M2493" s="71" t="n">
        <v>704731.23</v>
      </c>
      <c r="N2493" s="71" t="n">
        <v>35236.56</v>
      </c>
      <c r="O2493" s="71" t="n">
        <v>669494.67</v>
      </c>
      <c r="P2493" s="71" t="n">
        <v>212340.31</v>
      </c>
      <c r="Q2493" s="71" t="n">
        <v>457154.36</v>
      </c>
      <c r="R2493" t="inlineStr">
        <is>
          <t>Vaccines</t>
        </is>
      </c>
      <c r="S2493" s="70" t="n">
        <v>3083</v>
      </c>
      <c r="T2493" s="71" t="n">
        <v>97564.55</v>
      </c>
      <c r="U2493" t="inlineStr">
        <is>
          <t>Low</t>
        </is>
      </c>
      <c r="V2493">
        <f>IF(AND(OR(Dashboard!$C$6="All",E2493=Dashboard!$C$6),OR(Dashboard!$F$6="All",G2493=Dashboard!$F$6),OR(Dashboard!$I$6="All",H2493=Dashboard!$I$6)),1,0)</f>
        <v/>
      </c>
    </row>
    <row r="2494">
      <c r="A2494" t="inlineStr">
        <is>
          <t>PF102485</t>
        </is>
      </c>
      <c r="B2494" s="68" t="n">
        <v>45955</v>
      </c>
      <c r="C2494" s="69" t="n">
        <v>2025</v>
      </c>
      <c r="D2494" t="inlineStr">
        <is>
          <t>Oct</t>
        </is>
      </c>
      <c r="E2494" t="inlineStr">
        <is>
          <t>Europe</t>
        </is>
      </c>
      <c r="F2494" t="inlineStr">
        <is>
          <t>Spain</t>
        </is>
      </c>
      <c r="G2494" t="inlineStr">
        <is>
          <t>Paxlovid</t>
        </is>
      </c>
      <c r="H2494" t="inlineStr">
        <is>
          <t>Retail pharmacy</t>
        </is>
      </c>
      <c r="I2494" t="inlineStr">
        <is>
          <t>Public payer</t>
        </is>
      </c>
      <c r="J2494" t="inlineStr">
        <is>
          <t>Zoya Ahmed</t>
        </is>
      </c>
      <c r="K2494" s="70" t="n">
        <v>533</v>
      </c>
      <c r="L2494" s="71" t="n">
        <v>1196.78</v>
      </c>
      <c r="M2494" s="71" t="n">
        <v>637883.74</v>
      </c>
      <c r="N2494" s="71" t="n">
        <v>63788.37</v>
      </c>
      <c r="O2494" s="71" t="n">
        <v>574095.37</v>
      </c>
      <c r="P2494" s="71" t="n">
        <v>142647.46</v>
      </c>
      <c r="Q2494" s="71" t="n">
        <v>431447.91</v>
      </c>
      <c r="R2494" t="inlineStr">
        <is>
          <t>Antiviral</t>
        </is>
      </c>
      <c r="S2494" s="70" t="n">
        <v>370</v>
      </c>
      <c r="T2494" s="71" t="n">
        <v>78847.09</v>
      </c>
      <c r="U2494" t="inlineStr">
        <is>
          <t>Low</t>
        </is>
      </c>
      <c r="V2494">
        <f>IF(AND(OR(Dashboard!$C$6="All",E2494=Dashboard!$C$6),OR(Dashboard!$F$6="All",G2494=Dashboard!$F$6),OR(Dashboard!$I$6="All",H2494=Dashboard!$I$6)),1,0)</f>
        <v/>
      </c>
    </row>
    <row r="2495">
      <c r="A2495" t="inlineStr">
        <is>
          <t>PF102486</t>
        </is>
      </c>
      <c r="B2495" s="68" t="n">
        <v>45956</v>
      </c>
      <c r="C2495" s="69" t="n">
        <v>2025</v>
      </c>
      <c r="D2495" t="inlineStr">
        <is>
          <t>Oct</t>
        </is>
      </c>
      <c r="E2495" t="inlineStr">
        <is>
          <t>United States</t>
        </is>
      </c>
      <c r="F2495" t="inlineStr">
        <is>
          <t>USA</t>
        </is>
      </c>
      <c r="G2495" t="inlineStr">
        <is>
          <t>Abrysvo</t>
        </is>
      </c>
      <c r="H2495" t="inlineStr">
        <is>
          <t>Hospital</t>
        </is>
      </c>
      <c r="I2495" t="inlineStr">
        <is>
          <t>Public payer</t>
        </is>
      </c>
      <c r="J2495" t="inlineStr">
        <is>
          <t>Olivia Brown</t>
        </is>
      </c>
      <c r="K2495" s="70" t="n">
        <v>2906</v>
      </c>
      <c r="L2495" s="71" t="n">
        <v>424.83</v>
      </c>
      <c r="M2495" s="71" t="n">
        <v>1234555.98</v>
      </c>
      <c r="N2495" s="71" t="n">
        <v>185183.4</v>
      </c>
      <c r="O2495" s="71" t="n">
        <v>1049372.58</v>
      </c>
      <c r="P2495" s="71" t="n">
        <v>236720.11</v>
      </c>
      <c r="Q2495" s="71" t="n">
        <v>812652.47</v>
      </c>
      <c r="R2495" t="inlineStr">
        <is>
          <t>Vaccines</t>
        </is>
      </c>
      <c r="S2495" s="70" t="n">
        <v>2517</v>
      </c>
      <c r="T2495" s="71" t="n">
        <v>220778.15</v>
      </c>
      <c r="U2495" t="inlineStr">
        <is>
          <t>Low</t>
        </is>
      </c>
      <c r="V2495">
        <f>IF(AND(OR(Dashboard!$C$6="All",E2495=Dashboard!$C$6),OR(Dashboard!$F$6="All",G2495=Dashboard!$F$6),OR(Dashboard!$I$6="All",H2495=Dashboard!$I$6)),1,0)</f>
        <v/>
      </c>
    </row>
    <row r="2496">
      <c r="A2496" t="inlineStr">
        <is>
          <t>PF102487</t>
        </is>
      </c>
      <c r="B2496" s="68" t="n">
        <v>45956</v>
      </c>
      <c r="C2496" s="69" t="n">
        <v>2025</v>
      </c>
      <c r="D2496" t="inlineStr">
        <is>
          <t>Oct</t>
        </is>
      </c>
      <c r="E2496" t="inlineStr">
        <is>
          <t>United States</t>
        </is>
      </c>
      <c r="F2496" t="inlineStr">
        <is>
          <t>USA</t>
        </is>
      </c>
      <c r="G2496" t="inlineStr">
        <is>
          <t>Vyndaqel</t>
        </is>
      </c>
      <c r="H2496" t="inlineStr">
        <is>
          <t>Retail pharmacy</t>
        </is>
      </c>
      <c r="I2496" t="inlineStr">
        <is>
          <t>Public payer</t>
        </is>
      </c>
      <c r="J2496" t="inlineStr">
        <is>
          <t>Yuki Sato</t>
        </is>
      </c>
      <c r="K2496" s="70" t="n">
        <v>386</v>
      </c>
      <c r="L2496" s="71" t="n">
        <v>8601.26</v>
      </c>
      <c r="M2496" s="71" t="n">
        <v>3320086.36</v>
      </c>
      <c r="N2496" s="71" t="n">
        <v>1162030.23</v>
      </c>
      <c r="O2496" s="71" t="n">
        <v>2158056.13</v>
      </c>
      <c r="P2496" s="71" t="n">
        <v>242549.43</v>
      </c>
      <c r="Q2496" s="71" t="n">
        <v>1915506.7</v>
      </c>
      <c r="R2496" t="inlineStr">
        <is>
          <t>Rare disease</t>
        </is>
      </c>
      <c r="S2496" s="70" t="n">
        <v>256</v>
      </c>
      <c r="T2496" s="71" t="n">
        <v>608365.51</v>
      </c>
      <c r="U2496" t="inlineStr">
        <is>
          <t>Medium</t>
        </is>
      </c>
      <c r="V2496">
        <f>IF(AND(OR(Dashboard!$C$6="All",E2496=Dashboard!$C$6),OR(Dashboard!$F$6="All",G2496=Dashboard!$F$6),OR(Dashboard!$I$6="All",H2496=Dashboard!$I$6)),1,0)</f>
        <v/>
      </c>
    </row>
    <row r="2497">
      <c r="A2497" t="inlineStr">
        <is>
          <t>PF102488</t>
        </is>
      </c>
      <c r="B2497" s="68" t="n">
        <v>45956</v>
      </c>
      <c r="C2497" s="69" t="n">
        <v>2025</v>
      </c>
      <c r="D2497" t="inlineStr">
        <is>
          <t>Oct</t>
        </is>
      </c>
      <c r="E2497" t="inlineStr">
        <is>
          <t>Europe</t>
        </is>
      </c>
      <c r="F2497" t="inlineStr">
        <is>
          <t>Italy</t>
        </is>
      </c>
      <c r="G2497" t="inlineStr">
        <is>
          <t>Eliquis</t>
        </is>
      </c>
      <c r="H2497" t="inlineStr">
        <is>
          <t>Retail pharmacy</t>
        </is>
      </c>
      <c r="I2497" t="inlineStr">
        <is>
          <t>Public payer</t>
        </is>
      </c>
      <c r="J2497" t="inlineStr">
        <is>
          <t>Amir Khan</t>
        </is>
      </c>
      <c r="K2497" s="70" t="n">
        <v>1890</v>
      </c>
      <c r="L2497" s="71" t="n">
        <v>407.73</v>
      </c>
      <c r="M2497" s="71" t="n">
        <v>770609.7</v>
      </c>
      <c r="N2497" s="71" t="n">
        <v>77060.97</v>
      </c>
      <c r="O2497" s="71" t="n">
        <v>693548.73</v>
      </c>
      <c r="P2497" s="71" t="n">
        <v>145866.39</v>
      </c>
      <c r="Q2497" s="71" t="n">
        <v>547682.34</v>
      </c>
      <c r="R2497" t="inlineStr">
        <is>
          <t>Cardiology</t>
        </is>
      </c>
      <c r="S2497" s="70" t="n">
        <v>1188</v>
      </c>
      <c r="T2497" s="71" t="n">
        <v>129146.06</v>
      </c>
      <c r="U2497" t="inlineStr">
        <is>
          <t>High</t>
        </is>
      </c>
      <c r="V2497">
        <f>IF(AND(OR(Dashboard!$C$6="All",E2497=Dashboard!$C$6),OR(Dashboard!$F$6="All",G2497=Dashboard!$F$6),OR(Dashboard!$I$6="All",H2497=Dashboard!$I$6)),1,0)</f>
        <v/>
      </c>
    </row>
    <row r="2498">
      <c r="A2498" t="inlineStr">
        <is>
          <t>PF102489</t>
        </is>
      </c>
      <c r="B2498" s="68" t="n">
        <v>45956</v>
      </c>
      <c r="C2498" s="69" t="n">
        <v>2025</v>
      </c>
      <c r="D2498" t="inlineStr">
        <is>
          <t>Oct</t>
        </is>
      </c>
      <c r="E2498" t="inlineStr">
        <is>
          <t>Europe</t>
        </is>
      </c>
      <c r="F2498" t="inlineStr">
        <is>
          <t>Spain</t>
        </is>
      </c>
      <c r="G2498" t="inlineStr">
        <is>
          <t>Prevnar 20</t>
        </is>
      </c>
      <c r="H2498" t="inlineStr">
        <is>
          <t>Retail pharmacy</t>
        </is>
      </c>
      <c r="I2498" t="inlineStr">
        <is>
          <t>Private insurer</t>
        </is>
      </c>
      <c r="J2498" t="inlineStr">
        <is>
          <t>Liam O'Brien</t>
        </is>
      </c>
      <c r="K2498" s="70" t="n">
        <v>1464</v>
      </c>
      <c r="L2498" s="71" t="n">
        <v>227.32</v>
      </c>
      <c r="M2498" s="71" t="n">
        <v>332796.48</v>
      </c>
      <c r="N2498" s="71" t="n">
        <v>49919.47</v>
      </c>
      <c r="O2498" s="71" t="n">
        <v>282877.01</v>
      </c>
      <c r="P2498" s="71" t="n">
        <v>98701.49000000001</v>
      </c>
      <c r="Q2498" s="71" t="n">
        <v>184175.52</v>
      </c>
      <c r="R2498" t="inlineStr">
        <is>
          <t>Vaccines</t>
        </is>
      </c>
      <c r="S2498" s="70" t="n">
        <v>948</v>
      </c>
      <c r="T2498" s="71" t="n">
        <v>66196.44</v>
      </c>
      <c r="U2498" t="inlineStr">
        <is>
          <t>Low</t>
        </is>
      </c>
      <c r="V2498">
        <f>IF(AND(OR(Dashboard!$C$6="All",E2498=Dashboard!$C$6),OR(Dashboard!$F$6="All",G2498=Dashboard!$F$6),OR(Dashboard!$I$6="All",H2498=Dashboard!$I$6)),1,0)</f>
        <v/>
      </c>
    </row>
    <row r="2499">
      <c r="A2499" t="inlineStr">
        <is>
          <t>PF102490</t>
        </is>
      </c>
      <c r="B2499" s="68" t="n">
        <v>45957</v>
      </c>
      <c r="C2499" s="69" t="n">
        <v>2025</v>
      </c>
      <c r="D2499" t="inlineStr">
        <is>
          <t>Oct</t>
        </is>
      </c>
      <c r="E2499" t="inlineStr">
        <is>
          <t>Europe</t>
        </is>
      </c>
      <c r="F2499" t="inlineStr">
        <is>
          <t>UK</t>
        </is>
      </c>
      <c r="G2499" t="inlineStr">
        <is>
          <t>Comirnaty</t>
        </is>
      </c>
      <c r="H2499" t="inlineStr">
        <is>
          <t>Retail pharmacy</t>
        </is>
      </c>
      <c r="I2499" t="inlineStr">
        <is>
          <t>Private insurer</t>
        </is>
      </c>
      <c r="J2499" t="inlineStr">
        <is>
          <t>Wei Chen</t>
        </is>
      </c>
      <c r="K2499" s="70" t="n">
        <v>2933</v>
      </c>
      <c r="L2499" s="71" t="n">
        <v>120.06</v>
      </c>
      <c r="M2499" s="71" t="n">
        <v>352135.98</v>
      </c>
      <c r="N2499" s="71" t="n">
        <v>70427.2</v>
      </c>
      <c r="O2499" s="71" t="n">
        <v>281708.78</v>
      </c>
      <c r="P2499" s="71" t="n">
        <v>110622.19</v>
      </c>
      <c r="Q2499" s="71" t="n">
        <v>171086.59</v>
      </c>
      <c r="R2499" t="inlineStr">
        <is>
          <t>Vaccines</t>
        </is>
      </c>
      <c r="S2499" s="70" t="n">
        <v>2225</v>
      </c>
      <c r="T2499" s="71" t="n">
        <v>48013.65</v>
      </c>
      <c r="U2499" t="inlineStr">
        <is>
          <t>Low</t>
        </is>
      </c>
      <c r="V2499">
        <f>IF(AND(OR(Dashboard!$C$6="All",E2499=Dashboard!$C$6),OR(Dashboard!$F$6="All",G2499=Dashboard!$F$6),OR(Dashboard!$I$6="All",H2499=Dashboard!$I$6)),1,0)</f>
        <v/>
      </c>
    </row>
    <row r="2500">
      <c r="A2500" t="inlineStr">
        <is>
          <t>PF102491</t>
        </is>
      </c>
      <c r="B2500" s="68" t="n">
        <v>45957</v>
      </c>
      <c r="C2500" s="69" t="n">
        <v>2025</v>
      </c>
      <c r="D2500" t="inlineStr">
        <is>
          <t>Oct</t>
        </is>
      </c>
      <c r="E2500" t="inlineStr">
        <is>
          <t>United States</t>
        </is>
      </c>
      <c r="F2500" t="inlineStr">
        <is>
          <t>USA</t>
        </is>
      </c>
      <c r="G2500" t="inlineStr">
        <is>
          <t>Xeljanz</t>
        </is>
      </c>
      <c r="H2500" t="inlineStr">
        <is>
          <t>Government / tender</t>
        </is>
      </c>
      <c r="I2500" t="inlineStr">
        <is>
          <t>Private insurer</t>
        </is>
      </c>
      <c r="J2500" t="inlineStr">
        <is>
          <t>Sophie Müller</t>
        </is>
      </c>
      <c r="K2500" s="70" t="n">
        <v>258</v>
      </c>
      <c r="L2500" s="71" t="n">
        <v>2293.06</v>
      </c>
      <c r="M2500" s="71" t="n">
        <v>591609.48</v>
      </c>
      <c r="N2500" s="71" t="n">
        <v>207063.32</v>
      </c>
      <c r="O2500" s="71" t="n">
        <v>384546.16</v>
      </c>
      <c r="P2500" s="71" t="n">
        <v>66956.50999999999</v>
      </c>
      <c r="Q2500" s="71" t="n">
        <v>317589.65</v>
      </c>
      <c r="R2500" t="inlineStr">
        <is>
          <t>Inflammation</t>
        </is>
      </c>
      <c r="S2500" s="70" t="n">
        <v>173</v>
      </c>
      <c r="T2500" s="71" t="n">
        <v>113423.46</v>
      </c>
      <c r="U2500" t="inlineStr">
        <is>
          <t>High</t>
        </is>
      </c>
      <c r="V2500">
        <f>IF(AND(OR(Dashboard!$C$6="All",E2500=Dashboard!$C$6),OR(Dashboard!$F$6="All",G2500=Dashboard!$F$6),OR(Dashboard!$I$6="All",H2500=Dashboard!$I$6)),1,0)</f>
        <v/>
      </c>
    </row>
    <row r="2501">
      <c r="A2501" t="inlineStr">
        <is>
          <t>PF102492</t>
        </is>
      </c>
      <c r="B2501" s="68" t="n">
        <v>45957</v>
      </c>
      <c r="C2501" s="69" t="n">
        <v>2025</v>
      </c>
      <c r="D2501" t="inlineStr">
        <is>
          <t>Oct</t>
        </is>
      </c>
      <c r="E2501" t="inlineStr">
        <is>
          <t>Europe</t>
        </is>
      </c>
      <c r="F2501" t="inlineStr">
        <is>
          <t>Italy</t>
        </is>
      </c>
      <c r="G2501" t="inlineStr">
        <is>
          <t>Abrysvo</t>
        </is>
      </c>
      <c r="H2501" t="inlineStr">
        <is>
          <t>Hospital</t>
        </is>
      </c>
      <c r="I2501" t="inlineStr">
        <is>
          <t>Private insurer</t>
        </is>
      </c>
      <c r="J2501" t="inlineStr">
        <is>
          <t>Kofi Mensah</t>
        </is>
      </c>
      <c r="K2501" s="70" t="n">
        <v>104</v>
      </c>
      <c r="L2501" s="71" t="n">
        <v>255.65</v>
      </c>
      <c r="M2501" s="71" t="n">
        <v>26587.6</v>
      </c>
      <c r="N2501" s="71" t="n">
        <v>6646.9</v>
      </c>
      <c r="O2501" s="71" t="n">
        <v>19940.7</v>
      </c>
      <c r="P2501" s="71" t="n">
        <v>8488.469999999999</v>
      </c>
      <c r="Q2501" s="71" t="n">
        <v>11452.23</v>
      </c>
      <c r="R2501" t="inlineStr">
        <is>
          <t>Vaccines</t>
        </is>
      </c>
      <c r="S2501" s="70" t="n">
        <v>97</v>
      </c>
      <c r="T2501" s="71" t="n">
        <v>5687.1</v>
      </c>
      <c r="U2501" t="inlineStr">
        <is>
          <t>Low</t>
        </is>
      </c>
      <c r="V2501">
        <f>IF(AND(OR(Dashboard!$C$6="All",E2501=Dashboard!$C$6),OR(Dashboard!$F$6="All",G2501=Dashboard!$F$6),OR(Dashboard!$I$6="All",H2501=Dashboard!$I$6)),1,0)</f>
        <v/>
      </c>
    </row>
    <row r="2502">
      <c r="A2502" t="inlineStr">
        <is>
          <t>PF102493</t>
        </is>
      </c>
      <c r="B2502" s="68" t="n">
        <v>45957</v>
      </c>
      <c r="C2502" s="69" t="n">
        <v>2025</v>
      </c>
      <c r="D2502" t="inlineStr">
        <is>
          <t>Oct</t>
        </is>
      </c>
      <c r="E2502" t="inlineStr">
        <is>
          <t>Europe</t>
        </is>
      </c>
      <c r="F2502" t="inlineStr">
        <is>
          <t>UK</t>
        </is>
      </c>
      <c r="G2502" t="inlineStr">
        <is>
          <t>Vyndaqel</t>
        </is>
      </c>
      <c r="H2502" t="inlineStr">
        <is>
          <t>Retail pharmacy</t>
        </is>
      </c>
      <c r="I2502" t="inlineStr">
        <is>
          <t>Private insurer</t>
        </is>
      </c>
      <c r="J2502" t="inlineStr">
        <is>
          <t>Fatima Al-Saud</t>
        </is>
      </c>
      <c r="K2502" s="70" t="n">
        <v>776</v>
      </c>
      <c r="L2502" s="71" t="n">
        <v>5559.15</v>
      </c>
      <c r="M2502" s="71" t="n">
        <v>4313900.4</v>
      </c>
      <c r="N2502" s="71" t="n">
        <v>647085.0600000001</v>
      </c>
      <c r="O2502" s="71" t="n">
        <v>3666815.34</v>
      </c>
      <c r="P2502" s="71" t="n">
        <v>502668.29</v>
      </c>
      <c r="Q2502" s="71" t="n">
        <v>3164147.05</v>
      </c>
      <c r="R2502" t="inlineStr">
        <is>
          <t>Rare disease</t>
        </is>
      </c>
      <c r="S2502" s="70" t="n">
        <v>720</v>
      </c>
      <c r="T2502" s="71" t="n">
        <v>598554.72</v>
      </c>
      <c r="U2502" t="inlineStr">
        <is>
          <t>Medium</t>
        </is>
      </c>
      <c r="V2502">
        <f>IF(AND(OR(Dashboard!$C$6="All",E2502=Dashboard!$C$6),OR(Dashboard!$F$6="All",G2502=Dashboard!$F$6),OR(Dashboard!$I$6="All",H2502=Dashboard!$I$6)),1,0)</f>
        <v/>
      </c>
    </row>
    <row r="2503">
      <c r="A2503" t="inlineStr">
        <is>
          <t>PF102494</t>
        </is>
      </c>
      <c r="B2503" s="68" t="n">
        <v>45957</v>
      </c>
      <c r="C2503" s="69" t="n">
        <v>2025</v>
      </c>
      <c r="D2503" t="inlineStr">
        <is>
          <t>Oct</t>
        </is>
      </c>
      <c r="E2503" t="inlineStr">
        <is>
          <t>Emerging markets</t>
        </is>
      </c>
      <c r="F2503" t="inlineStr">
        <is>
          <t>Mexico</t>
        </is>
      </c>
      <c r="G2503" t="inlineStr">
        <is>
          <t>Eliquis</t>
        </is>
      </c>
      <c r="H2503" t="inlineStr">
        <is>
          <t>Retail pharmacy</t>
        </is>
      </c>
      <c r="I2503" t="inlineStr">
        <is>
          <t>Self-pay</t>
        </is>
      </c>
      <c r="J2503" t="inlineStr">
        <is>
          <t>Kofi Mensah</t>
        </is>
      </c>
      <c r="K2503" s="70" t="n">
        <v>2169</v>
      </c>
      <c r="L2503" s="71" t="n">
        <v>450.31</v>
      </c>
      <c r="M2503" s="71" t="n">
        <v>976722.39</v>
      </c>
      <c r="N2503" s="71" t="n">
        <v>97672.24000000001</v>
      </c>
      <c r="O2503" s="71" t="n">
        <v>879050.15</v>
      </c>
      <c r="P2503" s="71" t="n">
        <v>167480.04</v>
      </c>
      <c r="Q2503" s="71" t="n">
        <v>711570.11</v>
      </c>
      <c r="R2503" t="inlineStr">
        <is>
          <t>Cardiology</t>
        </is>
      </c>
      <c r="S2503" s="70" t="n">
        <v>1381</v>
      </c>
      <c r="T2503" s="71" t="n">
        <v>159307.48</v>
      </c>
      <c r="U2503" t="inlineStr">
        <is>
          <t>High</t>
        </is>
      </c>
      <c r="V2503">
        <f>IF(AND(OR(Dashboard!$C$6="All",E2503=Dashboard!$C$6),OR(Dashboard!$F$6="All",G2503=Dashboard!$F$6),OR(Dashboard!$I$6="All",H2503=Dashboard!$I$6)),1,0)</f>
        <v/>
      </c>
    </row>
    <row r="2504">
      <c r="A2504" t="inlineStr">
        <is>
          <t>PF102495</t>
        </is>
      </c>
      <c r="B2504" s="68" t="n">
        <v>45957</v>
      </c>
      <c r="C2504" s="69" t="n">
        <v>2025</v>
      </c>
      <c r="D2504" t="inlineStr">
        <is>
          <t>Oct</t>
        </is>
      </c>
      <c r="E2504" t="inlineStr">
        <is>
          <t>United States</t>
        </is>
      </c>
      <c r="F2504" t="inlineStr">
        <is>
          <t>USA</t>
        </is>
      </c>
      <c r="G2504" t="inlineStr">
        <is>
          <t>Ibrance</t>
        </is>
      </c>
      <c r="H2504" t="inlineStr">
        <is>
          <t>Retail pharmacy</t>
        </is>
      </c>
      <c r="I2504" t="inlineStr">
        <is>
          <t>Public payer</t>
        </is>
      </c>
      <c r="J2504" t="inlineStr">
        <is>
          <t>Omar Haddad</t>
        </is>
      </c>
      <c r="K2504" s="70" t="n">
        <v>2209</v>
      </c>
      <c r="L2504" s="71" t="n">
        <v>4611.98</v>
      </c>
      <c r="M2504" s="71" t="n">
        <v>10187863.82</v>
      </c>
      <c r="N2504" s="71" t="n">
        <v>2037572.76</v>
      </c>
      <c r="O2504" s="71" t="n">
        <v>8150291.06</v>
      </c>
      <c r="P2504" s="71" t="n">
        <v>935380.47</v>
      </c>
      <c r="Q2504" s="71" t="n">
        <v>7214910.59</v>
      </c>
      <c r="R2504" t="inlineStr">
        <is>
          <t>Oncology</t>
        </is>
      </c>
      <c r="S2504" s="70" t="n">
        <v>1776</v>
      </c>
      <c r="T2504" s="71" t="n">
        <v>2106005.92</v>
      </c>
      <c r="U2504" t="inlineStr">
        <is>
          <t>High</t>
        </is>
      </c>
      <c r="V2504">
        <f>IF(AND(OR(Dashboard!$C$6="All",E2504=Dashboard!$C$6),OR(Dashboard!$F$6="All",G2504=Dashboard!$F$6),OR(Dashboard!$I$6="All",H2504=Dashboard!$I$6)),1,0)</f>
        <v/>
      </c>
    </row>
    <row r="2505">
      <c r="A2505" t="inlineStr">
        <is>
          <t>PF102496</t>
        </is>
      </c>
      <c r="B2505" s="68" t="n">
        <v>45957</v>
      </c>
      <c r="C2505" s="69" t="n">
        <v>2025</v>
      </c>
      <c r="D2505" t="inlineStr">
        <is>
          <t>Oct</t>
        </is>
      </c>
      <c r="E2505" t="inlineStr">
        <is>
          <t>United States</t>
        </is>
      </c>
      <c r="F2505" t="inlineStr">
        <is>
          <t>USA</t>
        </is>
      </c>
      <c r="G2505" t="inlineStr">
        <is>
          <t>Comirnaty</t>
        </is>
      </c>
      <c r="H2505" t="inlineStr">
        <is>
          <t>Retail pharmacy</t>
        </is>
      </c>
      <c r="I2505" t="inlineStr">
        <is>
          <t>Private insurer</t>
        </is>
      </c>
      <c r="J2505" t="inlineStr">
        <is>
          <t>Ana Costa</t>
        </is>
      </c>
      <c r="K2505" s="70" t="n">
        <v>1078</v>
      </c>
      <c r="L2505" s="71" t="n">
        <v>173.17</v>
      </c>
      <c r="M2505" s="71" t="n">
        <v>186677.26</v>
      </c>
      <c r="N2505" s="71" t="n">
        <v>37335.45</v>
      </c>
      <c r="O2505" s="71" t="n">
        <v>149341.81</v>
      </c>
      <c r="P2505" s="71" t="n">
        <v>41625.68</v>
      </c>
      <c r="Q2505" s="71" t="n">
        <v>107716.13</v>
      </c>
      <c r="R2505" t="inlineStr">
        <is>
          <t>Vaccines</t>
        </is>
      </c>
      <c r="S2505" s="70" t="n">
        <v>1070</v>
      </c>
      <c r="T2505" s="71" t="n">
        <v>40964.3</v>
      </c>
      <c r="U2505" t="inlineStr">
        <is>
          <t>Low</t>
        </is>
      </c>
      <c r="V2505">
        <f>IF(AND(OR(Dashboard!$C$6="All",E2505=Dashboard!$C$6),OR(Dashboard!$F$6="All",G2505=Dashboard!$F$6),OR(Dashboard!$I$6="All",H2505=Dashboard!$I$6)),1,0)</f>
        <v/>
      </c>
    </row>
    <row r="2506">
      <c r="A2506" t="inlineStr">
        <is>
          <t>PF102497</t>
        </is>
      </c>
      <c r="B2506" s="68" t="n">
        <v>45957</v>
      </c>
      <c r="C2506" s="69" t="n">
        <v>2025</v>
      </c>
      <c r="D2506" t="inlineStr">
        <is>
          <t>Oct</t>
        </is>
      </c>
      <c r="E2506" t="inlineStr">
        <is>
          <t>Europe</t>
        </is>
      </c>
      <c r="F2506" t="inlineStr">
        <is>
          <t>Spain</t>
        </is>
      </c>
      <c r="G2506" t="inlineStr">
        <is>
          <t>Prevnar 20</t>
        </is>
      </c>
      <c r="H2506" t="inlineStr">
        <is>
          <t>Retail pharmacy</t>
        </is>
      </c>
      <c r="I2506" t="inlineStr">
        <is>
          <t>Private insurer</t>
        </is>
      </c>
      <c r="J2506" t="inlineStr">
        <is>
          <t>Aisha Bello</t>
        </is>
      </c>
      <c r="K2506" s="70" t="n">
        <v>543</v>
      </c>
      <c r="L2506" s="71" t="n">
        <v>214.68</v>
      </c>
      <c r="M2506" s="71" t="n">
        <v>116571.24</v>
      </c>
      <c r="N2506" s="71" t="n">
        <v>11657.12</v>
      </c>
      <c r="O2506" s="71" t="n">
        <v>104914.12</v>
      </c>
      <c r="P2506" s="71" t="n">
        <v>37989.41</v>
      </c>
      <c r="Q2506" s="71" t="n">
        <v>66924.71000000001</v>
      </c>
      <c r="R2506" t="inlineStr">
        <is>
          <t>Vaccines</t>
        </is>
      </c>
      <c r="S2506" s="70" t="n">
        <v>443</v>
      </c>
      <c r="T2506" s="71" t="n">
        <v>16754.24</v>
      </c>
      <c r="U2506" t="inlineStr">
        <is>
          <t>Low</t>
        </is>
      </c>
      <c r="V2506">
        <f>IF(AND(OR(Dashboard!$C$6="All",E2506=Dashboard!$C$6),OR(Dashboard!$F$6="All",G2506=Dashboard!$F$6),OR(Dashboard!$I$6="All",H2506=Dashboard!$I$6)),1,0)</f>
        <v/>
      </c>
    </row>
    <row r="2507">
      <c r="A2507" t="inlineStr">
        <is>
          <t>PF102498</t>
        </is>
      </c>
      <c r="B2507" s="68" t="n">
        <v>45957</v>
      </c>
      <c r="C2507" s="69" t="n">
        <v>2025</v>
      </c>
      <c r="D2507" t="inlineStr">
        <is>
          <t>Oct</t>
        </is>
      </c>
      <c r="E2507" t="inlineStr">
        <is>
          <t>United States</t>
        </is>
      </c>
      <c r="F2507" t="inlineStr">
        <is>
          <t>USA</t>
        </is>
      </c>
      <c r="G2507" t="inlineStr">
        <is>
          <t>Comirnaty</t>
        </is>
      </c>
      <c r="H2507" t="inlineStr">
        <is>
          <t>Hospital</t>
        </is>
      </c>
      <c r="I2507" t="inlineStr">
        <is>
          <t>Private insurer</t>
        </is>
      </c>
      <c r="J2507" t="inlineStr">
        <is>
          <t>Hiroshi Tanaka</t>
        </is>
      </c>
      <c r="K2507" s="70" t="n">
        <v>2066</v>
      </c>
      <c r="L2507" s="71" t="n">
        <v>186.91</v>
      </c>
      <c r="M2507" s="71" t="n">
        <v>386156.06</v>
      </c>
      <c r="N2507" s="71" t="n">
        <v>96539.00999999999</v>
      </c>
      <c r="O2507" s="71" t="n">
        <v>289617.05</v>
      </c>
      <c r="P2507" s="71" t="n">
        <v>80098.72</v>
      </c>
      <c r="Q2507" s="71" t="n">
        <v>209518.33</v>
      </c>
      <c r="R2507" t="inlineStr">
        <is>
          <t>Vaccines</t>
        </is>
      </c>
      <c r="S2507" s="70" t="n">
        <v>1298</v>
      </c>
      <c r="T2507" s="71" t="n">
        <v>72024.72</v>
      </c>
      <c r="U2507" t="inlineStr">
        <is>
          <t>Low</t>
        </is>
      </c>
      <c r="V2507">
        <f>IF(AND(OR(Dashboard!$C$6="All",E2507=Dashboard!$C$6),OR(Dashboard!$F$6="All",G2507=Dashboard!$F$6),OR(Dashboard!$I$6="All",H2507=Dashboard!$I$6)),1,0)</f>
        <v/>
      </c>
    </row>
    <row r="2508">
      <c r="A2508" t="inlineStr">
        <is>
          <t>PF102499</t>
        </is>
      </c>
      <c r="B2508" s="68" t="n">
        <v>45958</v>
      </c>
      <c r="C2508" s="69" t="n">
        <v>2025</v>
      </c>
      <c r="D2508" t="inlineStr">
        <is>
          <t>Oct</t>
        </is>
      </c>
      <c r="E2508" t="inlineStr">
        <is>
          <t>United States</t>
        </is>
      </c>
      <c r="F2508" t="inlineStr">
        <is>
          <t>USA</t>
        </is>
      </c>
      <c r="G2508" t="inlineStr">
        <is>
          <t>Comirnaty</t>
        </is>
      </c>
      <c r="H2508" t="inlineStr">
        <is>
          <t>Retail pharmacy</t>
        </is>
      </c>
      <c r="I2508" t="inlineStr">
        <is>
          <t>Private insurer</t>
        </is>
      </c>
      <c r="J2508" t="inlineStr">
        <is>
          <t>Arjun Mehta</t>
        </is>
      </c>
      <c r="K2508" s="70" t="n">
        <v>2938</v>
      </c>
      <c r="L2508" s="71" t="n">
        <v>184.53</v>
      </c>
      <c r="M2508" s="71" t="n">
        <v>542149.14</v>
      </c>
      <c r="N2508" s="71" t="n">
        <v>108429.83</v>
      </c>
      <c r="O2508" s="71" t="n">
        <v>433719.31</v>
      </c>
      <c r="P2508" s="71" t="n">
        <v>116589.44</v>
      </c>
      <c r="Q2508" s="71" t="n">
        <v>317129.87</v>
      </c>
      <c r="R2508" t="inlineStr">
        <is>
          <t>Vaccines</t>
        </is>
      </c>
      <c r="S2508" s="70" t="n">
        <v>1930</v>
      </c>
      <c r="T2508" s="71" t="n">
        <v>106103.59</v>
      </c>
      <c r="U2508" t="inlineStr">
        <is>
          <t>Low</t>
        </is>
      </c>
      <c r="V2508">
        <f>IF(AND(OR(Dashboard!$C$6="All",E2508=Dashboard!$C$6),OR(Dashboard!$F$6="All",G2508=Dashboard!$F$6),OR(Dashboard!$I$6="All",H2508=Dashboard!$I$6)),1,0)</f>
        <v/>
      </c>
    </row>
    <row r="2509">
      <c r="A2509" t="inlineStr">
        <is>
          <t>PF102500</t>
        </is>
      </c>
      <c r="B2509" s="68" t="n">
        <v>45958</v>
      </c>
      <c r="C2509" s="69" t="n">
        <v>2025</v>
      </c>
      <c r="D2509" t="inlineStr">
        <is>
          <t>Oct</t>
        </is>
      </c>
      <c r="E2509" t="inlineStr">
        <is>
          <t>United States</t>
        </is>
      </c>
      <c r="F2509" t="inlineStr">
        <is>
          <t>USA</t>
        </is>
      </c>
      <c r="G2509" t="inlineStr">
        <is>
          <t>Abrysvo</t>
        </is>
      </c>
      <c r="H2509" t="inlineStr">
        <is>
          <t>Government / tender</t>
        </is>
      </c>
      <c r="I2509" t="inlineStr">
        <is>
          <t>Self-pay</t>
        </is>
      </c>
      <c r="J2509" t="inlineStr">
        <is>
          <t>Wei Chen</t>
        </is>
      </c>
      <c r="K2509" s="70" t="n">
        <v>2736</v>
      </c>
      <c r="L2509" s="71" t="n">
        <v>481.6</v>
      </c>
      <c r="M2509" s="71" t="n">
        <v>1317657.6</v>
      </c>
      <c r="N2509" s="71" t="n">
        <v>263531.52</v>
      </c>
      <c r="O2509" s="71" t="n">
        <v>1054126.08</v>
      </c>
      <c r="P2509" s="71" t="n">
        <v>223605.65</v>
      </c>
      <c r="Q2509" s="71" t="n">
        <v>830520.4300000001</v>
      </c>
      <c r="R2509" t="inlineStr">
        <is>
          <t>Vaccines</t>
        </is>
      </c>
      <c r="S2509" s="70" t="n">
        <v>2732</v>
      </c>
      <c r="T2509" s="71" t="n">
        <v>217475.34</v>
      </c>
      <c r="U2509" t="inlineStr">
        <is>
          <t>Low</t>
        </is>
      </c>
      <c r="V2509">
        <f>IF(AND(OR(Dashboard!$C$6="All",E2509=Dashboard!$C$6),OR(Dashboard!$F$6="All",G2509=Dashboard!$F$6),OR(Dashboard!$I$6="All",H2509=Dashboard!$I$6)),1,0)</f>
        <v/>
      </c>
    </row>
    <row r="2510">
      <c r="A2510" t="inlineStr">
        <is>
          <t>PF102501</t>
        </is>
      </c>
      <c r="B2510" s="68" t="n">
        <v>45958</v>
      </c>
      <c r="C2510" s="69" t="n">
        <v>2025</v>
      </c>
      <c r="D2510" t="inlineStr">
        <is>
          <t>Oct</t>
        </is>
      </c>
      <c r="E2510" t="inlineStr">
        <is>
          <t>Emerging markets</t>
        </is>
      </c>
      <c r="F2510" t="inlineStr">
        <is>
          <t>China</t>
        </is>
      </c>
      <c r="G2510" t="inlineStr">
        <is>
          <t>Paxlovid</t>
        </is>
      </c>
      <c r="H2510" t="inlineStr">
        <is>
          <t>Hospital</t>
        </is>
      </c>
      <c r="I2510" t="inlineStr">
        <is>
          <t>Private insurer</t>
        </is>
      </c>
      <c r="J2510" t="inlineStr">
        <is>
          <t>Aisha Bello</t>
        </is>
      </c>
      <c r="K2510" s="70" t="n">
        <v>2950</v>
      </c>
      <c r="L2510" s="71" t="n">
        <v>1118.68</v>
      </c>
      <c r="M2510" s="71" t="n">
        <v>3300106</v>
      </c>
      <c r="N2510" s="71" t="n">
        <v>825026.5</v>
      </c>
      <c r="O2510" s="71" t="n">
        <v>2475079.5</v>
      </c>
      <c r="P2510" s="71" t="n">
        <v>813176.54</v>
      </c>
      <c r="Q2510" s="71" t="n">
        <v>1661902.96</v>
      </c>
      <c r="R2510" t="inlineStr">
        <is>
          <t>Antiviral</t>
        </is>
      </c>
      <c r="S2510" s="70" t="n">
        <v>2530</v>
      </c>
      <c r="T2510" s="71" t="n">
        <v>454681.02</v>
      </c>
      <c r="U2510" t="inlineStr">
        <is>
          <t>Low</t>
        </is>
      </c>
      <c r="V2510">
        <f>IF(AND(OR(Dashboard!$C$6="All",E2510=Dashboard!$C$6),OR(Dashboard!$F$6="All",G2510=Dashboard!$F$6),OR(Dashboard!$I$6="All",H2510=Dashboard!$I$6)),1,0)</f>
        <v/>
      </c>
    </row>
    <row r="2511">
      <c r="A2511" t="inlineStr">
        <is>
          <t>PF102502</t>
        </is>
      </c>
      <c r="B2511" s="68" t="n">
        <v>45958</v>
      </c>
      <c r="C2511" s="69" t="n">
        <v>2025</v>
      </c>
      <c r="D2511" t="inlineStr">
        <is>
          <t>Oct</t>
        </is>
      </c>
      <c r="E2511" t="inlineStr">
        <is>
          <t>International developed</t>
        </is>
      </c>
      <c r="F2511" t="inlineStr">
        <is>
          <t>Australia</t>
        </is>
      </c>
      <c r="G2511" t="inlineStr">
        <is>
          <t>Xeljanz</t>
        </is>
      </c>
      <c r="H2511" t="inlineStr">
        <is>
          <t>Retail pharmacy</t>
        </is>
      </c>
      <c r="I2511" t="inlineStr">
        <is>
          <t>Public payer</t>
        </is>
      </c>
      <c r="J2511" t="inlineStr">
        <is>
          <t>Noah Smith</t>
        </is>
      </c>
      <c r="K2511" s="70" t="n">
        <v>1504</v>
      </c>
      <c r="L2511" s="71" t="n">
        <v>1410.16</v>
      </c>
      <c r="M2511" s="71" t="n">
        <v>2120880.64</v>
      </c>
      <c r="N2511" s="71" t="n">
        <v>318132.1</v>
      </c>
      <c r="O2511" s="71" t="n">
        <v>1802748.54</v>
      </c>
      <c r="P2511" s="71" t="n">
        <v>387663.19</v>
      </c>
      <c r="Q2511" s="71" t="n">
        <v>1415085.35</v>
      </c>
      <c r="R2511" t="inlineStr">
        <is>
          <t>Inflammation</t>
        </is>
      </c>
      <c r="S2511" s="70" t="n">
        <v>1301</v>
      </c>
      <c r="T2511" s="71" t="n">
        <v>333450.41</v>
      </c>
      <c r="U2511" t="inlineStr">
        <is>
          <t>High</t>
        </is>
      </c>
      <c r="V2511">
        <f>IF(AND(OR(Dashboard!$C$6="All",E2511=Dashboard!$C$6),OR(Dashboard!$F$6="All",G2511=Dashboard!$F$6),OR(Dashboard!$I$6="All",H2511=Dashboard!$I$6)),1,0)</f>
        <v/>
      </c>
    </row>
    <row r="2512">
      <c r="A2512" t="inlineStr">
        <is>
          <t>PF102503</t>
        </is>
      </c>
      <c r="B2512" s="68" t="n">
        <v>45958</v>
      </c>
      <c r="C2512" s="69" t="n">
        <v>2025</v>
      </c>
      <c r="D2512" t="inlineStr">
        <is>
          <t>Oct</t>
        </is>
      </c>
      <c r="E2512" t="inlineStr">
        <is>
          <t>Europe</t>
        </is>
      </c>
      <c r="F2512" t="inlineStr">
        <is>
          <t>Germany</t>
        </is>
      </c>
      <c r="G2512" t="inlineStr">
        <is>
          <t>Abrysvo</t>
        </is>
      </c>
      <c r="H2512" t="inlineStr">
        <is>
          <t>Retail pharmacy</t>
        </is>
      </c>
      <c r="I2512" t="inlineStr">
        <is>
          <t>Public payer</t>
        </is>
      </c>
      <c r="J2512" t="inlineStr">
        <is>
          <t>Amir Khan</t>
        </is>
      </c>
      <c r="K2512" s="70" t="n">
        <v>949</v>
      </c>
      <c r="L2512" s="71" t="n">
        <v>285.11</v>
      </c>
      <c r="M2512" s="71" t="n">
        <v>270569.39</v>
      </c>
      <c r="N2512" s="71" t="n">
        <v>54113.88</v>
      </c>
      <c r="O2512" s="71" t="n">
        <v>216455.51</v>
      </c>
      <c r="P2512" s="71" t="n">
        <v>80993.38</v>
      </c>
      <c r="Q2512" s="71" t="n">
        <v>135462.13</v>
      </c>
      <c r="R2512" t="inlineStr">
        <is>
          <t>Vaccines</t>
        </is>
      </c>
      <c r="S2512" s="70" t="n">
        <v>697</v>
      </c>
      <c r="T2512" s="71" t="n">
        <v>47627.29</v>
      </c>
      <c r="U2512" t="inlineStr">
        <is>
          <t>Low</t>
        </is>
      </c>
      <c r="V2512">
        <f>IF(AND(OR(Dashboard!$C$6="All",E2512=Dashboard!$C$6),OR(Dashboard!$F$6="All",G2512=Dashboard!$F$6),OR(Dashboard!$I$6="All",H2512=Dashboard!$I$6)),1,0)</f>
        <v/>
      </c>
    </row>
    <row r="2513">
      <c r="A2513" t="inlineStr">
        <is>
          <t>PF102504</t>
        </is>
      </c>
      <c r="B2513" s="68" t="n">
        <v>45958</v>
      </c>
      <c r="C2513" s="69" t="n">
        <v>2025</v>
      </c>
      <c r="D2513" t="inlineStr">
        <is>
          <t>Oct</t>
        </is>
      </c>
      <c r="E2513" t="inlineStr">
        <is>
          <t>United States</t>
        </is>
      </c>
      <c r="F2513" t="inlineStr">
        <is>
          <t>USA</t>
        </is>
      </c>
      <c r="G2513" t="inlineStr">
        <is>
          <t>Abrysvo</t>
        </is>
      </c>
      <c r="H2513" t="inlineStr">
        <is>
          <t>Government / tender</t>
        </is>
      </c>
      <c r="I2513" t="inlineStr">
        <is>
          <t>Private insurer</t>
        </is>
      </c>
      <c r="J2513" t="inlineStr">
        <is>
          <t>Lucas Martin</t>
        </is>
      </c>
      <c r="K2513" s="70" t="n">
        <v>2514</v>
      </c>
      <c r="L2513" s="71" t="n">
        <v>419.01</v>
      </c>
      <c r="M2513" s="71" t="n">
        <v>1053391.14</v>
      </c>
      <c r="N2513" s="71" t="n">
        <v>316017.34</v>
      </c>
      <c r="O2513" s="71" t="n">
        <v>737373.8</v>
      </c>
      <c r="P2513" s="71" t="n">
        <v>210729.2</v>
      </c>
      <c r="Q2513" s="71" t="n">
        <v>526644.6</v>
      </c>
      <c r="R2513" t="inlineStr">
        <is>
          <t>Vaccines</t>
        </is>
      </c>
      <c r="S2513" s="70" t="n">
        <v>1827</v>
      </c>
      <c r="T2513" s="71" t="n">
        <v>133260.42</v>
      </c>
      <c r="U2513" t="inlineStr">
        <is>
          <t>Low</t>
        </is>
      </c>
      <c r="V2513">
        <f>IF(AND(OR(Dashboard!$C$6="All",E2513=Dashboard!$C$6),OR(Dashboard!$F$6="All",G2513=Dashboard!$F$6),OR(Dashboard!$I$6="All",H2513=Dashboard!$I$6)),1,0)</f>
        <v/>
      </c>
    </row>
    <row r="2514">
      <c r="A2514" t="inlineStr">
        <is>
          <t>PF102505</t>
        </is>
      </c>
      <c r="B2514" s="68" t="n">
        <v>45958</v>
      </c>
      <c r="C2514" s="69" t="n">
        <v>2025</v>
      </c>
      <c r="D2514" t="inlineStr">
        <is>
          <t>Oct</t>
        </is>
      </c>
      <c r="E2514" t="inlineStr">
        <is>
          <t>United States</t>
        </is>
      </c>
      <c r="F2514" t="inlineStr">
        <is>
          <t>USA</t>
        </is>
      </c>
      <c r="G2514" t="inlineStr">
        <is>
          <t>Eliquis</t>
        </is>
      </c>
      <c r="H2514" t="inlineStr">
        <is>
          <t>Hospital</t>
        </is>
      </c>
      <c r="I2514" t="inlineStr">
        <is>
          <t>Private insurer</t>
        </is>
      </c>
      <c r="J2514" t="inlineStr">
        <is>
          <t>Hiroshi Tanaka</t>
        </is>
      </c>
      <c r="K2514" s="70" t="n">
        <v>875</v>
      </c>
      <c r="L2514" s="71" t="n">
        <v>660.4299999999999</v>
      </c>
      <c r="M2514" s="71" t="n">
        <v>577876.25</v>
      </c>
      <c r="N2514" s="71" t="n">
        <v>86681.44</v>
      </c>
      <c r="O2514" s="71" t="n">
        <v>491194.81</v>
      </c>
      <c r="P2514" s="71" t="n">
        <v>65276.23</v>
      </c>
      <c r="Q2514" s="71" t="n">
        <v>425918.58</v>
      </c>
      <c r="R2514" t="inlineStr">
        <is>
          <t>Cardiology</t>
        </is>
      </c>
      <c r="S2514" s="70" t="n">
        <v>602</v>
      </c>
      <c r="T2514" s="71" t="n">
        <v>94377.64</v>
      </c>
      <c r="U2514" t="inlineStr">
        <is>
          <t>High</t>
        </is>
      </c>
      <c r="V2514">
        <f>IF(AND(OR(Dashboard!$C$6="All",E2514=Dashboard!$C$6),OR(Dashboard!$F$6="All",G2514=Dashboard!$F$6),OR(Dashboard!$I$6="All",H2514=Dashboard!$I$6)),1,0)</f>
        <v/>
      </c>
    </row>
    <row r="2515">
      <c r="A2515" t="inlineStr">
        <is>
          <t>PF102506</t>
        </is>
      </c>
      <c r="B2515" s="68" t="n">
        <v>45962</v>
      </c>
      <c r="C2515" s="69" t="n">
        <v>2025</v>
      </c>
      <c r="D2515" t="inlineStr">
        <is>
          <t>Nov</t>
        </is>
      </c>
      <c r="E2515" t="inlineStr">
        <is>
          <t>International developed</t>
        </is>
      </c>
      <c r="F2515" t="inlineStr">
        <is>
          <t>Japan</t>
        </is>
      </c>
      <c r="G2515" t="inlineStr">
        <is>
          <t>Eliquis</t>
        </is>
      </c>
      <c r="H2515" t="inlineStr">
        <is>
          <t>Hospital</t>
        </is>
      </c>
      <c r="I2515" t="inlineStr">
        <is>
          <t>Self-pay</t>
        </is>
      </c>
      <c r="J2515" t="inlineStr">
        <is>
          <t>Fatima Al-Saud</t>
        </is>
      </c>
      <c r="K2515" s="70" t="n">
        <v>1778</v>
      </c>
      <c r="L2515" s="71" t="n">
        <v>378.91</v>
      </c>
      <c r="M2515" s="71" t="n">
        <v>673701.98</v>
      </c>
      <c r="N2515" s="71" t="n">
        <v>33685.1</v>
      </c>
      <c r="O2515" s="71" t="n">
        <v>640016.88</v>
      </c>
      <c r="P2515" s="71" t="n">
        <v>135590.02</v>
      </c>
      <c r="Q2515" s="71" t="n">
        <v>504426.86</v>
      </c>
      <c r="R2515" t="inlineStr">
        <is>
          <t>Cardiology</t>
        </is>
      </c>
      <c r="S2515" s="70" t="n">
        <v>1234</v>
      </c>
      <c r="T2515" s="71" t="n">
        <v>81403.09</v>
      </c>
      <c r="U2515" t="inlineStr">
        <is>
          <t>High</t>
        </is>
      </c>
      <c r="V2515">
        <f>IF(AND(OR(Dashboard!$C$6="All",E2515=Dashboard!$C$6),OR(Dashboard!$F$6="All",G2515=Dashboard!$F$6),OR(Dashboard!$I$6="All",H2515=Dashboard!$I$6)),1,0)</f>
        <v/>
      </c>
    </row>
    <row r="2516">
      <c r="A2516" t="inlineStr">
        <is>
          <t>PF102507</t>
        </is>
      </c>
      <c r="B2516" s="68" t="n">
        <v>45962</v>
      </c>
      <c r="C2516" s="69" t="n">
        <v>2025</v>
      </c>
      <c r="D2516" t="inlineStr">
        <is>
          <t>Nov</t>
        </is>
      </c>
      <c r="E2516" t="inlineStr">
        <is>
          <t>International developed</t>
        </is>
      </c>
      <c r="F2516" t="inlineStr">
        <is>
          <t>Canada</t>
        </is>
      </c>
      <c r="G2516" t="inlineStr">
        <is>
          <t>Comirnaty</t>
        </is>
      </c>
      <c r="H2516" t="inlineStr">
        <is>
          <t>Retail pharmacy</t>
        </is>
      </c>
      <c r="I2516" t="inlineStr">
        <is>
          <t>Public payer</t>
        </is>
      </c>
      <c r="J2516" t="inlineStr">
        <is>
          <t>Ruhi Shaikh</t>
        </is>
      </c>
      <c r="K2516" s="70" t="n">
        <v>1434</v>
      </c>
      <c r="L2516" s="71" t="n">
        <v>103.44</v>
      </c>
      <c r="M2516" s="71" t="n">
        <v>148332.96</v>
      </c>
      <c r="N2516" s="71" t="n">
        <v>22249.94</v>
      </c>
      <c r="O2516" s="71" t="n">
        <v>126083.02</v>
      </c>
      <c r="P2516" s="71" t="n">
        <v>56488.78</v>
      </c>
      <c r="Q2516" s="71" t="n">
        <v>69594.24000000001</v>
      </c>
      <c r="R2516" t="inlineStr">
        <is>
          <t>Vaccines</t>
        </is>
      </c>
      <c r="S2516" s="70" t="n">
        <v>1146</v>
      </c>
      <c r="T2516" s="71" t="n">
        <v>28253.13</v>
      </c>
      <c r="U2516" t="inlineStr">
        <is>
          <t>Low</t>
        </is>
      </c>
      <c r="V2516">
        <f>IF(AND(OR(Dashboard!$C$6="All",E2516=Dashboard!$C$6),OR(Dashboard!$F$6="All",G2516=Dashboard!$F$6),OR(Dashboard!$I$6="All",H2516=Dashboard!$I$6)),1,0)</f>
        <v/>
      </c>
    </row>
    <row r="2517">
      <c r="A2517" t="inlineStr">
        <is>
          <t>PF102508</t>
        </is>
      </c>
      <c r="B2517" s="68" t="n">
        <v>45962</v>
      </c>
      <c r="C2517" s="69" t="n">
        <v>2025</v>
      </c>
      <c r="D2517" t="inlineStr">
        <is>
          <t>Nov</t>
        </is>
      </c>
      <c r="E2517" t="inlineStr">
        <is>
          <t>Europe</t>
        </is>
      </c>
      <c r="F2517" t="inlineStr">
        <is>
          <t>Italy</t>
        </is>
      </c>
      <c r="G2517" t="inlineStr">
        <is>
          <t>Xeljanz</t>
        </is>
      </c>
      <c r="H2517" t="inlineStr">
        <is>
          <t>Government / tender</t>
        </is>
      </c>
      <c r="I2517" t="inlineStr">
        <is>
          <t>Private insurer</t>
        </is>
      </c>
      <c r="J2517" t="inlineStr">
        <is>
          <t>Carlos Silva</t>
        </is>
      </c>
      <c r="K2517" s="70" t="n">
        <v>1014</v>
      </c>
      <c r="L2517" s="71" t="n">
        <v>1306.38</v>
      </c>
      <c r="M2517" s="71" t="n">
        <v>1324669.32</v>
      </c>
      <c r="N2517" s="71" t="n">
        <v>198700.4</v>
      </c>
      <c r="O2517" s="71" t="n">
        <v>1125968.92</v>
      </c>
      <c r="P2517" s="71" t="n">
        <v>246701.2</v>
      </c>
      <c r="Q2517" s="71" t="n">
        <v>879267.72</v>
      </c>
      <c r="R2517" t="inlineStr">
        <is>
          <t>Inflammation</t>
        </is>
      </c>
      <c r="S2517" s="70" t="n">
        <v>914</v>
      </c>
      <c r="T2517" s="71" t="n">
        <v>280484.6</v>
      </c>
      <c r="U2517" t="inlineStr">
        <is>
          <t>High</t>
        </is>
      </c>
      <c r="V2517">
        <f>IF(AND(OR(Dashboard!$C$6="All",E2517=Dashboard!$C$6),OR(Dashboard!$F$6="All",G2517=Dashboard!$F$6),OR(Dashboard!$I$6="All",H2517=Dashboard!$I$6)),1,0)</f>
        <v/>
      </c>
    </row>
    <row r="2518">
      <c r="A2518" t="inlineStr">
        <is>
          <t>PF102509</t>
        </is>
      </c>
      <c r="B2518" s="68" t="n">
        <v>45962</v>
      </c>
      <c r="C2518" s="69" t="n">
        <v>2025</v>
      </c>
      <c r="D2518" t="inlineStr">
        <is>
          <t>Nov</t>
        </is>
      </c>
      <c r="E2518" t="inlineStr">
        <is>
          <t>United States</t>
        </is>
      </c>
      <c r="F2518" t="inlineStr">
        <is>
          <t>USA</t>
        </is>
      </c>
      <c r="G2518" t="inlineStr">
        <is>
          <t>Eliquis</t>
        </is>
      </c>
      <c r="H2518" t="inlineStr">
        <is>
          <t>Government / tender</t>
        </is>
      </c>
      <c r="I2518" t="inlineStr">
        <is>
          <t>Private insurer</t>
        </is>
      </c>
      <c r="J2518" t="inlineStr">
        <is>
          <t>Arjun Mehta</t>
        </is>
      </c>
      <c r="K2518" s="70" t="n">
        <v>2131</v>
      </c>
      <c r="L2518" s="71" t="n">
        <v>613.6799999999999</v>
      </c>
      <c r="M2518" s="71" t="n">
        <v>1307752.08</v>
      </c>
      <c r="N2518" s="71" t="n">
        <v>261550.42</v>
      </c>
      <c r="O2518" s="71" t="n">
        <v>1046201.66</v>
      </c>
      <c r="P2518" s="71" t="n">
        <v>162825.2</v>
      </c>
      <c r="Q2518" s="71" t="n">
        <v>883376.46</v>
      </c>
      <c r="R2518" t="inlineStr">
        <is>
          <t>Cardiology</t>
        </is>
      </c>
      <c r="S2518" s="70" t="n">
        <v>1593</v>
      </c>
      <c r="T2518" s="71" t="n">
        <v>187481.08</v>
      </c>
      <c r="U2518" t="inlineStr">
        <is>
          <t>High</t>
        </is>
      </c>
      <c r="V2518">
        <f>IF(AND(OR(Dashboard!$C$6="All",E2518=Dashboard!$C$6),OR(Dashboard!$F$6="All",G2518=Dashboard!$F$6),OR(Dashboard!$I$6="All",H2518=Dashboard!$I$6)),1,0)</f>
        <v/>
      </c>
    </row>
    <row r="2519">
      <c r="A2519" t="inlineStr">
        <is>
          <t>PF102510</t>
        </is>
      </c>
      <c r="B2519" s="68" t="n">
        <v>45962</v>
      </c>
      <c r="C2519" s="69" t="n">
        <v>2025</v>
      </c>
      <c r="D2519" t="inlineStr">
        <is>
          <t>Nov</t>
        </is>
      </c>
      <c r="E2519" t="inlineStr">
        <is>
          <t>Europe</t>
        </is>
      </c>
      <c r="F2519" t="inlineStr">
        <is>
          <t>France</t>
        </is>
      </c>
      <c r="G2519" t="inlineStr">
        <is>
          <t>Eliquis</t>
        </is>
      </c>
      <c r="H2519" t="inlineStr">
        <is>
          <t>Retail pharmacy</t>
        </is>
      </c>
      <c r="I2519" t="inlineStr">
        <is>
          <t>Public payer</t>
        </is>
      </c>
      <c r="J2519" t="inlineStr">
        <is>
          <t>Zoya Ahmed</t>
        </is>
      </c>
      <c r="K2519" s="70" t="n">
        <v>2941</v>
      </c>
      <c r="L2519" s="71" t="n">
        <v>399.09</v>
      </c>
      <c r="M2519" s="71" t="n">
        <v>1173723.69</v>
      </c>
      <c r="N2519" s="71" t="n">
        <v>293430.92</v>
      </c>
      <c r="O2519" s="71" t="n">
        <v>880292.77</v>
      </c>
      <c r="P2519" s="71" t="n">
        <v>213710.38</v>
      </c>
      <c r="Q2519" s="71" t="n">
        <v>666582.39</v>
      </c>
      <c r="R2519" t="inlineStr">
        <is>
          <t>Cardiology</t>
        </is>
      </c>
      <c r="S2519" s="70" t="n">
        <v>2260</v>
      </c>
      <c r="T2519" s="71" t="n">
        <v>226584.42</v>
      </c>
      <c r="U2519" t="inlineStr">
        <is>
          <t>High</t>
        </is>
      </c>
      <c r="V2519">
        <f>IF(AND(OR(Dashboard!$C$6="All",E2519=Dashboard!$C$6),OR(Dashboard!$F$6="All",G2519=Dashboard!$F$6),OR(Dashboard!$I$6="All",H2519=Dashboard!$I$6)),1,0)</f>
        <v/>
      </c>
    </row>
    <row r="2520">
      <c r="A2520" t="inlineStr">
        <is>
          <t>PF102511</t>
        </is>
      </c>
      <c r="B2520" s="68" t="n">
        <v>45962</v>
      </c>
      <c r="C2520" s="69" t="n">
        <v>2025</v>
      </c>
      <c r="D2520" t="inlineStr">
        <is>
          <t>Nov</t>
        </is>
      </c>
      <c r="E2520" t="inlineStr">
        <is>
          <t>Emerging markets</t>
        </is>
      </c>
      <c r="F2520" t="inlineStr">
        <is>
          <t>India</t>
        </is>
      </c>
      <c r="G2520" t="inlineStr">
        <is>
          <t>Paxlovid</t>
        </is>
      </c>
      <c r="H2520" t="inlineStr">
        <is>
          <t>Government / tender</t>
        </is>
      </c>
      <c r="I2520" t="inlineStr">
        <is>
          <t>Private insurer</t>
        </is>
      </c>
      <c r="J2520" t="inlineStr">
        <is>
          <t>Olivia Brown</t>
        </is>
      </c>
      <c r="K2520" s="70" t="n">
        <v>521</v>
      </c>
      <c r="L2520" s="71" t="n">
        <v>996.8</v>
      </c>
      <c r="M2520" s="71" t="n">
        <v>519332.8</v>
      </c>
      <c r="N2520" s="71" t="n">
        <v>103866.56</v>
      </c>
      <c r="O2520" s="71" t="n">
        <v>415466.24</v>
      </c>
      <c r="P2520" s="71" t="n">
        <v>146150.06</v>
      </c>
      <c r="Q2520" s="71" t="n">
        <v>269316.18</v>
      </c>
      <c r="R2520" t="inlineStr">
        <is>
          <t>Antiviral</t>
        </is>
      </c>
      <c r="S2520" s="70" t="n">
        <v>368</v>
      </c>
      <c r="T2520" s="71" t="n">
        <v>107286.14</v>
      </c>
      <c r="U2520" t="inlineStr">
        <is>
          <t>Low</t>
        </is>
      </c>
      <c r="V2520">
        <f>IF(AND(OR(Dashboard!$C$6="All",E2520=Dashboard!$C$6),OR(Dashboard!$F$6="All",G2520=Dashboard!$F$6),OR(Dashboard!$I$6="All",H2520=Dashboard!$I$6)),1,0)</f>
        <v/>
      </c>
    </row>
    <row r="2521">
      <c r="A2521" t="inlineStr">
        <is>
          <t>PF102512</t>
        </is>
      </c>
      <c r="B2521" s="68" t="n">
        <v>45962</v>
      </c>
      <c r="C2521" s="69" t="n">
        <v>2025</v>
      </c>
      <c r="D2521" t="inlineStr">
        <is>
          <t>Nov</t>
        </is>
      </c>
      <c r="E2521" t="inlineStr">
        <is>
          <t>Emerging markets</t>
        </is>
      </c>
      <c r="F2521" t="inlineStr">
        <is>
          <t>China</t>
        </is>
      </c>
      <c r="G2521" t="inlineStr">
        <is>
          <t>Eliquis</t>
        </is>
      </c>
      <c r="H2521" t="inlineStr">
        <is>
          <t>Retail pharmacy</t>
        </is>
      </c>
      <c r="I2521" t="inlineStr">
        <is>
          <t>Private insurer</t>
        </is>
      </c>
      <c r="J2521" t="inlineStr">
        <is>
          <t>Fatima Al-Saud</t>
        </is>
      </c>
      <c r="K2521" s="70" t="n">
        <v>2681</v>
      </c>
      <c r="L2521" s="71" t="n">
        <v>454.3</v>
      </c>
      <c r="M2521" s="71" t="n">
        <v>1217978.3</v>
      </c>
      <c r="N2521" s="71" t="n">
        <v>304494.58</v>
      </c>
      <c r="O2521" s="71" t="n">
        <v>913483.72</v>
      </c>
      <c r="P2521" s="71" t="n">
        <v>196783.48</v>
      </c>
      <c r="Q2521" s="71" t="n">
        <v>716700.24</v>
      </c>
      <c r="R2521" t="inlineStr">
        <is>
          <t>Cardiology</t>
        </is>
      </c>
      <c r="S2521" s="70" t="n">
        <v>2197</v>
      </c>
      <c r="T2521" s="71" t="n">
        <v>242867.85</v>
      </c>
      <c r="U2521" t="inlineStr">
        <is>
          <t>High</t>
        </is>
      </c>
      <c r="V2521">
        <f>IF(AND(OR(Dashboard!$C$6="All",E2521=Dashboard!$C$6),OR(Dashboard!$F$6="All",G2521=Dashboard!$F$6),OR(Dashboard!$I$6="All",H2521=Dashboard!$I$6)),1,0)</f>
        <v/>
      </c>
    </row>
    <row r="2522">
      <c r="A2522" t="inlineStr">
        <is>
          <t>PF102513</t>
        </is>
      </c>
      <c r="B2522" s="68" t="n">
        <v>45962</v>
      </c>
      <c r="C2522" s="69" t="n">
        <v>2025</v>
      </c>
      <c r="D2522" t="inlineStr">
        <is>
          <t>Nov</t>
        </is>
      </c>
      <c r="E2522" t="inlineStr">
        <is>
          <t>Europe</t>
        </is>
      </c>
      <c r="F2522" t="inlineStr">
        <is>
          <t>Germany</t>
        </is>
      </c>
      <c r="G2522" t="inlineStr">
        <is>
          <t>Prevnar 20</t>
        </is>
      </c>
      <c r="H2522" t="inlineStr">
        <is>
          <t>Hospital</t>
        </is>
      </c>
      <c r="I2522" t="inlineStr">
        <is>
          <t>Private insurer</t>
        </is>
      </c>
      <c r="J2522" t="inlineStr">
        <is>
          <t>Carlos Silva</t>
        </is>
      </c>
      <c r="K2522" s="70" t="n">
        <v>2350</v>
      </c>
      <c r="L2522" s="71" t="n">
        <v>219.17</v>
      </c>
      <c r="M2522" s="71" t="n">
        <v>515049.5</v>
      </c>
      <c r="N2522" s="71" t="n">
        <v>51504.95</v>
      </c>
      <c r="O2522" s="71" t="n">
        <v>463544.55</v>
      </c>
      <c r="P2522" s="71" t="n">
        <v>160720.61</v>
      </c>
      <c r="Q2522" s="71" t="n">
        <v>302823.94</v>
      </c>
      <c r="R2522" t="inlineStr">
        <is>
          <t>Vaccines</t>
        </is>
      </c>
      <c r="S2522" s="70" t="n">
        <v>1648</v>
      </c>
      <c r="T2522" s="71" t="n">
        <v>93684.38</v>
      </c>
      <c r="U2522" t="inlineStr">
        <is>
          <t>Low</t>
        </is>
      </c>
      <c r="V2522">
        <f>IF(AND(OR(Dashboard!$C$6="All",E2522=Dashboard!$C$6),OR(Dashboard!$F$6="All",G2522=Dashboard!$F$6),OR(Dashboard!$I$6="All",H2522=Dashboard!$I$6)),1,0)</f>
        <v/>
      </c>
    </row>
    <row r="2523">
      <c r="A2523" t="inlineStr">
        <is>
          <t>PF102514</t>
        </is>
      </c>
      <c r="B2523" s="68" t="n">
        <v>45962</v>
      </c>
      <c r="C2523" s="69" t="n">
        <v>2025</v>
      </c>
      <c r="D2523" t="inlineStr">
        <is>
          <t>Nov</t>
        </is>
      </c>
      <c r="E2523" t="inlineStr">
        <is>
          <t>Europe</t>
        </is>
      </c>
      <c r="F2523" t="inlineStr">
        <is>
          <t>UK</t>
        </is>
      </c>
      <c r="G2523" t="inlineStr">
        <is>
          <t>Prevnar 20</t>
        </is>
      </c>
      <c r="H2523" t="inlineStr">
        <is>
          <t>Retail pharmacy</t>
        </is>
      </c>
      <c r="I2523" t="inlineStr">
        <is>
          <t>Private insurer</t>
        </is>
      </c>
      <c r="J2523" t="inlineStr">
        <is>
          <t>Wei Chen</t>
        </is>
      </c>
      <c r="K2523" s="70" t="n">
        <v>2457</v>
      </c>
      <c r="L2523" s="71" t="n">
        <v>209.67</v>
      </c>
      <c r="M2523" s="71" t="n">
        <v>515159.19</v>
      </c>
      <c r="N2523" s="71" t="n">
        <v>77273.88</v>
      </c>
      <c r="O2523" s="71" t="n">
        <v>437885.31</v>
      </c>
      <c r="P2523" s="71" t="n">
        <v>175824.21</v>
      </c>
      <c r="Q2523" s="71" t="n">
        <v>262061.1</v>
      </c>
      <c r="R2523" t="inlineStr">
        <is>
          <t>Vaccines</t>
        </is>
      </c>
      <c r="S2523" s="70" t="n">
        <v>2355</v>
      </c>
      <c r="T2523" s="71" t="n">
        <v>105970.63</v>
      </c>
      <c r="U2523" t="inlineStr">
        <is>
          <t>Low</t>
        </is>
      </c>
      <c r="V2523">
        <f>IF(AND(OR(Dashboard!$C$6="All",E2523=Dashboard!$C$6),OR(Dashboard!$F$6="All",G2523=Dashboard!$F$6),OR(Dashboard!$I$6="All",H2523=Dashboard!$I$6)),1,0)</f>
        <v/>
      </c>
    </row>
    <row r="2524">
      <c r="A2524" t="inlineStr">
        <is>
          <t>PF102515</t>
        </is>
      </c>
      <c r="B2524" s="68" t="n">
        <v>45962</v>
      </c>
      <c r="C2524" s="69" t="n">
        <v>2025</v>
      </c>
      <c r="D2524" t="inlineStr">
        <is>
          <t>Nov</t>
        </is>
      </c>
      <c r="E2524" t="inlineStr">
        <is>
          <t>United States</t>
        </is>
      </c>
      <c r="F2524" t="inlineStr">
        <is>
          <t>USA</t>
        </is>
      </c>
      <c r="G2524" t="inlineStr">
        <is>
          <t>Xeljanz</t>
        </is>
      </c>
      <c r="H2524" t="inlineStr">
        <is>
          <t>Hospital</t>
        </is>
      </c>
      <c r="I2524" t="inlineStr">
        <is>
          <t>Private insurer</t>
        </is>
      </c>
      <c r="J2524" t="inlineStr">
        <is>
          <t>Yuki Sato</t>
        </is>
      </c>
      <c r="K2524" s="70" t="n">
        <v>1859</v>
      </c>
      <c r="L2524" s="71" t="n">
        <v>2305.04</v>
      </c>
      <c r="M2524" s="71" t="n">
        <v>4285069.36</v>
      </c>
      <c r="N2524" s="71" t="n">
        <v>1285520.81</v>
      </c>
      <c r="O2524" s="71" t="n">
        <v>2999548.55</v>
      </c>
      <c r="P2524" s="71" t="n">
        <v>461328.57</v>
      </c>
      <c r="Q2524" s="71" t="n">
        <v>2538219.98</v>
      </c>
      <c r="R2524" t="inlineStr">
        <is>
          <t>Inflammation</t>
        </is>
      </c>
      <c r="S2524" s="70" t="n">
        <v>1695</v>
      </c>
      <c r="T2524" s="71" t="n">
        <v>519614.12</v>
      </c>
      <c r="U2524" t="inlineStr">
        <is>
          <t>High</t>
        </is>
      </c>
      <c r="V2524">
        <f>IF(AND(OR(Dashboard!$C$6="All",E2524=Dashboard!$C$6),OR(Dashboard!$F$6="All",G2524=Dashboard!$F$6),OR(Dashboard!$I$6="All",H2524=Dashboard!$I$6)),1,0)</f>
        <v/>
      </c>
    </row>
    <row r="2525">
      <c r="A2525" t="inlineStr">
        <is>
          <t>PF102516</t>
        </is>
      </c>
      <c r="B2525" s="68" t="n">
        <v>45962</v>
      </c>
      <c r="C2525" s="69" t="n">
        <v>2025</v>
      </c>
      <c r="D2525" t="inlineStr">
        <is>
          <t>Nov</t>
        </is>
      </c>
      <c r="E2525" t="inlineStr">
        <is>
          <t>United States</t>
        </is>
      </c>
      <c r="F2525" t="inlineStr">
        <is>
          <t>USA</t>
        </is>
      </c>
      <c r="G2525" t="inlineStr">
        <is>
          <t>Prevnar 20</t>
        </is>
      </c>
      <c r="H2525" t="inlineStr">
        <is>
          <t>Government / tender</t>
        </is>
      </c>
      <c r="I2525" t="inlineStr">
        <is>
          <t>Self-pay</t>
        </is>
      </c>
      <c r="J2525" t="inlineStr">
        <is>
          <t>Ravindra Patil</t>
        </is>
      </c>
      <c r="K2525" s="70" t="n">
        <v>868</v>
      </c>
      <c r="L2525" s="71" t="n">
        <v>343.04</v>
      </c>
      <c r="M2525" s="71" t="n">
        <v>297758.72</v>
      </c>
      <c r="N2525" s="71" t="n">
        <v>104215.55</v>
      </c>
      <c r="O2525" s="71" t="n">
        <v>193543.17</v>
      </c>
      <c r="P2525" s="71" t="n">
        <v>61087.79</v>
      </c>
      <c r="Q2525" s="71" t="n">
        <v>132455.38</v>
      </c>
      <c r="R2525" t="inlineStr">
        <is>
          <t>Vaccines</t>
        </is>
      </c>
      <c r="S2525" s="70" t="n">
        <v>762</v>
      </c>
      <c r="T2525" s="71" t="n">
        <v>41734.11</v>
      </c>
      <c r="U2525" t="inlineStr">
        <is>
          <t>Low</t>
        </is>
      </c>
      <c r="V2525">
        <f>IF(AND(OR(Dashboard!$C$6="All",E2525=Dashboard!$C$6),OR(Dashboard!$F$6="All",G2525=Dashboard!$F$6),OR(Dashboard!$I$6="All",H2525=Dashboard!$I$6)),1,0)</f>
        <v/>
      </c>
    </row>
    <row r="2526">
      <c r="A2526" t="inlineStr">
        <is>
          <t>PF102517</t>
        </is>
      </c>
      <c r="B2526" s="68" t="n">
        <v>45962</v>
      </c>
      <c r="C2526" s="69" t="n">
        <v>2025</v>
      </c>
      <c r="D2526" t="inlineStr">
        <is>
          <t>Nov</t>
        </is>
      </c>
      <c r="E2526" t="inlineStr">
        <is>
          <t>International developed</t>
        </is>
      </c>
      <c r="F2526" t="inlineStr">
        <is>
          <t>Japan</t>
        </is>
      </c>
      <c r="G2526" t="inlineStr">
        <is>
          <t>Prevnar 20</t>
        </is>
      </c>
      <c r="H2526" t="inlineStr">
        <is>
          <t>Hospital</t>
        </is>
      </c>
      <c r="I2526" t="inlineStr">
        <is>
          <t>Self-pay</t>
        </is>
      </c>
      <c r="J2526" t="inlineStr">
        <is>
          <t>Ruhi Shaikh</t>
        </is>
      </c>
      <c r="K2526" s="70" t="n">
        <v>866</v>
      </c>
      <c r="L2526" s="71" t="n">
        <v>230.3</v>
      </c>
      <c r="M2526" s="71" t="n">
        <v>199439.8</v>
      </c>
      <c r="N2526" s="71" t="n">
        <v>49859.95</v>
      </c>
      <c r="O2526" s="71" t="n">
        <v>149579.85</v>
      </c>
      <c r="P2526" s="71" t="n">
        <v>58265.52</v>
      </c>
      <c r="Q2526" s="71" t="n">
        <v>91314.33</v>
      </c>
      <c r="R2526" t="inlineStr">
        <is>
          <t>Vaccines</t>
        </is>
      </c>
      <c r="S2526" s="70" t="n">
        <v>855</v>
      </c>
      <c r="T2526" s="71" t="n">
        <v>40145.13</v>
      </c>
      <c r="U2526" t="inlineStr">
        <is>
          <t>Low</t>
        </is>
      </c>
      <c r="V2526">
        <f>IF(AND(OR(Dashboard!$C$6="All",E2526=Dashboard!$C$6),OR(Dashboard!$F$6="All",G2526=Dashboard!$F$6),OR(Dashboard!$I$6="All",H2526=Dashboard!$I$6)),1,0)</f>
        <v/>
      </c>
    </row>
    <row r="2527">
      <c r="A2527" t="inlineStr">
        <is>
          <t>PF102518</t>
        </is>
      </c>
      <c r="B2527" s="68" t="n">
        <v>45963</v>
      </c>
      <c r="C2527" s="69" t="n">
        <v>2025</v>
      </c>
      <c r="D2527" t="inlineStr">
        <is>
          <t>Nov</t>
        </is>
      </c>
      <c r="E2527" t="inlineStr">
        <is>
          <t>United States</t>
        </is>
      </c>
      <c r="F2527" t="inlineStr">
        <is>
          <t>USA</t>
        </is>
      </c>
      <c r="G2527" t="inlineStr">
        <is>
          <t>Abrysvo</t>
        </is>
      </c>
      <c r="H2527" t="inlineStr">
        <is>
          <t>Retail pharmacy</t>
        </is>
      </c>
      <c r="I2527" t="inlineStr">
        <is>
          <t>Public payer</t>
        </is>
      </c>
      <c r="J2527" t="inlineStr">
        <is>
          <t>Aisha Bello</t>
        </is>
      </c>
      <c r="K2527" s="70" t="n">
        <v>779</v>
      </c>
      <c r="L2527" s="71" t="n">
        <v>477.78</v>
      </c>
      <c r="M2527" s="71" t="n">
        <v>372190.62</v>
      </c>
      <c r="N2527" s="71" t="n">
        <v>130266.72</v>
      </c>
      <c r="O2527" s="71" t="n">
        <v>241923.9</v>
      </c>
      <c r="P2527" s="71" t="n">
        <v>65810.07000000001</v>
      </c>
      <c r="Q2527" s="71" t="n">
        <v>176113.83</v>
      </c>
      <c r="R2527" t="inlineStr">
        <is>
          <t>Vaccines</t>
        </is>
      </c>
      <c r="S2527" s="70" t="n">
        <v>614</v>
      </c>
      <c r="T2527" s="71" t="n">
        <v>70259.10000000001</v>
      </c>
      <c r="U2527" t="inlineStr">
        <is>
          <t>Low</t>
        </is>
      </c>
      <c r="V2527">
        <f>IF(AND(OR(Dashboard!$C$6="All",E2527=Dashboard!$C$6),OR(Dashboard!$F$6="All",G2527=Dashboard!$F$6),OR(Dashboard!$I$6="All",H2527=Dashboard!$I$6)),1,0)</f>
        <v/>
      </c>
    </row>
    <row r="2528">
      <c r="A2528" t="inlineStr">
        <is>
          <t>PF102519</t>
        </is>
      </c>
      <c r="B2528" s="68" t="n">
        <v>45963</v>
      </c>
      <c r="C2528" s="69" t="n">
        <v>2025</v>
      </c>
      <c r="D2528" t="inlineStr">
        <is>
          <t>Nov</t>
        </is>
      </c>
      <c r="E2528" t="inlineStr">
        <is>
          <t>Europe</t>
        </is>
      </c>
      <c r="F2528" t="inlineStr">
        <is>
          <t>Italy</t>
        </is>
      </c>
      <c r="G2528" t="inlineStr">
        <is>
          <t>Xeljanz</t>
        </is>
      </c>
      <c r="H2528" t="inlineStr">
        <is>
          <t>Retail pharmacy</t>
        </is>
      </c>
      <c r="I2528" t="inlineStr">
        <is>
          <t>Public payer</t>
        </is>
      </c>
      <c r="J2528" t="inlineStr">
        <is>
          <t>Wei Chen</t>
        </is>
      </c>
      <c r="K2528" s="70" t="n">
        <v>2333</v>
      </c>
      <c r="L2528" s="71" t="n">
        <v>1385.29</v>
      </c>
      <c r="M2528" s="71" t="n">
        <v>3231881.57</v>
      </c>
      <c r="N2528" s="71" t="n">
        <v>161594.08</v>
      </c>
      <c r="O2528" s="71" t="n">
        <v>3070287.49</v>
      </c>
      <c r="P2528" s="71" t="n">
        <v>572804.9</v>
      </c>
      <c r="Q2528" s="71" t="n">
        <v>2497482.59</v>
      </c>
      <c r="R2528" t="inlineStr">
        <is>
          <t>Inflammation</t>
        </is>
      </c>
      <c r="S2528" s="70" t="n">
        <v>1867</v>
      </c>
      <c r="T2528" s="71" t="n">
        <v>600291.0699999999</v>
      </c>
      <c r="U2528" t="inlineStr">
        <is>
          <t>High</t>
        </is>
      </c>
      <c r="V2528">
        <f>IF(AND(OR(Dashboard!$C$6="All",E2528=Dashboard!$C$6),OR(Dashboard!$F$6="All",G2528=Dashboard!$F$6),OR(Dashboard!$I$6="All",H2528=Dashboard!$I$6)),1,0)</f>
        <v/>
      </c>
    </row>
    <row r="2529">
      <c r="A2529" t="inlineStr">
        <is>
          <t>PF102520</t>
        </is>
      </c>
      <c r="B2529" s="68" t="n">
        <v>45963</v>
      </c>
      <c r="C2529" s="69" t="n">
        <v>2025</v>
      </c>
      <c r="D2529" t="inlineStr">
        <is>
          <t>Nov</t>
        </is>
      </c>
      <c r="E2529" t="inlineStr">
        <is>
          <t>United States</t>
        </is>
      </c>
      <c r="F2529" t="inlineStr">
        <is>
          <t>USA</t>
        </is>
      </c>
      <c r="G2529" t="inlineStr">
        <is>
          <t>Vyndaqel</t>
        </is>
      </c>
      <c r="H2529" t="inlineStr">
        <is>
          <t>Retail pharmacy</t>
        </is>
      </c>
      <c r="I2529" t="inlineStr">
        <is>
          <t>Public payer</t>
        </is>
      </c>
      <c r="J2529" t="inlineStr">
        <is>
          <t>Olivia Brown</t>
        </is>
      </c>
      <c r="K2529" s="70" t="n">
        <v>2041</v>
      </c>
      <c r="L2529" s="71" t="n">
        <v>8562.860000000001</v>
      </c>
      <c r="M2529" s="71" t="n">
        <v>17476797.26</v>
      </c>
      <c r="N2529" s="71" t="n">
        <v>6116879.04</v>
      </c>
      <c r="O2529" s="71" t="n">
        <v>11359918.22</v>
      </c>
      <c r="P2529" s="71" t="n">
        <v>1277981.66</v>
      </c>
      <c r="Q2529" s="71" t="n">
        <v>10081936.56</v>
      </c>
      <c r="R2529" t="inlineStr">
        <is>
          <t>Rare disease</t>
        </is>
      </c>
      <c r="S2529" s="70" t="n">
        <v>1721</v>
      </c>
      <c r="T2529" s="71" t="n">
        <v>2456855.14</v>
      </c>
      <c r="U2529" t="inlineStr">
        <is>
          <t>Medium</t>
        </is>
      </c>
      <c r="V2529">
        <f>IF(AND(OR(Dashboard!$C$6="All",E2529=Dashboard!$C$6),OR(Dashboard!$F$6="All",G2529=Dashboard!$F$6),OR(Dashboard!$I$6="All",H2529=Dashboard!$I$6)),1,0)</f>
        <v/>
      </c>
    </row>
    <row r="2530">
      <c r="A2530" t="inlineStr">
        <is>
          <t>PF102521</t>
        </is>
      </c>
      <c r="B2530" s="68" t="n">
        <v>45963</v>
      </c>
      <c r="C2530" s="69" t="n">
        <v>2025</v>
      </c>
      <c r="D2530" t="inlineStr">
        <is>
          <t>Nov</t>
        </is>
      </c>
      <c r="E2530" t="inlineStr">
        <is>
          <t>Europe</t>
        </is>
      </c>
      <c r="F2530" t="inlineStr">
        <is>
          <t>UK</t>
        </is>
      </c>
      <c r="G2530" t="inlineStr">
        <is>
          <t>Vyndaqel</t>
        </is>
      </c>
      <c r="H2530" t="inlineStr">
        <is>
          <t>Hospital</t>
        </is>
      </c>
      <c r="I2530" t="inlineStr">
        <is>
          <t>Private insurer</t>
        </is>
      </c>
      <c r="J2530" t="inlineStr">
        <is>
          <t>Ravindra Patil</t>
        </is>
      </c>
      <c r="K2530" s="70" t="n">
        <v>990</v>
      </c>
      <c r="L2530" s="71" t="n">
        <v>5294.43</v>
      </c>
      <c r="M2530" s="71" t="n">
        <v>5241485.7</v>
      </c>
      <c r="N2530" s="71" t="n">
        <v>1048297.14</v>
      </c>
      <c r="O2530" s="71" t="n">
        <v>4193188.56</v>
      </c>
      <c r="P2530" s="71" t="n">
        <v>594383.78</v>
      </c>
      <c r="Q2530" s="71" t="n">
        <v>3598804.78</v>
      </c>
      <c r="R2530" t="inlineStr">
        <is>
          <t>Rare disease</t>
        </is>
      </c>
      <c r="S2530" s="70" t="n">
        <v>952</v>
      </c>
      <c r="T2530" s="71" t="n">
        <v>797208.1800000001</v>
      </c>
      <c r="U2530" t="inlineStr">
        <is>
          <t>Medium</t>
        </is>
      </c>
      <c r="V2530">
        <f>IF(AND(OR(Dashboard!$C$6="All",E2530=Dashboard!$C$6),OR(Dashboard!$F$6="All",G2530=Dashboard!$F$6),OR(Dashboard!$I$6="All",H2530=Dashboard!$I$6)),1,0)</f>
        <v/>
      </c>
    </row>
    <row r="2531">
      <c r="A2531" t="inlineStr">
        <is>
          <t>PF102522</t>
        </is>
      </c>
      <c r="B2531" s="68" t="n">
        <v>45963</v>
      </c>
      <c r="C2531" s="69" t="n">
        <v>2025</v>
      </c>
      <c r="D2531" t="inlineStr">
        <is>
          <t>Nov</t>
        </is>
      </c>
      <c r="E2531" t="inlineStr">
        <is>
          <t>United States</t>
        </is>
      </c>
      <c r="F2531" t="inlineStr">
        <is>
          <t>USA</t>
        </is>
      </c>
      <c r="G2531" t="inlineStr">
        <is>
          <t>Xeljanz</t>
        </is>
      </c>
      <c r="H2531" t="inlineStr">
        <is>
          <t>Hospital</t>
        </is>
      </c>
      <c r="I2531" t="inlineStr">
        <is>
          <t>Private insurer</t>
        </is>
      </c>
      <c r="J2531" t="inlineStr">
        <is>
          <t>Yuki Sato</t>
        </is>
      </c>
      <c r="K2531" s="70" t="n">
        <v>1665</v>
      </c>
      <c r="L2531" s="71" t="n">
        <v>2209.54</v>
      </c>
      <c r="M2531" s="71" t="n">
        <v>3678884.1</v>
      </c>
      <c r="N2531" s="71" t="n">
        <v>551832.62</v>
      </c>
      <c r="O2531" s="71" t="n">
        <v>3127051.48</v>
      </c>
      <c r="P2531" s="71" t="n">
        <v>419904.31</v>
      </c>
      <c r="Q2531" s="71" t="n">
        <v>2707147.17</v>
      </c>
      <c r="R2531" t="inlineStr">
        <is>
          <t>Inflammation</t>
        </is>
      </c>
      <c r="S2531" s="70" t="n">
        <v>1480</v>
      </c>
      <c r="T2531" s="71" t="n">
        <v>525359.21</v>
      </c>
      <c r="U2531" t="inlineStr">
        <is>
          <t>High</t>
        </is>
      </c>
      <c r="V2531">
        <f>IF(AND(OR(Dashboard!$C$6="All",E2531=Dashboard!$C$6),OR(Dashboard!$F$6="All",G2531=Dashboard!$F$6),OR(Dashboard!$I$6="All",H2531=Dashboard!$I$6)),1,0)</f>
        <v/>
      </c>
    </row>
    <row r="2532">
      <c r="A2532" t="inlineStr">
        <is>
          <t>PF102523</t>
        </is>
      </c>
      <c r="B2532" s="68" t="n">
        <v>45963</v>
      </c>
      <c r="C2532" s="69" t="n">
        <v>2025</v>
      </c>
      <c r="D2532" t="inlineStr">
        <is>
          <t>Nov</t>
        </is>
      </c>
      <c r="E2532" t="inlineStr">
        <is>
          <t>Europe</t>
        </is>
      </c>
      <c r="F2532" t="inlineStr">
        <is>
          <t>Germany</t>
        </is>
      </c>
      <c r="G2532" t="inlineStr">
        <is>
          <t>Xeljanz</t>
        </is>
      </c>
      <c r="H2532" t="inlineStr">
        <is>
          <t>Retail pharmacy</t>
        </is>
      </c>
      <c r="I2532" t="inlineStr">
        <is>
          <t>Private insurer</t>
        </is>
      </c>
      <c r="J2532" t="inlineStr">
        <is>
          <t>Lucas Martin</t>
        </is>
      </c>
      <c r="K2532" s="70" t="n">
        <v>1558</v>
      </c>
      <c r="L2532" s="71" t="n">
        <v>1389.47</v>
      </c>
      <c r="M2532" s="71" t="n">
        <v>2164794.26</v>
      </c>
      <c r="N2532" s="71" t="n">
        <v>541198.5600000001</v>
      </c>
      <c r="O2532" s="71" t="n">
        <v>1623595.7</v>
      </c>
      <c r="P2532" s="71" t="n">
        <v>393245.99</v>
      </c>
      <c r="Q2532" s="71" t="n">
        <v>1230349.71</v>
      </c>
      <c r="R2532" t="inlineStr">
        <is>
          <t>Inflammation</t>
        </is>
      </c>
      <c r="S2532" s="70" t="n">
        <v>1069</v>
      </c>
      <c r="T2532" s="71" t="n">
        <v>419595.27</v>
      </c>
      <c r="U2532" t="inlineStr">
        <is>
          <t>High</t>
        </is>
      </c>
      <c r="V2532">
        <f>IF(AND(OR(Dashboard!$C$6="All",E2532=Dashboard!$C$6),OR(Dashboard!$F$6="All",G2532=Dashboard!$F$6),OR(Dashboard!$I$6="All",H2532=Dashboard!$I$6)),1,0)</f>
        <v/>
      </c>
    </row>
    <row r="2533">
      <c r="A2533" t="inlineStr">
        <is>
          <t>PF102524</t>
        </is>
      </c>
      <c r="B2533" s="68" t="n">
        <v>45963</v>
      </c>
      <c r="C2533" s="69" t="n">
        <v>2025</v>
      </c>
      <c r="D2533" t="inlineStr">
        <is>
          <t>Nov</t>
        </is>
      </c>
      <c r="E2533" t="inlineStr">
        <is>
          <t>Emerging markets</t>
        </is>
      </c>
      <c r="F2533" t="inlineStr">
        <is>
          <t>Mexico</t>
        </is>
      </c>
      <c r="G2533" t="inlineStr">
        <is>
          <t>Xeljanz</t>
        </is>
      </c>
      <c r="H2533" t="inlineStr">
        <is>
          <t>Government / tender</t>
        </is>
      </c>
      <c r="I2533" t="inlineStr">
        <is>
          <t>Public payer</t>
        </is>
      </c>
      <c r="J2533" t="inlineStr">
        <is>
          <t>Olivia Brown</t>
        </is>
      </c>
      <c r="K2533" s="70" t="n">
        <v>381</v>
      </c>
      <c r="L2533" s="71" t="n">
        <v>1383.9</v>
      </c>
      <c r="M2533" s="71" t="n">
        <v>527265.9</v>
      </c>
      <c r="N2533" s="71" t="n">
        <v>52726.59</v>
      </c>
      <c r="O2533" s="71" t="n">
        <v>474539.31</v>
      </c>
      <c r="P2533" s="71" t="n">
        <v>94089.13</v>
      </c>
      <c r="Q2533" s="71" t="n">
        <v>380450.18</v>
      </c>
      <c r="R2533" t="inlineStr">
        <is>
          <t>Inflammation</t>
        </is>
      </c>
      <c r="S2533" s="70" t="n">
        <v>294</v>
      </c>
      <c r="T2533" s="71" t="n">
        <v>65383.56</v>
      </c>
      <c r="U2533" t="inlineStr">
        <is>
          <t>High</t>
        </is>
      </c>
      <c r="V2533">
        <f>IF(AND(OR(Dashboard!$C$6="All",E2533=Dashboard!$C$6),OR(Dashboard!$F$6="All",G2533=Dashboard!$F$6),OR(Dashboard!$I$6="All",H2533=Dashboard!$I$6)),1,0)</f>
        <v/>
      </c>
    </row>
    <row r="2534">
      <c r="A2534" t="inlineStr">
        <is>
          <t>PF102525</t>
        </is>
      </c>
      <c r="B2534" s="68" t="n">
        <v>45963</v>
      </c>
      <c r="C2534" s="69" t="n">
        <v>2025</v>
      </c>
      <c r="D2534" t="inlineStr">
        <is>
          <t>Nov</t>
        </is>
      </c>
      <c r="E2534" t="inlineStr">
        <is>
          <t>International developed</t>
        </is>
      </c>
      <c r="F2534" t="inlineStr">
        <is>
          <t>Japan</t>
        </is>
      </c>
      <c r="G2534" t="inlineStr">
        <is>
          <t>Xeljanz</t>
        </is>
      </c>
      <c r="H2534" t="inlineStr">
        <is>
          <t>Retail pharmacy</t>
        </is>
      </c>
      <c r="I2534" t="inlineStr">
        <is>
          <t>Public payer</t>
        </is>
      </c>
      <c r="J2534" t="inlineStr">
        <is>
          <t>Zoya Ahmed</t>
        </is>
      </c>
      <c r="K2534" s="70" t="n">
        <v>1102</v>
      </c>
      <c r="L2534" s="71" t="n">
        <v>1393.99</v>
      </c>
      <c r="M2534" s="71" t="n">
        <v>1536176.98</v>
      </c>
      <c r="N2534" s="71" t="n">
        <v>384044.24</v>
      </c>
      <c r="O2534" s="71" t="n">
        <v>1152132.74</v>
      </c>
      <c r="P2534" s="71" t="n">
        <v>270137.26</v>
      </c>
      <c r="Q2534" s="71" t="n">
        <v>881995.48</v>
      </c>
      <c r="R2534" t="inlineStr">
        <is>
          <t>Inflammation</t>
        </is>
      </c>
      <c r="S2534" s="70" t="n">
        <v>748</v>
      </c>
      <c r="T2534" s="71" t="n">
        <v>311514.12</v>
      </c>
      <c r="U2534" t="inlineStr">
        <is>
          <t>High</t>
        </is>
      </c>
      <c r="V2534">
        <f>IF(AND(OR(Dashboard!$C$6="All",E2534=Dashboard!$C$6),OR(Dashboard!$F$6="All",G2534=Dashboard!$F$6),OR(Dashboard!$I$6="All",H2534=Dashboard!$I$6)),1,0)</f>
        <v/>
      </c>
    </row>
    <row r="2535">
      <c r="A2535" t="inlineStr">
        <is>
          <t>PF102526</t>
        </is>
      </c>
      <c r="B2535" s="68" t="n">
        <v>45963</v>
      </c>
      <c r="C2535" s="69" t="n">
        <v>2025</v>
      </c>
      <c r="D2535" t="inlineStr">
        <is>
          <t>Nov</t>
        </is>
      </c>
      <c r="E2535" t="inlineStr">
        <is>
          <t>United States</t>
        </is>
      </c>
      <c r="F2535" t="inlineStr">
        <is>
          <t>USA</t>
        </is>
      </c>
      <c r="G2535" t="inlineStr">
        <is>
          <t>Eliquis</t>
        </is>
      </c>
      <c r="H2535" t="inlineStr">
        <is>
          <t>Hospital</t>
        </is>
      </c>
      <c r="I2535" t="inlineStr">
        <is>
          <t>Private insurer</t>
        </is>
      </c>
      <c r="J2535" t="inlineStr">
        <is>
          <t>Carlos Silva</t>
        </is>
      </c>
      <c r="K2535" s="70" t="n">
        <v>2831</v>
      </c>
      <c r="L2535" s="71" t="n">
        <v>718.9299999999999</v>
      </c>
      <c r="M2535" s="71" t="n">
        <v>2035290.83</v>
      </c>
      <c r="N2535" s="71" t="n">
        <v>508822.71</v>
      </c>
      <c r="O2535" s="71" t="n">
        <v>1526468.12</v>
      </c>
      <c r="P2535" s="71" t="n">
        <v>210984.09</v>
      </c>
      <c r="Q2535" s="71" t="n">
        <v>1315484.03</v>
      </c>
      <c r="R2535" t="inlineStr">
        <is>
          <t>Cardiology</t>
        </is>
      </c>
      <c r="S2535" s="70" t="n">
        <v>1962</v>
      </c>
      <c r="T2535" s="71" t="n">
        <v>279762.08</v>
      </c>
      <c r="U2535" t="inlineStr">
        <is>
          <t>High</t>
        </is>
      </c>
      <c r="V2535">
        <f>IF(AND(OR(Dashboard!$C$6="All",E2535=Dashboard!$C$6),OR(Dashboard!$F$6="All",G2535=Dashboard!$F$6),OR(Dashboard!$I$6="All",H2535=Dashboard!$I$6)),1,0)</f>
        <v/>
      </c>
    </row>
    <row r="2536">
      <c r="A2536" t="inlineStr">
        <is>
          <t>PF102527</t>
        </is>
      </c>
      <c r="B2536" s="68" t="n">
        <v>45963</v>
      </c>
      <c r="C2536" s="69" t="n">
        <v>2025</v>
      </c>
      <c r="D2536" t="inlineStr">
        <is>
          <t>Nov</t>
        </is>
      </c>
      <c r="E2536" t="inlineStr">
        <is>
          <t>United States</t>
        </is>
      </c>
      <c r="F2536" t="inlineStr">
        <is>
          <t>USA</t>
        </is>
      </c>
      <c r="G2536" t="inlineStr">
        <is>
          <t>Prevnar 20</t>
        </is>
      </c>
      <c r="H2536" t="inlineStr">
        <is>
          <t>Retail pharmacy</t>
        </is>
      </c>
      <c r="I2536" t="inlineStr">
        <is>
          <t>Self-pay</t>
        </is>
      </c>
      <c r="J2536" t="inlineStr">
        <is>
          <t>Sara Rossi</t>
        </is>
      </c>
      <c r="K2536" s="70" t="n">
        <v>1010</v>
      </c>
      <c r="L2536" s="71" t="n">
        <v>396.4</v>
      </c>
      <c r="M2536" s="71" t="n">
        <v>400364</v>
      </c>
      <c r="N2536" s="71" t="n">
        <v>100091</v>
      </c>
      <c r="O2536" s="71" t="n">
        <v>300273</v>
      </c>
      <c r="P2536" s="71" t="n">
        <v>67739.16</v>
      </c>
      <c r="Q2536" s="71" t="n">
        <v>232533.84</v>
      </c>
      <c r="R2536" t="inlineStr">
        <is>
          <t>Vaccines</t>
        </is>
      </c>
      <c r="S2536" s="70" t="n">
        <v>795</v>
      </c>
      <c r="T2536" s="71" t="n">
        <v>70396.94</v>
      </c>
      <c r="U2536" t="inlineStr">
        <is>
          <t>Low</t>
        </is>
      </c>
      <c r="V2536">
        <f>IF(AND(OR(Dashboard!$C$6="All",E2536=Dashboard!$C$6),OR(Dashboard!$F$6="All",G2536=Dashboard!$F$6),OR(Dashboard!$I$6="All",H2536=Dashboard!$I$6)),1,0)</f>
        <v/>
      </c>
    </row>
    <row r="2537">
      <c r="A2537" t="inlineStr">
        <is>
          <t>PF102528</t>
        </is>
      </c>
      <c r="B2537" s="68" t="n">
        <v>45964</v>
      </c>
      <c r="C2537" s="69" t="n">
        <v>2025</v>
      </c>
      <c r="D2537" t="inlineStr">
        <is>
          <t>Nov</t>
        </is>
      </c>
      <c r="E2537" t="inlineStr">
        <is>
          <t>United States</t>
        </is>
      </c>
      <c r="F2537" t="inlineStr">
        <is>
          <t>USA</t>
        </is>
      </c>
      <c r="G2537" t="inlineStr">
        <is>
          <t>Abrysvo</t>
        </is>
      </c>
      <c r="H2537" t="inlineStr">
        <is>
          <t>Retail pharmacy</t>
        </is>
      </c>
      <c r="I2537" t="inlineStr">
        <is>
          <t>Public payer</t>
        </is>
      </c>
      <c r="J2537" t="inlineStr">
        <is>
          <t>Olivia Brown</t>
        </is>
      </c>
      <c r="K2537" s="70" t="n">
        <v>235</v>
      </c>
      <c r="L2537" s="71" t="n">
        <v>420.42</v>
      </c>
      <c r="M2537" s="71" t="n">
        <v>98798.7</v>
      </c>
      <c r="N2537" s="71" t="n">
        <v>19759.74</v>
      </c>
      <c r="O2537" s="71" t="n">
        <v>79038.96000000001</v>
      </c>
      <c r="P2537" s="71" t="n">
        <v>19336.29</v>
      </c>
      <c r="Q2537" s="71" t="n">
        <v>59702.67</v>
      </c>
      <c r="R2537" t="inlineStr">
        <is>
          <t>Vaccines</t>
        </is>
      </c>
      <c r="S2537" s="70" t="n">
        <v>176</v>
      </c>
      <c r="T2537" s="71" t="n">
        <v>17168.24</v>
      </c>
      <c r="U2537" t="inlineStr">
        <is>
          <t>Low</t>
        </is>
      </c>
      <c r="V2537">
        <f>IF(AND(OR(Dashboard!$C$6="All",E2537=Dashboard!$C$6),OR(Dashboard!$F$6="All",G2537=Dashboard!$F$6),OR(Dashboard!$I$6="All",H2537=Dashboard!$I$6)),1,0)</f>
        <v/>
      </c>
    </row>
    <row r="2538">
      <c r="A2538" t="inlineStr">
        <is>
          <t>PF102529</t>
        </is>
      </c>
      <c r="B2538" s="68" t="n">
        <v>45964</v>
      </c>
      <c r="C2538" s="69" t="n">
        <v>2025</v>
      </c>
      <c r="D2538" t="inlineStr">
        <is>
          <t>Nov</t>
        </is>
      </c>
      <c r="E2538" t="inlineStr">
        <is>
          <t>United States</t>
        </is>
      </c>
      <c r="F2538" t="inlineStr">
        <is>
          <t>USA</t>
        </is>
      </c>
      <c r="G2538" t="inlineStr">
        <is>
          <t>Comirnaty</t>
        </is>
      </c>
      <c r="H2538" t="inlineStr">
        <is>
          <t>Hospital</t>
        </is>
      </c>
      <c r="I2538" t="inlineStr">
        <is>
          <t>Public payer</t>
        </is>
      </c>
      <c r="J2538" t="inlineStr">
        <is>
          <t>Mei Lin</t>
        </is>
      </c>
      <c r="K2538" s="70" t="n">
        <v>3047</v>
      </c>
      <c r="L2538" s="71" t="n">
        <v>181.36</v>
      </c>
      <c r="M2538" s="71" t="n">
        <v>552603.92</v>
      </c>
      <c r="N2538" s="71" t="n">
        <v>82890.59</v>
      </c>
      <c r="O2538" s="71" t="n">
        <v>469713.33</v>
      </c>
      <c r="P2538" s="71" t="n">
        <v>114881.42</v>
      </c>
      <c r="Q2538" s="71" t="n">
        <v>354831.91</v>
      </c>
      <c r="R2538" t="inlineStr">
        <is>
          <t>Vaccines</t>
        </is>
      </c>
      <c r="S2538" s="70" t="n">
        <v>2899</v>
      </c>
      <c r="T2538" s="71" t="n">
        <v>113700.43</v>
      </c>
      <c r="U2538" t="inlineStr">
        <is>
          <t>Low</t>
        </is>
      </c>
      <c r="V2538">
        <f>IF(AND(OR(Dashboard!$C$6="All",E2538=Dashboard!$C$6),OR(Dashboard!$F$6="All",G2538=Dashboard!$F$6),OR(Dashboard!$I$6="All",H2538=Dashboard!$I$6)),1,0)</f>
        <v/>
      </c>
    </row>
    <row r="2539">
      <c r="A2539" t="inlineStr">
        <is>
          <t>PF102530</t>
        </is>
      </c>
      <c r="B2539" s="68" t="n">
        <v>45964</v>
      </c>
      <c r="C2539" s="69" t="n">
        <v>2025</v>
      </c>
      <c r="D2539" t="inlineStr">
        <is>
          <t>Nov</t>
        </is>
      </c>
      <c r="E2539" t="inlineStr">
        <is>
          <t>Europe</t>
        </is>
      </c>
      <c r="F2539" t="inlineStr">
        <is>
          <t>UK</t>
        </is>
      </c>
      <c r="G2539" t="inlineStr">
        <is>
          <t>Ibrance</t>
        </is>
      </c>
      <c r="H2539" t="inlineStr">
        <is>
          <t>Retail pharmacy</t>
        </is>
      </c>
      <c r="I2539" t="inlineStr">
        <is>
          <t>Public payer</t>
        </is>
      </c>
      <c r="J2539" t="inlineStr">
        <is>
          <t>Noah Smith</t>
        </is>
      </c>
      <c r="K2539" s="70" t="n">
        <v>2391</v>
      </c>
      <c r="L2539" s="71" t="n">
        <v>2929.49</v>
      </c>
      <c r="M2539" s="71" t="n">
        <v>7004410.59</v>
      </c>
      <c r="N2539" s="71" t="n">
        <v>350220.53</v>
      </c>
      <c r="O2539" s="71" t="n">
        <v>6654190.06</v>
      </c>
      <c r="P2539" s="71" t="n">
        <v>1003250.99</v>
      </c>
      <c r="Q2539" s="71" t="n">
        <v>5650939.07</v>
      </c>
      <c r="R2539" t="inlineStr">
        <is>
          <t>Oncology</t>
        </is>
      </c>
      <c r="S2539" s="70" t="n">
        <v>1825</v>
      </c>
      <c r="T2539" s="71" t="n">
        <v>1085007.45</v>
      </c>
      <c r="U2539" t="inlineStr">
        <is>
          <t>High</t>
        </is>
      </c>
      <c r="V2539">
        <f>IF(AND(OR(Dashboard!$C$6="All",E2539=Dashboard!$C$6),OR(Dashboard!$F$6="All",G2539=Dashboard!$F$6),OR(Dashboard!$I$6="All",H2539=Dashboard!$I$6)),1,0)</f>
        <v/>
      </c>
    </row>
    <row r="2540">
      <c r="A2540" t="inlineStr">
        <is>
          <t>PF102531</t>
        </is>
      </c>
      <c r="B2540" s="68" t="n">
        <v>45964</v>
      </c>
      <c r="C2540" s="69" t="n">
        <v>2025</v>
      </c>
      <c r="D2540" t="inlineStr">
        <is>
          <t>Nov</t>
        </is>
      </c>
      <c r="E2540" t="inlineStr">
        <is>
          <t>United States</t>
        </is>
      </c>
      <c r="F2540" t="inlineStr">
        <is>
          <t>USA</t>
        </is>
      </c>
      <c r="G2540" t="inlineStr">
        <is>
          <t>Prevnar 20</t>
        </is>
      </c>
      <c r="H2540" t="inlineStr">
        <is>
          <t>Government / tender</t>
        </is>
      </c>
      <c r="I2540" t="inlineStr">
        <is>
          <t>Public payer</t>
        </is>
      </c>
      <c r="J2540" t="inlineStr">
        <is>
          <t>Priya Nair</t>
        </is>
      </c>
      <c r="K2540" s="70" t="n">
        <v>2194</v>
      </c>
      <c r="L2540" s="71" t="n">
        <v>396.51</v>
      </c>
      <c r="M2540" s="71" t="n">
        <v>869942.9399999999</v>
      </c>
      <c r="N2540" s="71" t="n">
        <v>130491.44</v>
      </c>
      <c r="O2540" s="71" t="n">
        <v>739451.5</v>
      </c>
      <c r="P2540" s="71" t="n">
        <v>156691.51</v>
      </c>
      <c r="Q2540" s="71" t="n">
        <v>582759.99</v>
      </c>
      <c r="R2540" t="inlineStr">
        <is>
          <t>Vaccines</t>
        </is>
      </c>
      <c r="S2540" s="70" t="n">
        <v>2015</v>
      </c>
      <c r="T2540" s="71" t="n">
        <v>139081.17</v>
      </c>
      <c r="U2540" t="inlineStr">
        <is>
          <t>Low</t>
        </is>
      </c>
      <c r="V2540">
        <f>IF(AND(OR(Dashboard!$C$6="All",E2540=Dashboard!$C$6),OR(Dashboard!$F$6="All",G2540=Dashboard!$F$6),OR(Dashboard!$I$6="All",H2540=Dashboard!$I$6)),1,0)</f>
        <v/>
      </c>
    </row>
    <row r="2541">
      <c r="A2541" t="inlineStr">
        <is>
          <t>PF102532</t>
        </is>
      </c>
      <c r="B2541" s="68" t="n">
        <v>45964</v>
      </c>
      <c r="C2541" s="69" t="n">
        <v>2025</v>
      </c>
      <c r="D2541" t="inlineStr">
        <is>
          <t>Nov</t>
        </is>
      </c>
      <c r="E2541" t="inlineStr">
        <is>
          <t>International developed</t>
        </is>
      </c>
      <c r="F2541" t="inlineStr">
        <is>
          <t>Japan</t>
        </is>
      </c>
      <c r="G2541" t="inlineStr">
        <is>
          <t>Xeljanz</t>
        </is>
      </c>
      <c r="H2541" t="inlineStr">
        <is>
          <t>Government / tender</t>
        </is>
      </c>
      <c r="I2541" t="inlineStr">
        <is>
          <t>Private insurer</t>
        </is>
      </c>
      <c r="J2541" t="inlineStr">
        <is>
          <t>Omar Haddad</t>
        </is>
      </c>
      <c r="K2541" s="70" t="n">
        <v>933</v>
      </c>
      <c r="L2541" s="71" t="n">
        <v>1421.67</v>
      </c>
      <c r="M2541" s="71" t="n">
        <v>1326418.11</v>
      </c>
      <c r="N2541" s="71" t="n">
        <v>66320.91</v>
      </c>
      <c r="O2541" s="71" t="n">
        <v>1260097.2</v>
      </c>
      <c r="P2541" s="71" t="n">
        <v>243558.48</v>
      </c>
      <c r="Q2541" s="71" t="n">
        <v>1016538.72</v>
      </c>
      <c r="R2541" t="inlineStr">
        <is>
          <t>Inflammation</t>
        </is>
      </c>
      <c r="S2541" s="70" t="n">
        <v>765</v>
      </c>
      <c r="T2541" s="71" t="n">
        <v>170966.4</v>
      </c>
      <c r="U2541" t="inlineStr">
        <is>
          <t>High</t>
        </is>
      </c>
      <c r="V2541">
        <f>IF(AND(OR(Dashboard!$C$6="All",E2541=Dashboard!$C$6),OR(Dashboard!$F$6="All",G2541=Dashboard!$F$6),OR(Dashboard!$I$6="All",H2541=Dashboard!$I$6)),1,0)</f>
        <v/>
      </c>
    </row>
    <row r="2542">
      <c r="A2542" t="inlineStr">
        <is>
          <t>PF102533</t>
        </is>
      </c>
      <c r="B2542" s="68" t="n">
        <v>45964</v>
      </c>
      <c r="C2542" s="69" t="n">
        <v>2025</v>
      </c>
      <c r="D2542" t="inlineStr">
        <is>
          <t>Nov</t>
        </is>
      </c>
      <c r="E2542" t="inlineStr">
        <is>
          <t>United States</t>
        </is>
      </c>
      <c r="F2542" t="inlineStr">
        <is>
          <t>USA</t>
        </is>
      </c>
      <c r="G2542" t="inlineStr">
        <is>
          <t>Eliquis</t>
        </is>
      </c>
      <c r="H2542" t="inlineStr">
        <is>
          <t>Retail pharmacy</t>
        </is>
      </c>
      <c r="I2542" t="inlineStr">
        <is>
          <t>Private insurer</t>
        </is>
      </c>
      <c r="J2542" t="inlineStr">
        <is>
          <t>Sara Rossi</t>
        </is>
      </c>
      <c r="K2542" s="70" t="n">
        <v>2915</v>
      </c>
      <c r="L2542" s="71" t="n">
        <v>651.98</v>
      </c>
      <c r="M2542" s="71" t="n">
        <v>1900521.7</v>
      </c>
      <c r="N2542" s="71" t="n">
        <v>285078.26</v>
      </c>
      <c r="O2542" s="71" t="n">
        <v>1615443.44</v>
      </c>
      <c r="P2542" s="71" t="n">
        <v>212314.64</v>
      </c>
      <c r="Q2542" s="71" t="n">
        <v>1403128.8</v>
      </c>
      <c r="R2542" t="inlineStr">
        <is>
          <t>Cardiology</t>
        </is>
      </c>
      <c r="S2542" s="70" t="n">
        <v>2131</v>
      </c>
      <c r="T2542" s="71" t="n">
        <v>410044.73</v>
      </c>
      <c r="U2542" t="inlineStr">
        <is>
          <t>High</t>
        </is>
      </c>
      <c r="V2542">
        <f>IF(AND(OR(Dashboard!$C$6="All",E2542=Dashboard!$C$6),OR(Dashboard!$F$6="All",G2542=Dashboard!$F$6),OR(Dashboard!$I$6="All",H2542=Dashboard!$I$6)),1,0)</f>
        <v/>
      </c>
    </row>
    <row r="2543">
      <c r="A2543" t="inlineStr">
        <is>
          <t>PF102534</t>
        </is>
      </c>
      <c r="B2543" s="68" t="n">
        <v>45965</v>
      </c>
      <c r="C2543" s="69" t="n">
        <v>2025</v>
      </c>
      <c r="D2543" t="inlineStr">
        <is>
          <t>Nov</t>
        </is>
      </c>
      <c r="E2543" t="inlineStr">
        <is>
          <t>Emerging markets</t>
        </is>
      </c>
      <c r="F2543" t="inlineStr">
        <is>
          <t>India</t>
        </is>
      </c>
      <c r="G2543" t="inlineStr">
        <is>
          <t>Eliquis</t>
        </is>
      </c>
      <c r="H2543" t="inlineStr">
        <is>
          <t>Retail pharmacy</t>
        </is>
      </c>
      <c r="I2543" t="inlineStr">
        <is>
          <t>Private insurer</t>
        </is>
      </c>
      <c r="J2543" t="inlineStr">
        <is>
          <t>Shraddha Kulkarni</t>
        </is>
      </c>
      <c r="K2543" s="70" t="n">
        <v>1933</v>
      </c>
      <c r="L2543" s="71" t="n">
        <v>379.17</v>
      </c>
      <c r="M2543" s="71" t="n">
        <v>732935.61</v>
      </c>
      <c r="N2543" s="71" t="n">
        <v>146587.12</v>
      </c>
      <c r="O2543" s="71" t="n">
        <v>586348.49</v>
      </c>
      <c r="P2543" s="71" t="n">
        <v>145082.98</v>
      </c>
      <c r="Q2543" s="71" t="n">
        <v>441265.51</v>
      </c>
      <c r="R2543" t="inlineStr">
        <is>
          <t>Cardiology</t>
        </is>
      </c>
      <c r="S2543" s="70" t="n">
        <v>1253</v>
      </c>
      <c r="T2543" s="71" t="n">
        <v>145991.83</v>
      </c>
      <c r="U2543" t="inlineStr">
        <is>
          <t>High</t>
        </is>
      </c>
      <c r="V2543">
        <f>IF(AND(OR(Dashboard!$C$6="All",E2543=Dashboard!$C$6),OR(Dashboard!$F$6="All",G2543=Dashboard!$F$6),OR(Dashboard!$I$6="All",H2543=Dashboard!$I$6)),1,0)</f>
        <v/>
      </c>
    </row>
    <row r="2544">
      <c r="A2544" t="inlineStr">
        <is>
          <t>PF102535</t>
        </is>
      </c>
      <c r="B2544" s="68" t="n">
        <v>45965</v>
      </c>
      <c r="C2544" s="69" t="n">
        <v>2025</v>
      </c>
      <c r="D2544" t="inlineStr">
        <is>
          <t>Nov</t>
        </is>
      </c>
      <c r="E2544" t="inlineStr">
        <is>
          <t>United States</t>
        </is>
      </c>
      <c r="F2544" t="inlineStr">
        <is>
          <t>USA</t>
        </is>
      </c>
      <c r="G2544" t="inlineStr">
        <is>
          <t>Eliquis</t>
        </is>
      </c>
      <c r="H2544" t="inlineStr">
        <is>
          <t>Hospital</t>
        </is>
      </c>
      <c r="I2544" t="inlineStr">
        <is>
          <t>Public payer</t>
        </is>
      </c>
      <c r="J2544" t="inlineStr">
        <is>
          <t>Wei Chen</t>
        </is>
      </c>
      <c r="K2544" s="70" t="n">
        <v>2221</v>
      </c>
      <c r="L2544" s="71" t="n">
        <v>649.2</v>
      </c>
      <c r="M2544" s="71" t="n">
        <v>1441873.2</v>
      </c>
      <c r="N2544" s="71" t="n">
        <v>360468.3</v>
      </c>
      <c r="O2544" s="71" t="n">
        <v>1081404.9</v>
      </c>
      <c r="P2544" s="71" t="n">
        <v>164569.05</v>
      </c>
      <c r="Q2544" s="71" t="n">
        <v>916835.85</v>
      </c>
      <c r="R2544" t="inlineStr">
        <is>
          <t>Cardiology</t>
        </is>
      </c>
      <c r="S2544" s="70" t="n">
        <v>1571</v>
      </c>
      <c r="T2544" s="71" t="n">
        <v>274848.12</v>
      </c>
      <c r="U2544" t="inlineStr">
        <is>
          <t>High</t>
        </is>
      </c>
      <c r="V2544">
        <f>IF(AND(OR(Dashboard!$C$6="All",E2544=Dashboard!$C$6),OR(Dashboard!$F$6="All",G2544=Dashboard!$F$6),OR(Dashboard!$I$6="All",H2544=Dashboard!$I$6)),1,0)</f>
        <v/>
      </c>
    </row>
    <row r="2545">
      <c r="A2545" t="inlineStr">
        <is>
          <t>PF102536</t>
        </is>
      </c>
      <c r="B2545" s="68" t="n">
        <v>45965</v>
      </c>
      <c r="C2545" s="69" t="n">
        <v>2025</v>
      </c>
      <c r="D2545" t="inlineStr">
        <is>
          <t>Nov</t>
        </is>
      </c>
      <c r="E2545" t="inlineStr">
        <is>
          <t>International developed</t>
        </is>
      </c>
      <c r="F2545" t="inlineStr">
        <is>
          <t>Canada</t>
        </is>
      </c>
      <c r="G2545" t="inlineStr">
        <is>
          <t>Abrysvo</t>
        </is>
      </c>
      <c r="H2545" t="inlineStr">
        <is>
          <t>Hospital</t>
        </is>
      </c>
      <c r="I2545" t="inlineStr">
        <is>
          <t>Public payer</t>
        </is>
      </c>
      <c r="J2545" t="inlineStr">
        <is>
          <t>Sara Rossi</t>
        </is>
      </c>
      <c r="K2545" s="70" t="n">
        <v>2819</v>
      </c>
      <c r="L2545" s="71" t="n">
        <v>298.38</v>
      </c>
      <c r="M2545" s="71" t="n">
        <v>841133.22</v>
      </c>
      <c r="N2545" s="71" t="n">
        <v>210283.3</v>
      </c>
      <c r="O2545" s="71" t="n">
        <v>630849.92</v>
      </c>
      <c r="P2545" s="71" t="n">
        <v>229459.25</v>
      </c>
      <c r="Q2545" s="71" t="n">
        <v>401390.67</v>
      </c>
      <c r="R2545" t="inlineStr">
        <is>
          <t>Vaccines</t>
        </is>
      </c>
      <c r="S2545" s="70" t="n">
        <v>2429</v>
      </c>
      <c r="T2545" s="71" t="n">
        <v>110951.99</v>
      </c>
      <c r="U2545" t="inlineStr">
        <is>
          <t>Low</t>
        </is>
      </c>
      <c r="V2545">
        <f>IF(AND(OR(Dashboard!$C$6="All",E2545=Dashboard!$C$6),OR(Dashboard!$F$6="All",G2545=Dashboard!$F$6),OR(Dashboard!$I$6="All",H2545=Dashboard!$I$6)),1,0)</f>
        <v/>
      </c>
    </row>
    <row r="2546">
      <c r="A2546" t="inlineStr">
        <is>
          <t>PF102537</t>
        </is>
      </c>
      <c r="B2546" s="68" t="n">
        <v>45965</v>
      </c>
      <c r="C2546" s="69" t="n">
        <v>2025</v>
      </c>
      <c r="D2546" t="inlineStr">
        <is>
          <t>Nov</t>
        </is>
      </c>
      <c r="E2546" t="inlineStr">
        <is>
          <t>United States</t>
        </is>
      </c>
      <c r="F2546" t="inlineStr">
        <is>
          <t>USA</t>
        </is>
      </c>
      <c r="G2546" t="inlineStr">
        <is>
          <t>Paxlovid</t>
        </is>
      </c>
      <c r="H2546" t="inlineStr">
        <is>
          <t>Retail pharmacy</t>
        </is>
      </c>
      <c r="I2546" t="inlineStr">
        <is>
          <t>Public payer</t>
        </is>
      </c>
      <c r="J2546" t="inlineStr">
        <is>
          <t>Wei Chen</t>
        </is>
      </c>
      <c r="K2546" s="70" t="n">
        <v>1348</v>
      </c>
      <c r="L2546" s="71" t="n">
        <v>1746.53</v>
      </c>
      <c r="M2546" s="71" t="n">
        <v>2354322.44</v>
      </c>
      <c r="N2546" s="71" t="n">
        <v>588580.61</v>
      </c>
      <c r="O2546" s="71" t="n">
        <v>1765741.83</v>
      </c>
      <c r="P2546" s="71" t="n">
        <v>368480.11</v>
      </c>
      <c r="Q2546" s="71" t="n">
        <v>1397261.72</v>
      </c>
      <c r="R2546" t="inlineStr">
        <is>
          <t>Antiviral</t>
        </is>
      </c>
      <c r="S2546" s="70" t="n">
        <v>966</v>
      </c>
      <c r="T2546" s="71" t="n">
        <v>379154.78</v>
      </c>
      <c r="U2546" t="inlineStr">
        <is>
          <t>Low</t>
        </is>
      </c>
      <c r="V2546">
        <f>IF(AND(OR(Dashboard!$C$6="All",E2546=Dashboard!$C$6),OR(Dashboard!$F$6="All",G2546=Dashboard!$F$6),OR(Dashboard!$I$6="All",H2546=Dashboard!$I$6)),1,0)</f>
        <v/>
      </c>
    </row>
    <row r="2547">
      <c r="A2547" t="inlineStr">
        <is>
          <t>PF102538</t>
        </is>
      </c>
      <c r="B2547" s="68" t="n">
        <v>45965</v>
      </c>
      <c r="C2547" s="69" t="n">
        <v>2025</v>
      </c>
      <c r="D2547" t="inlineStr">
        <is>
          <t>Nov</t>
        </is>
      </c>
      <c r="E2547" t="inlineStr">
        <is>
          <t>United States</t>
        </is>
      </c>
      <c r="F2547" t="inlineStr">
        <is>
          <t>USA</t>
        </is>
      </c>
      <c r="G2547" t="inlineStr">
        <is>
          <t>Abrysvo</t>
        </is>
      </c>
      <c r="H2547" t="inlineStr">
        <is>
          <t>Government / tender</t>
        </is>
      </c>
      <c r="I2547" t="inlineStr">
        <is>
          <t>Private insurer</t>
        </is>
      </c>
      <c r="J2547" t="inlineStr">
        <is>
          <t>Amir Khan</t>
        </is>
      </c>
      <c r="K2547" s="70" t="n">
        <v>2348</v>
      </c>
      <c r="L2547" s="71" t="n">
        <v>458.99</v>
      </c>
      <c r="M2547" s="71" t="n">
        <v>1077708.52</v>
      </c>
      <c r="N2547" s="71" t="n">
        <v>269427.13</v>
      </c>
      <c r="O2547" s="71" t="n">
        <v>808281.39</v>
      </c>
      <c r="P2547" s="71" t="n">
        <v>200503.32</v>
      </c>
      <c r="Q2547" s="71" t="n">
        <v>607778.0699999999</v>
      </c>
      <c r="R2547" t="inlineStr">
        <is>
          <t>Vaccines</t>
        </is>
      </c>
      <c r="S2547" s="70" t="n">
        <v>2235</v>
      </c>
      <c r="T2547" s="71" t="n">
        <v>194949.69</v>
      </c>
      <c r="U2547" t="inlineStr">
        <is>
          <t>Low</t>
        </is>
      </c>
      <c r="V2547">
        <f>IF(AND(OR(Dashboard!$C$6="All",E2547=Dashboard!$C$6),OR(Dashboard!$F$6="All",G2547=Dashboard!$F$6),OR(Dashboard!$I$6="All",H2547=Dashboard!$I$6)),1,0)</f>
        <v/>
      </c>
    </row>
    <row r="2548">
      <c r="A2548" t="inlineStr">
        <is>
          <t>PF102539</t>
        </is>
      </c>
      <c r="B2548" s="68" t="n">
        <v>45965</v>
      </c>
      <c r="C2548" s="69" t="n">
        <v>2025</v>
      </c>
      <c r="D2548" t="inlineStr">
        <is>
          <t>Nov</t>
        </is>
      </c>
      <c r="E2548" t="inlineStr">
        <is>
          <t>Emerging markets</t>
        </is>
      </c>
      <c r="F2548" t="inlineStr">
        <is>
          <t>China</t>
        </is>
      </c>
      <c r="G2548" t="inlineStr">
        <is>
          <t>Prevnar 20</t>
        </is>
      </c>
      <c r="H2548" t="inlineStr">
        <is>
          <t>Retail pharmacy</t>
        </is>
      </c>
      <c r="I2548" t="inlineStr">
        <is>
          <t>Private insurer</t>
        </is>
      </c>
      <c r="J2548" t="inlineStr">
        <is>
          <t>Omar Haddad</t>
        </is>
      </c>
      <c r="K2548" s="70" t="n">
        <v>220</v>
      </c>
      <c r="L2548" s="71" t="n">
        <v>215.9</v>
      </c>
      <c r="M2548" s="71" t="n">
        <v>47498</v>
      </c>
      <c r="N2548" s="71" t="n">
        <v>2374.9</v>
      </c>
      <c r="O2548" s="71" t="n">
        <v>45123.1</v>
      </c>
      <c r="P2548" s="71" t="n">
        <v>15092.21</v>
      </c>
      <c r="Q2548" s="71" t="n">
        <v>30030.89</v>
      </c>
      <c r="R2548" t="inlineStr">
        <is>
          <t>Vaccines</t>
        </is>
      </c>
      <c r="S2548" s="70" t="n">
        <v>141</v>
      </c>
      <c r="T2548" s="71" t="n">
        <v>10037.71</v>
      </c>
      <c r="U2548" t="inlineStr">
        <is>
          <t>Low</t>
        </is>
      </c>
      <c r="V2548">
        <f>IF(AND(OR(Dashboard!$C$6="All",E2548=Dashboard!$C$6),OR(Dashboard!$F$6="All",G2548=Dashboard!$F$6),OR(Dashboard!$I$6="All",H2548=Dashboard!$I$6)),1,0)</f>
        <v/>
      </c>
    </row>
    <row r="2549">
      <c r="A2549" t="inlineStr">
        <is>
          <t>PF102540</t>
        </is>
      </c>
      <c r="B2549" s="68" t="n">
        <v>45965</v>
      </c>
      <c r="C2549" s="69" t="n">
        <v>2025</v>
      </c>
      <c r="D2549" t="inlineStr">
        <is>
          <t>Nov</t>
        </is>
      </c>
      <c r="E2549" t="inlineStr">
        <is>
          <t>United States</t>
        </is>
      </c>
      <c r="F2549" t="inlineStr">
        <is>
          <t>USA</t>
        </is>
      </c>
      <c r="G2549" t="inlineStr">
        <is>
          <t>Abrysvo</t>
        </is>
      </c>
      <c r="H2549" t="inlineStr">
        <is>
          <t>Hospital</t>
        </is>
      </c>
      <c r="I2549" t="inlineStr">
        <is>
          <t>Private insurer</t>
        </is>
      </c>
      <c r="J2549" t="inlineStr">
        <is>
          <t>Liam O'Brien</t>
        </is>
      </c>
      <c r="K2549" s="70" t="n">
        <v>1778</v>
      </c>
      <c r="L2549" s="71" t="n">
        <v>412.21</v>
      </c>
      <c r="M2549" s="71" t="n">
        <v>732909.38</v>
      </c>
      <c r="N2549" s="71" t="n">
        <v>146581.88</v>
      </c>
      <c r="O2549" s="71" t="n">
        <v>586327.5</v>
      </c>
      <c r="P2549" s="71" t="n">
        <v>151358.55</v>
      </c>
      <c r="Q2549" s="71" t="n">
        <v>434968.95</v>
      </c>
      <c r="R2549" t="inlineStr">
        <is>
          <t>Vaccines</t>
        </is>
      </c>
      <c r="S2549" s="70" t="n">
        <v>1175</v>
      </c>
      <c r="T2549" s="71" t="n">
        <v>108672.8</v>
      </c>
      <c r="U2549" t="inlineStr">
        <is>
          <t>Low</t>
        </is>
      </c>
      <c r="V2549">
        <f>IF(AND(OR(Dashboard!$C$6="All",E2549=Dashboard!$C$6),OR(Dashboard!$F$6="All",G2549=Dashboard!$F$6),OR(Dashboard!$I$6="All",H2549=Dashboard!$I$6)),1,0)</f>
        <v/>
      </c>
    </row>
    <row r="2550">
      <c r="A2550" t="inlineStr">
        <is>
          <t>PF102541</t>
        </is>
      </c>
      <c r="B2550" s="68" t="n">
        <v>45965</v>
      </c>
      <c r="C2550" s="69" t="n">
        <v>2025</v>
      </c>
      <c r="D2550" t="inlineStr">
        <is>
          <t>Nov</t>
        </is>
      </c>
      <c r="E2550" t="inlineStr">
        <is>
          <t>Europe</t>
        </is>
      </c>
      <c r="F2550" t="inlineStr">
        <is>
          <t>Germany</t>
        </is>
      </c>
      <c r="G2550" t="inlineStr">
        <is>
          <t>Ibrance</t>
        </is>
      </c>
      <c r="H2550" t="inlineStr">
        <is>
          <t>Hospital</t>
        </is>
      </c>
      <c r="I2550" t="inlineStr">
        <is>
          <t>Public payer</t>
        </is>
      </c>
      <c r="J2550" t="inlineStr">
        <is>
          <t>Arjun Mehta</t>
        </is>
      </c>
      <c r="K2550" s="70" t="n">
        <v>1425</v>
      </c>
      <c r="L2550" s="71" t="n">
        <v>3021.35</v>
      </c>
      <c r="M2550" s="71" t="n">
        <v>4305423.75</v>
      </c>
      <c r="N2550" s="71" t="n">
        <v>215271.19</v>
      </c>
      <c r="O2550" s="71" t="n">
        <v>4090152.56</v>
      </c>
      <c r="P2550" s="71" t="n">
        <v>613468.9300000001</v>
      </c>
      <c r="Q2550" s="71" t="n">
        <v>3476683.63</v>
      </c>
      <c r="R2550" t="inlineStr">
        <is>
          <t>Oncology</t>
        </is>
      </c>
      <c r="S2550" s="70" t="n">
        <v>1333</v>
      </c>
      <c r="T2550" s="71" t="n">
        <v>873217</v>
      </c>
      <c r="U2550" t="inlineStr">
        <is>
          <t>High</t>
        </is>
      </c>
      <c r="V2550">
        <f>IF(AND(OR(Dashboard!$C$6="All",E2550=Dashboard!$C$6),OR(Dashboard!$F$6="All",G2550=Dashboard!$F$6),OR(Dashboard!$I$6="All",H2550=Dashboard!$I$6)),1,0)</f>
        <v/>
      </c>
    </row>
    <row r="2551">
      <c r="A2551" t="inlineStr">
        <is>
          <t>PF102542</t>
        </is>
      </c>
      <c r="B2551" s="68" t="n">
        <v>45965</v>
      </c>
      <c r="C2551" s="69" t="n">
        <v>2025</v>
      </c>
      <c r="D2551" t="inlineStr">
        <is>
          <t>Nov</t>
        </is>
      </c>
      <c r="E2551" t="inlineStr">
        <is>
          <t>United States</t>
        </is>
      </c>
      <c r="F2551" t="inlineStr">
        <is>
          <t>USA</t>
        </is>
      </c>
      <c r="G2551" t="inlineStr">
        <is>
          <t>Ibrance</t>
        </is>
      </c>
      <c r="H2551" t="inlineStr">
        <is>
          <t>Hospital</t>
        </is>
      </c>
      <c r="I2551" t="inlineStr">
        <is>
          <t>Self-pay</t>
        </is>
      </c>
      <c r="J2551" t="inlineStr">
        <is>
          <t>Ana Costa</t>
        </is>
      </c>
      <c r="K2551" s="70" t="n">
        <v>1466</v>
      </c>
      <c r="L2551" s="71" t="n">
        <v>4657.82</v>
      </c>
      <c r="M2551" s="71" t="n">
        <v>6828364.12</v>
      </c>
      <c r="N2551" s="71" t="n">
        <v>1365672.82</v>
      </c>
      <c r="O2551" s="71" t="n">
        <v>5462691.3</v>
      </c>
      <c r="P2551" s="71" t="n">
        <v>645414.23</v>
      </c>
      <c r="Q2551" s="71" t="n">
        <v>4817277.07</v>
      </c>
      <c r="R2551" t="inlineStr">
        <is>
          <t>Oncology</t>
        </is>
      </c>
      <c r="S2551" s="70" t="n">
        <v>1266</v>
      </c>
      <c r="T2551" s="71" t="n">
        <v>901924.41</v>
      </c>
      <c r="U2551" t="inlineStr">
        <is>
          <t>High</t>
        </is>
      </c>
      <c r="V2551">
        <f>IF(AND(OR(Dashboard!$C$6="All",E2551=Dashboard!$C$6),OR(Dashboard!$F$6="All",G2551=Dashboard!$F$6),OR(Dashboard!$I$6="All",H2551=Dashboard!$I$6)),1,0)</f>
        <v/>
      </c>
    </row>
    <row r="2552">
      <c r="A2552" t="inlineStr">
        <is>
          <t>PF102543</t>
        </is>
      </c>
      <c r="B2552" s="68" t="n">
        <v>45965</v>
      </c>
      <c r="C2552" s="69" t="n">
        <v>2025</v>
      </c>
      <c r="D2552" t="inlineStr">
        <is>
          <t>Nov</t>
        </is>
      </c>
      <c r="E2552" t="inlineStr">
        <is>
          <t>Europe</t>
        </is>
      </c>
      <c r="F2552" t="inlineStr">
        <is>
          <t>France</t>
        </is>
      </c>
      <c r="G2552" t="inlineStr">
        <is>
          <t>Vyndaqel</t>
        </is>
      </c>
      <c r="H2552" t="inlineStr">
        <is>
          <t>Retail pharmacy</t>
        </is>
      </c>
      <c r="I2552" t="inlineStr">
        <is>
          <t>Private insurer</t>
        </is>
      </c>
      <c r="J2552" t="inlineStr">
        <is>
          <t>Shraddha Kulkarni</t>
        </is>
      </c>
      <c r="K2552" s="70" t="n">
        <v>859</v>
      </c>
      <c r="L2552" s="71" t="n">
        <v>5065.39</v>
      </c>
      <c r="M2552" s="71" t="n">
        <v>4351170.01</v>
      </c>
      <c r="N2552" s="71" t="n">
        <v>217558.5</v>
      </c>
      <c r="O2552" s="71" t="n">
        <v>4133611.51</v>
      </c>
      <c r="P2552" s="71" t="n">
        <v>537307.09</v>
      </c>
      <c r="Q2552" s="71" t="n">
        <v>3596304.42</v>
      </c>
      <c r="R2552" t="inlineStr">
        <is>
          <t>Rare disease</t>
        </is>
      </c>
      <c r="S2552" s="70" t="n">
        <v>773</v>
      </c>
      <c r="T2552" s="71" t="n">
        <v>622126.01</v>
      </c>
      <c r="U2552" t="inlineStr">
        <is>
          <t>Medium</t>
        </is>
      </c>
      <c r="V2552">
        <f>IF(AND(OR(Dashboard!$C$6="All",E2552=Dashboard!$C$6),OR(Dashboard!$F$6="All",G2552=Dashboard!$F$6),OR(Dashboard!$I$6="All",H2552=Dashboard!$I$6)),1,0)</f>
        <v/>
      </c>
    </row>
    <row r="2553">
      <c r="A2553" t="inlineStr">
        <is>
          <t>PF102544</t>
        </is>
      </c>
      <c r="B2553" s="68" t="n">
        <v>45965</v>
      </c>
      <c r="C2553" s="69" t="n">
        <v>2025</v>
      </c>
      <c r="D2553" t="inlineStr">
        <is>
          <t>Nov</t>
        </is>
      </c>
      <c r="E2553" t="inlineStr">
        <is>
          <t>Emerging markets</t>
        </is>
      </c>
      <c r="F2553" t="inlineStr">
        <is>
          <t>India</t>
        </is>
      </c>
      <c r="G2553" t="inlineStr">
        <is>
          <t>Abrysvo</t>
        </is>
      </c>
      <c r="H2553" t="inlineStr">
        <is>
          <t>Retail pharmacy</t>
        </is>
      </c>
      <c r="I2553" t="inlineStr">
        <is>
          <t>Public payer</t>
        </is>
      </c>
      <c r="J2553" t="inlineStr">
        <is>
          <t>Noah Smith</t>
        </is>
      </c>
      <c r="K2553" s="70" t="n">
        <v>407</v>
      </c>
      <c r="L2553" s="71" t="n">
        <v>292.84</v>
      </c>
      <c r="M2553" s="71" t="n">
        <v>119185.88</v>
      </c>
      <c r="N2553" s="71" t="n">
        <v>5959.29</v>
      </c>
      <c r="O2553" s="71" t="n">
        <v>113226.59</v>
      </c>
      <c r="P2553" s="71" t="n">
        <v>33775.36</v>
      </c>
      <c r="Q2553" s="71" t="n">
        <v>79451.23</v>
      </c>
      <c r="R2553" t="inlineStr">
        <is>
          <t>Vaccines</t>
        </is>
      </c>
      <c r="S2553" s="70" t="n">
        <v>321</v>
      </c>
      <c r="T2553" s="71" t="n">
        <v>22435.63</v>
      </c>
      <c r="U2553" t="inlineStr">
        <is>
          <t>Low</t>
        </is>
      </c>
      <c r="V2553">
        <f>IF(AND(OR(Dashboard!$C$6="All",E2553=Dashboard!$C$6),OR(Dashboard!$F$6="All",G2553=Dashboard!$F$6),OR(Dashboard!$I$6="All",H2553=Dashboard!$I$6)),1,0)</f>
        <v/>
      </c>
    </row>
    <row r="2554">
      <c r="A2554" t="inlineStr">
        <is>
          <t>PF102545</t>
        </is>
      </c>
      <c r="B2554" s="68" t="n">
        <v>45966</v>
      </c>
      <c r="C2554" s="69" t="n">
        <v>2025</v>
      </c>
      <c r="D2554" t="inlineStr">
        <is>
          <t>Nov</t>
        </is>
      </c>
      <c r="E2554" t="inlineStr">
        <is>
          <t>United States</t>
        </is>
      </c>
      <c r="F2554" t="inlineStr">
        <is>
          <t>USA</t>
        </is>
      </c>
      <c r="G2554" t="inlineStr">
        <is>
          <t>Ibrance</t>
        </is>
      </c>
      <c r="H2554" t="inlineStr">
        <is>
          <t>Retail pharmacy</t>
        </is>
      </c>
      <c r="I2554" t="inlineStr">
        <is>
          <t>Public payer</t>
        </is>
      </c>
      <c r="J2554" t="inlineStr">
        <is>
          <t>Carlos Silva</t>
        </is>
      </c>
      <c r="K2554" s="70" t="n">
        <v>614</v>
      </c>
      <c r="L2554" s="71" t="n">
        <v>4843.95</v>
      </c>
      <c r="M2554" s="71" t="n">
        <v>2974185.3</v>
      </c>
      <c r="N2554" s="71" t="n">
        <v>743546.3199999999</v>
      </c>
      <c r="O2554" s="71" t="n">
        <v>2230638.98</v>
      </c>
      <c r="P2554" s="71" t="n">
        <v>262283.58</v>
      </c>
      <c r="Q2554" s="71" t="n">
        <v>1968355.4</v>
      </c>
      <c r="R2554" t="inlineStr">
        <is>
          <t>Oncology</t>
        </is>
      </c>
      <c r="S2554" s="70" t="n">
        <v>478</v>
      </c>
      <c r="T2554" s="71" t="n">
        <v>502183.38</v>
      </c>
      <c r="U2554" t="inlineStr">
        <is>
          <t>High</t>
        </is>
      </c>
      <c r="V2554">
        <f>IF(AND(OR(Dashboard!$C$6="All",E2554=Dashboard!$C$6),OR(Dashboard!$F$6="All",G2554=Dashboard!$F$6),OR(Dashboard!$I$6="All",H2554=Dashboard!$I$6)),1,0)</f>
        <v/>
      </c>
    </row>
    <row r="2555">
      <c r="A2555" t="inlineStr">
        <is>
          <t>PF102546</t>
        </is>
      </c>
      <c r="B2555" s="68" t="n">
        <v>45966</v>
      </c>
      <c r="C2555" s="69" t="n">
        <v>2025</v>
      </c>
      <c r="D2555" t="inlineStr">
        <is>
          <t>Nov</t>
        </is>
      </c>
      <c r="E2555" t="inlineStr">
        <is>
          <t>United States</t>
        </is>
      </c>
      <c r="F2555" t="inlineStr">
        <is>
          <t>USA</t>
        </is>
      </c>
      <c r="G2555" t="inlineStr">
        <is>
          <t>Paxlovid</t>
        </is>
      </c>
      <c r="H2555" t="inlineStr">
        <is>
          <t>Government / tender</t>
        </is>
      </c>
      <c r="I2555" t="inlineStr">
        <is>
          <t>Public payer</t>
        </is>
      </c>
      <c r="J2555" t="inlineStr">
        <is>
          <t>Ana Costa</t>
        </is>
      </c>
      <c r="K2555" s="70" t="n">
        <v>1510</v>
      </c>
      <c r="L2555" s="71" t="n">
        <v>1850.13</v>
      </c>
      <c r="M2555" s="71" t="n">
        <v>2793696.3</v>
      </c>
      <c r="N2555" s="71" t="n">
        <v>698424.0699999999</v>
      </c>
      <c r="O2555" s="71" t="n">
        <v>2095272.23</v>
      </c>
      <c r="P2555" s="71" t="n">
        <v>429736.82</v>
      </c>
      <c r="Q2555" s="71" t="n">
        <v>1665535.41</v>
      </c>
      <c r="R2555" t="inlineStr">
        <is>
          <t>Antiviral</t>
        </is>
      </c>
      <c r="S2555" s="70" t="n">
        <v>1025</v>
      </c>
      <c r="T2555" s="71" t="n">
        <v>553168.0600000001</v>
      </c>
      <c r="U2555" t="inlineStr">
        <is>
          <t>Low</t>
        </is>
      </c>
      <c r="V2555">
        <f>IF(AND(OR(Dashboard!$C$6="All",E2555=Dashboard!$C$6),OR(Dashboard!$F$6="All",G2555=Dashboard!$F$6),OR(Dashboard!$I$6="All",H2555=Dashboard!$I$6)),1,0)</f>
        <v/>
      </c>
    </row>
    <row r="2556">
      <c r="A2556" t="inlineStr">
        <is>
          <t>PF102547</t>
        </is>
      </c>
      <c r="B2556" s="68" t="n">
        <v>45966</v>
      </c>
      <c r="C2556" s="69" t="n">
        <v>2025</v>
      </c>
      <c r="D2556" t="inlineStr">
        <is>
          <t>Nov</t>
        </is>
      </c>
      <c r="E2556" t="inlineStr">
        <is>
          <t>Emerging markets</t>
        </is>
      </c>
      <c r="F2556" t="inlineStr">
        <is>
          <t>Mexico</t>
        </is>
      </c>
      <c r="G2556" t="inlineStr">
        <is>
          <t>Ibrance</t>
        </is>
      </c>
      <c r="H2556" t="inlineStr">
        <is>
          <t>Retail pharmacy</t>
        </is>
      </c>
      <c r="I2556" t="inlineStr">
        <is>
          <t>Self-pay</t>
        </is>
      </c>
      <c r="J2556" t="inlineStr">
        <is>
          <t>Ruhi Shaikh</t>
        </is>
      </c>
      <c r="K2556" s="70" t="n">
        <v>2200</v>
      </c>
      <c r="L2556" s="71" t="n">
        <v>3108.15</v>
      </c>
      <c r="M2556" s="71" t="n">
        <v>6837930</v>
      </c>
      <c r="N2556" s="71" t="n">
        <v>683793</v>
      </c>
      <c r="O2556" s="71" t="n">
        <v>6154137</v>
      </c>
      <c r="P2556" s="71" t="n">
        <v>992940.4</v>
      </c>
      <c r="Q2556" s="71" t="n">
        <v>5161196.6</v>
      </c>
      <c r="R2556" t="inlineStr">
        <is>
          <t>Oncology</t>
        </is>
      </c>
      <c r="S2556" s="70" t="n">
        <v>2181</v>
      </c>
      <c r="T2556" s="71" t="n">
        <v>1338192.97</v>
      </c>
      <c r="U2556" t="inlineStr">
        <is>
          <t>High</t>
        </is>
      </c>
      <c r="V2556">
        <f>IF(AND(OR(Dashboard!$C$6="All",E2556=Dashboard!$C$6),OR(Dashboard!$F$6="All",G2556=Dashboard!$F$6),OR(Dashboard!$I$6="All",H2556=Dashboard!$I$6)),1,0)</f>
        <v/>
      </c>
    </row>
    <row r="2557">
      <c r="A2557" t="inlineStr">
        <is>
          <t>PF102548</t>
        </is>
      </c>
      <c r="B2557" s="68" t="n">
        <v>45966</v>
      </c>
      <c r="C2557" s="69" t="n">
        <v>2025</v>
      </c>
      <c r="D2557" t="inlineStr">
        <is>
          <t>Nov</t>
        </is>
      </c>
      <c r="E2557" t="inlineStr">
        <is>
          <t>United States</t>
        </is>
      </c>
      <c r="F2557" t="inlineStr">
        <is>
          <t>USA</t>
        </is>
      </c>
      <c r="G2557" t="inlineStr">
        <is>
          <t>Prevnar 20</t>
        </is>
      </c>
      <c r="H2557" t="inlineStr">
        <is>
          <t>Government / tender</t>
        </is>
      </c>
      <c r="I2557" t="inlineStr">
        <is>
          <t>Public payer</t>
        </is>
      </c>
      <c r="J2557" t="inlineStr">
        <is>
          <t>Lucas Martin</t>
        </is>
      </c>
      <c r="K2557" s="70" t="n">
        <v>723</v>
      </c>
      <c r="L2557" s="71" t="n">
        <v>363.34</v>
      </c>
      <c r="M2557" s="71" t="n">
        <v>262694.82</v>
      </c>
      <c r="N2557" s="71" t="n">
        <v>78808.45</v>
      </c>
      <c r="O2557" s="71" t="n">
        <v>183886.37</v>
      </c>
      <c r="P2557" s="71" t="n">
        <v>51410.18</v>
      </c>
      <c r="Q2557" s="71" t="n">
        <v>132476.19</v>
      </c>
      <c r="R2557" t="inlineStr">
        <is>
          <t>Vaccines</t>
        </is>
      </c>
      <c r="S2557" s="70" t="n">
        <v>679</v>
      </c>
      <c r="T2557" s="71" t="n">
        <v>38513.46</v>
      </c>
      <c r="U2557" t="inlineStr">
        <is>
          <t>Low</t>
        </is>
      </c>
      <c r="V2557">
        <f>IF(AND(OR(Dashboard!$C$6="All",E2557=Dashboard!$C$6),OR(Dashboard!$F$6="All",G2557=Dashboard!$F$6),OR(Dashboard!$I$6="All",H2557=Dashboard!$I$6)),1,0)</f>
        <v/>
      </c>
    </row>
    <row r="2558">
      <c r="A2558" t="inlineStr">
        <is>
          <t>PF102549</t>
        </is>
      </c>
      <c r="B2558" s="68" t="n">
        <v>45966</v>
      </c>
      <c r="C2558" s="69" t="n">
        <v>2025</v>
      </c>
      <c r="D2558" t="inlineStr">
        <is>
          <t>Nov</t>
        </is>
      </c>
      <c r="E2558" t="inlineStr">
        <is>
          <t>Europe</t>
        </is>
      </c>
      <c r="F2558" t="inlineStr">
        <is>
          <t>Italy</t>
        </is>
      </c>
      <c r="G2558" t="inlineStr">
        <is>
          <t>Ibrance</t>
        </is>
      </c>
      <c r="H2558" t="inlineStr">
        <is>
          <t>Retail pharmacy</t>
        </is>
      </c>
      <c r="I2558" t="inlineStr">
        <is>
          <t>Private insurer</t>
        </is>
      </c>
      <c r="J2558" t="inlineStr">
        <is>
          <t>Yuki Sato</t>
        </is>
      </c>
      <c r="K2558" s="70" t="n">
        <v>222</v>
      </c>
      <c r="L2558" s="71" t="n">
        <v>2651.7</v>
      </c>
      <c r="M2558" s="71" t="n">
        <v>588677.4</v>
      </c>
      <c r="N2558" s="71" t="n">
        <v>117735.48</v>
      </c>
      <c r="O2558" s="71" t="n">
        <v>470941.92</v>
      </c>
      <c r="P2558" s="71" t="n">
        <v>98466.97</v>
      </c>
      <c r="Q2558" s="71" t="n">
        <v>372474.95</v>
      </c>
      <c r="R2558" t="inlineStr">
        <is>
          <t>Oncology</t>
        </is>
      </c>
      <c r="S2558" s="70" t="n">
        <v>160</v>
      </c>
      <c r="T2558" s="71" t="n">
        <v>106219.89</v>
      </c>
      <c r="U2558" t="inlineStr">
        <is>
          <t>High</t>
        </is>
      </c>
      <c r="V2558">
        <f>IF(AND(OR(Dashboard!$C$6="All",E2558=Dashboard!$C$6),OR(Dashboard!$F$6="All",G2558=Dashboard!$F$6),OR(Dashboard!$I$6="All",H2558=Dashboard!$I$6)),1,0)</f>
        <v/>
      </c>
    </row>
    <row r="2559">
      <c r="A2559" t="inlineStr">
        <is>
          <t>PF102550</t>
        </is>
      </c>
      <c r="B2559" s="68" t="n">
        <v>45966</v>
      </c>
      <c r="C2559" s="69" t="n">
        <v>2025</v>
      </c>
      <c r="D2559" t="inlineStr">
        <is>
          <t>Nov</t>
        </is>
      </c>
      <c r="E2559" t="inlineStr">
        <is>
          <t>Europe</t>
        </is>
      </c>
      <c r="F2559" t="inlineStr">
        <is>
          <t>France</t>
        </is>
      </c>
      <c r="G2559" t="inlineStr">
        <is>
          <t>Abrysvo</t>
        </is>
      </c>
      <c r="H2559" t="inlineStr">
        <is>
          <t>Retail pharmacy</t>
        </is>
      </c>
      <c r="I2559" t="inlineStr">
        <is>
          <t>Private insurer</t>
        </is>
      </c>
      <c r="J2559" t="inlineStr">
        <is>
          <t>Shraddha Kulkarni</t>
        </is>
      </c>
      <c r="K2559" s="70" t="n">
        <v>2512</v>
      </c>
      <c r="L2559" s="71" t="n">
        <v>296.28</v>
      </c>
      <c r="M2559" s="71" t="n">
        <v>744255.36</v>
      </c>
      <c r="N2559" s="71" t="n">
        <v>37212.77</v>
      </c>
      <c r="O2559" s="71" t="n">
        <v>707042.59</v>
      </c>
      <c r="P2559" s="71" t="n">
        <v>217941.91</v>
      </c>
      <c r="Q2559" s="71" t="n">
        <v>489100.68</v>
      </c>
      <c r="R2559" t="inlineStr">
        <is>
          <t>Vaccines</t>
        </is>
      </c>
      <c r="S2559" s="70" t="n">
        <v>1847</v>
      </c>
      <c r="T2559" s="71" t="n">
        <v>92881.3</v>
      </c>
      <c r="U2559" t="inlineStr">
        <is>
          <t>Low</t>
        </is>
      </c>
      <c r="V2559">
        <f>IF(AND(OR(Dashboard!$C$6="All",E2559=Dashboard!$C$6),OR(Dashboard!$F$6="All",G2559=Dashboard!$F$6),OR(Dashboard!$I$6="All",H2559=Dashboard!$I$6)),1,0)</f>
        <v/>
      </c>
    </row>
    <row r="2560">
      <c r="A2560" t="inlineStr">
        <is>
          <t>PF102551</t>
        </is>
      </c>
      <c r="B2560" s="68" t="n">
        <v>45966</v>
      </c>
      <c r="C2560" s="69" t="n">
        <v>2025</v>
      </c>
      <c r="D2560" t="inlineStr">
        <is>
          <t>Nov</t>
        </is>
      </c>
      <c r="E2560" t="inlineStr">
        <is>
          <t>International developed</t>
        </is>
      </c>
      <c r="F2560" t="inlineStr">
        <is>
          <t>Australia</t>
        </is>
      </c>
      <c r="G2560" t="inlineStr">
        <is>
          <t>Vyndaqel</t>
        </is>
      </c>
      <c r="H2560" t="inlineStr">
        <is>
          <t>Retail pharmacy</t>
        </is>
      </c>
      <c r="I2560" t="inlineStr">
        <is>
          <t>Private insurer</t>
        </is>
      </c>
      <c r="J2560" t="inlineStr">
        <is>
          <t>Priya Nair</t>
        </is>
      </c>
      <c r="K2560" s="70" t="n">
        <v>3113</v>
      </c>
      <c r="L2560" s="71" t="n">
        <v>5006.59</v>
      </c>
      <c r="M2560" s="71" t="n">
        <v>15585514.67</v>
      </c>
      <c r="N2560" s="71" t="n">
        <v>3896378.67</v>
      </c>
      <c r="O2560" s="71" t="n">
        <v>11689136</v>
      </c>
      <c r="P2560" s="71" t="n">
        <v>1970748.52</v>
      </c>
      <c r="Q2560" s="71" t="n">
        <v>9718387.48</v>
      </c>
      <c r="R2560" t="inlineStr">
        <is>
          <t>Rare disease</t>
        </is>
      </c>
      <c r="S2560" s="70" t="n">
        <v>2055</v>
      </c>
      <c r="T2560" s="71" t="n">
        <v>3387568.34</v>
      </c>
      <c r="U2560" t="inlineStr">
        <is>
          <t>Medium</t>
        </is>
      </c>
      <c r="V2560">
        <f>IF(AND(OR(Dashboard!$C$6="All",E2560=Dashboard!$C$6),OR(Dashboard!$F$6="All",G2560=Dashboard!$F$6),OR(Dashboard!$I$6="All",H2560=Dashboard!$I$6)),1,0)</f>
        <v/>
      </c>
    </row>
    <row r="2561">
      <c r="A2561" t="inlineStr">
        <is>
          <t>PF102552</t>
        </is>
      </c>
      <c r="B2561" s="68" t="n">
        <v>45966</v>
      </c>
      <c r="C2561" s="69" t="n">
        <v>2025</v>
      </c>
      <c r="D2561" t="inlineStr">
        <is>
          <t>Nov</t>
        </is>
      </c>
      <c r="E2561" t="inlineStr">
        <is>
          <t>United States</t>
        </is>
      </c>
      <c r="F2561" t="inlineStr">
        <is>
          <t>USA</t>
        </is>
      </c>
      <c r="G2561" t="inlineStr">
        <is>
          <t>Comirnaty</t>
        </is>
      </c>
      <c r="H2561" t="inlineStr">
        <is>
          <t>Government / tender</t>
        </is>
      </c>
      <c r="I2561" t="inlineStr">
        <is>
          <t>Private insurer</t>
        </is>
      </c>
      <c r="J2561" t="inlineStr">
        <is>
          <t>Sophie Müller</t>
        </is>
      </c>
      <c r="K2561" s="70" t="n">
        <v>1094</v>
      </c>
      <c r="L2561" s="71" t="n">
        <v>172.21</v>
      </c>
      <c r="M2561" s="71" t="n">
        <v>188397.74</v>
      </c>
      <c r="N2561" s="71" t="n">
        <v>28259.66</v>
      </c>
      <c r="O2561" s="71" t="n">
        <v>160138.08</v>
      </c>
      <c r="P2561" s="71" t="n">
        <v>42552.96</v>
      </c>
      <c r="Q2561" s="71" t="n">
        <v>117585.12</v>
      </c>
      <c r="R2561" t="inlineStr">
        <is>
          <t>Vaccines</t>
        </is>
      </c>
      <c r="S2561" s="70" t="n">
        <v>720</v>
      </c>
      <c r="T2561" s="71" t="n">
        <v>40948.55</v>
      </c>
      <c r="U2561" t="inlineStr">
        <is>
          <t>Low</t>
        </is>
      </c>
      <c r="V2561">
        <f>IF(AND(OR(Dashboard!$C$6="All",E2561=Dashboard!$C$6),OR(Dashboard!$F$6="All",G2561=Dashboard!$F$6),OR(Dashboard!$I$6="All",H2561=Dashboard!$I$6)),1,0)</f>
        <v/>
      </c>
    </row>
    <row r="2562">
      <c r="A2562" t="inlineStr">
        <is>
          <t>PF102553</t>
        </is>
      </c>
      <c r="B2562" s="68" t="n">
        <v>45966</v>
      </c>
      <c r="C2562" s="69" t="n">
        <v>2025</v>
      </c>
      <c r="D2562" t="inlineStr">
        <is>
          <t>Nov</t>
        </is>
      </c>
      <c r="E2562" t="inlineStr">
        <is>
          <t>Europe</t>
        </is>
      </c>
      <c r="F2562" t="inlineStr">
        <is>
          <t>UK</t>
        </is>
      </c>
      <c r="G2562" t="inlineStr">
        <is>
          <t>Comirnaty</t>
        </is>
      </c>
      <c r="H2562" t="inlineStr">
        <is>
          <t>Hospital</t>
        </is>
      </c>
      <c r="I2562" t="inlineStr">
        <is>
          <t>Private insurer</t>
        </is>
      </c>
      <c r="J2562" t="inlineStr">
        <is>
          <t>Sophie Müller</t>
        </is>
      </c>
      <c r="K2562" s="70" t="n">
        <v>196</v>
      </c>
      <c r="L2562" s="71" t="n">
        <v>99.86</v>
      </c>
      <c r="M2562" s="71" t="n">
        <v>19572.56</v>
      </c>
      <c r="N2562" s="71" t="n">
        <v>1957.26</v>
      </c>
      <c r="O2562" s="71" t="n">
        <v>17615.3</v>
      </c>
      <c r="P2562" s="71" t="n">
        <v>7541.59</v>
      </c>
      <c r="Q2562" s="71" t="n">
        <v>10073.71</v>
      </c>
      <c r="R2562" t="inlineStr">
        <is>
          <t>Vaccines</t>
        </is>
      </c>
      <c r="S2562" s="70" t="n">
        <v>153</v>
      </c>
      <c r="T2562" s="71" t="n">
        <v>3891.13</v>
      </c>
      <c r="U2562" t="inlineStr">
        <is>
          <t>Low</t>
        </is>
      </c>
      <c r="V2562">
        <f>IF(AND(OR(Dashboard!$C$6="All",E2562=Dashboard!$C$6),OR(Dashboard!$F$6="All",G2562=Dashboard!$F$6),OR(Dashboard!$I$6="All",H2562=Dashboard!$I$6)),1,0)</f>
        <v/>
      </c>
    </row>
    <row r="2563">
      <c r="A2563" t="inlineStr">
        <is>
          <t>PF102554</t>
        </is>
      </c>
      <c r="B2563" s="68" t="n">
        <v>45967</v>
      </c>
      <c r="C2563" s="69" t="n">
        <v>2025</v>
      </c>
      <c r="D2563" t="inlineStr">
        <is>
          <t>Nov</t>
        </is>
      </c>
      <c r="E2563" t="inlineStr">
        <is>
          <t>United States</t>
        </is>
      </c>
      <c r="F2563" t="inlineStr">
        <is>
          <t>USA</t>
        </is>
      </c>
      <c r="G2563" t="inlineStr">
        <is>
          <t>Prevnar 20</t>
        </is>
      </c>
      <c r="H2563" t="inlineStr">
        <is>
          <t>Retail pharmacy</t>
        </is>
      </c>
      <c r="I2563" t="inlineStr">
        <is>
          <t>Private insurer</t>
        </is>
      </c>
      <c r="J2563" t="inlineStr">
        <is>
          <t>Noah Smith</t>
        </is>
      </c>
      <c r="K2563" s="70" t="n">
        <v>1399</v>
      </c>
      <c r="L2563" s="71" t="n">
        <v>343.89</v>
      </c>
      <c r="M2563" s="71" t="n">
        <v>481102.11</v>
      </c>
      <c r="N2563" s="71" t="n">
        <v>72165.32000000001</v>
      </c>
      <c r="O2563" s="71" t="n">
        <v>408936.79</v>
      </c>
      <c r="P2563" s="71" t="n">
        <v>97640.59</v>
      </c>
      <c r="Q2563" s="71" t="n">
        <v>311296.2</v>
      </c>
      <c r="R2563" t="inlineStr">
        <is>
          <t>Vaccines</t>
        </is>
      </c>
      <c r="S2563" s="70" t="n">
        <v>1124</v>
      </c>
      <c r="T2563" s="71" t="n">
        <v>97121.39999999999</v>
      </c>
      <c r="U2563" t="inlineStr">
        <is>
          <t>Low</t>
        </is>
      </c>
      <c r="V2563">
        <f>IF(AND(OR(Dashboard!$C$6="All",E2563=Dashboard!$C$6),OR(Dashboard!$F$6="All",G2563=Dashboard!$F$6),OR(Dashboard!$I$6="All",H2563=Dashboard!$I$6)),1,0)</f>
        <v/>
      </c>
    </row>
    <row r="2564">
      <c r="A2564" t="inlineStr">
        <is>
          <t>PF102555</t>
        </is>
      </c>
      <c r="B2564" s="68" t="n">
        <v>45967</v>
      </c>
      <c r="C2564" s="69" t="n">
        <v>2025</v>
      </c>
      <c r="D2564" t="inlineStr">
        <is>
          <t>Nov</t>
        </is>
      </c>
      <c r="E2564" t="inlineStr">
        <is>
          <t>United States</t>
        </is>
      </c>
      <c r="F2564" t="inlineStr">
        <is>
          <t>USA</t>
        </is>
      </c>
      <c r="G2564" t="inlineStr">
        <is>
          <t>Vyndaqel</t>
        </is>
      </c>
      <c r="H2564" t="inlineStr">
        <is>
          <t>Retail pharmacy</t>
        </is>
      </c>
      <c r="I2564" t="inlineStr">
        <is>
          <t>Public payer</t>
        </is>
      </c>
      <c r="J2564" t="inlineStr">
        <is>
          <t>Ana Costa</t>
        </is>
      </c>
      <c r="K2564" s="70" t="n">
        <v>887</v>
      </c>
      <c r="L2564" s="71" t="n">
        <v>7787.66</v>
      </c>
      <c r="M2564" s="71" t="n">
        <v>6907654.42</v>
      </c>
      <c r="N2564" s="71" t="n">
        <v>1726913.6</v>
      </c>
      <c r="O2564" s="71" t="n">
        <v>5180740.82</v>
      </c>
      <c r="P2564" s="71" t="n">
        <v>552561.47</v>
      </c>
      <c r="Q2564" s="71" t="n">
        <v>4628179.35</v>
      </c>
      <c r="R2564" t="inlineStr">
        <is>
          <t>Rare disease</t>
        </is>
      </c>
      <c r="S2564" s="70" t="n">
        <v>851</v>
      </c>
      <c r="T2564" s="71" t="n">
        <v>1388339.41</v>
      </c>
      <c r="U2564" t="inlineStr">
        <is>
          <t>Medium</t>
        </is>
      </c>
      <c r="V2564">
        <f>IF(AND(OR(Dashboard!$C$6="All",E2564=Dashboard!$C$6),OR(Dashboard!$F$6="All",G2564=Dashboard!$F$6),OR(Dashboard!$I$6="All",H2564=Dashboard!$I$6)),1,0)</f>
        <v/>
      </c>
    </row>
    <row r="2565">
      <c r="A2565" t="inlineStr">
        <is>
          <t>PF102556</t>
        </is>
      </c>
      <c r="B2565" s="68" t="n">
        <v>45967</v>
      </c>
      <c r="C2565" s="69" t="n">
        <v>2025</v>
      </c>
      <c r="D2565" t="inlineStr">
        <is>
          <t>Nov</t>
        </is>
      </c>
      <c r="E2565" t="inlineStr">
        <is>
          <t>Europe</t>
        </is>
      </c>
      <c r="F2565" t="inlineStr">
        <is>
          <t>Spain</t>
        </is>
      </c>
      <c r="G2565" t="inlineStr">
        <is>
          <t>Eliquis</t>
        </is>
      </c>
      <c r="H2565" t="inlineStr">
        <is>
          <t>Retail pharmacy</t>
        </is>
      </c>
      <c r="I2565" t="inlineStr">
        <is>
          <t>Public payer</t>
        </is>
      </c>
      <c r="J2565" t="inlineStr">
        <is>
          <t>Lucas Martin</t>
        </is>
      </c>
      <c r="K2565" s="70" t="n">
        <v>1336</v>
      </c>
      <c r="L2565" s="71" t="n">
        <v>436.51</v>
      </c>
      <c r="M2565" s="71" t="n">
        <v>583177.36</v>
      </c>
      <c r="N2565" s="71" t="n">
        <v>58317.74</v>
      </c>
      <c r="O2565" s="71" t="n">
        <v>524859.62</v>
      </c>
      <c r="P2565" s="71" t="n">
        <v>97525.38</v>
      </c>
      <c r="Q2565" s="71" t="n">
        <v>427334.24</v>
      </c>
      <c r="R2565" t="inlineStr">
        <is>
          <t>Cardiology</t>
        </is>
      </c>
      <c r="S2565" s="70" t="n">
        <v>1213</v>
      </c>
      <c r="T2565" s="71" t="n">
        <v>109066.93</v>
      </c>
      <c r="U2565" t="inlineStr">
        <is>
          <t>High</t>
        </is>
      </c>
      <c r="V2565">
        <f>IF(AND(OR(Dashboard!$C$6="All",E2565=Dashboard!$C$6),OR(Dashboard!$F$6="All",G2565=Dashboard!$F$6),OR(Dashboard!$I$6="All",H2565=Dashboard!$I$6)),1,0)</f>
        <v/>
      </c>
    </row>
    <row r="2566">
      <c r="A2566" t="inlineStr">
        <is>
          <t>PF102557</t>
        </is>
      </c>
      <c r="B2566" s="68" t="n">
        <v>45967</v>
      </c>
      <c r="C2566" s="69" t="n">
        <v>2025</v>
      </c>
      <c r="D2566" t="inlineStr">
        <is>
          <t>Nov</t>
        </is>
      </c>
      <c r="E2566" t="inlineStr">
        <is>
          <t>United States</t>
        </is>
      </c>
      <c r="F2566" t="inlineStr">
        <is>
          <t>USA</t>
        </is>
      </c>
      <c r="G2566" t="inlineStr">
        <is>
          <t>Vyndaqel</t>
        </is>
      </c>
      <c r="H2566" t="inlineStr">
        <is>
          <t>Retail pharmacy</t>
        </is>
      </c>
      <c r="I2566" t="inlineStr">
        <is>
          <t>Private insurer</t>
        </is>
      </c>
      <c r="J2566" t="inlineStr">
        <is>
          <t>Omar Haddad</t>
        </is>
      </c>
      <c r="K2566" s="70" t="n">
        <v>439</v>
      </c>
      <c r="L2566" s="71" t="n">
        <v>9050.209999999999</v>
      </c>
      <c r="M2566" s="71" t="n">
        <v>3973042.19</v>
      </c>
      <c r="N2566" s="71" t="n">
        <v>993260.55</v>
      </c>
      <c r="O2566" s="71" t="n">
        <v>2979781.64</v>
      </c>
      <c r="P2566" s="71" t="n">
        <v>281277.96</v>
      </c>
      <c r="Q2566" s="71" t="n">
        <v>2698503.68</v>
      </c>
      <c r="R2566" t="inlineStr">
        <is>
          <t>Rare disease</t>
        </is>
      </c>
      <c r="S2566" s="70" t="n">
        <v>279</v>
      </c>
      <c r="T2566" s="71" t="n">
        <v>755088.76</v>
      </c>
      <c r="U2566" t="inlineStr">
        <is>
          <t>Medium</t>
        </is>
      </c>
      <c r="V2566">
        <f>IF(AND(OR(Dashboard!$C$6="All",E2566=Dashboard!$C$6),OR(Dashboard!$F$6="All",G2566=Dashboard!$F$6),OR(Dashboard!$I$6="All",H2566=Dashboard!$I$6)),1,0)</f>
        <v/>
      </c>
    </row>
    <row r="2567">
      <c r="A2567" t="inlineStr">
        <is>
          <t>PF102558</t>
        </is>
      </c>
      <c r="B2567" s="68" t="n">
        <v>45967</v>
      </c>
      <c r="C2567" s="69" t="n">
        <v>2025</v>
      </c>
      <c r="D2567" t="inlineStr">
        <is>
          <t>Nov</t>
        </is>
      </c>
      <c r="E2567" t="inlineStr">
        <is>
          <t>United States</t>
        </is>
      </c>
      <c r="F2567" t="inlineStr">
        <is>
          <t>USA</t>
        </is>
      </c>
      <c r="G2567" t="inlineStr">
        <is>
          <t>Abrysvo</t>
        </is>
      </c>
      <c r="H2567" t="inlineStr">
        <is>
          <t>Hospital</t>
        </is>
      </c>
      <c r="I2567" t="inlineStr">
        <is>
          <t>Private insurer</t>
        </is>
      </c>
      <c r="J2567" t="inlineStr">
        <is>
          <t>Aisha Bello</t>
        </is>
      </c>
      <c r="K2567" s="70" t="n">
        <v>1349</v>
      </c>
      <c r="L2567" s="71" t="n">
        <v>483.42</v>
      </c>
      <c r="M2567" s="71" t="n">
        <v>652133.58</v>
      </c>
      <c r="N2567" s="71" t="n">
        <v>97820.03999999999</v>
      </c>
      <c r="O2567" s="71" t="n">
        <v>554313.54</v>
      </c>
      <c r="P2567" s="71" t="n">
        <v>113779.33</v>
      </c>
      <c r="Q2567" s="71" t="n">
        <v>440534.21</v>
      </c>
      <c r="R2567" t="inlineStr">
        <is>
          <t>Vaccines</t>
        </is>
      </c>
      <c r="S2567" s="70" t="n">
        <v>1192</v>
      </c>
      <c r="T2567" s="71" t="n">
        <v>115917.12</v>
      </c>
      <c r="U2567" t="inlineStr">
        <is>
          <t>Low</t>
        </is>
      </c>
      <c r="V2567">
        <f>IF(AND(OR(Dashboard!$C$6="All",E2567=Dashboard!$C$6),OR(Dashboard!$F$6="All",G2567=Dashboard!$F$6),OR(Dashboard!$I$6="All",H2567=Dashboard!$I$6)),1,0)</f>
        <v/>
      </c>
    </row>
    <row r="2568">
      <c r="A2568" t="inlineStr">
        <is>
          <t>PF102559</t>
        </is>
      </c>
      <c r="B2568" s="68" t="n">
        <v>45967</v>
      </c>
      <c r="C2568" s="69" t="n">
        <v>2025</v>
      </c>
      <c r="D2568" t="inlineStr">
        <is>
          <t>Nov</t>
        </is>
      </c>
      <c r="E2568" t="inlineStr">
        <is>
          <t>Emerging markets</t>
        </is>
      </c>
      <c r="F2568" t="inlineStr">
        <is>
          <t>Mexico</t>
        </is>
      </c>
      <c r="G2568" t="inlineStr">
        <is>
          <t>Abrysvo</t>
        </is>
      </c>
      <c r="H2568" t="inlineStr">
        <is>
          <t>Retail pharmacy</t>
        </is>
      </c>
      <c r="I2568" t="inlineStr">
        <is>
          <t>Private insurer</t>
        </is>
      </c>
      <c r="J2568" t="inlineStr">
        <is>
          <t>Kofi Mensah</t>
        </is>
      </c>
      <c r="K2568" s="70" t="n">
        <v>2344</v>
      </c>
      <c r="L2568" s="71" t="n">
        <v>305.64</v>
      </c>
      <c r="M2568" s="71" t="n">
        <v>716420.16</v>
      </c>
      <c r="N2568" s="71" t="n">
        <v>71642.02</v>
      </c>
      <c r="O2568" s="71" t="n">
        <v>644778.14</v>
      </c>
      <c r="P2568" s="71" t="n">
        <v>191292.25</v>
      </c>
      <c r="Q2568" s="71" t="n">
        <v>453485.89</v>
      </c>
      <c r="R2568" t="inlineStr">
        <is>
          <t>Vaccines</t>
        </is>
      </c>
      <c r="S2568" s="70" t="n">
        <v>1577</v>
      </c>
      <c r="T2568" s="71" t="n">
        <v>86745.02</v>
      </c>
      <c r="U2568" t="inlineStr">
        <is>
          <t>Low</t>
        </is>
      </c>
      <c r="V2568">
        <f>IF(AND(OR(Dashboard!$C$6="All",E2568=Dashboard!$C$6),OR(Dashboard!$F$6="All",G2568=Dashboard!$F$6),OR(Dashboard!$I$6="All",H2568=Dashboard!$I$6)),1,0)</f>
        <v/>
      </c>
    </row>
    <row r="2569">
      <c r="A2569" t="inlineStr">
        <is>
          <t>PF102560</t>
        </is>
      </c>
      <c r="B2569" s="68" t="n">
        <v>45967</v>
      </c>
      <c r="C2569" s="69" t="n">
        <v>2025</v>
      </c>
      <c r="D2569" t="inlineStr">
        <is>
          <t>Nov</t>
        </is>
      </c>
      <c r="E2569" t="inlineStr">
        <is>
          <t>United States</t>
        </is>
      </c>
      <c r="F2569" t="inlineStr">
        <is>
          <t>USA</t>
        </is>
      </c>
      <c r="G2569" t="inlineStr">
        <is>
          <t>Eliquis</t>
        </is>
      </c>
      <c r="H2569" t="inlineStr">
        <is>
          <t>Hospital</t>
        </is>
      </c>
      <c r="I2569" t="inlineStr">
        <is>
          <t>Private insurer</t>
        </is>
      </c>
      <c r="J2569" t="inlineStr">
        <is>
          <t>Yuki Sato</t>
        </is>
      </c>
      <c r="K2569" s="70" t="n">
        <v>2826</v>
      </c>
      <c r="L2569" s="71" t="n">
        <v>639.58</v>
      </c>
      <c r="M2569" s="71" t="n">
        <v>1807453.08</v>
      </c>
      <c r="N2569" s="71" t="n">
        <v>451863.27</v>
      </c>
      <c r="O2569" s="71" t="n">
        <v>1355589.81</v>
      </c>
      <c r="P2569" s="71" t="n">
        <v>208614.21</v>
      </c>
      <c r="Q2569" s="71" t="n">
        <v>1146975.6</v>
      </c>
      <c r="R2569" t="inlineStr">
        <is>
          <t>Cardiology</t>
        </is>
      </c>
      <c r="S2569" s="70" t="n">
        <v>2223</v>
      </c>
      <c r="T2569" s="71" t="n">
        <v>333315.04</v>
      </c>
      <c r="U2569" t="inlineStr">
        <is>
          <t>High</t>
        </is>
      </c>
      <c r="V2569">
        <f>IF(AND(OR(Dashboard!$C$6="All",E2569=Dashboard!$C$6),OR(Dashboard!$F$6="All",G2569=Dashboard!$F$6),OR(Dashboard!$I$6="All",H2569=Dashboard!$I$6)),1,0)</f>
        <v/>
      </c>
    </row>
    <row r="2570">
      <c r="A2570" t="inlineStr">
        <is>
          <t>PF102561</t>
        </is>
      </c>
      <c r="B2570" s="68" t="n">
        <v>45968</v>
      </c>
      <c r="C2570" s="69" t="n">
        <v>2025</v>
      </c>
      <c r="D2570" t="inlineStr">
        <is>
          <t>Nov</t>
        </is>
      </c>
      <c r="E2570" t="inlineStr">
        <is>
          <t>Emerging markets</t>
        </is>
      </c>
      <c r="F2570" t="inlineStr">
        <is>
          <t>China</t>
        </is>
      </c>
      <c r="G2570" t="inlineStr">
        <is>
          <t>Ibrance</t>
        </is>
      </c>
      <c r="H2570" t="inlineStr">
        <is>
          <t>Retail pharmacy</t>
        </is>
      </c>
      <c r="I2570" t="inlineStr">
        <is>
          <t>Self-pay</t>
        </is>
      </c>
      <c r="J2570" t="inlineStr">
        <is>
          <t>Zoya Ahmed</t>
        </is>
      </c>
      <c r="K2570" s="70" t="n">
        <v>842</v>
      </c>
      <c r="L2570" s="71" t="n">
        <v>3159.19</v>
      </c>
      <c r="M2570" s="71" t="n">
        <v>2660037.98</v>
      </c>
      <c r="N2570" s="71" t="n">
        <v>532007.6</v>
      </c>
      <c r="O2570" s="71" t="n">
        <v>2128030.38</v>
      </c>
      <c r="P2570" s="71" t="n">
        <v>354962.53</v>
      </c>
      <c r="Q2570" s="71" t="n">
        <v>1773067.85</v>
      </c>
      <c r="R2570" t="inlineStr">
        <is>
          <t>Oncology</t>
        </is>
      </c>
      <c r="S2570" s="70" t="n">
        <v>615</v>
      </c>
      <c r="T2570" s="71" t="n">
        <v>579061.75</v>
      </c>
      <c r="U2570" t="inlineStr">
        <is>
          <t>High</t>
        </is>
      </c>
      <c r="V2570">
        <f>IF(AND(OR(Dashboard!$C$6="All",E2570=Dashboard!$C$6),OR(Dashboard!$F$6="All",G2570=Dashboard!$F$6),OR(Dashboard!$I$6="All",H2570=Dashboard!$I$6)),1,0)</f>
        <v/>
      </c>
    </row>
    <row r="2571">
      <c r="A2571" t="inlineStr">
        <is>
          <t>PF102562</t>
        </is>
      </c>
      <c r="B2571" s="68" t="n">
        <v>45968</v>
      </c>
      <c r="C2571" s="69" t="n">
        <v>2025</v>
      </c>
      <c r="D2571" t="inlineStr">
        <is>
          <t>Nov</t>
        </is>
      </c>
      <c r="E2571" t="inlineStr">
        <is>
          <t>Emerging markets</t>
        </is>
      </c>
      <c r="F2571" t="inlineStr">
        <is>
          <t>China</t>
        </is>
      </c>
      <c r="G2571" t="inlineStr">
        <is>
          <t>Prevnar 20</t>
        </is>
      </c>
      <c r="H2571" t="inlineStr">
        <is>
          <t>Retail pharmacy</t>
        </is>
      </c>
      <c r="I2571" t="inlineStr">
        <is>
          <t>Private insurer</t>
        </is>
      </c>
      <c r="J2571" t="inlineStr">
        <is>
          <t>Kofi Mensah</t>
        </is>
      </c>
      <c r="K2571" s="70" t="n">
        <v>2351</v>
      </c>
      <c r="L2571" s="71" t="n">
        <v>219.68</v>
      </c>
      <c r="M2571" s="71" t="n">
        <v>516467.68</v>
      </c>
      <c r="N2571" s="71" t="n">
        <v>51646.77</v>
      </c>
      <c r="O2571" s="71" t="n">
        <v>464820.91</v>
      </c>
      <c r="P2571" s="71" t="n">
        <v>157653.18</v>
      </c>
      <c r="Q2571" s="71" t="n">
        <v>307167.73</v>
      </c>
      <c r="R2571" t="inlineStr">
        <is>
          <t>Vaccines</t>
        </is>
      </c>
      <c r="S2571" s="70" t="n">
        <v>2293</v>
      </c>
      <c r="T2571" s="71" t="n">
        <v>92002.83</v>
      </c>
      <c r="U2571" t="inlineStr">
        <is>
          <t>Low</t>
        </is>
      </c>
      <c r="V2571">
        <f>IF(AND(OR(Dashboard!$C$6="All",E2571=Dashboard!$C$6),OR(Dashboard!$F$6="All",G2571=Dashboard!$F$6),OR(Dashboard!$I$6="All",H2571=Dashboard!$I$6)),1,0)</f>
        <v/>
      </c>
    </row>
    <row r="2572">
      <c r="A2572" t="inlineStr">
        <is>
          <t>PF102563</t>
        </is>
      </c>
      <c r="B2572" s="68" t="n">
        <v>45968</v>
      </c>
      <c r="C2572" s="69" t="n">
        <v>2025</v>
      </c>
      <c r="D2572" t="inlineStr">
        <is>
          <t>Nov</t>
        </is>
      </c>
      <c r="E2572" t="inlineStr">
        <is>
          <t>Europe</t>
        </is>
      </c>
      <c r="F2572" t="inlineStr">
        <is>
          <t>France</t>
        </is>
      </c>
      <c r="G2572" t="inlineStr">
        <is>
          <t>Ibrance</t>
        </is>
      </c>
      <c r="H2572" t="inlineStr">
        <is>
          <t>Retail pharmacy</t>
        </is>
      </c>
      <c r="I2572" t="inlineStr">
        <is>
          <t>Public payer</t>
        </is>
      </c>
      <c r="J2572" t="inlineStr">
        <is>
          <t>Aisha Bello</t>
        </is>
      </c>
      <c r="K2572" s="70" t="n">
        <v>758</v>
      </c>
      <c r="L2572" s="71" t="n">
        <v>3133.16</v>
      </c>
      <c r="M2572" s="71" t="n">
        <v>2374935.28</v>
      </c>
      <c r="N2572" s="71" t="n">
        <v>474987.06</v>
      </c>
      <c r="O2572" s="71" t="n">
        <v>1899948.22</v>
      </c>
      <c r="P2572" s="71" t="n">
        <v>332767.13</v>
      </c>
      <c r="Q2572" s="71" t="n">
        <v>1567181.09</v>
      </c>
      <c r="R2572" t="inlineStr">
        <is>
          <t>Oncology</t>
        </is>
      </c>
      <c r="S2572" s="70" t="n">
        <v>481</v>
      </c>
      <c r="T2572" s="71" t="n">
        <v>293253.24</v>
      </c>
      <c r="U2572" t="inlineStr">
        <is>
          <t>High</t>
        </is>
      </c>
      <c r="V2572">
        <f>IF(AND(OR(Dashboard!$C$6="All",E2572=Dashboard!$C$6),OR(Dashboard!$F$6="All",G2572=Dashboard!$F$6),OR(Dashboard!$I$6="All",H2572=Dashboard!$I$6)),1,0)</f>
        <v/>
      </c>
    </row>
    <row r="2573">
      <c r="A2573" t="inlineStr">
        <is>
          <t>PF102564</t>
        </is>
      </c>
      <c r="B2573" s="68" t="n">
        <v>45968</v>
      </c>
      <c r="C2573" s="69" t="n">
        <v>2025</v>
      </c>
      <c r="D2573" t="inlineStr">
        <is>
          <t>Nov</t>
        </is>
      </c>
      <c r="E2573" t="inlineStr">
        <is>
          <t>International developed</t>
        </is>
      </c>
      <c r="F2573" t="inlineStr">
        <is>
          <t>Japan</t>
        </is>
      </c>
      <c r="G2573" t="inlineStr">
        <is>
          <t>Paxlovid</t>
        </is>
      </c>
      <c r="H2573" t="inlineStr">
        <is>
          <t>Hospital</t>
        </is>
      </c>
      <c r="I2573" t="inlineStr">
        <is>
          <t>Private insurer</t>
        </is>
      </c>
      <c r="J2573" t="inlineStr">
        <is>
          <t>Aisha Bello</t>
        </is>
      </c>
      <c r="K2573" s="70" t="n">
        <v>517</v>
      </c>
      <c r="L2573" s="71" t="n">
        <v>1063.37</v>
      </c>
      <c r="M2573" s="71" t="n">
        <v>549762.29</v>
      </c>
      <c r="N2573" s="71" t="n">
        <v>137440.57</v>
      </c>
      <c r="O2573" s="71" t="n">
        <v>412321.72</v>
      </c>
      <c r="P2573" s="71" t="n">
        <v>140074.25</v>
      </c>
      <c r="Q2573" s="71" t="n">
        <v>272247.47</v>
      </c>
      <c r="R2573" t="inlineStr">
        <is>
          <t>Antiviral</t>
        </is>
      </c>
      <c r="S2573" s="70" t="n">
        <v>406</v>
      </c>
      <c r="T2573" s="71" t="n">
        <v>75599.57000000001</v>
      </c>
      <c r="U2573" t="inlineStr">
        <is>
          <t>Low</t>
        </is>
      </c>
      <c r="V2573">
        <f>IF(AND(OR(Dashboard!$C$6="All",E2573=Dashboard!$C$6),OR(Dashboard!$F$6="All",G2573=Dashboard!$F$6),OR(Dashboard!$I$6="All",H2573=Dashboard!$I$6)),1,0)</f>
        <v/>
      </c>
    </row>
    <row r="2574">
      <c r="A2574" t="inlineStr">
        <is>
          <t>PF102565</t>
        </is>
      </c>
      <c r="B2574" s="68" t="n">
        <v>45968</v>
      </c>
      <c r="C2574" s="69" t="n">
        <v>2025</v>
      </c>
      <c r="D2574" t="inlineStr">
        <is>
          <t>Nov</t>
        </is>
      </c>
      <c r="E2574" t="inlineStr">
        <is>
          <t>Emerging markets</t>
        </is>
      </c>
      <c r="F2574" t="inlineStr">
        <is>
          <t>Mexico</t>
        </is>
      </c>
      <c r="G2574" t="inlineStr">
        <is>
          <t>Comirnaty</t>
        </is>
      </c>
      <c r="H2574" t="inlineStr">
        <is>
          <t>Retail pharmacy</t>
        </is>
      </c>
      <c r="I2574" t="inlineStr">
        <is>
          <t>Public payer</t>
        </is>
      </c>
      <c r="J2574" t="inlineStr">
        <is>
          <t>Ravindra Patil</t>
        </is>
      </c>
      <c r="K2574" s="70" t="n">
        <v>1195</v>
      </c>
      <c r="L2574" s="71" t="n">
        <v>109.81</v>
      </c>
      <c r="M2574" s="71" t="n">
        <v>131222.95</v>
      </c>
      <c r="N2574" s="71" t="n">
        <v>26244.59</v>
      </c>
      <c r="O2574" s="71" t="n">
        <v>104978.36</v>
      </c>
      <c r="P2574" s="71" t="n">
        <v>47701.96</v>
      </c>
      <c r="Q2574" s="71" t="n">
        <v>57276.4</v>
      </c>
      <c r="R2574" t="inlineStr">
        <is>
          <t>Vaccines</t>
        </is>
      </c>
      <c r="S2574" s="70" t="n">
        <v>947</v>
      </c>
      <c r="T2574" s="71" t="n">
        <v>15751.87</v>
      </c>
      <c r="U2574" t="inlineStr">
        <is>
          <t>Low</t>
        </is>
      </c>
      <c r="V2574">
        <f>IF(AND(OR(Dashboard!$C$6="All",E2574=Dashboard!$C$6),OR(Dashboard!$F$6="All",G2574=Dashboard!$F$6),OR(Dashboard!$I$6="All",H2574=Dashboard!$I$6)),1,0)</f>
        <v/>
      </c>
    </row>
    <row r="2575">
      <c r="A2575" t="inlineStr">
        <is>
          <t>PF102566</t>
        </is>
      </c>
      <c r="B2575" s="68" t="n">
        <v>45968</v>
      </c>
      <c r="C2575" s="69" t="n">
        <v>2025</v>
      </c>
      <c r="D2575" t="inlineStr">
        <is>
          <t>Nov</t>
        </is>
      </c>
      <c r="E2575" t="inlineStr">
        <is>
          <t>Emerging markets</t>
        </is>
      </c>
      <c r="F2575" t="inlineStr">
        <is>
          <t>Mexico</t>
        </is>
      </c>
      <c r="G2575" t="inlineStr">
        <is>
          <t>Eliquis</t>
        </is>
      </c>
      <c r="H2575" t="inlineStr">
        <is>
          <t>Hospital</t>
        </is>
      </c>
      <c r="I2575" t="inlineStr">
        <is>
          <t>Private insurer</t>
        </is>
      </c>
      <c r="J2575" t="inlineStr">
        <is>
          <t>Yuki Sato</t>
        </is>
      </c>
      <c r="K2575" s="70" t="n">
        <v>2709</v>
      </c>
      <c r="L2575" s="71" t="n">
        <v>394.69</v>
      </c>
      <c r="M2575" s="71" t="n">
        <v>1069215.21</v>
      </c>
      <c r="N2575" s="71" t="n">
        <v>53460.76</v>
      </c>
      <c r="O2575" s="71" t="n">
        <v>1015754.45</v>
      </c>
      <c r="P2575" s="71" t="n">
        <v>201628.23</v>
      </c>
      <c r="Q2575" s="71" t="n">
        <v>814126.22</v>
      </c>
      <c r="R2575" t="inlineStr">
        <is>
          <t>Cardiology</t>
        </is>
      </c>
      <c r="S2575" s="70" t="n">
        <v>2044</v>
      </c>
      <c r="T2575" s="71" t="n">
        <v>176043.03</v>
      </c>
      <c r="U2575" t="inlineStr">
        <is>
          <t>High</t>
        </is>
      </c>
      <c r="V2575">
        <f>IF(AND(OR(Dashboard!$C$6="All",E2575=Dashboard!$C$6),OR(Dashboard!$F$6="All",G2575=Dashboard!$F$6),OR(Dashboard!$I$6="All",H2575=Dashboard!$I$6)),1,0)</f>
        <v/>
      </c>
    </row>
    <row r="2576">
      <c r="A2576" t="inlineStr">
        <is>
          <t>PF102567</t>
        </is>
      </c>
      <c r="B2576" s="68" t="n">
        <v>45968</v>
      </c>
      <c r="C2576" s="69" t="n">
        <v>2025</v>
      </c>
      <c r="D2576" t="inlineStr">
        <is>
          <t>Nov</t>
        </is>
      </c>
      <c r="E2576" t="inlineStr">
        <is>
          <t>Europe</t>
        </is>
      </c>
      <c r="F2576" t="inlineStr">
        <is>
          <t>UK</t>
        </is>
      </c>
      <c r="G2576" t="inlineStr">
        <is>
          <t>Vyndaqel</t>
        </is>
      </c>
      <c r="H2576" t="inlineStr">
        <is>
          <t>Retail pharmacy</t>
        </is>
      </c>
      <c r="I2576" t="inlineStr">
        <is>
          <t>Public payer</t>
        </is>
      </c>
      <c r="J2576" t="inlineStr">
        <is>
          <t>Sara Rossi</t>
        </is>
      </c>
      <c r="K2576" s="70" t="n">
        <v>1108</v>
      </c>
      <c r="L2576" s="71" t="n">
        <v>5373.54</v>
      </c>
      <c r="M2576" s="71" t="n">
        <v>5953882.32</v>
      </c>
      <c r="N2576" s="71" t="n">
        <v>893082.35</v>
      </c>
      <c r="O2576" s="71" t="n">
        <v>5060799.97</v>
      </c>
      <c r="P2576" s="71" t="n">
        <v>665516.6800000001</v>
      </c>
      <c r="Q2576" s="71" t="n">
        <v>4395283.29</v>
      </c>
      <c r="R2576" t="inlineStr">
        <is>
          <t>Rare disease</t>
        </is>
      </c>
      <c r="S2576" s="70" t="n">
        <v>713</v>
      </c>
      <c r="T2576" s="71" t="n">
        <v>1040510.3</v>
      </c>
      <c r="U2576" t="inlineStr">
        <is>
          <t>Medium</t>
        </is>
      </c>
      <c r="V2576">
        <f>IF(AND(OR(Dashboard!$C$6="All",E2576=Dashboard!$C$6),OR(Dashboard!$F$6="All",G2576=Dashboard!$F$6),OR(Dashboard!$I$6="All",H2576=Dashboard!$I$6)),1,0)</f>
        <v/>
      </c>
    </row>
    <row r="2577">
      <c r="A2577" t="inlineStr">
        <is>
          <t>PF102568</t>
        </is>
      </c>
      <c r="B2577" s="68" t="n">
        <v>45968</v>
      </c>
      <c r="C2577" s="69" t="n">
        <v>2025</v>
      </c>
      <c r="D2577" t="inlineStr">
        <is>
          <t>Nov</t>
        </is>
      </c>
      <c r="E2577" t="inlineStr">
        <is>
          <t>Emerging markets</t>
        </is>
      </c>
      <c r="F2577" t="inlineStr">
        <is>
          <t>China</t>
        </is>
      </c>
      <c r="G2577" t="inlineStr">
        <is>
          <t>Prevnar 20</t>
        </is>
      </c>
      <c r="H2577" t="inlineStr">
        <is>
          <t>Retail pharmacy</t>
        </is>
      </c>
      <c r="I2577" t="inlineStr">
        <is>
          <t>Public payer</t>
        </is>
      </c>
      <c r="J2577" t="inlineStr">
        <is>
          <t>Ravindra Patil</t>
        </is>
      </c>
      <c r="K2577" s="70" t="n">
        <v>985</v>
      </c>
      <c r="L2577" s="71" t="n">
        <v>230.21</v>
      </c>
      <c r="M2577" s="71" t="n">
        <v>226756.85</v>
      </c>
      <c r="N2577" s="71" t="n">
        <v>11337.84</v>
      </c>
      <c r="O2577" s="71" t="n">
        <v>215419.01</v>
      </c>
      <c r="P2577" s="71" t="n">
        <v>69227.67999999999</v>
      </c>
      <c r="Q2577" s="71" t="n">
        <v>146191.33</v>
      </c>
      <c r="R2577" t="inlineStr">
        <is>
          <t>Vaccines</t>
        </is>
      </c>
      <c r="S2577" s="70" t="n">
        <v>813</v>
      </c>
      <c r="T2577" s="71" t="n">
        <v>37889.37</v>
      </c>
      <c r="U2577" t="inlineStr">
        <is>
          <t>Low</t>
        </is>
      </c>
      <c r="V2577">
        <f>IF(AND(OR(Dashboard!$C$6="All",E2577=Dashboard!$C$6),OR(Dashboard!$F$6="All",G2577=Dashboard!$F$6),OR(Dashboard!$I$6="All",H2577=Dashboard!$I$6)),1,0)</f>
        <v/>
      </c>
    </row>
    <row r="2578">
      <c r="A2578" t="inlineStr">
        <is>
          <t>PF102569</t>
        </is>
      </c>
      <c r="B2578" s="68" t="n">
        <v>45968</v>
      </c>
      <c r="C2578" s="69" t="n">
        <v>2025</v>
      </c>
      <c r="D2578" t="inlineStr">
        <is>
          <t>Nov</t>
        </is>
      </c>
      <c r="E2578" t="inlineStr">
        <is>
          <t>Emerging markets</t>
        </is>
      </c>
      <c r="F2578" t="inlineStr">
        <is>
          <t>Mexico</t>
        </is>
      </c>
      <c r="G2578" t="inlineStr">
        <is>
          <t>Xeljanz</t>
        </is>
      </c>
      <c r="H2578" t="inlineStr">
        <is>
          <t>Government / tender</t>
        </is>
      </c>
      <c r="I2578" t="inlineStr">
        <is>
          <t>Public payer</t>
        </is>
      </c>
      <c r="J2578" t="inlineStr">
        <is>
          <t>Fatima Al-Saud</t>
        </is>
      </c>
      <c r="K2578" s="70" t="n">
        <v>2464</v>
      </c>
      <c r="L2578" s="71" t="n">
        <v>1493.6</v>
      </c>
      <c r="M2578" s="71" t="n">
        <v>3680230.4</v>
      </c>
      <c r="N2578" s="71" t="n">
        <v>920057.6</v>
      </c>
      <c r="O2578" s="71" t="n">
        <v>2760172.8</v>
      </c>
      <c r="P2578" s="71" t="n">
        <v>622715.09</v>
      </c>
      <c r="Q2578" s="71" t="n">
        <v>2137457.71</v>
      </c>
      <c r="R2578" t="inlineStr">
        <is>
          <t>Inflammation</t>
        </is>
      </c>
      <c r="S2578" s="70" t="n">
        <v>1658</v>
      </c>
      <c r="T2578" s="71" t="n">
        <v>705056.04</v>
      </c>
      <c r="U2578" t="inlineStr">
        <is>
          <t>High</t>
        </is>
      </c>
      <c r="V2578">
        <f>IF(AND(OR(Dashboard!$C$6="All",E2578=Dashboard!$C$6),OR(Dashboard!$F$6="All",G2578=Dashboard!$F$6),OR(Dashboard!$I$6="All",H2578=Dashboard!$I$6)),1,0)</f>
        <v/>
      </c>
    </row>
    <row r="2579">
      <c r="A2579" t="inlineStr">
        <is>
          <t>PF102570</t>
        </is>
      </c>
      <c r="B2579" s="68" t="n">
        <v>45969</v>
      </c>
      <c r="C2579" s="69" t="n">
        <v>2025</v>
      </c>
      <c r="D2579" t="inlineStr">
        <is>
          <t>Nov</t>
        </is>
      </c>
      <c r="E2579" t="inlineStr">
        <is>
          <t>United States</t>
        </is>
      </c>
      <c r="F2579" t="inlineStr">
        <is>
          <t>USA</t>
        </is>
      </c>
      <c r="G2579" t="inlineStr">
        <is>
          <t>Xeljanz</t>
        </is>
      </c>
      <c r="H2579" t="inlineStr">
        <is>
          <t>Retail pharmacy</t>
        </is>
      </c>
      <c r="I2579" t="inlineStr">
        <is>
          <t>Private insurer</t>
        </is>
      </c>
      <c r="J2579" t="inlineStr">
        <is>
          <t>Amir Khan</t>
        </is>
      </c>
      <c r="K2579" s="70" t="n">
        <v>1670</v>
      </c>
      <c r="L2579" s="71" t="n">
        <v>2092.83</v>
      </c>
      <c r="M2579" s="71" t="n">
        <v>3495026.1</v>
      </c>
      <c r="N2579" s="71" t="n">
        <v>699005.22</v>
      </c>
      <c r="O2579" s="71" t="n">
        <v>2796020.88</v>
      </c>
      <c r="P2579" s="71" t="n">
        <v>411752.93</v>
      </c>
      <c r="Q2579" s="71" t="n">
        <v>2384267.95</v>
      </c>
      <c r="R2579" t="inlineStr">
        <is>
          <t>Inflammation</t>
        </is>
      </c>
      <c r="S2579" s="70" t="n">
        <v>1309</v>
      </c>
      <c r="T2579" s="71" t="n">
        <v>583619.83</v>
      </c>
      <c r="U2579" t="inlineStr">
        <is>
          <t>High</t>
        </is>
      </c>
      <c r="V2579">
        <f>IF(AND(OR(Dashboard!$C$6="All",E2579=Dashboard!$C$6),OR(Dashboard!$F$6="All",G2579=Dashboard!$F$6),OR(Dashboard!$I$6="All",H2579=Dashboard!$I$6)),1,0)</f>
        <v/>
      </c>
    </row>
    <row r="2580">
      <c r="A2580" t="inlineStr">
        <is>
          <t>PF102571</t>
        </is>
      </c>
      <c r="B2580" s="68" t="n">
        <v>45969</v>
      </c>
      <c r="C2580" s="69" t="n">
        <v>2025</v>
      </c>
      <c r="D2580" t="inlineStr">
        <is>
          <t>Nov</t>
        </is>
      </c>
      <c r="E2580" t="inlineStr">
        <is>
          <t>Europe</t>
        </is>
      </c>
      <c r="F2580" t="inlineStr">
        <is>
          <t>France</t>
        </is>
      </c>
      <c r="G2580" t="inlineStr">
        <is>
          <t>Paxlovid</t>
        </is>
      </c>
      <c r="H2580" t="inlineStr">
        <is>
          <t>Retail pharmacy</t>
        </is>
      </c>
      <c r="I2580" t="inlineStr">
        <is>
          <t>Public payer</t>
        </is>
      </c>
      <c r="J2580" t="inlineStr">
        <is>
          <t>Liam O'Brien</t>
        </is>
      </c>
      <c r="K2580" s="70" t="n">
        <v>2236</v>
      </c>
      <c r="L2580" s="71" t="n">
        <v>1121.77</v>
      </c>
      <c r="M2580" s="71" t="n">
        <v>2508277.72</v>
      </c>
      <c r="N2580" s="71" t="n">
        <v>125413.89</v>
      </c>
      <c r="O2580" s="71" t="n">
        <v>2382863.83</v>
      </c>
      <c r="P2580" s="71" t="n">
        <v>633800.01</v>
      </c>
      <c r="Q2580" s="71" t="n">
        <v>1749063.82</v>
      </c>
      <c r="R2580" t="inlineStr">
        <is>
          <t>Antiviral</t>
        </is>
      </c>
      <c r="S2580" s="70" t="n">
        <v>1663</v>
      </c>
      <c r="T2580" s="71" t="n">
        <v>311975.08</v>
      </c>
      <c r="U2580" t="inlineStr">
        <is>
          <t>Low</t>
        </is>
      </c>
      <c r="V2580">
        <f>IF(AND(OR(Dashboard!$C$6="All",E2580=Dashboard!$C$6),OR(Dashboard!$F$6="All",G2580=Dashboard!$F$6),OR(Dashboard!$I$6="All",H2580=Dashboard!$I$6)),1,0)</f>
        <v/>
      </c>
    </row>
    <row r="2581">
      <c r="A2581" t="inlineStr">
        <is>
          <t>PF102572</t>
        </is>
      </c>
      <c r="B2581" s="68" t="n">
        <v>45969</v>
      </c>
      <c r="C2581" s="69" t="n">
        <v>2025</v>
      </c>
      <c r="D2581" t="inlineStr">
        <is>
          <t>Nov</t>
        </is>
      </c>
      <c r="E2581" t="inlineStr">
        <is>
          <t>United States</t>
        </is>
      </c>
      <c r="F2581" t="inlineStr">
        <is>
          <t>USA</t>
        </is>
      </c>
      <c r="G2581" t="inlineStr">
        <is>
          <t>Vyndaqel</t>
        </is>
      </c>
      <c r="H2581" t="inlineStr">
        <is>
          <t>Retail pharmacy</t>
        </is>
      </c>
      <c r="I2581" t="inlineStr">
        <is>
          <t>Private insurer</t>
        </is>
      </c>
      <c r="J2581" t="inlineStr">
        <is>
          <t>Kofi Mensah</t>
        </is>
      </c>
      <c r="K2581" s="70" t="n">
        <v>1594</v>
      </c>
      <c r="L2581" s="71" t="n">
        <v>9126.860000000001</v>
      </c>
      <c r="M2581" s="71" t="n">
        <v>14548214.84</v>
      </c>
      <c r="N2581" s="71" t="n">
        <v>2909642.97</v>
      </c>
      <c r="O2581" s="71" t="n">
        <v>11638571.87</v>
      </c>
      <c r="P2581" s="71" t="n">
        <v>984356.95</v>
      </c>
      <c r="Q2581" s="71" t="n">
        <v>10654214.92</v>
      </c>
      <c r="R2581" t="inlineStr">
        <is>
          <t>Rare disease</t>
        </is>
      </c>
      <c r="S2581" s="70" t="n">
        <v>1416</v>
      </c>
      <c r="T2581" s="71" t="n">
        <v>2225537.02</v>
      </c>
      <c r="U2581" t="inlineStr">
        <is>
          <t>Medium</t>
        </is>
      </c>
      <c r="V2581">
        <f>IF(AND(OR(Dashboard!$C$6="All",E2581=Dashboard!$C$6),OR(Dashboard!$F$6="All",G2581=Dashboard!$F$6),OR(Dashboard!$I$6="All",H2581=Dashboard!$I$6)),1,0)</f>
        <v/>
      </c>
    </row>
    <row r="2582">
      <c r="A2582" t="inlineStr">
        <is>
          <t>PF102573</t>
        </is>
      </c>
      <c r="B2582" s="68" t="n">
        <v>45969</v>
      </c>
      <c r="C2582" s="69" t="n">
        <v>2025</v>
      </c>
      <c r="D2582" t="inlineStr">
        <is>
          <t>Nov</t>
        </is>
      </c>
      <c r="E2582" t="inlineStr">
        <is>
          <t>Emerging markets</t>
        </is>
      </c>
      <c r="F2582" t="inlineStr">
        <is>
          <t>China</t>
        </is>
      </c>
      <c r="G2582" t="inlineStr">
        <is>
          <t>Xeljanz</t>
        </is>
      </c>
      <c r="H2582" t="inlineStr">
        <is>
          <t>Government / tender</t>
        </is>
      </c>
      <c r="I2582" t="inlineStr">
        <is>
          <t>Public payer</t>
        </is>
      </c>
      <c r="J2582" t="inlineStr">
        <is>
          <t>Omar Haddad</t>
        </is>
      </c>
      <c r="K2582" s="70" t="n">
        <v>1891</v>
      </c>
      <c r="L2582" s="71" t="n">
        <v>1479.08</v>
      </c>
      <c r="M2582" s="71" t="n">
        <v>2796940.28</v>
      </c>
      <c r="N2582" s="71" t="n">
        <v>419541.04</v>
      </c>
      <c r="O2582" s="71" t="n">
        <v>2377399.24</v>
      </c>
      <c r="P2582" s="71" t="n">
        <v>460967.3</v>
      </c>
      <c r="Q2582" s="71" t="n">
        <v>1916431.94</v>
      </c>
      <c r="R2582" t="inlineStr">
        <is>
          <t>Inflammation</t>
        </is>
      </c>
      <c r="S2582" s="70" t="n">
        <v>1602</v>
      </c>
      <c r="T2582" s="71" t="n">
        <v>384061.21</v>
      </c>
      <c r="U2582" t="inlineStr">
        <is>
          <t>High</t>
        </is>
      </c>
      <c r="V2582">
        <f>IF(AND(OR(Dashboard!$C$6="All",E2582=Dashboard!$C$6),OR(Dashboard!$F$6="All",G2582=Dashboard!$F$6),OR(Dashboard!$I$6="All",H2582=Dashboard!$I$6)),1,0)</f>
        <v/>
      </c>
    </row>
    <row r="2583">
      <c r="A2583" t="inlineStr">
        <is>
          <t>PF102574</t>
        </is>
      </c>
      <c r="B2583" s="68" t="n">
        <v>45969</v>
      </c>
      <c r="C2583" s="69" t="n">
        <v>2025</v>
      </c>
      <c r="D2583" t="inlineStr">
        <is>
          <t>Nov</t>
        </is>
      </c>
      <c r="E2583" t="inlineStr">
        <is>
          <t>Europe</t>
        </is>
      </c>
      <c r="F2583" t="inlineStr">
        <is>
          <t>France</t>
        </is>
      </c>
      <c r="G2583" t="inlineStr">
        <is>
          <t>Ibrance</t>
        </is>
      </c>
      <c r="H2583" t="inlineStr">
        <is>
          <t>Hospital</t>
        </is>
      </c>
      <c r="I2583" t="inlineStr">
        <is>
          <t>Public payer</t>
        </is>
      </c>
      <c r="J2583" t="inlineStr">
        <is>
          <t>Hiroshi Tanaka</t>
        </is>
      </c>
      <c r="K2583" s="70" t="n">
        <v>1043</v>
      </c>
      <c r="L2583" s="71" t="n">
        <v>2968.77</v>
      </c>
      <c r="M2583" s="71" t="n">
        <v>3096427.11</v>
      </c>
      <c r="N2583" s="71" t="n">
        <v>774106.78</v>
      </c>
      <c r="O2583" s="71" t="n">
        <v>2322320.33</v>
      </c>
      <c r="P2583" s="71" t="n">
        <v>437038.49</v>
      </c>
      <c r="Q2583" s="71" t="n">
        <v>1885281.84</v>
      </c>
      <c r="R2583" t="inlineStr">
        <is>
          <t>Oncology</t>
        </is>
      </c>
      <c r="S2583" s="70" t="n">
        <v>904</v>
      </c>
      <c r="T2583" s="71" t="n">
        <v>533732.9300000001</v>
      </c>
      <c r="U2583" t="inlineStr">
        <is>
          <t>High</t>
        </is>
      </c>
      <c r="V2583">
        <f>IF(AND(OR(Dashboard!$C$6="All",E2583=Dashboard!$C$6),OR(Dashboard!$F$6="All",G2583=Dashboard!$F$6),OR(Dashboard!$I$6="All",H2583=Dashboard!$I$6)),1,0)</f>
        <v/>
      </c>
    </row>
    <row r="2584">
      <c r="A2584" t="inlineStr">
        <is>
          <t>PF102575</t>
        </is>
      </c>
      <c r="B2584" s="68" t="n">
        <v>45969</v>
      </c>
      <c r="C2584" s="69" t="n">
        <v>2025</v>
      </c>
      <c r="D2584" t="inlineStr">
        <is>
          <t>Nov</t>
        </is>
      </c>
      <c r="E2584" t="inlineStr">
        <is>
          <t>United States</t>
        </is>
      </c>
      <c r="F2584" t="inlineStr">
        <is>
          <t>USA</t>
        </is>
      </c>
      <c r="G2584" t="inlineStr">
        <is>
          <t>Eliquis</t>
        </is>
      </c>
      <c r="H2584" t="inlineStr">
        <is>
          <t>Retail pharmacy</t>
        </is>
      </c>
      <c r="I2584" t="inlineStr">
        <is>
          <t>Private insurer</t>
        </is>
      </c>
      <c r="J2584" t="inlineStr">
        <is>
          <t>Lucas Martin</t>
        </is>
      </c>
      <c r="K2584" s="70" t="n">
        <v>2926</v>
      </c>
      <c r="L2584" s="71" t="n">
        <v>727.66</v>
      </c>
      <c r="M2584" s="71" t="n">
        <v>2129133.16</v>
      </c>
      <c r="N2584" s="71" t="n">
        <v>532283.29</v>
      </c>
      <c r="O2584" s="71" t="n">
        <v>1596849.87</v>
      </c>
      <c r="P2584" s="71" t="n">
        <v>224325.84</v>
      </c>
      <c r="Q2584" s="71" t="n">
        <v>1372524.03</v>
      </c>
      <c r="R2584" t="inlineStr">
        <is>
          <t>Cardiology</t>
        </is>
      </c>
      <c r="S2584" s="70" t="n">
        <v>2180</v>
      </c>
      <c r="T2584" s="71" t="n">
        <v>425650.34</v>
      </c>
      <c r="U2584" t="inlineStr">
        <is>
          <t>High</t>
        </is>
      </c>
      <c r="V2584">
        <f>IF(AND(OR(Dashboard!$C$6="All",E2584=Dashboard!$C$6),OR(Dashboard!$F$6="All",G2584=Dashboard!$F$6),OR(Dashboard!$I$6="All",H2584=Dashboard!$I$6)),1,0)</f>
        <v/>
      </c>
    </row>
    <row r="2585">
      <c r="A2585" t="inlineStr">
        <is>
          <t>PF102576</t>
        </is>
      </c>
      <c r="B2585" s="68" t="n">
        <v>45969</v>
      </c>
      <c r="C2585" s="69" t="n">
        <v>2025</v>
      </c>
      <c r="D2585" t="inlineStr">
        <is>
          <t>Nov</t>
        </is>
      </c>
      <c r="E2585" t="inlineStr">
        <is>
          <t>International developed</t>
        </is>
      </c>
      <c r="F2585" t="inlineStr">
        <is>
          <t>Canada</t>
        </is>
      </c>
      <c r="G2585" t="inlineStr">
        <is>
          <t>Eliquis</t>
        </is>
      </c>
      <c r="H2585" t="inlineStr">
        <is>
          <t>Hospital</t>
        </is>
      </c>
      <c r="I2585" t="inlineStr">
        <is>
          <t>Self-pay</t>
        </is>
      </c>
      <c r="J2585" t="inlineStr">
        <is>
          <t>Liam O'Brien</t>
        </is>
      </c>
      <c r="K2585" s="70" t="n">
        <v>2187</v>
      </c>
      <c r="L2585" s="71" t="n">
        <v>454.28</v>
      </c>
      <c r="M2585" s="71" t="n">
        <v>993510.36</v>
      </c>
      <c r="N2585" s="71" t="n">
        <v>149026.55</v>
      </c>
      <c r="O2585" s="71" t="n">
        <v>844483.8100000001</v>
      </c>
      <c r="P2585" s="71" t="n">
        <v>161621.44</v>
      </c>
      <c r="Q2585" s="71" t="n">
        <v>682862.37</v>
      </c>
      <c r="R2585" t="inlineStr">
        <is>
          <t>Cardiology</t>
        </is>
      </c>
      <c r="S2585" s="70" t="n">
        <v>1619</v>
      </c>
      <c r="T2585" s="71" t="n">
        <v>194644.89</v>
      </c>
      <c r="U2585" t="inlineStr">
        <is>
          <t>High</t>
        </is>
      </c>
      <c r="V2585">
        <f>IF(AND(OR(Dashboard!$C$6="All",E2585=Dashboard!$C$6),OR(Dashboard!$F$6="All",G2585=Dashboard!$F$6),OR(Dashboard!$I$6="All",H2585=Dashboard!$I$6)),1,0)</f>
        <v/>
      </c>
    </row>
    <row r="2586">
      <c r="A2586" t="inlineStr">
        <is>
          <t>PF102577</t>
        </is>
      </c>
      <c r="B2586" s="68" t="n">
        <v>45969</v>
      </c>
      <c r="C2586" s="69" t="n">
        <v>2025</v>
      </c>
      <c r="D2586" t="inlineStr">
        <is>
          <t>Nov</t>
        </is>
      </c>
      <c r="E2586" t="inlineStr">
        <is>
          <t>International developed</t>
        </is>
      </c>
      <c r="F2586" t="inlineStr">
        <is>
          <t>Australia</t>
        </is>
      </c>
      <c r="G2586" t="inlineStr">
        <is>
          <t>Eliquis</t>
        </is>
      </c>
      <c r="H2586" t="inlineStr">
        <is>
          <t>Government / tender</t>
        </is>
      </c>
      <c r="I2586" t="inlineStr">
        <is>
          <t>Self-pay</t>
        </is>
      </c>
      <c r="J2586" t="inlineStr">
        <is>
          <t>Arjun Mehta</t>
        </is>
      </c>
      <c r="K2586" s="70" t="n">
        <v>2372</v>
      </c>
      <c r="L2586" s="71" t="n">
        <v>452.3</v>
      </c>
      <c r="M2586" s="71" t="n">
        <v>1072855.6</v>
      </c>
      <c r="N2586" s="71" t="n">
        <v>107285.56</v>
      </c>
      <c r="O2586" s="71" t="n">
        <v>965570.04</v>
      </c>
      <c r="P2586" s="71" t="n">
        <v>182853.6</v>
      </c>
      <c r="Q2586" s="71" t="n">
        <v>782716.4399999999</v>
      </c>
      <c r="R2586" t="inlineStr">
        <is>
          <t>Cardiology</t>
        </is>
      </c>
      <c r="S2586" s="70" t="n">
        <v>1849</v>
      </c>
      <c r="T2586" s="71" t="n">
        <v>220611.15</v>
      </c>
      <c r="U2586" t="inlineStr">
        <is>
          <t>High</t>
        </is>
      </c>
      <c r="V2586">
        <f>IF(AND(OR(Dashboard!$C$6="All",E2586=Dashboard!$C$6),OR(Dashboard!$F$6="All",G2586=Dashboard!$F$6),OR(Dashboard!$I$6="All",H2586=Dashboard!$I$6)),1,0)</f>
        <v/>
      </c>
    </row>
    <row r="2587">
      <c r="A2587" t="inlineStr">
        <is>
          <t>PF102578</t>
        </is>
      </c>
      <c r="B2587" s="68" t="n">
        <v>45969</v>
      </c>
      <c r="C2587" s="69" t="n">
        <v>2025</v>
      </c>
      <c r="D2587" t="inlineStr">
        <is>
          <t>Nov</t>
        </is>
      </c>
      <c r="E2587" t="inlineStr">
        <is>
          <t>United States</t>
        </is>
      </c>
      <c r="F2587" t="inlineStr">
        <is>
          <t>USA</t>
        </is>
      </c>
      <c r="G2587" t="inlineStr">
        <is>
          <t>Paxlovid</t>
        </is>
      </c>
      <c r="H2587" t="inlineStr">
        <is>
          <t>Retail pharmacy</t>
        </is>
      </c>
      <c r="I2587" t="inlineStr">
        <is>
          <t>Public payer</t>
        </is>
      </c>
      <c r="J2587" t="inlineStr">
        <is>
          <t>Yuki Sato</t>
        </is>
      </c>
      <c r="K2587" s="70" t="n">
        <v>2573</v>
      </c>
      <c r="L2587" s="71" t="n">
        <v>1920.35</v>
      </c>
      <c r="M2587" s="71" t="n">
        <v>4941060.55</v>
      </c>
      <c r="N2587" s="71" t="n">
        <v>988212.11</v>
      </c>
      <c r="O2587" s="71" t="n">
        <v>3952848.44</v>
      </c>
      <c r="P2587" s="71" t="n">
        <v>717616.16</v>
      </c>
      <c r="Q2587" s="71" t="n">
        <v>3235232.28</v>
      </c>
      <c r="R2587" t="inlineStr">
        <is>
          <t>Antiviral</t>
        </is>
      </c>
      <c r="S2587" s="70" t="n">
        <v>1999</v>
      </c>
      <c r="T2587" s="71" t="n">
        <v>865284.13</v>
      </c>
      <c r="U2587" t="inlineStr">
        <is>
          <t>Low</t>
        </is>
      </c>
      <c r="V2587">
        <f>IF(AND(OR(Dashboard!$C$6="All",E2587=Dashboard!$C$6),OR(Dashboard!$F$6="All",G2587=Dashboard!$F$6),OR(Dashboard!$I$6="All",H2587=Dashboard!$I$6)),1,0)</f>
        <v/>
      </c>
    </row>
    <row r="2588">
      <c r="A2588" t="inlineStr">
        <is>
          <t>PF102579</t>
        </is>
      </c>
      <c r="B2588" s="68" t="n">
        <v>45969</v>
      </c>
      <c r="C2588" s="69" t="n">
        <v>2025</v>
      </c>
      <c r="D2588" t="inlineStr">
        <is>
          <t>Nov</t>
        </is>
      </c>
      <c r="E2588" t="inlineStr">
        <is>
          <t>International developed</t>
        </is>
      </c>
      <c r="F2588" t="inlineStr">
        <is>
          <t>Canada</t>
        </is>
      </c>
      <c r="G2588" t="inlineStr">
        <is>
          <t>Eliquis</t>
        </is>
      </c>
      <c r="H2588" t="inlineStr">
        <is>
          <t>Retail pharmacy</t>
        </is>
      </c>
      <c r="I2588" t="inlineStr">
        <is>
          <t>Private insurer</t>
        </is>
      </c>
      <c r="J2588" t="inlineStr">
        <is>
          <t>Sara Rossi</t>
        </is>
      </c>
      <c r="K2588" s="70" t="n">
        <v>2758</v>
      </c>
      <c r="L2588" s="71" t="n">
        <v>456.48</v>
      </c>
      <c r="M2588" s="71" t="n">
        <v>1258971.84</v>
      </c>
      <c r="N2588" s="71" t="n">
        <v>314742.96</v>
      </c>
      <c r="O2588" s="71" t="n">
        <v>944228.88</v>
      </c>
      <c r="P2588" s="71" t="n">
        <v>208223.63</v>
      </c>
      <c r="Q2588" s="71" t="n">
        <v>736005.25</v>
      </c>
      <c r="R2588" t="inlineStr">
        <is>
          <t>Cardiology</t>
        </is>
      </c>
      <c r="S2588" s="70" t="n">
        <v>2035</v>
      </c>
      <c r="T2588" s="71" t="n">
        <v>209058.93</v>
      </c>
      <c r="U2588" t="inlineStr">
        <is>
          <t>High</t>
        </is>
      </c>
      <c r="V2588">
        <f>IF(AND(OR(Dashboard!$C$6="All",E2588=Dashboard!$C$6),OR(Dashboard!$F$6="All",G2588=Dashboard!$F$6),OR(Dashboard!$I$6="All",H2588=Dashboard!$I$6)),1,0)</f>
        <v/>
      </c>
    </row>
    <row r="2589">
      <c r="A2589" t="inlineStr">
        <is>
          <t>PF102580</t>
        </is>
      </c>
      <c r="B2589" s="68" t="n">
        <v>45970</v>
      </c>
      <c r="C2589" s="69" t="n">
        <v>2025</v>
      </c>
      <c r="D2589" t="inlineStr">
        <is>
          <t>Nov</t>
        </is>
      </c>
      <c r="E2589" t="inlineStr">
        <is>
          <t>Emerging markets</t>
        </is>
      </c>
      <c r="F2589" t="inlineStr">
        <is>
          <t>Brazil</t>
        </is>
      </c>
      <c r="G2589" t="inlineStr">
        <is>
          <t>Eliquis</t>
        </is>
      </c>
      <c r="H2589" t="inlineStr">
        <is>
          <t>Retail pharmacy</t>
        </is>
      </c>
      <c r="I2589" t="inlineStr">
        <is>
          <t>Public payer</t>
        </is>
      </c>
      <c r="J2589" t="inlineStr">
        <is>
          <t>Ana Costa</t>
        </is>
      </c>
      <c r="K2589" s="70" t="n">
        <v>923</v>
      </c>
      <c r="L2589" s="71" t="n">
        <v>397.74</v>
      </c>
      <c r="M2589" s="71" t="n">
        <v>367114.02</v>
      </c>
      <c r="N2589" s="71" t="n">
        <v>73422.8</v>
      </c>
      <c r="O2589" s="71" t="n">
        <v>293691.22</v>
      </c>
      <c r="P2589" s="71" t="n">
        <v>70090.55</v>
      </c>
      <c r="Q2589" s="71" t="n">
        <v>223600.67</v>
      </c>
      <c r="R2589" t="inlineStr">
        <is>
          <t>Cardiology</t>
        </is>
      </c>
      <c r="S2589" s="70" t="n">
        <v>746</v>
      </c>
      <c r="T2589" s="71" t="n">
        <v>53291.59</v>
      </c>
      <c r="U2589" t="inlineStr">
        <is>
          <t>High</t>
        </is>
      </c>
      <c r="V2589">
        <f>IF(AND(OR(Dashboard!$C$6="All",E2589=Dashboard!$C$6),OR(Dashboard!$F$6="All",G2589=Dashboard!$F$6),OR(Dashboard!$I$6="All",H2589=Dashboard!$I$6)),1,0)</f>
        <v/>
      </c>
    </row>
    <row r="2590">
      <c r="A2590" t="inlineStr">
        <is>
          <t>PF102581</t>
        </is>
      </c>
      <c r="B2590" s="68" t="n">
        <v>45970</v>
      </c>
      <c r="C2590" s="69" t="n">
        <v>2025</v>
      </c>
      <c r="D2590" t="inlineStr">
        <is>
          <t>Nov</t>
        </is>
      </c>
      <c r="E2590" t="inlineStr">
        <is>
          <t>United States</t>
        </is>
      </c>
      <c r="F2590" t="inlineStr">
        <is>
          <t>USA</t>
        </is>
      </c>
      <c r="G2590" t="inlineStr">
        <is>
          <t>Vyndaqel</t>
        </is>
      </c>
      <c r="H2590" t="inlineStr">
        <is>
          <t>Government / tender</t>
        </is>
      </c>
      <c r="I2590" t="inlineStr">
        <is>
          <t>Public payer</t>
        </is>
      </c>
      <c r="J2590" t="inlineStr">
        <is>
          <t>Mei Lin</t>
        </is>
      </c>
      <c r="K2590" s="70" t="n">
        <v>1789</v>
      </c>
      <c r="L2590" s="71" t="n">
        <v>8901.33</v>
      </c>
      <c r="M2590" s="71" t="n">
        <v>15924479.37</v>
      </c>
      <c r="N2590" s="71" t="n">
        <v>3981119.84</v>
      </c>
      <c r="O2590" s="71" t="n">
        <v>11943359.53</v>
      </c>
      <c r="P2590" s="71" t="n">
        <v>1149312.83</v>
      </c>
      <c r="Q2590" s="71" t="n">
        <v>10794046.7</v>
      </c>
      <c r="R2590" t="inlineStr">
        <is>
          <t>Rare disease</t>
        </is>
      </c>
      <c r="S2590" s="70" t="n">
        <v>1442</v>
      </c>
      <c r="T2590" s="71" t="n">
        <v>3402128.97</v>
      </c>
      <c r="U2590" t="inlineStr">
        <is>
          <t>Medium</t>
        </is>
      </c>
      <c r="V2590">
        <f>IF(AND(OR(Dashboard!$C$6="All",E2590=Dashboard!$C$6),OR(Dashboard!$F$6="All",G2590=Dashboard!$F$6),OR(Dashboard!$I$6="All",H2590=Dashboard!$I$6)),1,0)</f>
        <v/>
      </c>
    </row>
    <row r="2591">
      <c r="A2591" t="inlineStr">
        <is>
          <t>PF102582</t>
        </is>
      </c>
      <c r="B2591" s="68" t="n">
        <v>45970</v>
      </c>
      <c r="C2591" s="69" t="n">
        <v>2025</v>
      </c>
      <c r="D2591" t="inlineStr">
        <is>
          <t>Nov</t>
        </is>
      </c>
      <c r="E2591" t="inlineStr">
        <is>
          <t>United States</t>
        </is>
      </c>
      <c r="F2591" t="inlineStr">
        <is>
          <t>USA</t>
        </is>
      </c>
      <c r="G2591" t="inlineStr">
        <is>
          <t>Eliquis</t>
        </is>
      </c>
      <c r="H2591" t="inlineStr">
        <is>
          <t>Retail pharmacy</t>
        </is>
      </c>
      <c r="I2591" t="inlineStr">
        <is>
          <t>Self-pay</t>
        </is>
      </c>
      <c r="J2591" t="inlineStr">
        <is>
          <t>Priya Nair</t>
        </is>
      </c>
      <c r="K2591" s="70" t="n">
        <v>441</v>
      </c>
      <c r="L2591" s="71" t="n">
        <v>716.48</v>
      </c>
      <c r="M2591" s="71" t="n">
        <v>315967.68</v>
      </c>
      <c r="N2591" s="71" t="n">
        <v>47395.15</v>
      </c>
      <c r="O2591" s="71" t="n">
        <v>268572.53</v>
      </c>
      <c r="P2591" s="71" t="n">
        <v>34660.79</v>
      </c>
      <c r="Q2591" s="71" t="n">
        <v>233911.74</v>
      </c>
      <c r="R2591" t="inlineStr">
        <is>
          <t>Cardiology</t>
        </is>
      </c>
      <c r="S2591" s="70" t="n">
        <v>279</v>
      </c>
      <c r="T2591" s="71" t="n">
        <v>64243.48</v>
      </c>
      <c r="U2591" t="inlineStr">
        <is>
          <t>High</t>
        </is>
      </c>
      <c r="V2591">
        <f>IF(AND(OR(Dashboard!$C$6="All",E2591=Dashboard!$C$6),OR(Dashboard!$F$6="All",G2591=Dashboard!$F$6),OR(Dashboard!$I$6="All",H2591=Dashboard!$I$6)),1,0)</f>
        <v/>
      </c>
    </row>
    <row r="2592">
      <c r="A2592" t="inlineStr">
        <is>
          <t>PF102583</t>
        </is>
      </c>
      <c r="B2592" s="68" t="n">
        <v>45970</v>
      </c>
      <c r="C2592" s="69" t="n">
        <v>2025</v>
      </c>
      <c r="D2592" t="inlineStr">
        <is>
          <t>Nov</t>
        </is>
      </c>
      <c r="E2592" t="inlineStr">
        <is>
          <t>Europe</t>
        </is>
      </c>
      <c r="F2592" t="inlineStr">
        <is>
          <t>France</t>
        </is>
      </c>
      <c r="G2592" t="inlineStr">
        <is>
          <t>Prevnar 20</t>
        </is>
      </c>
      <c r="H2592" t="inlineStr">
        <is>
          <t>Retail pharmacy</t>
        </is>
      </c>
      <c r="I2592" t="inlineStr">
        <is>
          <t>Private insurer</t>
        </is>
      </c>
      <c r="J2592" t="inlineStr">
        <is>
          <t>Wei Chen</t>
        </is>
      </c>
      <c r="K2592" s="70" t="n">
        <v>454</v>
      </c>
      <c r="L2592" s="71" t="n">
        <v>216.38</v>
      </c>
      <c r="M2592" s="71" t="n">
        <v>98236.52</v>
      </c>
      <c r="N2592" s="71" t="n">
        <v>24559.13</v>
      </c>
      <c r="O2592" s="71" t="n">
        <v>73677.39</v>
      </c>
      <c r="P2592" s="71" t="n">
        <v>31770.18</v>
      </c>
      <c r="Q2592" s="71" t="n">
        <v>41907.21</v>
      </c>
      <c r="R2592" t="inlineStr">
        <is>
          <t>Vaccines</t>
        </is>
      </c>
      <c r="S2592" s="70" t="n">
        <v>406</v>
      </c>
      <c r="T2592" s="71" t="n">
        <v>16590.5</v>
      </c>
      <c r="U2592" t="inlineStr">
        <is>
          <t>Low</t>
        </is>
      </c>
      <c r="V2592">
        <f>IF(AND(OR(Dashboard!$C$6="All",E2592=Dashboard!$C$6),OR(Dashboard!$F$6="All",G2592=Dashboard!$F$6),OR(Dashboard!$I$6="All",H2592=Dashboard!$I$6)),1,0)</f>
        <v/>
      </c>
    </row>
    <row r="2593">
      <c r="A2593" t="inlineStr">
        <is>
          <t>PF102584</t>
        </is>
      </c>
      <c r="B2593" s="68" t="n">
        <v>45970</v>
      </c>
      <c r="C2593" s="69" t="n">
        <v>2025</v>
      </c>
      <c r="D2593" t="inlineStr">
        <is>
          <t>Nov</t>
        </is>
      </c>
      <c r="E2593" t="inlineStr">
        <is>
          <t>United States</t>
        </is>
      </c>
      <c r="F2593" t="inlineStr">
        <is>
          <t>USA</t>
        </is>
      </c>
      <c r="G2593" t="inlineStr">
        <is>
          <t>Comirnaty</t>
        </is>
      </c>
      <c r="H2593" t="inlineStr">
        <is>
          <t>Hospital</t>
        </is>
      </c>
      <c r="I2593" t="inlineStr">
        <is>
          <t>Private insurer</t>
        </is>
      </c>
      <c r="J2593" t="inlineStr">
        <is>
          <t>Ravindra Patil</t>
        </is>
      </c>
      <c r="K2593" s="70" t="n">
        <v>3049</v>
      </c>
      <c r="L2593" s="71" t="n">
        <v>160.26</v>
      </c>
      <c r="M2593" s="71" t="n">
        <v>488632.74</v>
      </c>
      <c r="N2593" s="71" t="n">
        <v>146589.82</v>
      </c>
      <c r="O2593" s="71" t="n">
        <v>342042.92</v>
      </c>
      <c r="P2593" s="71" t="n">
        <v>120589.91</v>
      </c>
      <c r="Q2593" s="71" t="n">
        <v>221453.01</v>
      </c>
      <c r="R2593" t="inlineStr">
        <is>
          <t>Vaccines</t>
        </is>
      </c>
      <c r="S2593" s="70" t="n">
        <v>2329</v>
      </c>
      <c r="T2593" s="71" t="n">
        <v>71696.53</v>
      </c>
      <c r="U2593" t="inlineStr">
        <is>
          <t>Low</t>
        </is>
      </c>
      <c r="V2593">
        <f>IF(AND(OR(Dashboard!$C$6="All",E2593=Dashboard!$C$6),OR(Dashboard!$F$6="All",G2593=Dashboard!$F$6),OR(Dashboard!$I$6="All",H2593=Dashboard!$I$6)),1,0)</f>
        <v/>
      </c>
    </row>
    <row r="2594">
      <c r="A2594" t="inlineStr">
        <is>
          <t>PF102585</t>
        </is>
      </c>
      <c r="B2594" s="68" t="n">
        <v>45970</v>
      </c>
      <c r="C2594" s="69" t="n">
        <v>2025</v>
      </c>
      <c r="D2594" t="inlineStr">
        <is>
          <t>Nov</t>
        </is>
      </c>
      <c r="E2594" t="inlineStr">
        <is>
          <t>Europe</t>
        </is>
      </c>
      <c r="F2594" t="inlineStr">
        <is>
          <t>France</t>
        </is>
      </c>
      <c r="G2594" t="inlineStr">
        <is>
          <t>Abrysvo</t>
        </is>
      </c>
      <c r="H2594" t="inlineStr">
        <is>
          <t>Government / tender</t>
        </is>
      </c>
      <c r="I2594" t="inlineStr">
        <is>
          <t>Public payer</t>
        </is>
      </c>
      <c r="J2594" t="inlineStr">
        <is>
          <t>Yuki Sato</t>
        </is>
      </c>
      <c r="K2594" s="70" t="n">
        <v>2597</v>
      </c>
      <c r="L2594" s="71" t="n">
        <v>306.57</v>
      </c>
      <c r="M2594" s="71" t="n">
        <v>796162.29</v>
      </c>
      <c r="N2594" s="71" t="n">
        <v>39808.11</v>
      </c>
      <c r="O2594" s="71" t="n">
        <v>756354.1800000001</v>
      </c>
      <c r="P2594" s="71" t="n">
        <v>219817.19</v>
      </c>
      <c r="Q2594" s="71" t="n">
        <v>536536.99</v>
      </c>
      <c r="R2594" t="inlineStr">
        <is>
          <t>Vaccines</t>
        </is>
      </c>
      <c r="S2594" s="70" t="n">
        <v>2368</v>
      </c>
      <c r="T2594" s="71" t="n">
        <v>168331.5</v>
      </c>
      <c r="U2594" t="inlineStr">
        <is>
          <t>Low</t>
        </is>
      </c>
      <c r="V2594">
        <f>IF(AND(OR(Dashboard!$C$6="All",E2594=Dashboard!$C$6),OR(Dashboard!$F$6="All",G2594=Dashboard!$F$6),OR(Dashboard!$I$6="All",H2594=Dashboard!$I$6)),1,0)</f>
        <v/>
      </c>
    </row>
    <row r="2595">
      <c r="A2595" t="inlineStr">
        <is>
          <t>PF102586</t>
        </is>
      </c>
      <c r="B2595" s="68" t="n">
        <v>45970</v>
      </c>
      <c r="C2595" s="69" t="n">
        <v>2025</v>
      </c>
      <c r="D2595" t="inlineStr">
        <is>
          <t>Nov</t>
        </is>
      </c>
      <c r="E2595" t="inlineStr">
        <is>
          <t>United States</t>
        </is>
      </c>
      <c r="F2595" t="inlineStr">
        <is>
          <t>USA</t>
        </is>
      </c>
      <c r="G2595" t="inlineStr">
        <is>
          <t>Eliquis</t>
        </is>
      </c>
      <c r="H2595" t="inlineStr">
        <is>
          <t>Retail pharmacy</t>
        </is>
      </c>
      <c r="I2595" t="inlineStr">
        <is>
          <t>Private insurer</t>
        </is>
      </c>
      <c r="J2595" t="inlineStr">
        <is>
          <t>Yuki Sato</t>
        </is>
      </c>
      <c r="K2595" s="70" t="n">
        <v>67</v>
      </c>
      <c r="L2595" s="71" t="n">
        <v>699.92</v>
      </c>
      <c r="M2595" s="71" t="n">
        <v>46894.64</v>
      </c>
      <c r="N2595" s="71" t="n">
        <v>16413.12</v>
      </c>
      <c r="O2595" s="71" t="n">
        <v>30481.52</v>
      </c>
      <c r="P2595" s="71" t="n">
        <v>5110.94</v>
      </c>
      <c r="Q2595" s="71" t="n">
        <v>25370.58</v>
      </c>
      <c r="R2595" t="inlineStr">
        <is>
          <t>Cardiology</t>
        </is>
      </c>
      <c r="S2595" s="70" t="n">
        <v>56</v>
      </c>
      <c r="T2595" s="71" t="n">
        <v>8062.8</v>
      </c>
      <c r="U2595" t="inlineStr">
        <is>
          <t>High</t>
        </is>
      </c>
      <c r="V2595">
        <f>IF(AND(OR(Dashboard!$C$6="All",E2595=Dashboard!$C$6),OR(Dashboard!$F$6="All",G2595=Dashboard!$F$6),OR(Dashboard!$I$6="All",H2595=Dashboard!$I$6)),1,0)</f>
        <v/>
      </c>
    </row>
    <row r="2596">
      <c r="A2596" t="inlineStr">
        <is>
          <t>PF102587</t>
        </is>
      </c>
      <c r="B2596" s="68" t="n">
        <v>45970</v>
      </c>
      <c r="C2596" s="69" t="n">
        <v>2025</v>
      </c>
      <c r="D2596" t="inlineStr">
        <is>
          <t>Nov</t>
        </is>
      </c>
      <c r="E2596" t="inlineStr">
        <is>
          <t>International developed</t>
        </is>
      </c>
      <c r="F2596" t="inlineStr">
        <is>
          <t>Australia</t>
        </is>
      </c>
      <c r="G2596" t="inlineStr">
        <is>
          <t>Abrysvo</t>
        </is>
      </c>
      <c r="H2596" t="inlineStr">
        <is>
          <t>Hospital</t>
        </is>
      </c>
      <c r="I2596" t="inlineStr">
        <is>
          <t>Public payer</t>
        </is>
      </c>
      <c r="J2596" t="inlineStr">
        <is>
          <t>Priya Nair</t>
        </is>
      </c>
      <c r="K2596" s="70" t="n">
        <v>1720</v>
      </c>
      <c r="L2596" s="71" t="n">
        <v>275.32</v>
      </c>
      <c r="M2596" s="71" t="n">
        <v>473550.4</v>
      </c>
      <c r="N2596" s="71" t="n">
        <v>118387.6</v>
      </c>
      <c r="O2596" s="71" t="n">
        <v>355162.8</v>
      </c>
      <c r="P2596" s="71" t="n">
        <v>143458.26</v>
      </c>
      <c r="Q2596" s="71" t="n">
        <v>211704.54</v>
      </c>
      <c r="R2596" t="inlineStr">
        <is>
          <t>Vaccines</t>
        </is>
      </c>
      <c r="S2596" s="70" t="n">
        <v>1612</v>
      </c>
      <c r="T2596" s="71" t="n">
        <v>70923.28999999999</v>
      </c>
      <c r="U2596" t="inlineStr">
        <is>
          <t>Low</t>
        </is>
      </c>
      <c r="V2596">
        <f>IF(AND(OR(Dashboard!$C$6="All",E2596=Dashboard!$C$6),OR(Dashboard!$F$6="All",G2596=Dashboard!$F$6),OR(Dashboard!$I$6="All",H2596=Dashboard!$I$6)),1,0)</f>
        <v/>
      </c>
    </row>
    <row r="2597">
      <c r="A2597" t="inlineStr">
        <is>
          <t>PF102588</t>
        </is>
      </c>
      <c r="B2597" s="68" t="n">
        <v>45971</v>
      </c>
      <c r="C2597" s="69" t="n">
        <v>2025</v>
      </c>
      <c r="D2597" t="inlineStr">
        <is>
          <t>Nov</t>
        </is>
      </c>
      <c r="E2597" t="inlineStr">
        <is>
          <t>Emerging markets</t>
        </is>
      </c>
      <c r="F2597" t="inlineStr">
        <is>
          <t>Brazil</t>
        </is>
      </c>
      <c r="G2597" t="inlineStr">
        <is>
          <t>Paxlovid</t>
        </is>
      </c>
      <c r="H2597" t="inlineStr">
        <is>
          <t>Hospital</t>
        </is>
      </c>
      <c r="I2597" t="inlineStr">
        <is>
          <t>Public payer</t>
        </is>
      </c>
      <c r="J2597" t="inlineStr">
        <is>
          <t>Omar Haddad</t>
        </is>
      </c>
      <c r="K2597" s="70" t="n">
        <v>330</v>
      </c>
      <c r="L2597" s="71" t="n">
        <v>1127</v>
      </c>
      <c r="M2597" s="71" t="n">
        <v>371910</v>
      </c>
      <c r="N2597" s="71" t="n">
        <v>18595.5</v>
      </c>
      <c r="O2597" s="71" t="n">
        <v>353314.5</v>
      </c>
      <c r="P2597" s="71" t="n">
        <v>92160.98</v>
      </c>
      <c r="Q2597" s="71" t="n">
        <v>261153.52</v>
      </c>
      <c r="R2597" t="inlineStr">
        <is>
          <t>Antiviral</t>
        </is>
      </c>
      <c r="S2597" s="70" t="n">
        <v>220</v>
      </c>
      <c r="T2597" s="71" t="n">
        <v>75386.78</v>
      </c>
      <c r="U2597" t="inlineStr">
        <is>
          <t>Low</t>
        </is>
      </c>
      <c r="V2597">
        <f>IF(AND(OR(Dashboard!$C$6="All",E2597=Dashboard!$C$6),OR(Dashboard!$F$6="All",G2597=Dashboard!$F$6),OR(Dashboard!$I$6="All",H2597=Dashboard!$I$6)),1,0)</f>
        <v/>
      </c>
    </row>
    <row r="2598">
      <c r="A2598" t="inlineStr">
        <is>
          <t>PF102589</t>
        </is>
      </c>
      <c r="B2598" s="68" t="n">
        <v>45971</v>
      </c>
      <c r="C2598" s="69" t="n">
        <v>2025</v>
      </c>
      <c r="D2598" t="inlineStr">
        <is>
          <t>Nov</t>
        </is>
      </c>
      <c r="E2598" t="inlineStr">
        <is>
          <t>United States</t>
        </is>
      </c>
      <c r="F2598" t="inlineStr">
        <is>
          <t>USA</t>
        </is>
      </c>
      <c r="G2598" t="inlineStr">
        <is>
          <t>Prevnar 20</t>
        </is>
      </c>
      <c r="H2598" t="inlineStr">
        <is>
          <t>Retail pharmacy</t>
        </is>
      </c>
      <c r="I2598" t="inlineStr">
        <is>
          <t>Public payer</t>
        </is>
      </c>
      <c r="J2598" t="inlineStr">
        <is>
          <t>Shraddha Kulkarni</t>
        </is>
      </c>
      <c r="K2598" s="70" t="n">
        <v>1042</v>
      </c>
      <c r="L2598" s="71" t="n">
        <v>382.08</v>
      </c>
      <c r="M2598" s="71" t="n">
        <v>398127.36</v>
      </c>
      <c r="N2598" s="71" t="n">
        <v>79625.47</v>
      </c>
      <c r="O2598" s="71" t="n">
        <v>318501.89</v>
      </c>
      <c r="P2598" s="71" t="n">
        <v>71540.23</v>
      </c>
      <c r="Q2598" s="71" t="n">
        <v>246961.66</v>
      </c>
      <c r="R2598" t="inlineStr">
        <is>
          <t>Vaccines</t>
        </is>
      </c>
      <c r="S2598" s="70" t="n">
        <v>738</v>
      </c>
      <c r="T2598" s="71" t="n">
        <v>56024.93</v>
      </c>
      <c r="U2598" t="inlineStr">
        <is>
          <t>Low</t>
        </is>
      </c>
      <c r="V2598">
        <f>IF(AND(OR(Dashboard!$C$6="All",E2598=Dashboard!$C$6),OR(Dashboard!$F$6="All",G2598=Dashboard!$F$6),OR(Dashboard!$I$6="All",H2598=Dashboard!$I$6)),1,0)</f>
        <v/>
      </c>
    </row>
    <row r="2599">
      <c r="A2599" t="inlineStr">
        <is>
          <t>PF102590</t>
        </is>
      </c>
      <c r="B2599" s="68" t="n">
        <v>45971</v>
      </c>
      <c r="C2599" s="69" t="n">
        <v>2025</v>
      </c>
      <c r="D2599" t="inlineStr">
        <is>
          <t>Nov</t>
        </is>
      </c>
      <c r="E2599" t="inlineStr">
        <is>
          <t>Europe</t>
        </is>
      </c>
      <c r="F2599" t="inlineStr">
        <is>
          <t>France</t>
        </is>
      </c>
      <c r="G2599" t="inlineStr">
        <is>
          <t>Prevnar 20</t>
        </is>
      </c>
      <c r="H2599" t="inlineStr">
        <is>
          <t>Government / tender</t>
        </is>
      </c>
      <c r="I2599" t="inlineStr">
        <is>
          <t>Public payer</t>
        </is>
      </c>
      <c r="J2599" t="inlineStr">
        <is>
          <t>Omar Haddad</t>
        </is>
      </c>
      <c r="K2599" s="70" t="n">
        <v>409</v>
      </c>
      <c r="L2599" s="71" t="n">
        <v>243.95</v>
      </c>
      <c r="M2599" s="71" t="n">
        <v>99775.55</v>
      </c>
      <c r="N2599" s="71" t="n">
        <v>24943.89</v>
      </c>
      <c r="O2599" s="71" t="n">
        <v>74831.66</v>
      </c>
      <c r="P2599" s="71" t="n">
        <v>27771.31</v>
      </c>
      <c r="Q2599" s="71" t="n">
        <v>47060.35</v>
      </c>
      <c r="R2599" t="inlineStr">
        <is>
          <t>Vaccines</t>
        </is>
      </c>
      <c r="S2599" s="70" t="n">
        <v>288</v>
      </c>
      <c r="T2599" s="71" t="n">
        <v>21430.6</v>
      </c>
      <c r="U2599" t="inlineStr">
        <is>
          <t>Low</t>
        </is>
      </c>
      <c r="V2599">
        <f>IF(AND(OR(Dashboard!$C$6="All",E2599=Dashboard!$C$6),OR(Dashboard!$F$6="All",G2599=Dashboard!$F$6),OR(Dashboard!$I$6="All",H2599=Dashboard!$I$6)),1,0)</f>
        <v/>
      </c>
    </row>
    <row r="2600">
      <c r="A2600" t="inlineStr">
        <is>
          <t>PF102591</t>
        </is>
      </c>
      <c r="B2600" s="68" t="n">
        <v>45971</v>
      </c>
      <c r="C2600" s="69" t="n">
        <v>2025</v>
      </c>
      <c r="D2600" t="inlineStr">
        <is>
          <t>Nov</t>
        </is>
      </c>
      <c r="E2600" t="inlineStr">
        <is>
          <t>United States</t>
        </is>
      </c>
      <c r="F2600" t="inlineStr">
        <is>
          <t>USA</t>
        </is>
      </c>
      <c r="G2600" t="inlineStr">
        <is>
          <t>Ibrance</t>
        </is>
      </c>
      <c r="H2600" t="inlineStr">
        <is>
          <t>Hospital</t>
        </is>
      </c>
      <c r="I2600" t="inlineStr">
        <is>
          <t>Public payer</t>
        </is>
      </c>
      <c r="J2600" t="inlineStr">
        <is>
          <t>Aisha Bello</t>
        </is>
      </c>
      <c r="K2600" s="70" t="n">
        <v>1100</v>
      </c>
      <c r="L2600" s="71" t="n">
        <v>4632.34</v>
      </c>
      <c r="M2600" s="71" t="n">
        <v>5095574</v>
      </c>
      <c r="N2600" s="71" t="n">
        <v>1019114.8</v>
      </c>
      <c r="O2600" s="71" t="n">
        <v>4076459.2</v>
      </c>
      <c r="P2600" s="71" t="n">
        <v>483125.68</v>
      </c>
      <c r="Q2600" s="71" t="n">
        <v>3593333.52</v>
      </c>
      <c r="R2600" t="inlineStr">
        <is>
          <t>Oncology</t>
        </is>
      </c>
      <c r="S2600" s="70" t="n">
        <v>802</v>
      </c>
      <c r="T2600" s="71" t="n">
        <v>1031441.24</v>
      </c>
      <c r="U2600" t="inlineStr">
        <is>
          <t>High</t>
        </is>
      </c>
      <c r="V2600">
        <f>IF(AND(OR(Dashboard!$C$6="All",E2600=Dashboard!$C$6),OR(Dashboard!$F$6="All",G2600=Dashboard!$F$6),OR(Dashboard!$I$6="All",H2600=Dashboard!$I$6)),1,0)</f>
        <v/>
      </c>
    </row>
    <row r="2601">
      <c r="A2601" t="inlineStr">
        <is>
          <t>PF102592</t>
        </is>
      </c>
      <c r="B2601" s="68" t="n">
        <v>45971</v>
      </c>
      <c r="C2601" s="69" t="n">
        <v>2025</v>
      </c>
      <c r="D2601" t="inlineStr">
        <is>
          <t>Nov</t>
        </is>
      </c>
      <c r="E2601" t="inlineStr">
        <is>
          <t>Europe</t>
        </is>
      </c>
      <c r="F2601" t="inlineStr">
        <is>
          <t>Italy</t>
        </is>
      </c>
      <c r="G2601" t="inlineStr">
        <is>
          <t>Eliquis</t>
        </is>
      </c>
      <c r="H2601" t="inlineStr">
        <is>
          <t>Retail pharmacy</t>
        </is>
      </c>
      <c r="I2601" t="inlineStr">
        <is>
          <t>Public payer</t>
        </is>
      </c>
      <c r="J2601" t="inlineStr">
        <is>
          <t>Arjun Mehta</t>
        </is>
      </c>
      <c r="K2601" s="70" t="n">
        <v>2858</v>
      </c>
      <c r="L2601" s="71" t="n">
        <v>418.55</v>
      </c>
      <c r="M2601" s="71" t="n">
        <v>1196215.9</v>
      </c>
      <c r="N2601" s="71" t="n">
        <v>239243.18</v>
      </c>
      <c r="O2601" s="71" t="n">
        <v>956972.72</v>
      </c>
      <c r="P2601" s="71" t="n">
        <v>216696.35</v>
      </c>
      <c r="Q2601" s="71" t="n">
        <v>740276.37</v>
      </c>
      <c r="R2601" t="inlineStr">
        <is>
          <t>Cardiology</t>
        </is>
      </c>
      <c r="S2601" s="70" t="n">
        <v>2029</v>
      </c>
      <c r="T2601" s="71" t="n">
        <v>188206.96</v>
      </c>
      <c r="U2601" t="inlineStr">
        <is>
          <t>High</t>
        </is>
      </c>
      <c r="V2601">
        <f>IF(AND(OR(Dashboard!$C$6="All",E2601=Dashboard!$C$6),OR(Dashboard!$F$6="All",G2601=Dashboard!$F$6),OR(Dashboard!$I$6="All",H2601=Dashboard!$I$6)),1,0)</f>
        <v/>
      </c>
    </row>
    <row r="2602">
      <c r="A2602" t="inlineStr">
        <is>
          <t>PF102593</t>
        </is>
      </c>
      <c r="B2602" s="68" t="n">
        <v>45971</v>
      </c>
      <c r="C2602" s="69" t="n">
        <v>2025</v>
      </c>
      <c r="D2602" t="inlineStr">
        <is>
          <t>Nov</t>
        </is>
      </c>
      <c r="E2602" t="inlineStr">
        <is>
          <t>Emerging markets</t>
        </is>
      </c>
      <c r="F2602" t="inlineStr">
        <is>
          <t>India</t>
        </is>
      </c>
      <c r="G2602" t="inlineStr">
        <is>
          <t>Prevnar 20</t>
        </is>
      </c>
      <c r="H2602" t="inlineStr">
        <is>
          <t>Retail pharmacy</t>
        </is>
      </c>
      <c r="I2602" t="inlineStr">
        <is>
          <t>Public payer</t>
        </is>
      </c>
      <c r="J2602" t="inlineStr">
        <is>
          <t>Omar Haddad</t>
        </is>
      </c>
      <c r="K2602" s="70" t="n">
        <v>1621</v>
      </c>
      <c r="L2602" s="71" t="n">
        <v>247.46</v>
      </c>
      <c r="M2602" s="71" t="n">
        <v>401132.66</v>
      </c>
      <c r="N2602" s="71" t="n">
        <v>60169.9</v>
      </c>
      <c r="O2602" s="71" t="n">
        <v>340962.76</v>
      </c>
      <c r="P2602" s="71" t="n">
        <v>108331.27</v>
      </c>
      <c r="Q2602" s="71" t="n">
        <v>232631.49</v>
      </c>
      <c r="R2602" t="inlineStr">
        <is>
          <t>Vaccines</t>
        </is>
      </c>
      <c r="S2602" s="70" t="n">
        <v>1311</v>
      </c>
      <c r="T2602" s="71" t="n">
        <v>84697.53999999999</v>
      </c>
      <c r="U2602" t="inlineStr">
        <is>
          <t>Low</t>
        </is>
      </c>
      <c r="V2602">
        <f>IF(AND(OR(Dashboard!$C$6="All",E2602=Dashboard!$C$6),OR(Dashboard!$F$6="All",G2602=Dashboard!$F$6),OR(Dashboard!$I$6="All",H2602=Dashboard!$I$6)),1,0)</f>
        <v/>
      </c>
    </row>
    <row r="2603">
      <c r="A2603" t="inlineStr">
        <is>
          <t>PF102594</t>
        </is>
      </c>
      <c r="B2603" s="68" t="n">
        <v>45971</v>
      </c>
      <c r="C2603" s="69" t="n">
        <v>2025</v>
      </c>
      <c r="D2603" t="inlineStr">
        <is>
          <t>Nov</t>
        </is>
      </c>
      <c r="E2603" t="inlineStr">
        <is>
          <t>Europe</t>
        </is>
      </c>
      <c r="F2603" t="inlineStr">
        <is>
          <t>France</t>
        </is>
      </c>
      <c r="G2603" t="inlineStr">
        <is>
          <t>Eliquis</t>
        </is>
      </c>
      <c r="H2603" t="inlineStr">
        <is>
          <t>Hospital</t>
        </is>
      </c>
      <c r="I2603" t="inlineStr">
        <is>
          <t>Public payer</t>
        </is>
      </c>
      <c r="J2603" t="inlineStr">
        <is>
          <t>Noah Smith</t>
        </is>
      </c>
      <c r="K2603" s="70" t="n">
        <v>1882</v>
      </c>
      <c r="L2603" s="71" t="n">
        <v>449.83</v>
      </c>
      <c r="M2603" s="71" t="n">
        <v>846580.0600000001</v>
      </c>
      <c r="N2603" s="71" t="n">
        <v>126987.01</v>
      </c>
      <c r="O2603" s="71" t="n">
        <v>719593.05</v>
      </c>
      <c r="P2603" s="71" t="n">
        <v>139490.56</v>
      </c>
      <c r="Q2603" s="71" t="n">
        <v>580102.49</v>
      </c>
      <c r="R2603" t="inlineStr">
        <is>
          <t>Cardiology</t>
        </is>
      </c>
      <c r="S2603" s="70" t="n">
        <v>1323</v>
      </c>
      <c r="T2603" s="71" t="n">
        <v>108014.66</v>
      </c>
      <c r="U2603" t="inlineStr">
        <is>
          <t>High</t>
        </is>
      </c>
      <c r="V2603">
        <f>IF(AND(OR(Dashboard!$C$6="All",E2603=Dashboard!$C$6),OR(Dashboard!$F$6="All",G2603=Dashboard!$F$6),OR(Dashboard!$I$6="All",H2603=Dashboard!$I$6)),1,0)</f>
        <v/>
      </c>
    </row>
    <row r="2604">
      <c r="A2604" t="inlineStr">
        <is>
          <t>PF102595</t>
        </is>
      </c>
      <c r="B2604" s="68" t="n">
        <v>45971</v>
      </c>
      <c r="C2604" s="69" t="n">
        <v>2025</v>
      </c>
      <c r="D2604" t="inlineStr">
        <is>
          <t>Nov</t>
        </is>
      </c>
      <c r="E2604" t="inlineStr">
        <is>
          <t>United States</t>
        </is>
      </c>
      <c r="F2604" t="inlineStr">
        <is>
          <t>USA</t>
        </is>
      </c>
      <c r="G2604" t="inlineStr">
        <is>
          <t>Paxlovid</t>
        </is>
      </c>
      <c r="H2604" t="inlineStr">
        <is>
          <t>Retail pharmacy</t>
        </is>
      </c>
      <c r="I2604" t="inlineStr">
        <is>
          <t>Private insurer</t>
        </is>
      </c>
      <c r="J2604" t="inlineStr">
        <is>
          <t>Hiroshi Tanaka</t>
        </is>
      </c>
      <c r="K2604" s="70" t="n">
        <v>1362</v>
      </c>
      <c r="L2604" s="71" t="n">
        <v>1719.73</v>
      </c>
      <c r="M2604" s="71" t="n">
        <v>2342272.26</v>
      </c>
      <c r="N2604" s="71" t="n">
        <v>585568.0600000001</v>
      </c>
      <c r="O2604" s="71" t="n">
        <v>1756704.2</v>
      </c>
      <c r="P2604" s="71" t="n">
        <v>366355.68</v>
      </c>
      <c r="Q2604" s="71" t="n">
        <v>1390348.52</v>
      </c>
      <c r="R2604" t="inlineStr">
        <is>
          <t>Antiviral</t>
        </is>
      </c>
      <c r="S2604" s="70" t="n">
        <v>901</v>
      </c>
      <c r="T2604" s="71" t="n">
        <v>327057.34</v>
      </c>
      <c r="U2604" t="inlineStr">
        <is>
          <t>Low</t>
        </is>
      </c>
      <c r="V2604">
        <f>IF(AND(OR(Dashboard!$C$6="All",E2604=Dashboard!$C$6),OR(Dashboard!$F$6="All",G2604=Dashboard!$F$6),OR(Dashboard!$I$6="All",H2604=Dashboard!$I$6)),1,0)</f>
        <v/>
      </c>
    </row>
    <row r="2605">
      <c r="A2605" t="inlineStr">
        <is>
          <t>PF102596</t>
        </is>
      </c>
      <c r="B2605" s="68" t="n">
        <v>45971</v>
      </c>
      <c r="C2605" s="69" t="n">
        <v>2025</v>
      </c>
      <c r="D2605" t="inlineStr">
        <is>
          <t>Nov</t>
        </is>
      </c>
      <c r="E2605" t="inlineStr">
        <is>
          <t>Emerging markets</t>
        </is>
      </c>
      <c r="F2605" t="inlineStr">
        <is>
          <t>India</t>
        </is>
      </c>
      <c r="G2605" t="inlineStr">
        <is>
          <t>Abrysvo</t>
        </is>
      </c>
      <c r="H2605" t="inlineStr">
        <is>
          <t>Retail pharmacy</t>
        </is>
      </c>
      <c r="I2605" t="inlineStr">
        <is>
          <t>Public payer</t>
        </is>
      </c>
      <c r="J2605" t="inlineStr">
        <is>
          <t>Amir Khan</t>
        </is>
      </c>
      <c r="K2605" s="70" t="n">
        <v>2581</v>
      </c>
      <c r="L2605" s="71" t="n">
        <v>273.7</v>
      </c>
      <c r="M2605" s="71" t="n">
        <v>706419.7</v>
      </c>
      <c r="N2605" s="71" t="n">
        <v>35320.99</v>
      </c>
      <c r="O2605" s="71" t="n">
        <v>671098.71</v>
      </c>
      <c r="P2605" s="71" t="n">
        <v>225297.85</v>
      </c>
      <c r="Q2605" s="71" t="n">
        <v>445800.86</v>
      </c>
      <c r="R2605" t="inlineStr">
        <is>
          <t>Vaccines</t>
        </is>
      </c>
      <c r="S2605" s="70" t="n">
        <v>2055</v>
      </c>
      <c r="T2605" s="71" t="n">
        <v>143676.37</v>
      </c>
      <c r="U2605" t="inlineStr">
        <is>
          <t>Low</t>
        </is>
      </c>
      <c r="V2605">
        <f>IF(AND(OR(Dashboard!$C$6="All",E2605=Dashboard!$C$6),OR(Dashboard!$F$6="All",G2605=Dashboard!$F$6),OR(Dashboard!$I$6="All",H2605=Dashboard!$I$6)),1,0)</f>
        <v/>
      </c>
    </row>
    <row r="2606">
      <c r="A2606" t="inlineStr">
        <is>
          <t>PF102597</t>
        </is>
      </c>
      <c r="B2606" s="68" t="n">
        <v>45971</v>
      </c>
      <c r="C2606" s="69" t="n">
        <v>2025</v>
      </c>
      <c r="D2606" t="inlineStr">
        <is>
          <t>Nov</t>
        </is>
      </c>
      <c r="E2606" t="inlineStr">
        <is>
          <t>Emerging markets</t>
        </is>
      </c>
      <c r="F2606" t="inlineStr">
        <is>
          <t>India</t>
        </is>
      </c>
      <c r="G2606" t="inlineStr">
        <is>
          <t>Abrysvo</t>
        </is>
      </c>
      <c r="H2606" t="inlineStr">
        <is>
          <t>Retail pharmacy</t>
        </is>
      </c>
      <c r="I2606" t="inlineStr">
        <is>
          <t>Public payer</t>
        </is>
      </c>
      <c r="J2606" t="inlineStr">
        <is>
          <t>Ravindra Patil</t>
        </is>
      </c>
      <c r="K2606" s="70" t="n">
        <v>2388</v>
      </c>
      <c r="L2606" s="71" t="n">
        <v>263.64</v>
      </c>
      <c r="M2606" s="71" t="n">
        <v>629572.3199999999</v>
      </c>
      <c r="N2606" s="71" t="n">
        <v>62957.23</v>
      </c>
      <c r="O2606" s="71" t="n">
        <v>566615.09</v>
      </c>
      <c r="P2606" s="71" t="n">
        <v>193923.89</v>
      </c>
      <c r="Q2606" s="71" t="n">
        <v>372691.2</v>
      </c>
      <c r="R2606" t="inlineStr">
        <is>
          <t>Vaccines</t>
        </is>
      </c>
      <c r="S2606" s="70" t="n">
        <v>1583</v>
      </c>
      <c r="T2606" s="71" t="n">
        <v>131405.4</v>
      </c>
      <c r="U2606" t="inlineStr">
        <is>
          <t>Low</t>
        </is>
      </c>
      <c r="V2606">
        <f>IF(AND(OR(Dashboard!$C$6="All",E2606=Dashboard!$C$6),OR(Dashboard!$F$6="All",G2606=Dashboard!$F$6),OR(Dashboard!$I$6="All",H2606=Dashboard!$I$6)),1,0)</f>
        <v/>
      </c>
    </row>
    <row r="2607">
      <c r="A2607" t="inlineStr">
        <is>
          <t>PF102598</t>
        </is>
      </c>
      <c r="B2607" s="68" t="n">
        <v>45971</v>
      </c>
      <c r="C2607" s="69" t="n">
        <v>2025</v>
      </c>
      <c r="D2607" t="inlineStr">
        <is>
          <t>Nov</t>
        </is>
      </c>
      <c r="E2607" t="inlineStr">
        <is>
          <t>United States</t>
        </is>
      </c>
      <c r="F2607" t="inlineStr">
        <is>
          <t>USA</t>
        </is>
      </c>
      <c r="G2607" t="inlineStr">
        <is>
          <t>Xeljanz</t>
        </is>
      </c>
      <c r="H2607" t="inlineStr">
        <is>
          <t>Retail pharmacy</t>
        </is>
      </c>
      <c r="I2607" t="inlineStr">
        <is>
          <t>Private insurer</t>
        </is>
      </c>
      <c r="J2607" t="inlineStr">
        <is>
          <t>Yuki Sato</t>
        </is>
      </c>
      <c r="K2607" s="70" t="n">
        <v>437</v>
      </c>
      <c r="L2607" s="71" t="n">
        <v>2378.05</v>
      </c>
      <c r="M2607" s="71" t="n">
        <v>1039207.85</v>
      </c>
      <c r="N2607" s="71" t="n">
        <v>207841.57</v>
      </c>
      <c r="O2607" s="71" t="n">
        <v>831366.28</v>
      </c>
      <c r="P2607" s="71" t="n">
        <v>105891.67</v>
      </c>
      <c r="Q2607" s="71" t="n">
        <v>725474.61</v>
      </c>
      <c r="R2607" t="inlineStr">
        <is>
          <t>Inflammation</t>
        </is>
      </c>
      <c r="S2607" s="70" t="n">
        <v>358</v>
      </c>
      <c r="T2607" s="71" t="n">
        <v>149881.94</v>
      </c>
      <c r="U2607" t="inlineStr">
        <is>
          <t>High</t>
        </is>
      </c>
      <c r="V2607">
        <f>IF(AND(OR(Dashboard!$C$6="All",E2607=Dashboard!$C$6),OR(Dashboard!$F$6="All",G2607=Dashboard!$F$6),OR(Dashboard!$I$6="All",H2607=Dashboard!$I$6)),1,0)</f>
        <v/>
      </c>
    </row>
    <row r="2608">
      <c r="A2608" t="inlineStr">
        <is>
          <t>PF102599</t>
        </is>
      </c>
      <c r="B2608" s="68" t="n">
        <v>45971</v>
      </c>
      <c r="C2608" s="69" t="n">
        <v>2025</v>
      </c>
      <c r="D2608" t="inlineStr">
        <is>
          <t>Nov</t>
        </is>
      </c>
      <c r="E2608" t="inlineStr">
        <is>
          <t>United States</t>
        </is>
      </c>
      <c r="F2608" t="inlineStr">
        <is>
          <t>USA</t>
        </is>
      </c>
      <c r="G2608" t="inlineStr">
        <is>
          <t>Paxlovid</t>
        </is>
      </c>
      <c r="H2608" t="inlineStr">
        <is>
          <t>Hospital</t>
        </is>
      </c>
      <c r="I2608" t="inlineStr">
        <is>
          <t>Public payer</t>
        </is>
      </c>
      <c r="J2608" t="inlineStr">
        <is>
          <t>Zoya Ahmed</t>
        </is>
      </c>
      <c r="K2608" s="70" t="n">
        <v>450</v>
      </c>
      <c r="L2608" s="71" t="n">
        <v>1731.1</v>
      </c>
      <c r="M2608" s="71" t="n">
        <v>778995</v>
      </c>
      <c r="N2608" s="71" t="n">
        <v>194748.75</v>
      </c>
      <c r="O2608" s="71" t="n">
        <v>584246.25</v>
      </c>
      <c r="P2608" s="71" t="n">
        <v>126784.78</v>
      </c>
      <c r="Q2608" s="71" t="n">
        <v>457461.47</v>
      </c>
      <c r="R2608" t="inlineStr">
        <is>
          <t>Antiviral</t>
        </is>
      </c>
      <c r="S2608" s="70" t="n">
        <v>364</v>
      </c>
      <c r="T2608" s="71" t="n">
        <v>161026.44</v>
      </c>
      <c r="U2608" t="inlineStr">
        <is>
          <t>Low</t>
        </is>
      </c>
      <c r="V2608">
        <f>IF(AND(OR(Dashboard!$C$6="All",E2608=Dashboard!$C$6),OR(Dashboard!$F$6="All",G2608=Dashboard!$F$6),OR(Dashboard!$I$6="All",H2608=Dashboard!$I$6)),1,0)</f>
        <v/>
      </c>
    </row>
    <row r="2609">
      <c r="A2609" t="inlineStr">
        <is>
          <t>PF102600</t>
        </is>
      </c>
      <c r="B2609" s="68" t="n">
        <v>45971</v>
      </c>
      <c r="C2609" s="69" t="n">
        <v>2025</v>
      </c>
      <c r="D2609" t="inlineStr">
        <is>
          <t>Nov</t>
        </is>
      </c>
      <c r="E2609" t="inlineStr">
        <is>
          <t>United States</t>
        </is>
      </c>
      <c r="F2609" t="inlineStr">
        <is>
          <t>USA</t>
        </is>
      </c>
      <c r="G2609" t="inlineStr">
        <is>
          <t>Abrysvo</t>
        </is>
      </c>
      <c r="H2609" t="inlineStr">
        <is>
          <t>Hospital</t>
        </is>
      </c>
      <c r="I2609" t="inlineStr">
        <is>
          <t>Private insurer</t>
        </is>
      </c>
      <c r="J2609" t="inlineStr">
        <is>
          <t>Carlos Silva</t>
        </is>
      </c>
      <c r="K2609" s="70" t="n">
        <v>1003</v>
      </c>
      <c r="L2609" s="71" t="n">
        <v>423.15</v>
      </c>
      <c r="M2609" s="71" t="n">
        <v>424419.45</v>
      </c>
      <c r="N2609" s="71" t="n">
        <v>84883.89</v>
      </c>
      <c r="O2609" s="71" t="n">
        <v>339535.56</v>
      </c>
      <c r="P2609" s="71" t="n">
        <v>83635.24000000001</v>
      </c>
      <c r="Q2609" s="71" t="n">
        <v>255900.32</v>
      </c>
      <c r="R2609" t="inlineStr">
        <is>
          <t>Vaccines</t>
        </is>
      </c>
      <c r="S2609" s="70" t="n">
        <v>674</v>
      </c>
      <c r="T2609" s="71" t="n">
        <v>55339.39</v>
      </c>
      <c r="U2609" t="inlineStr">
        <is>
          <t>Low</t>
        </is>
      </c>
      <c r="V2609">
        <f>IF(AND(OR(Dashboard!$C$6="All",E2609=Dashboard!$C$6),OR(Dashboard!$F$6="All",G2609=Dashboard!$F$6),OR(Dashboard!$I$6="All",H2609=Dashboard!$I$6)),1,0)</f>
        <v/>
      </c>
    </row>
    <row r="2610">
      <c r="A2610" t="inlineStr">
        <is>
          <t>PF102601</t>
        </is>
      </c>
      <c r="B2610" s="68" t="n">
        <v>45971</v>
      </c>
      <c r="C2610" s="69" t="n">
        <v>2025</v>
      </c>
      <c r="D2610" t="inlineStr">
        <is>
          <t>Nov</t>
        </is>
      </c>
      <c r="E2610" t="inlineStr">
        <is>
          <t>Emerging markets</t>
        </is>
      </c>
      <c r="F2610" t="inlineStr">
        <is>
          <t>Brazil</t>
        </is>
      </c>
      <c r="G2610" t="inlineStr">
        <is>
          <t>Eliquis</t>
        </is>
      </c>
      <c r="H2610" t="inlineStr">
        <is>
          <t>Government / tender</t>
        </is>
      </c>
      <c r="I2610" t="inlineStr">
        <is>
          <t>Public payer</t>
        </is>
      </c>
      <c r="J2610" t="inlineStr">
        <is>
          <t>Priya Nair</t>
        </is>
      </c>
      <c r="K2610" s="70" t="n">
        <v>1123</v>
      </c>
      <c r="L2610" s="71" t="n">
        <v>390.24</v>
      </c>
      <c r="M2610" s="71" t="n">
        <v>438239.52</v>
      </c>
      <c r="N2610" s="71" t="n">
        <v>87647.89999999999</v>
      </c>
      <c r="O2610" s="71" t="n">
        <v>350591.62</v>
      </c>
      <c r="P2610" s="71" t="n">
        <v>87358.00999999999</v>
      </c>
      <c r="Q2610" s="71" t="n">
        <v>263233.61</v>
      </c>
      <c r="R2610" t="inlineStr">
        <is>
          <t>Cardiology</t>
        </is>
      </c>
      <c r="S2610" s="70" t="n">
        <v>1090</v>
      </c>
      <c r="T2610" s="71" t="n">
        <v>70591.97</v>
      </c>
      <c r="U2610" t="inlineStr">
        <is>
          <t>High</t>
        </is>
      </c>
      <c r="V2610">
        <f>IF(AND(OR(Dashboard!$C$6="All",E2610=Dashboard!$C$6),OR(Dashboard!$F$6="All",G2610=Dashboard!$F$6),OR(Dashboard!$I$6="All",H2610=Dashboard!$I$6)),1,0)</f>
        <v/>
      </c>
    </row>
    <row r="2611">
      <c r="A2611" t="inlineStr">
        <is>
          <t>PF102602</t>
        </is>
      </c>
      <c r="B2611" s="68" t="n">
        <v>45971</v>
      </c>
      <c r="C2611" s="69" t="n">
        <v>2025</v>
      </c>
      <c r="D2611" t="inlineStr">
        <is>
          <t>Nov</t>
        </is>
      </c>
      <c r="E2611" t="inlineStr">
        <is>
          <t>United States</t>
        </is>
      </c>
      <c r="F2611" t="inlineStr">
        <is>
          <t>USA</t>
        </is>
      </c>
      <c r="G2611" t="inlineStr">
        <is>
          <t>Xeljanz</t>
        </is>
      </c>
      <c r="H2611" t="inlineStr">
        <is>
          <t>Government / tender</t>
        </is>
      </c>
      <c r="I2611" t="inlineStr">
        <is>
          <t>Self-pay</t>
        </is>
      </c>
      <c r="J2611" t="inlineStr">
        <is>
          <t>Shraddha Kulkarni</t>
        </is>
      </c>
      <c r="K2611" s="70" t="n">
        <v>1646</v>
      </c>
      <c r="L2611" s="71" t="n">
        <v>2274.56</v>
      </c>
      <c r="M2611" s="71" t="n">
        <v>3743925.76</v>
      </c>
      <c r="N2611" s="71" t="n">
        <v>1123177.73</v>
      </c>
      <c r="O2611" s="71" t="n">
        <v>2620748.03</v>
      </c>
      <c r="P2611" s="71" t="n">
        <v>408454.49</v>
      </c>
      <c r="Q2611" s="71" t="n">
        <v>2212293.54</v>
      </c>
      <c r="R2611" t="inlineStr">
        <is>
          <t>Inflammation</t>
        </is>
      </c>
      <c r="S2611" s="70" t="n">
        <v>1314</v>
      </c>
      <c r="T2611" s="71" t="n">
        <v>731145.6899999999</v>
      </c>
      <c r="U2611" t="inlineStr">
        <is>
          <t>High</t>
        </is>
      </c>
      <c r="V2611">
        <f>IF(AND(OR(Dashboard!$C$6="All",E2611=Dashboard!$C$6),OR(Dashboard!$F$6="All",G2611=Dashboard!$F$6),OR(Dashboard!$I$6="All",H2611=Dashboard!$I$6)),1,0)</f>
        <v/>
      </c>
    </row>
    <row r="2612">
      <c r="A2612" t="inlineStr">
        <is>
          <t>PF102603</t>
        </is>
      </c>
      <c r="B2612" s="68" t="n">
        <v>45972</v>
      </c>
      <c r="C2612" s="69" t="n">
        <v>2025</v>
      </c>
      <c r="D2612" t="inlineStr">
        <is>
          <t>Nov</t>
        </is>
      </c>
      <c r="E2612" t="inlineStr">
        <is>
          <t>International developed</t>
        </is>
      </c>
      <c r="F2612" t="inlineStr">
        <is>
          <t>Australia</t>
        </is>
      </c>
      <c r="G2612" t="inlineStr">
        <is>
          <t>Prevnar 20</t>
        </is>
      </c>
      <c r="H2612" t="inlineStr">
        <is>
          <t>Retail pharmacy</t>
        </is>
      </c>
      <c r="I2612" t="inlineStr">
        <is>
          <t>Public payer</t>
        </is>
      </c>
      <c r="J2612" t="inlineStr">
        <is>
          <t>Noah Smith</t>
        </is>
      </c>
      <c r="K2612" s="70" t="n">
        <v>177</v>
      </c>
      <c r="L2612" s="71" t="n">
        <v>212.2</v>
      </c>
      <c r="M2612" s="71" t="n">
        <v>37559.4</v>
      </c>
      <c r="N2612" s="71" t="n">
        <v>5633.91</v>
      </c>
      <c r="O2612" s="71" t="n">
        <v>31925.49</v>
      </c>
      <c r="P2612" s="71" t="n">
        <v>11918.48</v>
      </c>
      <c r="Q2612" s="71" t="n">
        <v>20007.01</v>
      </c>
      <c r="R2612" t="inlineStr">
        <is>
          <t>Vaccines</t>
        </is>
      </c>
      <c r="S2612" s="70" t="n">
        <v>148</v>
      </c>
      <c r="T2612" s="71" t="n">
        <v>5576.47</v>
      </c>
      <c r="U2612" t="inlineStr">
        <is>
          <t>Low</t>
        </is>
      </c>
      <c r="V2612">
        <f>IF(AND(OR(Dashboard!$C$6="All",E2612=Dashboard!$C$6),OR(Dashboard!$F$6="All",G2612=Dashboard!$F$6),OR(Dashboard!$I$6="All",H2612=Dashboard!$I$6)),1,0)</f>
        <v/>
      </c>
    </row>
    <row r="2613">
      <c r="A2613" t="inlineStr">
        <is>
          <t>PF102604</t>
        </is>
      </c>
      <c r="B2613" s="68" t="n">
        <v>45972</v>
      </c>
      <c r="C2613" s="69" t="n">
        <v>2025</v>
      </c>
      <c r="D2613" t="inlineStr">
        <is>
          <t>Nov</t>
        </is>
      </c>
      <c r="E2613" t="inlineStr">
        <is>
          <t>International developed</t>
        </is>
      </c>
      <c r="F2613" t="inlineStr">
        <is>
          <t>Canada</t>
        </is>
      </c>
      <c r="G2613" t="inlineStr">
        <is>
          <t>Prevnar 20</t>
        </is>
      </c>
      <c r="H2613" t="inlineStr">
        <is>
          <t>Government / tender</t>
        </is>
      </c>
      <c r="I2613" t="inlineStr">
        <is>
          <t>Private insurer</t>
        </is>
      </c>
      <c r="J2613" t="inlineStr">
        <is>
          <t>Sara Rossi</t>
        </is>
      </c>
      <c r="K2613" s="70" t="n">
        <v>1808</v>
      </c>
      <c r="L2613" s="71" t="n">
        <v>220.47</v>
      </c>
      <c r="M2613" s="71" t="n">
        <v>398609.76</v>
      </c>
      <c r="N2613" s="71" t="n">
        <v>99652.44</v>
      </c>
      <c r="O2613" s="71" t="n">
        <v>298957.32</v>
      </c>
      <c r="P2613" s="71" t="n">
        <v>123893.61</v>
      </c>
      <c r="Q2613" s="71" t="n">
        <v>175063.71</v>
      </c>
      <c r="R2613" t="inlineStr">
        <is>
          <t>Vaccines</t>
        </is>
      </c>
      <c r="S2613" s="70" t="n">
        <v>1168</v>
      </c>
      <c r="T2613" s="71" t="n">
        <v>66723.67999999999</v>
      </c>
      <c r="U2613" t="inlineStr">
        <is>
          <t>Low</t>
        </is>
      </c>
      <c r="V2613">
        <f>IF(AND(OR(Dashboard!$C$6="All",E2613=Dashboard!$C$6),OR(Dashboard!$F$6="All",G2613=Dashboard!$F$6),OR(Dashboard!$I$6="All",H2613=Dashboard!$I$6)),1,0)</f>
        <v/>
      </c>
    </row>
    <row r="2614">
      <c r="A2614" t="inlineStr">
        <is>
          <t>PF102605</t>
        </is>
      </c>
      <c r="B2614" s="68" t="n">
        <v>45972</v>
      </c>
      <c r="C2614" s="69" t="n">
        <v>2025</v>
      </c>
      <c r="D2614" t="inlineStr">
        <is>
          <t>Nov</t>
        </is>
      </c>
      <c r="E2614" t="inlineStr">
        <is>
          <t>Europe</t>
        </is>
      </c>
      <c r="F2614" t="inlineStr">
        <is>
          <t>UK</t>
        </is>
      </c>
      <c r="G2614" t="inlineStr">
        <is>
          <t>Eliquis</t>
        </is>
      </c>
      <c r="H2614" t="inlineStr">
        <is>
          <t>Retail pharmacy</t>
        </is>
      </c>
      <c r="I2614" t="inlineStr">
        <is>
          <t>Private insurer</t>
        </is>
      </c>
      <c r="J2614" t="inlineStr">
        <is>
          <t>Shraddha Kulkarni</t>
        </is>
      </c>
      <c r="K2614" s="70" t="n">
        <v>763</v>
      </c>
      <c r="L2614" s="71" t="n">
        <v>419.9</v>
      </c>
      <c r="M2614" s="71" t="n">
        <v>320383.7</v>
      </c>
      <c r="N2614" s="71" t="n">
        <v>64076.74</v>
      </c>
      <c r="O2614" s="71" t="n">
        <v>256306.96</v>
      </c>
      <c r="P2614" s="71" t="n">
        <v>57199.4</v>
      </c>
      <c r="Q2614" s="71" t="n">
        <v>199107.56</v>
      </c>
      <c r="R2614" t="inlineStr">
        <is>
          <t>Cardiology</t>
        </is>
      </c>
      <c r="S2614" s="70" t="n">
        <v>628</v>
      </c>
      <c r="T2614" s="71" t="n">
        <v>55394.06</v>
      </c>
      <c r="U2614" t="inlineStr">
        <is>
          <t>High</t>
        </is>
      </c>
      <c r="V2614">
        <f>IF(AND(OR(Dashboard!$C$6="All",E2614=Dashboard!$C$6),OR(Dashboard!$F$6="All",G2614=Dashboard!$F$6),OR(Dashboard!$I$6="All",H2614=Dashboard!$I$6)),1,0)</f>
        <v/>
      </c>
    </row>
    <row r="2615">
      <c r="A2615" t="inlineStr">
        <is>
          <t>PF102606</t>
        </is>
      </c>
      <c r="B2615" s="68" t="n">
        <v>45972</v>
      </c>
      <c r="C2615" s="69" t="n">
        <v>2025</v>
      </c>
      <c r="D2615" t="inlineStr">
        <is>
          <t>Nov</t>
        </is>
      </c>
      <c r="E2615" t="inlineStr">
        <is>
          <t>Europe</t>
        </is>
      </c>
      <c r="F2615" t="inlineStr">
        <is>
          <t>Germany</t>
        </is>
      </c>
      <c r="G2615" t="inlineStr">
        <is>
          <t>Prevnar 20</t>
        </is>
      </c>
      <c r="H2615" t="inlineStr">
        <is>
          <t>Government / tender</t>
        </is>
      </c>
      <c r="I2615" t="inlineStr">
        <is>
          <t>Private insurer</t>
        </is>
      </c>
      <c r="J2615" t="inlineStr">
        <is>
          <t>Yuki Sato</t>
        </is>
      </c>
      <c r="K2615" s="70" t="n">
        <v>119</v>
      </c>
      <c r="L2615" s="71" t="n">
        <v>223.3</v>
      </c>
      <c r="M2615" s="71" t="n">
        <v>26572.7</v>
      </c>
      <c r="N2615" s="71" t="n">
        <v>3985.9</v>
      </c>
      <c r="O2615" s="71" t="n">
        <v>22586.8</v>
      </c>
      <c r="P2615" s="71" t="n">
        <v>8168.86</v>
      </c>
      <c r="Q2615" s="71" t="n">
        <v>14417.94</v>
      </c>
      <c r="R2615" t="inlineStr">
        <is>
          <t>Vaccines</t>
        </is>
      </c>
      <c r="S2615" s="70" t="n">
        <v>77</v>
      </c>
      <c r="T2615" s="71" t="n">
        <v>5249.78</v>
      </c>
      <c r="U2615" t="inlineStr">
        <is>
          <t>Low</t>
        </is>
      </c>
      <c r="V2615">
        <f>IF(AND(OR(Dashboard!$C$6="All",E2615=Dashboard!$C$6),OR(Dashboard!$F$6="All",G2615=Dashboard!$F$6),OR(Dashboard!$I$6="All",H2615=Dashboard!$I$6)),1,0)</f>
        <v/>
      </c>
    </row>
    <row r="2616">
      <c r="A2616" t="inlineStr">
        <is>
          <t>PF102607</t>
        </is>
      </c>
      <c r="B2616" s="68" t="n">
        <v>45972</v>
      </c>
      <c r="C2616" s="69" t="n">
        <v>2025</v>
      </c>
      <c r="D2616" t="inlineStr">
        <is>
          <t>Nov</t>
        </is>
      </c>
      <c r="E2616" t="inlineStr">
        <is>
          <t>United States</t>
        </is>
      </c>
      <c r="F2616" t="inlineStr">
        <is>
          <t>USA</t>
        </is>
      </c>
      <c r="G2616" t="inlineStr">
        <is>
          <t>Abrysvo</t>
        </is>
      </c>
      <c r="H2616" t="inlineStr">
        <is>
          <t>Government / tender</t>
        </is>
      </c>
      <c r="I2616" t="inlineStr">
        <is>
          <t>Public payer</t>
        </is>
      </c>
      <c r="J2616" t="inlineStr">
        <is>
          <t>Mei Lin</t>
        </is>
      </c>
      <c r="K2616" s="70" t="n">
        <v>1014</v>
      </c>
      <c r="L2616" s="71" t="n">
        <v>443.39</v>
      </c>
      <c r="M2616" s="71" t="n">
        <v>449597.46</v>
      </c>
      <c r="N2616" s="71" t="n">
        <v>134879.24</v>
      </c>
      <c r="O2616" s="71" t="n">
        <v>314718.22</v>
      </c>
      <c r="P2616" s="71" t="n">
        <v>82937.55</v>
      </c>
      <c r="Q2616" s="71" t="n">
        <v>231780.67</v>
      </c>
      <c r="R2616" t="inlineStr">
        <is>
          <t>Vaccines</t>
        </is>
      </c>
      <c r="S2616" s="70" t="n">
        <v>673</v>
      </c>
      <c r="T2616" s="71" t="n">
        <v>77538.48</v>
      </c>
      <c r="U2616" t="inlineStr">
        <is>
          <t>Low</t>
        </is>
      </c>
      <c r="V2616">
        <f>IF(AND(OR(Dashboard!$C$6="All",E2616=Dashboard!$C$6),OR(Dashboard!$F$6="All",G2616=Dashboard!$F$6),OR(Dashboard!$I$6="All",H2616=Dashboard!$I$6)),1,0)</f>
        <v/>
      </c>
    </row>
    <row r="2617">
      <c r="A2617" t="inlineStr">
        <is>
          <t>PF102608</t>
        </is>
      </c>
      <c r="B2617" s="68" t="n">
        <v>45972</v>
      </c>
      <c r="C2617" s="69" t="n">
        <v>2025</v>
      </c>
      <c r="D2617" t="inlineStr">
        <is>
          <t>Nov</t>
        </is>
      </c>
      <c r="E2617" t="inlineStr">
        <is>
          <t>Emerging markets</t>
        </is>
      </c>
      <c r="F2617" t="inlineStr">
        <is>
          <t>Brazil</t>
        </is>
      </c>
      <c r="G2617" t="inlineStr">
        <is>
          <t>Eliquis</t>
        </is>
      </c>
      <c r="H2617" t="inlineStr">
        <is>
          <t>Government / tender</t>
        </is>
      </c>
      <c r="I2617" t="inlineStr">
        <is>
          <t>Public payer</t>
        </is>
      </c>
      <c r="J2617" t="inlineStr">
        <is>
          <t>Ravindra Patil</t>
        </is>
      </c>
      <c r="K2617" s="70" t="n">
        <v>2971</v>
      </c>
      <c r="L2617" s="71" t="n">
        <v>455.11</v>
      </c>
      <c r="M2617" s="71" t="n">
        <v>1352131.81</v>
      </c>
      <c r="N2617" s="71" t="n">
        <v>135213.18</v>
      </c>
      <c r="O2617" s="71" t="n">
        <v>1216918.63</v>
      </c>
      <c r="P2617" s="71" t="n">
        <v>218805.71</v>
      </c>
      <c r="Q2617" s="71" t="n">
        <v>998112.92</v>
      </c>
      <c r="R2617" t="inlineStr">
        <is>
          <t>Cardiology</t>
        </is>
      </c>
      <c r="S2617" s="70" t="n">
        <v>2623</v>
      </c>
      <c r="T2617" s="71" t="n">
        <v>210253.82</v>
      </c>
      <c r="U2617" t="inlineStr">
        <is>
          <t>High</t>
        </is>
      </c>
      <c r="V2617">
        <f>IF(AND(OR(Dashboard!$C$6="All",E2617=Dashboard!$C$6),OR(Dashboard!$F$6="All",G2617=Dashboard!$F$6),OR(Dashboard!$I$6="All",H2617=Dashboard!$I$6)),1,0)</f>
        <v/>
      </c>
    </row>
    <row r="2618">
      <c r="A2618" t="inlineStr">
        <is>
          <t>PF102609</t>
        </is>
      </c>
      <c r="B2618" s="68" t="n">
        <v>45972</v>
      </c>
      <c r="C2618" s="69" t="n">
        <v>2025</v>
      </c>
      <c r="D2618" t="inlineStr">
        <is>
          <t>Nov</t>
        </is>
      </c>
      <c r="E2618" t="inlineStr">
        <is>
          <t>International developed</t>
        </is>
      </c>
      <c r="F2618" t="inlineStr">
        <is>
          <t>Australia</t>
        </is>
      </c>
      <c r="G2618" t="inlineStr">
        <is>
          <t>Ibrance</t>
        </is>
      </c>
      <c r="H2618" t="inlineStr">
        <is>
          <t>Retail pharmacy</t>
        </is>
      </c>
      <c r="I2618" t="inlineStr">
        <is>
          <t>Public payer</t>
        </is>
      </c>
      <c r="J2618" t="inlineStr">
        <is>
          <t>Kofi Mensah</t>
        </is>
      </c>
      <c r="K2618" s="70" t="n">
        <v>2251</v>
      </c>
      <c r="L2618" s="71" t="n">
        <v>2758.66</v>
      </c>
      <c r="M2618" s="71" t="n">
        <v>6209743.66</v>
      </c>
      <c r="N2618" s="71" t="n">
        <v>931461.55</v>
      </c>
      <c r="O2618" s="71" t="n">
        <v>5278282.11</v>
      </c>
      <c r="P2618" s="71" t="n">
        <v>941620.55</v>
      </c>
      <c r="Q2618" s="71" t="n">
        <v>4336661.56</v>
      </c>
      <c r="R2618" t="inlineStr">
        <is>
          <t>Oncology</t>
        </is>
      </c>
      <c r="S2618" s="70" t="n">
        <v>2204</v>
      </c>
      <c r="T2618" s="71" t="n">
        <v>1193325.35</v>
      </c>
      <c r="U2618" t="inlineStr">
        <is>
          <t>High</t>
        </is>
      </c>
      <c r="V2618">
        <f>IF(AND(OR(Dashboard!$C$6="All",E2618=Dashboard!$C$6),OR(Dashboard!$F$6="All",G2618=Dashboard!$F$6),OR(Dashboard!$I$6="All",H2618=Dashboard!$I$6)),1,0)</f>
        <v/>
      </c>
    </row>
    <row r="2619">
      <c r="A2619" t="inlineStr">
        <is>
          <t>PF102610</t>
        </is>
      </c>
      <c r="B2619" s="68" t="n">
        <v>45972</v>
      </c>
      <c r="C2619" s="69" t="n">
        <v>2025</v>
      </c>
      <c r="D2619" t="inlineStr">
        <is>
          <t>Nov</t>
        </is>
      </c>
      <c r="E2619" t="inlineStr">
        <is>
          <t>United States</t>
        </is>
      </c>
      <c r="F2619" t="inlineStr">
        <is>
          <t>USA</t>
        </is>
      </c>
      <c r="G2619" t="inlineStr">
        <is>
          <t>Vyndaqel</t>
        </is>
      </c>
      <c r="H2619" t="inlineStr">
        <is>
          <t>Retail pharmacy</t>
        </is>
      </c>
      <c r="I2619" t="inlineStr">
        <is>
          <t>Private insurer</t>
        </is>
      </c>
      <c r="J2619" t="inlineStr">
        <is>
          <t>Carlos Silva</t>
        </is>
      </c>
      <c r="K2619" s="70" t="n">
        <v>1085</v>
      </c>
      <c r="L2619" s="71" t="n">
        <v>9122.43</v>
      </c>
      <c r="M2619" s="71" t="n">
        <v>9897836.550000001</v>
      </c>
      <c r="N2619" s="71" t="n">
        <v>1979567.31</v>
      </c>
      <c r="O2619" s="71" t="n">
        <v>7918269.24</v>
      </c>
      <c r="P2619" s="71" t="n">
        <v>659090.78</v>
      </c>
      <c r="Q2619" s="71" t="n">
        <v>7259178.46</v>
      </c>
      <c r="R2619" t="inlineStr">
        <is>
          <t>Rare disease</t>
        </is>
      </c>
      <c r="S2619" s="70" t="n">
        <v>932</v>
      </c>
      <c r="T2619" s="71" t="n">
        <v>1281496.13</v>
      </c>
      <c r="U2619" t="inlineStr">
        <is>
          <t>Medium</t>
        </is>
      </c>
      <c r="V2619">
        <f>IF(AND(OR(Dashboard!$C$6="All",E2619=Dashboard!$C$6),OR(Dashboard!$F$6="All",G2619=Dashboard!$F$6),OR(Dashboard!$I$6="All",H2619=Dashboard!$I$6)),1,0)</f>
        <v/>
      </c>
    </row>
    <row r="2620">
      <c r="A2620" t="inlineStr">
        <is>
          <t>PF102611</t>
        </is>
      </c>
      <c r="B2620" s="68" t="n">
        <v>45972</v>
      </c>
      <c r="C2620" s="69" t="n">
        <v>2025</v>
      </c>
      <c r="D2620" t="inlineStr">
        <is>
          <t>Nov</t>
        </is>
      </c>
      <c r="E2620" t="inlineStr">
        <is>
          <t>United States</t>
        </is>
      </c>
      <c r="F2620" t="inlineStr">
        <is>
          <t>USA</t>
        </is>
      </c>
      <c r="G2620" t="inlineStr">
        <is>
          <t>Ibrance</t>
        </is>
      </c>
      <c r="H2620" t="inlineStr">
        <is>
          <t>Retail pharmacy</t>
        </is>
      </c>
      <c r="I2620" t="inlineStr">
        <is>
          <t>Private insurer</t>
        </is>
      </c>
      <c r="J2620" t="inlineStr">
        <is>
          <t>Noah Smith</t>
        </is>
      </c>
      <c r="K2620" s="70" t="n">
        <v>2158</v>
      </c>
      <c r="L2620" s="71" t="n">
        <v>4360.3</v>
      </c>
      <c r="M2620" s="71" t="n">
        <v>9409527.4</v>
      </c>
      <c r="N2620" s="71" t="n">
        <v>1411429.11</v>
      </c>
      <c r="O2620" s="71" t="n">
        <v>7998098.29</v>
      </c>
      <c r="P2620" s="71" t="n">
        <v>963021.55</v>
      </c>
      <c r="Q2620" s="71" t="n">
        <v>7035076.74</v>
      </c>
      <c r="R2620" t="inlineStr">
        <is>
          <t>Oncology</t>
        </is>
      </c>
      <c r="S2620" s="70" t="n">
        <v>1409</v>
      </c>
      <c r="T2620" s="71" t="n">
        <v>2050156.13</v>
      </c>
      <c r="U2620" t="inlineStr">
        <is>
          <t>High</t>
        </is>
      </c>
      <c r="V2620">
        <f>IF(AND(OR(Dashboard!$C$6="All",E2620=Dashboard!$C$6),OR(Dashboard!$F$6="All",G2620=Dashboard!$F$6),OR(Dashboard!$I$6="All",H2620=Dashboard!$I$6)),1,0)</f>
        <v/>
      </c>
    </row>
    <row r="2621">
      <c r="A2621" t="inlineStr">
        <is>
          <t>PF102612</t>
        </is>
      </c>
      <c r="B2621" s="68" t="n">
        <v>45972</v>
      </c>
      <c r="C2621" s="69" t="n">
        <v>2025</v>
      </c>
      <c r="D2621" t="inlineStr">
        <is>
          <t>Nov</t>
        </is>
      </c>
      <c r="E2621" t="inlineStr">
        <is>
          <t>Emerging markets</t>
        </is>
      </c>
      <c r="F2621" t="inlineStr">
        <is>
          <t>Brazil</t>
        </is>
      </c>
      <c r="G2621" t="inlineStr">
        <is>
          <t>Ibrance</t>
        </is>
      </c>
      <c r="H2621" t="inlineStr">
        <is>
          <t>Retail pharmacy</t>
        </is>
      </c>
      <c r="I2621" t="inlineStr">
        <is>
          <t>Public payer</t>
        </is>
      </c>
      <c r="J2621" t="inlineStr">
        <is>
          <t>Ana Costa</t>
        </is>
      </c>
      <c r="K2621" s="70" t="n">
        <v>954</v>
      </c>
      <c r="L2621" s="71" t="n">
        <v>2725.34</v>
      </c>
      <c r="M2621" s="71" t="n">
        <v>2599974.36</v>
      </c>
      <c r="N2621" s="71" t="n">
        <v>129998.72</v>
      </c>
      <c r="O2621" s="71" t="n">
        <v>2469975.64</v>
      </c>
      <c r="P2621" s="71" t="n">
        <v>424102.89</v>
      </c>
      <c r="Q2621" s="71" t="n">
        <v>2045872.75</v>
      </c>
      <c r="R2621" t="inlineStr">
        <is>
          <t>Oncology</t>
        </is>
      </c>
      <c r="S2621" s="70" t="n">
        <v>690</v>
      </c>
      <c r="T2621" s="71" t="n">
        <v>389461.83</v>
      </c>
      <c r="U2621" t="inlineStr">
        <is>
          <t>High</t>
        </is>
      </c>
      <c r="V2621">
        <f>IF(AND(OR(Dashboard!$C$6="All",E2621=Dashboard!$C$6),OR(Dashboard!$F$6="All",G2621=Dashboard!$F$6),OR(Dashboard!$I$6="All",H2621=Dashboard!$I$6)),1,0)</f>
        <v/>
      </c>
    </row>
    <row r="2622">
      <c r="A2622" t="inlineStr">
        <is>
          <t>PF102613</t>
        </is>
      </c>
      <c r="B2622" s="68" t="n">
        <v>45972</v>
      </c>
      <c r="C2622" s="69" t="n">
        <v>2025</v>
      </c>
      <c r="D2622" t="inlineStr">
        <is>
          <t>Nov</t>
        </is>
      </c>
      <c r="E2622" t="inlineStr">
        <is>
          <t>Europe</t>
        </is>
      </c>
      <c r="F2622" t="inlineStr">
        <is>
          <t>UK</t>
        </is>
      </c>
      <c r="G2622" t="inlineStr">
        <is>
          <t>Eliquis</t>
        </is>
      </c>
      <c r="H2622" t="inlineStr">
        <is>
          <t>Government / tender</t>
        </is>
      </c>
      <c r="I2622" t="inlineStr">
        <is>
          <t>Public payer</t>
        </is>
      </c>
      <c r="J2622" t="inlineStr">
        <is>
          <t>Ravindra Patil</t>
        </is>
      </c>
      <c r="K2622" s="70" t="n">
        <v>2608</v>
      </c>
      <c r="L2622" s="71" t="n">
        <v>408.62</v>
      </c>
      <c r="M2622" s="71" t="n">
        <v>1065680.96</v>
      </c>
      <c r="N2622" s="71" t="n">
        <v>106568.1</v>
      </c>
      <c r="O2622" s="71" t="n">
        <v>959112.86</v>
      </c>
      <c r="P2622" s="71" t="n">
        <v>202641.92</v>
      </c>
      <c r="Q2622" s="71" t="n">
        <v>756470.9399999999</v>
      </c>
      <c r="R2622" t="inlineStr">
        <is>
          <t>Cardiology</t>
        </is>
      </c>
      <c r="S2622" s="70" t="n">
        <v>2385</v>
      </c>
      <c r="T2622" s="71" t="n">
        <v>169904.42</v>
      </c>
      <c r="U2622" t="inlineStr">
        <is>
          <t>High</t>
        </is>
      </c>
      <c r="V2622">
        <f>IF(AND(OR(Dashboard!$C$6="All",E2622=Dashboard!$C$6),OR(Dashboard!$F$6="All",G2622=Dashboard!$F$6),OR(Dashboard!$I$6="All",H2622=Dashboard!$I$6)),1,0)</f>
        <v/>
      </c>
    </row>
    <row r="2623">
      <c r="A2623" t="inlineStr">
        <is>
          <t>PF102614</t>
        </is>
      </c>
      <c r="B2623" s="68" t="n">
        <v>45972</v>
      </c>
      <c r="C2623" s="69" t="n">
        <v>2025</v>
      </c>
      <c r="D2623" t="inlineStr">
        <is>
          <t>Nov</t>
        </is>
      </c>
      <c r="E2623" t="inlineStr">
        <is>
          <t>United States</t>
        </is>
      </c>
      <c r="F2623" t="inlineStr">
        <is>
          <t>USA</t>
        </is>
      </c>
      <c r="G2623" t="inlineStr">
        <is>
          <t>Comirnaty</t>
        </is>
      </c>
      <c r="H2623" t="inlineStr">
        <is>
          <t>Retail pharmacy</t>
        </is>
      </c>
      <c r="I2623" t="inlineStr">
        <is>
          <t>Private insurer</t>
        </is>
      </c>
      <c r="J2623" t="inlineStr">
        <is>
          <t>Hiroshi Tanaka</t>
        </is>
      </c>
      <c r="K2623" s="70" t="n">
        <v>3056</v>
      </c>
      <c r="L2623" s="71" t="n">
        <v>176.19</v>
      </c>
      <c r="M2623" s="71" t="n">
        <v>538436.64</v>
      </c>
      <c r="N2623" s="71" t="n">
        <v>188452.82</v>
      </c>
      <c r="O2623" s="71" t="n">
        <v>349983.82</v>
      </c>
      <c r="P2623" s="71" t="n">
        <v>114858.33</v>
      </c>
      <c r="Q2623" s="71" t="n">
        <v>235125.49</v>
      </c>
      <c r="R2623" t="inlineStr">
        <is>
          <t>Vaccines</t>
        </is>
      </c>
      <c r="S2623" s="70" t="n">
        <v>2238</v>
      </c>
      <c r="T2623" s="71" t="n">
        <v>71980.49000000001</v>
      </c>
      <c r="U2623" t="inlineStr">
        <is>
          <t>Low</t>
        </is>
      </c>
      <c r="V2623">
        <f>IF(AND(OR(Dashboard!$C$6="All",E2623=Dashboard!$C$6),OR(Dashboard!$F$6="All",G2623=Dashboard!$F$6),OR(Dashboard!$I$6="All",H2623=Dashboard!$I$6)),1,0)</f>
        <v/>
      </c>
    </row>
    <row r="2624">
      <c r="A2624" t="inlineStr">
        <is>
          <t>PF102615</t>
        </is>
      </c>
      <c r="B2624" s="68" t="n">
        <v>45973</v>
      </c>
      <c r="C2624" s="69" t="n">
        <v>2025</v>
      </c>
      <c r="D2624" t="inlineStr">
        <is>
          <t>Nov</t>
        </is>
      </c>
      <c r="E2624" t="inlineStr">
        <is>
          <t>International developed</t>
        </is>
      </c>
      <c r="F2624" t="inlineStr">
        <is>
          <t>Japan</t>
        </is>
      </c>
      <c r="G2624" t="inlineStr">
        <is>
          <t>Ibrance</t>
        </is>
      </c>
      <c r="H2624" t="inlineStr">
        <is>
          <t>Retail pharmacy</t>
        </is>
      </c>
      <c r="I2624" t="inlineStr">
        <is>
          <t>Private insurer</t>
        </is>
      </c>
      <c r="J2624" t="inlineStr">
        <is>
          <t>Priya Nair</t>
        </is>
      </c>
      <c r="K2624" s="70" t="n">
        <v>1932</v>
      </c>
      <c r="L2624" s="71" t="n">
        <v>2694.36</v>
      </c>
      <c r="M2624" s="71" t="n">
        <v>5205503.52</v>
      </c>
      <c r="N2624" s="71" t="n">
        <v>520550.35</v>
      </c>
      <c r="O2624" s="71" t="n">
        <v>4684953.17</v>
      </c>
      <c r="P2624" s="71" t="n">
        <v>815463.42</v>
      </c>
      <c r="Q2624" s="71" t="n">
        <v>3869489.75</v>
      </c>
      <c r="R2624" t="inlineStr">
        <is>
          <t>Oncology</t>
        </is>
      </c>
      <c r="S2624" s="70" t="n">
        <v>1742</v>
      </c>
      <c r="T2624" s="71" t="n">
        <v>745360.75</v>
      </c>
      <c r="U2624" t="inlineStr">
        <is>
          <t>High</t>
        </is>
      </c>
      <c r="V2624">
        <f>IF(AND(OR(Dashboard!$C$6="All",E2624=Dashboard!$C$6),OR(Dashboard!$F$6="All",G2624=Dashboard!$F$6),OR(Dashboard!$I$6="All",H2624=Dashboard!$I$6)),1,0)</f>
        <v/>
      </c>
    </row>
    <row r="2625">
      <c r="A2625" t="inlineStr">
        <is>
          <t>PF102616</t>
        </is>
      </c>
      <c r="B2625" s="68" t="n">
        <v>45973</v>
      </c>
      <c r="C2625" s="69" t="n">
        <v>2025</v>
      </c>
      <c r="D2625" t="inlineStr">
        <is>
          <t>Nov</t>
        </is>
      </c>
      <c r="E2625" t="inlineStr">
        <is>
          <t>Emerging markets</t>
        </is>
      </c>
      <c r="F2625" t="inlineStr">
        <is>
          <t>Mexico</t>
        </is>
      </c>
      <c r="G2625" t="inlineStr">
        <is>
          <t>Prevnar 20</t>
        </is>
      </c>
      <c r="H2625" t="inlineStr">
        <is>
          <t>Retail pharmacy</t>
        </is>
      </c>
      <c r="I2625" t="inlineStr">
        <is>
          <t>Private insurer</t>
        </is>
      </c>
      <c r="J2625" t="inlineStr">
        <is>
          <t>Mei Lin</t>
        </is>
      </c>
      <c r="K2625" s="70" t="n">
        <v>1430</v>
      </c>
      <c r="L2625" s="71" t="n">
        <v>232.94</v>
      </c>
      <c r="M2625" s="71" t="n">
        <v>333104.2</v>
      </c>
      <c r="N2625" s="71" t="n">
        <v>49965.63</v>
      </c>
      <c r="O2625" s="71" t="n">
        <v>283138.57</v>
      </c>
      <c r="P2625" s="71" t="n">
        <v>101806.31</v>
      </c>
      <c r="Q2625" s="71" t="n">
        <v>181332.26</v>
      </c>
      <c r="R2625" t="inlineStr">
        <is>
          <t>Vaccines</t>
        </is>
      </c>
      <c r="S2625" s="70" t="n">
        <v>965</v>
      </c>
      <c r="T2625" s="71" t="n">
        <v>71441.25</v>
      </c>
      <c r="U2625" t="inlineStr">
        <is>
          <t>Low</t>
        </is>
      </c>
      <c r="V2625">
        <f>IF(AND(OR(Dashboard!$C$6="All",E2625=Dashboard!$C$6),OR(Dashboard!$F$6="All",G2625=Dashboard!$F$6),OR(Dashboard!$I$6="All",H2625=Dashboard!$I$6)),1,0)</f>
        <v/>
      </c>
    </row>
    <row r="2626">
      <c r="A2626" t="inlineStr">
        <is>
          <t>PF102617</t>
        </is>
      </c>
      <c r="B2626" s="68" t="n">
        <v>45973</v>
      </c>
      <c r="C2626" s="69" t="n">
        <v>2025</v>
      </c>
      <c r="D2626" t="inlineStr">
        <is>
          <t>Nov</t>
        </is>
      </c>
      <c r="E2626" t="inlineStr">
        <is>
          <t>United States</t>
        </is>
      </c>
      <c r="F2626" t="inlineStr">
        <is>
          <t>USA</t>
        </is>
      </c>
      <c r="G2626" t="inlineStr">
        <is>
          <t>Comirnaty</t>
        </is>
      </c>
      <c r="H2626" t="inlineStr">
        <is>
          <t>Retail pharmacy</t>
        </is>
      </c>
      <c r="I2626" t="inlineStr">
        <is>
          <t>Public payer</t>
        </is>
      </c>
      <c r="J2626" t="inlineStr">
        <is>
          <t>Omar Haddad</t>
        </is>
      </c>
      <c r="K2626" s="70" t="n">
        <v>2454</v>
      </c>
      <c r="L2626" s="71" t="n">
        <v>187.57</v>
      </c>
      <c r="M2626" s="71" t="n">
        <v>460296.78</v>
      </c>
      <c r="N2626" s="71" t="n">
        <v>161103.87</v>
      </c>
      <c r="O2626" s="71" t="n">
        <v>299192.91</v>
      </c>
      <c r="P2626" s="71" t="n">
        <v>95944.03</v>
      </c>
      <c r="Q2626" s="71" t="n">
        <v>203248.88</v>
      </c>
      <c r="R2626" t="inlineStr">
        <is>
          <t>Vaccines</t>
        </is>
      </c>
      <c r="S2626" s="70" t="n">
        <v>1794</v>
      </c>
      <c r="T2626" s="71" t="n">
        <v>87299.02</v>
      </c>
      <c r="U2626" t="inlineStr">
        <is>
          <t>Low</t>
        </is>
      </c>
      <c r="V2626">
        <f>IF(AND(OR(Dashboard!$C$6="All",E2626=Dashboard!$C$6),OR(Dashboard!$F$6="All",G2626=Dashboard!$F$6),OR(Dashboard!$I$6="All",H2626=Dashboard!$I$6)),1,0)</f>
        <v/>
      </c>
    </row>
    <row r="2627">
      <c r="A2627" t="inlineStr">
        <is>
          <t>PF102618</t>
        </is>
      </c>
      <c r="B2627" s="68" t="n">
        <v>45973</v>
      </c>
      <c r="C2627" s="69" t="n">
        <v>2025</v>
      </c>
      <c r="D2627" t="inlineStr">
        <is>
          <t>Nov</t>
        </is>
      </c>
      <c r="E2627" t="inlineStr">
        <is>
          <t>United States</t>
        </is>
      </c>
      <c r="F2627" t="inlineStr">
        <is>
          <t>USA</t>
        </is>
      </c>
      <c r="G2627" t="inlineStr">
        <is>
          <t>Paxlovid</t>
        </is>
      </c>
      <c r="H2627" t="inlineStr">
        <is>
          <t>Hospital</t>
        </is>
      </c>
      <c r="I2627" t="inlineStr">
        <is>
          <t>Private insurer</t>
        </is>
      </c>
      <c r="J2627" t="inlineStr">
        <is>
          <t>Kofi Mensah</t>
        </is>
      </c>
      <c r="K2627" s="70" t="n">
        <v>770</v>
      </c>
      <c r="L2627" s="71" t="n">
        <v>1922.08</v>
      </c>
      <c r="M2627" s="71" t="n">
        <v>1480001.6</v>
      </c>
      <c r="N2627" s="71" t="n">
        <v>222000.24</v>
      </c>
      <c r="O2627" s="71" t="n">
        <v>1258001.36</v>
      </c>
      <c r="P2627" s="71" t="n">
        <v>216229.72</v>
      </c>
      <c r="Q2627" s="71" t="n">
        <v>1041771.64</v>
      </c>
      <c r="R2627" t="inlineStr">
        <is>
          <t>Antiviral</t>
        </is>
      </c>
      <c r="S2627" s="70" t="n">
        <v>551</v>
      </c>
      <c r="T2627" s="71" t="n">
        <v>243971.63</v>
      </c>
      <c r="U2627" t="inlineStr">
        <is>
          <t>Low</t>
        </is>
      </c>
      <c r="V2627">
        <f>IF(AND(OR(Dashboard!$C$6="All",E2627=Dashboard!$C$6),OR(Dashboard!$F$6="All",G2627=Dashboard!$F$6),OR(Dashboard!$I$6="All",H2627=Dashboard!$I$6)),1,0)</f>
        <v/>
      </c>
    </row>
    <row r="2628">
      <c r="A2628" t="inlineStr">
        <is>
          <t>PF102619</t>
        </is>
      </c>
      <c r="B2628" s="68" t="n">
        <v>45973</v>
      </c>
      <c r="C2628" s="69" t="n">
        <v>2025</v>
      </c>
      <c r="D2628" t="inlineStr">
        <is>
          <t>Nov</t>
        </is>
      </c>
      <c r="E2628" t="inlineStr">
        <is>
          <t>International developed</t>
        </is>
      </c>
      <c r="F2628" t="inlineStr">
        <is>
          <t>Japan</t>
        </is>
      </c>
      <c r="G2628" t="inlineStr">
        <is>
          <t>Ibrance</t>
        </is>
      </c>
      <c r="H2628" t="inlineStr">
        <is>
          <t>Retail pharmacy</t>
        </is>
      </c>
      <c r="I2628" t="inlineStr">
        <is>
          <t>Public payer</t>
        </is>
      </c>
      <c r="J2628" t="inlineStr">
        <is>
          <t>Kofi Mensah</t>
        </is>
      </c>
      <c r="K2628" s="70" t="n">
        <v>2924</v>
      </c>
      <c r="L2628" s="71" t="n">
        <v>3051.29</v>
      </c>
      <c r="M2628" s="71" t="n">
        <v>8921971.960000001</v>
      </c>
      <c r="N2628" s="71" t="n">
        <v>1338295.79</v>
      </c>
      <c r="O2628" s="71" t="n">
        <v>7583676.17</v>
      </c>
      <c r="P2628" s="71" t="n">
        <v>1239474.47</v>
      </c>
      <c r="Q2628" s="71" t="n">
        <v>6344201.7</v>
      </c>
      <c r="R2628" t="inlineStr">
        <is>
          <t>Oncology</t>
        </is>
      </c>
      <c r="S2628" s="70" t="n">
        <v>2634</v>
      </c>
      <c r="T2628" s="71" t="n">
        <v>1583787.17</v>
      </c>
      <c r="U2628" t="inlineStr">
        <is>
          <t>High</t>
        </is>
      </c>
      <c r="V2628">
        <f>IF(AND(OR(Dashboard!$C$6="All",E2628=Dashboard!$C$6),OR(Dashboard!$F$6="All",G2628=Dashboard!$F$6),OR(Dashboard!$I$6="All",H2628=Dashboard!$I$6)),1,0)</f>
        <v/>
      </c>
    </row>
    <row r="2629">
      <c r="A2629" t="inlineStr">
        <is>
          <t>PF102620</t>
        </is>
      </c>
      <c r="B2629" s="68" t="n">
        <v>45973</v>
      </c>
      <c r="C2629" s="69" t="n">
        <v>2025</v>
      </c>
      <c r="D2629" t="inlineStr">
        <is>
          <t>Nov</t>
        </is>
      </c>
      <c r="E2629" t="inlineStr">
        <is>
          <t>International developed</t>
        </is>
      </c>
      <c r="F2629" t="inlineStr">
        <is>
          <t>Canada</t>
        </is>
      </c>
      <c r="G2629" t="inlineStr">
        <is>
          <t>Ibrance</t>
        </is>
      </c>
      <c r="H2629" t="inlineStr">
        <is>
          <t>Hospital</t>
        </is>
      </c>
      <c r="I2629" t="inlineStr">
        <is>
          <t>Public payer</t>
        </is>
      </c>
      <c r="J2629" t="inlineStr">
        <is>
          <t>Ruhi Shaikh</t>
        </is>
      </c>
      <c r="K2629" s="70" t="n">
        <v>3009</v>
      </c>
      <c r="L2629" s="71" t="n">
        <v>3038.17</v>
      </c>
      <c r="M2629" s="71" t="n">
        <v>9141853.529999999</v>
      </c>
      <c r="N2629" s="71" t="n">
        <v>1371278.03</v>
      </c>
      <c r="O2629" s="71" t="n">
        <v>7770575.5</v>
      </c>
      <c r="P2629" s="71" t="n">
        <v>1309300.81</v>
      </c>
      <c r="Q2629" s="71" t="n">
        <v>6461274.69</v>
      </c>
      <c r="R2629" t="inlineStr">
        <is>
          <t>Oncology</t>
        </is>
      </c>
      <c r="S2629" s="70" t="n">
        <v>2181</v>
      </c>
      <c r="T2629" s="71" t="n">
        <v>2002115.09</v>
      </c>
      <c r="U2629" t="inlineStr">
        <is>
          <t>High</t>
        </is>
      </c>
      <c r="V2629">
        <f>IF(AND(OR(Dashboard!$C$6="All",E2629=Dashboard!$C$6),OR(Dashboard!$F$6="All",G2629=Dashboard!$F$6),OR(Dashboard!$I$6="All",H2629=Dashboard!$I$6)),1,0)</f>
        <v/>
      </c>
    </row>
    <row r="2630">
      <c r="A2630" t="inlineStr">
        <is>
          <t>PF102621</t>
        </is>
      </c>
      <c r="B2630" s="68" t="n">
        <v>45974</v>
      </c>
      <c r="C2630" s="69" t="n">
        <v>2025</v>
      </c>
      <c r="D2630" t="inlineStr">
        <is>
          <t>Nov</t>
        </is>
      </c>
      <c r="E2630" t="inlineStr">
        <is>
          <t>United States</t>
        </is>
      </c>
      <c r="F2630" t="inlineStr">
        <is>
          <t>USA</t>
        </is>
      </c>
      <c r="G2630" t="inlineStr">
        <is>
          <t>Prevnar 20</t>
        </is>
      </c>
      <c r="H2630" t="inlineStr">
        <is>
          <t>Government / tender</t>
        </is>
      </c>
      <c r="I2630" t="inlineStr">
        <is>
          <t>Public payer</t>
        </is>
      </c>
      <c r="J2630" t="inlineStr">
        <is>
          <t>Kofi Mensah</t>
        </is>
      </c>
      <c r="K2630" s="70" t="n">
        <v>1458</v>
      </c>
      <c r="L2630" s="71" t="n">
        <v>392.86</v>
      </c>
      <c r="M2630" s="71" t="n">
        <v>572789.88</v>
      </c>
      <c r="N2630" s="71" t="n">
        <v>200476.46</v>
      </c>
      <c r="O2630" s="71" t="n">
        <v>372313.42</v>
      </c>
      <c r="P2630" s="71" t="n">
        <v>98801.84</v>
      </c>
      <c r="Q2630" s="71" t="n">
        <v>273511.58</v>
      </c>
      <c r="R2630" t="inlineStr">
        <is>
          <t>Vaccines</t>
        </is>
      </c>
      <c r="S2630" s="70" t="n">
        <v>1108</v>
      </c>
      <c r="T2630" s="71" t="n">
        <v>96156.08</v>
      </c>
      <c r="U2630" t="inlineStr">
        <is>
          <t>Low</t>
        </is>
      </c>
      <c r="V2630">
        <f>IF(AND(OR(Dashboard!$C$6="All",E2630=Dashboard!$C$6),OR(Dashboard!$F$6="All",G2630=Dashboard!$F$6),OR(Dashboard!$I$6="All",H2630=Dashboard!$I$6)),1,0)</f>
        <v/>
      </c>
    </row>
    <row r="2631">
      <c r="A2631" t="inlineStr">
        <is>
          <t>PF102622</t>
        </is>
      </c>
      <c r="B2631" s="68" t="n">
        <v>45974</v>
      </c>
      <c r="C2631" s="69" t="n">
        <v>2025</v>
      </c>
      <c r="D2631" t="inlineStr">
        <is>
          <t>Nov</t>
        </is>
      </c>
      <c r="E2631" t="inlineStr">
        <is>
          <t>United States</t>
        </is>
      </c>
      <c r="F2631" t="inlineStr">
        <is>
          <t>USA</t>
        </is>
      </c>
      <c r="G2631" t="inlineStr">
        <is>
          <t>Comirnaty</t>
        </is>
      </c>
      <c r="H2631" t="inlineStr">
        <is>
          <t>Hospital</t>
        </is>
      </c>
      <c r="I2631" t="inlineStr">
        <is>
          <t>Public payer</t>
        </is>
      </c>
      <c r="J2631" t="inlineStr">
        <is>
          <t>Lucas Martin</t>
        </is>
      </c>
      <c r="K2631" s="70" t="n">
        <v>737</v>
      </c>
      <c r="L2631" s="71" t="n">
        <v>181.44</v>
      </c>
      <c r="M2631" s="71" t="n">
        <v>133721.28</v>
      </c>
      <c r="N2631" s="71" t="n">
        <v>33430.32</v>
      </c>
      <c r="O2631" s="71" t="n">
        <v>100290.96</v>
      </c>
      <c r="P2631" s="71" t="n">
        <v>27652.04</v>
      </c>
      <c r="Q2631" s="71" t="n">
        <v>72638.92</v>
      </c>
      <c r="R2631" t="inlineStr">
        <is>
          <t>Vaccines</t>
        </is>
      </c>
      <c r="S2631" s="70" t="n">
        <v>725</v>
      </c>
      <c r="T2631" s="71" t="n">
        <v>27331.93</v>
      </c>
      <c r="U2631" t="inlineStr">
        <is>
          <t>Low</t>
        </is>
      </c>
      <c r="V2631">
        <f>IF(AND(OR(Dashboard!$C$6="All",E2631=Dashboard!$C$6),OR(Dashboard!$F$6="All",G2631=Dashboard!$F$6),OR(Dashboard!$I$6="All",H2631=Dashboard!$I$6)),1,0)</f>
        <v/>
      </c>
    </row>
    <row r="2632">
      <c r="A2632" t="inlineStr">
        <is>
          <t>PF102623</t>
        </is>
      </c>
      <c r="B2632" s="68" t="n">
        <v>45974</v>
      </c>
      <c r="C2632" s="69" t="n">
        <v>2025</v>
      </c>
      <c r="D2632" t="inlineStr">
        <is>
          <t>Nov</t>
        </is>
      </c>
      <c r="E2632" t="inlineStr">
        <is>
          <t>Emerging markets</t>
        </is>
      </c>
      <c r="F2632" t="inlineStr">
        <is>
          <t>India</t>
        </is>
      </c>
      <c r="G2632" t="inlineStr">
        <is>
          <t>Xeljanz</t>
        </is>
      </c>
      <c r="H2632" t="inlineStr">
        <is>
          <t>Retail pharmacy</t>
        </is>
      </c>
      <c r="I2632" t="inlineStr">
        <is>
          <t>Private insurer</t>
        </is>
      </c>
      <c r="J2632" t="inlineStr">
        <is>
          <t>Fatima Al-Saud</t>
        </is>
      </c>
      <c r="K2632" s="70" t="n">
        <v>2879</v>
      </c>
      <c r="L2632" s="71" t="n">
        <v>1336.78</v>
      </c>
      <c r="M2632" s="71" t="n">
        <v>3848589.62</v>
      </c>
      <c r="N2632" s="71" t="n">
        <v>577288.4399999999</v>
      </c>
      <c r="O2632" s="71" t="n">
        <v>3271301.18</v>
      </c>
      <c r="P2632" s="71" t="n">
        <v>731031.15</v>
      </c>
      <c r="Q2632" s="71" t="n">
        <v>2540270.03</v>
      </c>
      <c r="R2632" t="inlineStr">
        <is>
          <t>Inflammation</t>
        </is>
      </c>
      <c r="S2632" s="70" t="n">
        <v>2173</v>
      </c>
      <c r="T2632" s="71" t="n">
        <v>630572.86</v>
      </c>
      <c r="U2632" t="inlineStr">
        <is>
          <t>High</t>
        </is>
      </c>
      <c r="V2632">
        <f>IF(AND(OR(Dashboard!$C$6="All",E2632=Dashboard!$C$6),OR(Dashboard!$F$6="All",G2632=Dashboard!$F$6),OR(Dashboard!$I$6="All",H2632=Dashboard!$I$6)),1,0)</f>
        <v/>
      </c>
    </row>
    <row r="2633">
      <c r="A2633" t="inlineStr">
        <is>
          <t>PF102624</t>
        </is>
      </c>
      <c r="B2633" s="68" t="n">
        <v>45974</v>
      </c>
      <c r="C2633" s="69" t="n">
        <v>2025</v>
      </c>
      <c r="D2633" t="inlineStr">
        <is>
          <t>Nov</t>
        </is>
      </c>
      <c r="E2633" t="inlineStr">
        <is>
          <t>United States</t>
        </is>
      </c>
      <c r="F2633" t="inlineStr">
        <is>
          <t>USA</t>
        </is>
      </c>
      <c r="G2633" t="inlineStr">
        <is>
          <t>Paxlovid</t>
        </is>
      </c>
      <c r="H2633" t="inlineStr">
        <is>
          <t>Government / tender</t>
        </is>
      </c>
      <c r="I2633" t="inlineStr">
        <is>
          <t>Private insurer</t>
        </is>
      </c>
      <c r="J2633" t="inlineStr">
        <is>
          <t>Liam O'Brien</t>
        </is>
      </c>
      <c r="K2633" s="70" t="n">
        <v>2389</v>
      </c>
      <c r="L2633" s="71" t="n">
        <v>1879.78</v>
      </c>
      <c r="M2633" s="71" t="n">
        <v>4490794.42</v>
      </c>
      <c r="N2633" s="71" t="n">
        <v>1347238.33</v>
      </c>
      <c r="O2633" s="71" t="n">
        <v>3143556.09</v>
      </c>
      <c r="P2633" s="71" t="n">
        <v>651853.4300000001</v>
      </c>
      <c r="Q2633" s="71" t="n">
        <v>2491702.66</v>
      </c>
      <c r="R2633" t="inlineStr">
        <is>
          <t>Antiviral</t>
        </is>
      </c>
      <c r="S2633" s="70" t="n">
        <v>1625</v>
      </c>
      <c r="T2633" s="71" t="n">
        <v>753853.65</v>
      </c>
      <c r="U2633" t="inlineStr">
        <is>
          <t>Low</t>
        </is>
      </c>
      <c r="V2633">
        <f>IF(AND(OR(Dashboard!$C$6="All",E2633=Dashboard!$C$6),OR(Dashboard!$F$6="All",G2633=Dashboard!$F$6),OR(Dashboard!$I$6="All",H2633=Dashboard!$I$6)),1,0)</f>
        <v/>
      </c>
    </row>
    <row r="2634">
      <c r="A2634" t="inlineStr">
        <is>
          <t>PF102625</t>
        </is>
      </c>
      <c r="B2634" s="68" t="n">
        <v>45974</v>
      </c>
      <c r="C2634" s="69" t="n">
        <v>2025</v>
      </c>
      <c r="D2634" t="inlineStr">
        <is>
          <t>Nov</t>
        </is>
      </c>
      <c r="E2634" t="inlineStr">
        <is>
          <t>International developed</t>
        </is>
      </c>
      <c r="F2634" t="inlineStr">
        <is>
          <t>Canada</t>
        </is>
      </c>
      <c r="G2634" t="inlineStr">
        <is>
          <t>Abrysvo</t>
        </is>
      </c>
      <c r="H2634" t="inlineStr">
        <is>
          <t>Government / tender</t>
        </is>
      </c>
      <c r="I2634" t="inlineStr">
        <is>
          <t>Private insurer</t>
        </is>
      </c>
      <c r="J2634" t="inlineStr">
        <is>
          <t>Noah Smith</t>
        </is>
      </c>
      <c r="K2634" s="70" t="n">
        <v>1269</v>
      </c>
      <c r="L2634" s="71" t="n">
        <v>303.28</v>
      </c>
      <c r="M2634" s="71" t="n">
        <v>384862.32</v>
      </c>
      <c r="N2634" s="71" t="n">
        <v>57729.35</v>
      </c>
      <c r="O2634" s="71" t="n">
        <v>327132.97</v>
      </c>
      <c r="P2634" s="71" t="n">
        <v>102431.51</v>
      </c>
      <c r="Q2634" s="71" t="n">
        <v>224701.46</v>
      </c>
      <c r="R2634" t="inlineStr">
        <is>
          <t>Vaccines</t>
        </is>
      </c>
      <c r="S2634" s="70" t="n">
        <v>871</v>
      </c>
      <c r="T2634" s="71" t="n">
        <v>74313.27</v>
      </c>
      <c r="U2634" t="inlineStr">
        <is>
          <t>Low</t>
        </is>
      </c>
      <c r="V2634">
        <f>IF(AND(OR(Dashboard!$C$6="All",E2634=Dashboard!$C$6),OR(Dashboard!$F$6="All",G2634=Dashboard!$F$6),OR(Dashboard!$I$6="All",H2634=Dashboard!$I$6)),1,0)</f>
        <v/>
      </c>
    </row>
    <row r="2635">
      <c r="A2635" t="inlineStr">
        <is>
          <t>PF102626</t>
        </is>
      </c>
      <c r="B2635" s="68" t="n">
        <v>45974</v>
      </c>
      <c r="C2635" s="69" t="n">
        <v>2025</v>
      </c>
      <c r="D2635" t="inlineStr">
        <is>
          <t>Nov</t>
        </is>
      </c>
      <c r="E2635" t="inlineStr">
        <is>
          <t>International developed</t>
        </is>
      </c>
      <c r="F2635" t="inlineStr">
        <is>
          <t>Australia</t>
        </is>
      </c>
      <c r="G2635" t="inlineStr">
        <is>
          <t>Paxlovid</t>
        </is>
      </c>
      <c r="H2635" t="inlineStr">
        <is>
          <t>Government / tender</t>
        </is>
      </c>
      <c r="I2635" t="inlineStr">
        <is>
          <t>Public payer</t>
        </is>
      </c>
      <c r="J2635" t="inlineStr">
        <is>
          <t>Olivia Brown</t>
        </is>
      </c>
      <c r="K2635" s="70" t="n">
        <v>1335</v>
      </c>
      <c r="L2635" s="71" t="n">
        <v>1206.45</v>
      </c>
      <c r="M2635" s="71" t="n">
        <v>1610610.75</v>
      </c>
      <c r="N2635" s="71" t="n">
        <v>241591.61</v>
      </c>
      <c r="O2635" s="71" t="n">
        <v>1369019.14</v>
      </c>
      <c r="P2635" s="71" t="n">
        <v>376296.36</v>
      </c>
      <c r="Q2635" s="71" t="n">
        <v>992722.78</v>
      </c>
      <c r="R2635" t="inlineStr">
        <is>
          <t>Antiviral</t>
        </is>
      </c>
      <c r="S2635" s="70" t="n">
        <v>849</v>
      </c>
      <c r="T2635" s="71" t="n">
        <v>348788.18</v>
      </c>
      <c r="U2635" t="inlineStr">
        <is>
          <t>Low</t>
        </is>
      </c>
      <c r="V2635">
        <f>IF(AND(OR(Dashboard!$C$6="All",E2635=Dashboard!$C$6),OR(Dashboard!$F$6="All",G2635=Dashboard!$F$6),OR(Dashboard!$I$6="All",H2635=Dashboard!$I$6)),1,0)</f>
        <v/>
      </c>
    </row>
    <row r="2636">
      <c r="A2636" t="inlineStr">
        <is>
          <t>PF102627</t>
        </is>
      </c>
      <c r="B2636" s="68" t="n">
        <v>45975</v>
      </c>
      <c r="C2636" s="69" t="n">
        <v>2025</v>
      </c>
      <c r="D2636" t="inlineStr">
        <is>
          <t>Nov</t>
        </is>
      </c>
      <c r="E2636" t="inlineStr">
        <is>
          <t>United States</t>
        </is>
      </c>
      <c r="F2636" t="inlineStr">
        <is>
          <t>USA</t>
        </is>
      </c>
      <c r="G2636" t="inlineStr">
        <is>
          <t>Paxlovid</t>
        </is>
      </c>
      <c r="H2636" t="inlineStr">
        <is>
          <t>Retail pharmacy</t>
        </is>
      </c>
      <c r="I2636" t="inlineStr">
        <is>
          <t>Private insurer</t>
        </is>
      </c>
      <c r="J2636" t="inlineStr">
        <is>
          <t>Emma Clarke</t>
        </is>
      </c>
      <c r="K2636" s="70" t="n">
        <v>2958</v>
      </c>
      <c r="L2636" s="71" t="n">
        <v>1757.36</v>
      </c>
      <c r="M2636" s="71" t="n">
        <v>5198270.88</v>
      </c>
      <c r="N2636" s="71" t="n">
        <v>1039654.18</v>
      </c>
      <c r="O2636" s="71" t="n">
        <v>4158616.7</v>
      </c>
      <c r="P2636" s="71" t="n">
        <v>810742.48</v>
      </c>
      <c r="Q2636" s="71" t="n">
        <v>3347874.22</v>
      </c>
      <c r="R2636" t="inlineStr">
        <is>
          <t>Antiviral</t>
        </is>
      </c>
      <c r="S2636" s="70" t="n">
        <v>2878</v>
      </c>
      <c r="T2636" s="71" t="n">
        <v>850569.58</v>
      </c>
      <c r="U2636" t="inlineStr">
        <is>
          <t>Low</t>
        </is>
      </c>
      <c r="V2636">
        <f>IF(AND(OR(Dashboard!$C$6="All",E2636=Dashboard!$C$6),OR(Dashboard!$F$6="All",G2636=Dashboard!$F$6),OR(Dashboard!$I$6="All",H2636=Dashboard!$I$6)),1,0)</f>
        <v/>
      </c>
    </row>
    <row r="2637">
      <c r="A2637" t="inlineStr">
        <is>
          <t>PF102628</t>
        </is>
      </c>
      <c r="B2637" s="68" t="n">
        <v>45975</v>
      </c>
      <c r="C2637" s="69" t="n">
        <v>2025</v>
      </c>
      <c r="D2637" t="inlineStr">
        <is>
          <t>Nov</t>
        </is>
      </c>
      <c r="E2637" t="inlineStr">
        <is>
          <t>United States</t>
        </is>
      </c>
      <c r="F2637" t="inlineStr">
        <is>
          <t>USA</t>
        </is>
      </c>
      <c r="G2637" t="inlineStr">
        <is>
          <t>Comirnaty</t>
        </is>
      </c>
      <c r="H2637" t="inlineStr">
        <is>
          <t>Government / tender</t>
        </is>
      </c>
      <c r="I2637" t="inlineStr">
        <is>
          <t>Private insurer</t>
        </is>
      </c>
      <c r="J2637" t="inlineStr">
        <is>
          <t>Lucas Martin</t>
        </is>
      </c>
      <c r="K2637" s="70" t="n">
        <v>2566</v>
      </c>
      <c r="L2637" s="71" t="n">
        <v>192.59</v>
      </c>
      <c r="M2637" s="71" t="n">
        <v>494185.94</v>
      </c>
      <c r="N2637" s="71" t="n">
        <v>172965.08</v>
      </c>
      <c r="O2637" s="71" t="n">
        <v>321220.86</v>
      </c>
      <c r="P2637" s="71" t="n">
        <v>99259.62</v>
      </c>
      <c r="Q2637" s="71" t="n">
        <v>221961.24</v>
      </c>
      <c r="R2637" t="inlineStr">
        <is>
          <t>Vaccines</t>
        </is>
      </c>
      <c r="S2637" s="70" t="n">
        <v>2090</v>
      </c>
      <c r="T2637" s="71" t="n">
        <v>82319.23</v>
      </c>
      <c r="U2637" t="inlineStr">
        <is>
          <t>Low</t>
        </is>
      </c>
      <c r="V2637">
        <f>IF(AND(OR(Dashboard!$C$6="All",E2637=Dashboard!$C$6),OR(Dashboard!$F$6="All",G2637=Dashboard!$F$6),OR(Dashboard!$I$6="All",H2637=Dashboard!$I$6)),1,0)</f>
        <v/>
      </c>
    </row>
    <row r="2638">
      <c r="A2638" t="inlineStr">
        <is>
          <t>PF102629</t>
        </is>
      </c>
      <c r="B2638" s="68" t="n">
        <v>45975</v>
      </c>
      <c r="C2638" s="69" t="n">
        <v>2025</v>
      </c>
      <c r="D2638" t="inlineStr">
        <is>
          <t>Nov</t>
        </is>
      </c>
      <c r="E2638" t="inlineStr">
        <is>
          <t>United States</t>
        </is>
      </c>
      <c r="F2638" t="inlineStr">
        <is>
          <t>USA</t>
        </is>
      </c>
      <c r="G2638" t="inlineStr">
        <is>
          <t>Xeljanz</t>
        </is>
      </c>
      <c r="H2638" t="inlineStr">
        <is>
          <t>Retail pharmacy</t>
        </is>
      </c>
      <c r="I2638" t="inlineStr">
        <is>
          <t>Private insurer</t>
        </is>
      </c>
      <c r="J2638" t="inlineStr">
        <is>
          <t>Olivia Brown</t>
        </is>
      </c>
      <c r="K2638" s="70" t="n">
        <v>917</v>
      </c>
      <c r="L2638" s="71" t="n">
        <v>2189.78</v>
      </c>
      <c r="M2638" s="71" t="n">
        <v>2008028.26</v>
      </c>
      <c r="N2638" s="71" t="n">
        <v>702809.89</v>
      </c>
      <c r="O2638" s="71" t="n">
        <v>1305218.37</v>
      </c>
      <c r="P2638" s="71" t="n">
        <v>229601.31</v>
      </c>
      <c r="Q2638" s="71" t="n">
        <v>1075617.06</v>
      </c>
      <c r="R2638" t="inlineStr">
        <is>
          <t>Inflammation</t>
        </is>
      </c>
      <c r="S2638" s="70" t="n">
        <v>673</v>
      </c>
      <c r="T2638" s="71" t="n">
        <v>302564.06</v>
      </c>
      <c r="U2638" t="inlineStr">
        <is>
          <t>High</t>
        </is>
      </c>
      <c r="V2638">
        <f>IF(AND(OR(Dashboard!$C$6="All",E2638=Dashboard!$C$6),OR(Dashboard!$F$6="All",G2638=Dashboard!$F$6),OR(Dashboard!$I$6="All",H2638=Dashboard!$I$6)),1,0)</f>
        <v/>
      </c>
    </row>
    <row r="2639">
      <c r="A2639" t="inlineStr">
        <is>
          <t>PF102630</t>
        </is>
      </c>
      <c r="B2639" s="68" t="n">
        <v>45975</v>
      </c>
      <c r="C2639" s="69" t="n">
        <v>2025</v>
      </c>
      <c r="D2639" t="inlineStr">
        <is>
          <t>Nov</t>
        </is>
      </c>
      <c r="E2639" t="inlineStr">
        <is>
          <t>United States</t>
        </is>
      </c>
      <c r="F2639" t="inlineStr">
        <is>
          <t>USA</t>
        </is>
      </c>
      <c r="G2639" t="inlineStr">
        <is>
          <t>Abrysvo</t>
        </is>
      </c>
      <c r="H2639" t="inlineStr">
        <is>
          <t>Hospital</t>
        </is>
      </c>
      <c r="I2639" t="inlineStr">
        <is>
          <t>Public payer</t>
        </is>
      </c>
      <c r="J2639" t="inlineStr">
        <is>
          <t>Amir Khan</t>
        </is>
      </c>
      <c r="K2639" s="70" t="n">
        <v>3223</v>
      </c>
      <c r="L2639" s="71" t="n">
        <v>461.94</v>
      </c>
      <c r="M2639" s="71" t="n">
        <v>1488832.62</v>
      </c>
      <c r="N2639" s="71" t="n">
        <v>297766.52</v>
      </c>
      <c r="O2639" s="71" t="n">
        <v>1191066.1</v>
      </c>
      <c r="P2639" s="71" t="n">
        <v>278942.65</v>
      </c>
      <c r="Q2639" s="71" t="n">
        <v>912123.45</v>
      </c>
      <c r="R2639" t="inlineStr">
        <is>
          <t>Vaccines</t>
        </is>
      </c>
      <c r="S2639" s="70" t="n">
        <v>3106</v>
      </c>
      <c r="T2639" s="71" t="n">
        <v>290886.65</v>
      </c>
      <c r="U2639" t="inlineStr">
        <is>
          <t>Low</t>
        </is>
      </c>
      <c r="V2639">
        <f>IF(AND(OR(Dashboard!$C$6="All",E2639=Dashboard!$C$6),OR(Dashboard!$F$6="All",G2639=Dashboard!$F$6),OR(Dashboard!$I$6="All",H2639=Dashboard!$I$6)),1,0)</f>
        <v/>
      </c>
    </row>
    <row r="2640">
      <c r="A2640" t="inlineStr">
        <is>
          <t>PF102631</t>
        </is>
      </c>
      <c r="B2640" s="68" t="n">
        <v>45975</v>
      </c>
      <c r="C2640" s="69" t="n">
        <v>2025</v>
      </c>
      <c r="D2640" t="inlineStr">
        <is>
          <t>Nov</t>
        </is>
      </c>
      <c r="E2640" t="inlineStr">
        <is>
          <t>International developed</t>
        </is>
      </c>
      <c r="F2640" t="inlineStr">
        <is>
          <t>Japan</t>
        </is>
      </c>
      <c r="G2640" t="inlineStr">
        <is>
          <t>Prevnar 20</t>
        </is>
      </c>
      <c r="H2640" t="inlineStr">
        <is>
          <t>Retail pharmacy</t>
        </is>
      </c>
      <c r="I2640" t="inlineStr">
        <is>
          <t>Private insurer</t>
        </is>
      </c>
      <c r="J2640" t="inlineStr">
        <is>
          <t>Aisha Bello</t>
        </is>
      </c>
      <c r="K2640" s="70" t="n">
        <v>3100</v>
      </c>
      <c r="L2640" s="71" t="n">
        <v>220.1</v>
      </c>
      <c r="M2640" s="71" t="n">
        <v>682310</v>
      </c>
      <c r="N2640" s="71" t="n">
        <v>68231</v>
      </c>
      <c r="O2640" s="71" t="n">
        <v>614079</v>
      </c>
      <c r="P2640" s="71" t="n">
        <v>207778.99</v>
      </c>
      <c r="Q2640" s="71" t="n">
        <v>406300.01</v>
      </c>
      <c r="R2640" t="inlineStr">
        <is>
          <t>Vaccines</t>
        </is>
      </c>
      <c r="S2640" s="70" t="n">
        <v>2437</v>
      </c>
      <c r="T2640" s="71" t="n">
        <v>84009.21000000001</v>
      </c>
      <c r="U2640" t="inlineStr">
        <is>
          <t>Low</t>
        </is>
      </c>
      <c r="V2640">
        <f>IF(AND(OR(Dashboard!$C$6="All",E2640=Dashboard!$C$6),OR(Dashboard!$F$6="All",G2640=Dashboard!$F$6),OR(Dashboard!$I$6="All",H2640=Dashboard!$I$6)),1,0)</f>
        <v/>
      </c>
    </row>
    <row r="2641">
      <c r="A2641" t="inlineStr">
        <is>
          <t>PF102632</t>
        </is>
      </c>
      <c r="B2641" s="68" t="n">
        <v>45975</v>
      </c>
      <c r="C2641" s="69" t="n">
        <v>2025</v>
      </c>
      <c r="D2641" t="inlineStr">
        <is>
          <t>Nov</t>
        </is>
      </c>
      <c r="E2641" t="inlineStr">
        <is>
          <t>Emerging markets</t>
        </is>
      </c>
      <c r="F2641" t="inlineStr">
        <is>
          <t>Brazil</t>
        </is>
      </c>
      <c r="G2641" t="inlineStr">
        <is>
          <t>Comirnaty</t>
        </is>
      </c>
      <c r="H2641" t="inlineStr">
        <is>
          <t>Retail pharmacy</t>
        </is>
      </c>
      <c r="I2641" t="inlineStr">
        <is>
          <t>Private insurer</t>
        </is>
      </c>
      <c r="J2641" t="inlineStr">
        <is>
          <t>Carlos Silva</t>
        </is>
      </c>
      <c r="K2641" s="70" t="n">
        <v>1124</v>
      </c>
      <c r="L2641" s="71" t="n">
        <v>116.94</v>
      </c>
      <c r="M2641" s="71" t="n">
        <v>131440.56</v>
      </c>
      <c r="N2641" s="71" t="n">
        <v>19716.08</v>
      </c>
      <c r="O2641" s="71" t="n">
        <v>111724.48</v>
      </c>
      <c r="P2641" s="71" t="n">
        <v>42136.16</v>
      </c>
      <c r="Q2641" s="71" t="n">
        <v>69588.32000000001</v>
      </c>
      <c r="R2641" t="inlineStr">
        <is>
          <t>Vaccines</t>
        </is>
      </c>
      <c r="S2641" s="70" t="n">
        <v>809</v>
      </c>
      <c r="T2641" s="71" t="n">
        <v>17616.91</v>
      </c>
      <c r="U2641" t="inlineStr">
        <is>
          <t>Low</t>
        </is>
      </c>
      <c r="V2641">
        <f>IF(AND(OR(Dashboard!$C$6="All",E2641=Dashboard!$C$6),OR(Dashboard!$F$6="All",G2641=Dashboard!$F$6),OR(Dashboard!$I$6="All",H2641=Dashboard!$I$6)),1,0)</f>
        <v/>
      </c>
    </row>
    <row r="2642">
      <c r="A2642" t="inlineStr">
        <is>
          <t>PF102633</t>
        </is>
      </c>
      <c r="B2642" s="68" t="n">
        <v>45975</v>
      </c>
      <c r="C2642" s="69" t="n">
        <v>2025</v>
      </c>
      <c r="D2642" t="inlineStr">
        <is>
          <t>Nov</t>
        </is>
      </c>
      <c r="E2642" t="inlineStr">
        <is>
          <t>Europe</t>
        </is>
      </c>
      <c r="F2642" t="inlineStr">
        <is>
          <t>Germany</t>
        </is>
      </c>
      <c r="G2642" t="inlineStr">
        <is>
          <t>Eliquis</t>
        </is>
      </c>
      <c r="H2642" t="inlineStr">
        <is>
          <t>Retail pharmacy</t>
        </is>
      </c>
      <c r="I2642" t="inlineStr">
        <is>
          <t>Public payer</t>
        </is>
      </c>
      <c r="J2642" t="inlineStr">
        <is>
          <t>Noah Smith</t>
        </is>
      </c>
      <c r="K2642" s="70" t="n">
        <v>2923</v>
      </c>
      <c r="L2642" s="71" t="n">
        <v>451.26</v>
      </c>
      <c r="M2642" s="71" t="n">
        <v>1319032.98</v>
      </c>
      <c r="N2642" s="71" t="n">
        <v>197854.95</v>
      </c>
      <c r="O2642" s="71" t="n">
        <v>1121178.03</v>
      </c>
      <c r="P2642" s="71" t="n">
        <v>225289.66</v>
      </c>
      <c r="Q2642" s="71" t="n">
        <v>895888.37</v>
      </c>
      <c r="R2642" t="inlineStr">
        <is>
          <t>Cardiology</t>
        </is>
      </c>
      <c r="S2642" s="70" t="n">
        <v>2163</v>
      </c>
      <c r="T2642" s="71" t="n">
        <v>267366.03</v>
      </c>
      <c r="U2642" t="inlineStr">
        <is>
          <t>High</t>
        </is>
      </c>
      <c r="V2642">
        <f>IF(AND(OR(Dashboard!$C$6="All",E2642=Dashboard!$C$6),OR(Dashboard!$F$6="All",G2642=Dashboard!$F$6),OR(Dashboard!$I$6="All",H2642=Dashboard!$I$6)),1,0)</f>
        <v/>
      </c>
    </row>
    <row r="2643">
      <c r="A2643" t="inlineStr">
        <is>
          <t>PF102634</t>
        </is>
      </c>
      <c r="B2643" s="68" t="n">
        <v>45976</v>
      </c>
      <c r="C2643" s="69" t="n">
        <v>2025</v>
      </c>
      <c r="D2643" t="inlineStr">
        <is>
          <t>Nov</t>
        </is>
      </c>
      <c r="E2643" t="inlineStr">
        <is>
          <t>United States</t>
        </is>
      </c>
      <c r="F2643" t="inlineStr">
        <is>
          <t>USA</t>
        </is>
      </c>
      <c r="G2643" t="inlineStr">
        <is>
          <t>Ibrance</t>
        </is>
      </c>
      <c r="H2643" t="inlineStr">
        <is>
          <t>Retail pharmacy</t>
        </is>
      </c>
      <c r="I2643" t="inlineStr">
        <is>
          <t>Private insurer</t>
        </is>
      </c>
      <c r="J2643" t="inlineStr">
        <is>
          <t>Arjun Mehta</t>
        </is>
      </c>
      <c r="K2643" s="70" t="n">
        <v>110</v>
      </c>
      <c r="L2643" s="71" t="n">
        <v>4690.45</v>
      </c>
      <c r="M2643" s="71" t="n">
        <v>515949.5</v>
      </c>
      <c r="N2643" s="71" t="n">
        <v>77392.42999999999</v>
      </c>
      <c r="O2643" s="71" t="n">
        <v>438557.07</v>
      </c>
      <c r="P2643" s="71" t="n">
        <v>48070.93</v>
      </c>
      <c r="Q2643" s="71" t="n">
        <v>390486.14</v>
      </c>
      <c r="R2643" t="inlineStr">
        <is>
          <t>Oncology</t>
        </is>
      </c>
      <c r="S2643" s="70" t="n">
        <v>102</v>
      </c>
      <c r="T2643" s="71" t="n">
        <v>103651.74</v>
      </c>
      <c r="U2643" t="inlineStr">
        <is>
          <t>High</t>
        </is>
      </c>
      <c r="V2643">
        <f>IF(AND(OR(Dashboard!$C$6="All",E2643=Dashboard!$C$6),OR(Dashboard!$F$6="All",G2643=Dashboard!$F$6),OR(Dashboard!$I$6="All",H2643=Dashboard!$I$6)),1,0)</f>
        <v/>
      </c>
    </row>
    <row r="2644">
      <c r="A2644" t="inlineStr">
        <is>
          <t>PF102635</t>
        </is>
      </c>
      <c r="B2644" s="68" t="n">
        <v>45976</v>
      </c>
      <c r="C2644" s="69" t="n">
        <v>2025</v>
      </c>
      <c r="D2644" t="inlineStr">
        <is>
          <t>Nov</t>
        </is>
      </c>
      <c r="E2644" t="inlineStr">
        <is>
          <t>Europe</t>
        </is>
      </c>
      <c r="F2644" t="inlineStr">
        <is>
          <t>Germany</t>
        </is>
      </c>
      <c r="G2644" t="inlineStr">
        <is>
          <t>Eliquis</t>
        </is>
      </c>
      <c r="H2644" t="inlineStr">
        <is>
          <t>Hospital</t>
        </is>
      </c>
      <c r="I2644" t="inlineStr">
        <is>
          <t>Public payer</t>
        </is>
      </c>
      <c r="J2644" t="inlineStr">
        <is>
          <t>Arjun Mehta</t>
        </is>
      </c>
      <c r="K2644" s="70" t="n">
        <v>2802</v>
      </c>
      <c r="L2644" s="71" t="n">
        <v>444.65</v>
      </c>
      <c r="M2644" s="71" t="n">
        <v>1245909.3</v>
      </c>
      <c r="N2644" s="71" t="n">
        <v>186886.39</v>
      </c>
      <c r="O2644" s="71" t="n">
        <v>1059022.91</v>
      </c>
      <c r="P2644" s="71" t="n">
        <v>208889.11</v>
      </c>
      <c r="Q2644" s="71" t="n">
        <v>850133.8</v>
      </c>
      <c r="R2644" t="inlineStr">
        <is>
          <t>Cardiology</t>
        </is>
      </c>
      <c r="S2644" s="70" t="n">
        <v>2778</v>
      </c>
      <c r="T2644" s="71" t="n">
        <v>230654.31</v>
      </c>
      <c r="U2644" t="inlineStr">
        <is>
          <t>High</t>
        </is>
      </c>
      <c r="V2644">
        <f>IF(AND(OR(Dashboard!$C$6="All",E2644=Dashboard!$C$6),OR(Dashboard!$F$6="All",G2644=Dashboard!$F$6),OR(Dashboard!$I$6="All",H2644=Dashboard!$I$6)),1,0)</f>
        <v/>
      </c>
    </row>
    <row r="2645">
      <c r="A2645" t="inlineStr">
        <is>
          <t>PF102636</t>
        </is>
      </c>
      <c r="B2645" s="68" t="n">
        <v>45976</v>
      </c>
      <c r="C2645" s="69" t="n">
        <v>2025</v>
      </c>
      <c r="D2645" t="inlineStr">
        <is>
          <t>Nov</t>
        </is>
      </c>
      <c r="E2645" t="inlineStr">
        <is>
          <t>United States</t>
        </is>
      </c>
      <c r="F2645" t="inlineStr">
        <is>
          <t>USA</t>
        </is>
      </c>
      <c r="G2645" t="inlineStr">
        <is>
          <t>Prevnar 20</t>
        </is>
      </c>
      <c r="H2645" t="inlineStr">
        <is>
          <t>Retail pharmacy</t>
        </is>
      </c>
      <c r="I2645" t="inlineStr">
        <is>
          <t>Private insurer</t>
        </is>
      </c>
      <c r="J2645" t="inlineStr">
        <is>
          <t>Wei Chen</t>
        </is>
      </c>
      <c r="K2645" s="70" t="n">
        <v>1492</v>
      </c>
      <c r="L2645" s="71" t="n">
        <v>385.55</v>
      </c>
      <c r="M2645" s="71" t="n">
        <v>575240.6</v>
      </c>
      <c r="N2645" s="71" t="n">
        <v>143810.15</v>
      </c>
      <c r="O2645" s="71" t="n">
        <v>431430.45</v>
      </c>
      <c r="P2645" s="71" t="n">
        <v>103908.37</v>
      </c>
      <c r="Q2645" s="71" t="n">
        <v>327522.08</v>
      </c>
      <c r="R2645" t="inlineStr">
        <is>
          <t>Vaccines</t>
        </is>
      </c>
      <c r="S2645" s="70" t="n">
        <v>1441</v>
      </c>
      <c r="T2645" s="71" t="n">
        <v>88125.09</v>
      </c>
      <c r="U2645" t="inlineStr">
        <is>
          <t>Low</t>
        </is>
      </c>
      <c r="V2645">
        <f>IF(AND(OR(Dashboard!$C$6="All",E2645=Dashboard!$C$6),OR(Dashboard!$F$6="All",G2645=Dashboard!$F$6),OR(Dashboard!$I$6="All",H2645=Dashboard!$I$6)),1,0)</f>
        <v/>
      </c>
    </row>
    <row r="2646">
      <c r="A2646" t="inlineStr">
        <is>
          <t>PF102637</t>
        </is>
      </c>
      <c r="B2646" s="68" t="n">
        <v>45976</v>
      </c>
      <c r="C2646" s="69" t="n">
        <v>2025</v>
      </c>
      <c r="D2646" t="inlineStr">
        <is>
          <t>Nov</t>
        </is>
      </c>
      <c r="E2646" t="inlineStr">
        <is>
          <t>United States</t>
        </is>
      </c>
      <c r="F2646" t="inlineStr">
        <is>
          <t>USA</t>
        </is>
      </c>
      <c r="G2646" t="inlineStr">
        <is>
          <t>Abrysvo</t>
        </is>
      </c>
      <c r="H2646" t="inlineStr">
        <is>
          <t>Government / tender</t>
        </is>
      </c>
      <c r="I2646" t="inlineStr">
        <is>
          <t>Private insurer</t>
        </is>
      </c>
      <c r="J2646" t="inlineStr">
        <is>
          <t>Lucas Martin</t>
        </is>
      </c>
      <c r="K2646" s="70" t="n">
        <v>629</v>
      </c>
      <c r="L2646" s="71" t="n">
        <v>482.62</v>
      </c>
      <c r="M2646" s="71" t="n">
        <v>303567.98</v>
      </c>
      <c r="N2646" s="71" t="n">
        <v>106248.79</v>
      </c>
      <c r="O2646" s="71" t="n">
        <v>197319.19</v>
      </c>
      <c r="P2646" s="71" t="n">
        <v>50764.36</v>
      </c>
      <c r="Q2646" s="71" t="n">
        <v>146554.83</v>
      </c>
      <c r="R2646" t="inlineStr">
        <is>
          <t>Vaccines</t>
        </is>
      </c>
      <c r="S2646" s="70" t="n">
        <v>418</v>
      </c>
      <c r="T2646" s="71" t="n">
        <v>55425.45</v>
      </c>
      <c r="U2646" t="inlineStr">
        <is>
          <t>Low</t>
        </is>
      </c>
      <c r="V2646">
        <f>IF(AND(OR(Dashboard!$C$6="All",E2646=Dashboard!$C$6),OR(Dashboard!$F$6="All",G2646=Dashboard!$F$6),OR(Dashboard!$I$6="All",H2646=Dashboard!$I$6)),1,0)</f>
        <v/>
      </c>
    </row>
    <row r="2647">
      <c r="A2647" t="inlineStr">
        <is>
          <t>PF102638</t>
        </is>
      </c>
      <c r="B2647" s="68" t="n">
        <v>45976</v>
      </c>
      <c r="C2647" s="69" t="n">
        <v>2025</v>
      </c>
      <c r="D2647" t="inlineStr">
        <is>
          <t>Nov</t>
        </is>
      </c>
      <c r="E2647" t="inlineStr">
        <is>
          <t>United States</t>
        </is>
      </c>
      <c r="F2647" t="inlineStr">
        <is>
          <t>USA</t>
        </is>
      </c>
      <c r="G2647" t="inlineStr">
        <is>
          <t>Abrysvo</t>
        </is>
      </c>
      <c r="H2647" t="inlineStr">
        <is>
          <t>Retail pharmacy</t>
        </is>
      </c>
      <c r="I2647" t="inlineStr">
        <is>
          <t>Private insurer</t>
        </is>
      </c>
      <c r="J2647" t="inlineStr">
        <is>
          <t>Ana Costa</t>
        </is>
      </c>
      <c r="K2647" s="70" t="n">
        <v>1088</v>
      </c>
      <c r="L2647" s="71" t="n">
        <v>471.87</v>
      </c>
      <c r="M2647" s="71" t="n">
        <v>513394.56</v>
      </c>
      <c r="N2647" s="71" t="n">
        <v>102678.91</v>
      </c>
      <c r="O2647" s="71" t="n">
        <v>410715.65</v>
      </c>
      <c r="P2647" s="71" t="n">
        <v>88435.66</v>
      </c>
      <c r="Q2647" s="71" t="n">
        <v>322279.99</v>
      </c>
      <c r="R2647" t="inlineStr">
        <is>
          <t>Vaccines</t>
        </is>
      </c>
      <c r="S2647" s="70" t="n">
        <v>726</v>
      </c>
      <c r="T2647" s="71" t="n">
        <v>64934.22</v>
      </c>
      <c r="U2647" t="inlineStr">
        <is>
          <t>Low</t>
        </is>
      </c>
      <c r="V2647">
        <f>IF(AND(OR(Dashboard!$C$6="All",E2647=Dashboard!$C$6),OR(Dashboard!$F$6="All",G2647=Dashboard!$F$6),OR(Dashboard!$I$6="All",H2647=Dashboard!$I$6)),1,0)</f>
        <v/>
      </c>
    </row>
    <row r="2648">
      <c r="A2648" t="inlineStr">
        <is>
          <t>PF102639</t>
        </is>
      </c>
      <c r="B2648" s="68" t="n">
        <v>45976</v>
      </c>
      <c r="C2648" s="69" t="n">
        <v>2025</v>
      </c>
      <c r="D2648" t="inlineStr">
        <is>
          <t>Nov</t>
        </is>
      </c>
      <c r="E2648" t="inlineStr">
        <is>
          <t>United States</t>
        </is>
      </c>
      <c r="F2648" t="inlineStr">
        <is>
          <t>USA</t>
        </is>
      </c>
      <c r="G2648" t="inlineStr">
        <is>
          <t>Comirnaty</t>
        </is>
      </c>
      <c r="H2648" t="inlineStr">
        <is>
          <t>Retail pharmacy</t>
        </is>
      </c>
      <c r="I2648" t="inlineStr">
        <is>
          <t>Private insurer</t>
        </is>
      </c>
      <c r="J2648" t="inlineStr">
        <is>
          <t>Sophie Müller</t>
        </is>
      </c>
      <c r="K2648" s="70" t="n">
        <v>129</v>
      </c>
      <c r="L2648" s="71" t="n">
        <v>164.51</v>
      </c>
      <c r="M2648" s="71" t="n">
        <v>21221.79</v>
      </c>
      <c r="N2648" s="71" t="n">
        <v>4244.36</v>
      </c>
      <c r="O2648" s="71" t="n">
        <v>16977.43</v>
      </c>
      <c r="P2648" s="71" t="n">
        <v>4837.64</v>
      </c>
      <c r="Q2648" s="71" t="n">
        <v>12139.79</v>
      </c>
      <c r="R2648" t="inlineStr">
        <is>
          <t>Vaccines</t>
        </is>
      </c>
      <c r="S2648" s="70" t="n">
        <v>120</v>
      </c>
      <c r="T2648" s="71" t="n">
        <v>3570.07</v>
      </c>
      <c r="U2648" t="inlineStr">
        <is>
          <t>Low</t>
        </is>
      </c>
      <c r="V2648">
        <f>IF(AND(OR(Dashboard!$C$6="All",E2648=Dashboard!$C$6),OR(Dashboard!$F$6="All",G2648=Dashboard!$F$6),OR(Dashboard!$I$6="All",H2648=Dashboard!$I$6)),1,0)</f>
        <v/>
      </c>
    </row>
    <row r="2649">
      <c r="A2649" t="inlineStr">
        <is>
          <t>PF102640</t>
        </is>
      </c>
      <c r="B2649" s="68" t="n">
        <v>45976</v>
      </c>
      <c r="C2649" s="69" t="n">
        <v>2025</v>
      </c>
      <c r="D2649" t="inlineStr">
        <is>
          <t>Nov</t>
        </is>
      </c>
      <c r="E2649" t="inlineStr">
        <is>
          <t>United States</t>
        </is>
      </c>
      <c r="F2649" t="inlineStr">
        <is>
          <t>USA</t>
        </is>
      </c>
      <c r="G2649" t="inlineStr">
        <is>
          <t>Eliquis</t>
        </is>
      </c>
      <c r="H2649" t="inlineStr">
        <is>
          <t>Hospital</t>
        </is>
      </c>
      <c r="I2649" t="inlineStr">
        <is>
          <t>Public payer</t>
        </is>
      </c>
      <c r="J2649" t="inlineStr">
        <is>
          <t>Olivia Brown</t>
        </is>
      </c>
      <c r="K2649" s="70" t="n">
        <v>286</v>
      </c>
      <c r="L2649" s="71" t="n">
        <v>640.05</v>
      </c>
      <c r="M2649" s="71" t="n">
        <v>183054.3</v>
      </c>
      <c r="N2649" s="71" t="n">
        <v>54916.29</v>
      </c>
      <c r="O2649" s="71" t="n">
        <v>128138.01</v>
      </c>
      <c r="P2649" s="71" t="n">
        <v>21992.54</v>
      </c>
      <c r="Q2649" s="71" t="n">
        <v>106145.47</v>
      </c>
      <c r="R2649" t="inlineStr">
        <is>
          <t>Cardiology</t>
        </is>
      </c>
      <c r="S2649" s="70" t="n">
        <v>285</v>
      </c>
      <c r="T2649" s="71" t="n">
        <v>36943.35</v>
      </c>
      <c r="U2649" t="inlineStr">
        <is>
          <t>High</t>
        </is>
      </c>
      <c r="V2649">
        <f>IF(AND(OR(Dashboard!$C$6="All",E2649=Dashboard!$C$6),OR(Dashboard!$F$6="All",G2649=Dashboard!$F$6),OR(Dashboard!$I$6="All",H2649=Dashboard!$I$6)),1,0)</f>
        <v/>
      </c>
    </row>
    <row r="2650">
      <c r="A2650" t="inlineStr">
        <is>
          <t>PF102641</t>
        </is>
      </c>
      <c r="B2650" s="68" t="n">
        <v>45976</v>
      </c>
      <c r="C2650" s="69" t="n">
        <v>2025</v>
      </c>
      <c r="D2650" t="inlineStr">
        <is>
          <t>Nov</t>
        </is>
      </c>
      <c r="E2650" t="inlineStr">
        <is>
          <t>Europe</t>
        </is>
      </c>
      <c r="F2650" t="inlineStr">
        <is>
          <t>Germany</t>
        </is>
      </c>
      <c r="G2650" t="inlineStr">
        <is>
          <t>Comirnaty</t>
        </is>
      </c>
      <c r="H2650" t="inlineStr">
        <is>
          <t>Retail pharmacy</t>
        </is>
      </c>
      <c r="I2650" t="inlineStr">
        <is>
          <t>Public payer</t>
        </is>
      </c>
      <c r="J2650" t="inlineStr">
        <is>
          <t>Fatima Al-Saud</t>
        </is>
      </c>
      <c r="K2650" s="70" t="n">
        <v>1945</v>
      </c>
      <c r="L2650" s="71" t="n">
        <v>105.13</v>
      </c>
      <c r="M2650" s="71" t="n">
        <v>204477.85</v>
      </c>
      <c r="N2650" s="71" t="n">
        <v>20447.79</v>
      </c>
      <c r="O2650" s="71" t="n">
        <v>184030.06</v>
      </c>
      <c r="P2650" s="71" t="n">
        <v>77636.06</v>
      </c>
      <c r="Q2650" s="71" t="n">
        <v>106394</v>
      </c>
      <c r="R2650" t="inlineStr">
        <is>
          <t>Vaccines</t>
        </is>
      </c>
      <c r="S2650" s="70" t="n">
        <v>1640</v>
      </c>
      <c r="T2650" s="71" t="n">
        <v>42565.33</v>
      </c>
      <c r="U2650" t="inlineStr">
        <is>
          <t>Low</t>
        </is>
      </c>
      <c r="V2650">
        <f>IF(AND(OR(Dashboard!$C$6="All",E2650=Dashboard!$C$6),OR(Dashboard!$F$6="All",G2650=Dashboard!$F$6),OR(Dashboard!$I$6="All",H2650=Dashboard!$I$6)),1,0)</f>
        <v/>
      </c>
    </row>
    <row r="2651">
      <c r="A2651" t="inlineStr">
        <is>
          <t>PF102642</t>
        </is>
      </c>
      <c r="B2651" s="68" t="n">
        <v>45976</v>
      </c>
      <c r="C2651" s="69" t="n">
        <v>2025</v>
      </c>
      <c r="D2651" t="inlineStr">
        <is>
          <t>Nov</t>
        </is>
      </c>
      <c r="E2651" t="inlineStr">
        <is>
          <t>United States</t>
        </is>
      </c>
      <c r="F2651" t="inlineStr">
        <is>
          <t>USA</t>
        </is>
      </c>
      <c r="G2651" t="inlineStr">
        <is>
          <t>Eliquis</t>
        </is>
      </c>
      <c r="H2651" t="inlineStr">
        <is>
          <t>Hospital</t>
        </is>
      </c>
      <c r="I2651" t="inlineStr">
        <is>
          <t>Private insurer</t>
        </is>
      </c>
      <c r="J2651" t="inlineStr">
        <is>
          <t>Ravindra Patil</t>
        </is>
      </c>
      <c r="K2651" s="70" t="n">
        <v>2492</v>
      </c>
      <c r="L2651" s="71" t="n">
        <v>697.02</v>
      </c>
      <c r="M2651" s="71" t="n">
        <v>1736973.84</v>
      </c>
      <c r="N2651" s="71" t="n">
        <v>434243.46</v>
      </c>
      <c r="O2651" s="71" t="n">
        <v>1302730.38</v>
      </c>
      <c r="P2651" s="71" t="n">
        <v>186986.48</v>
      </c>
      <c r="Q2651" s="71" t="n">
        <v>1115743.9</v>
      </c>
      <c r="R2651" t="inlineStr">
        <is>
          <t>Cardiology</t>
        </is>
      </c>
      <c r="S2651" s="70" t="n">
        <v>1897</v>
      </c>
      <c r="T2651" s="71" t="n">
        <v>266354.73</v>
      </c>
      <c r="U2651" t="inlineStr">
        <is>
          <t>High</t>
        </is>
      </c>
      <c r="V2651">
        <f>IF(AND(OR(Dashboard!$C$6="All",E2651=Dashboard!$C$6),OR(Dashboard!$F$6="All",G2651=Dashboard!$F$6),OR(Dashboard!$I$6="All",H2651=Dashboard!$I$6)),1,0)</f>
        <v/>
      </c>
    </row>
    <row r="2652">
      <c r="A2652" t="inlineStr">
        <is>
          <t>PF102643</t>
        </is>
      </c>
      <c r="B2652" s="68" t="n">
        <v>45976</v>
      </c>
      <c r="C2652" s="69" t="n">
        <v>2025</v>
      </c>
      <c r="D2652" t="inlineStr">
        <is>
          <t>Nov</t>
        </is>
      </c>
      <c r="E2652" t="inlineStr">
        <is>
          <t>Emerging markets</t>
        </is>
      </c>
      <c r="F2652" t="inlineStr">
        <is>
          <t>Brazil</t>
        </is>
      </c>
      <c r="G2652" t="inlineStr">
        <is>
          <t>Paxlovid</t>
        </is>
      </c>
      <c r="H2652" t="inlineStr">
        <is>
          <t>Hospital</t>
        </is>
      </c>
      <c r="I2652" t="inlineStr">
        <is>
          <t>Private insurer</t>
        </is>
      </c>
      <c r="J2652" t="inlineStr">
        <is>
          <t>Zoya Ahmed</t>
        </is>
      </c>
      <c r="K2652" s="70" t="n">
        <v>2900</v>
      </c>
      <c r="L2652" s="71" t="n">
        <v>997.3099999999999</v>
      </c>
      <c r="M2652" s="71" t="n">
        <v>2892199</v>
      </c>
      <c r="N2652" s="71" t="n">
        <v>144609.95</v>
      </c>
      <c r="O2652" s="71" t="n">
        <v>2747589.05</v>
      </c>
      <c r="P2652" s="71" t="n">
        <v>783893.16</v>
      </c>
      <c r="Q2652" s="71" t="n">
        <v>1963695.89</v>
      </c>
      <c r="R2652" t="inlineStr">
        <is>
          <t>Antiviral</t>
        </is>
      </c>
      <c r="S2652" s="70" t="n">
        <v>2372</v>
      </c>
      <c r="T2652" s="71" t="n">
        <v>600025.12</v>
      </c>
      <c r="U2652" t="inlineStr">
        <is>
          <t>Low</t>
        </is>
      </c>
      <c r="V2652">
        <f>IF(AND(OR(Dashboard!$C$6="All",E2652=Dashboard!$C$6),OR(Dashboard!$F$6="All",G2652=Dashboard!$F$6),OR(Dashboard!$I$6="All",H2652=Dashboard!$I$6)),1,0)</f>
        <v/>
      </c>
    </row>
    <row r="2653">
      <c r="A2653" t="inlineStr">
        <is>
          <t>PF102644</t>
        </is>
      </c>
      <c r="B2653" s="68" t="n">
        <v>45977</v>
      </c>
      <c r="C2653" s="69" t="n">
        <v>2025</v>
      </c>
      <c r="D2653" t="inlineStr">
        <is>
          <t>Nov</t>
        </is>
      </c>
      <c r="E2653" t="inlineStr">
        <is>
          <t>United States</t>
        </is>
      </c>
      <c r="F2653" t="inlineStr">
        <is>
          <t>USA</t>
        </is>
      </c>
      <c r="G2653" t="inlineStr">
        <is>
          <t>Eliquis</t>
        </is>
      </c>
      <c r="H2653" t="inlineStr">
        <is>
          <t>Government / tender</t>
        </is>
      </c>
      <c r="I2653" t="inlineStr">
        <is>
          <t>Public payer</t>
        </is>
      </c>
      <c r="J2653" t="inlineStr">
        <is>
          <t>Priya Nair</t>
        </is>
      </c>
      <c r="K2653" s="70" t="n">
        <v>2533</v>
      </c>
      <c r="L2653" s="71" t="n">
        <v>677.12</v>
      </c>
      <c r="M2653" s="71" t="n">
        <v>1715144.96</v>
      </c>
      <c r="N2653" s="71" t="n">
        <v>257271.74</v>
      </c>
      <c r="O2653" s="71" t="n">
        <v>1457873.22</v>
      </c>
      <c r="P2653" s="71" t="n">
        <v>185134.76</v>
      </c>
      <c r="Q2653" s="71" t="n">
        <v>1272738.46</v>
      </c>
      <c r="R2653" t="inlineStr">
        <is>
          <t>Cardiology</t>
        </is>
      </c>
      <c r="S2653" s="70" t="n">
        <v>2117</v>
      </c>
      <c r="T2653" s="71" t="n">
        <v>302851.4</v>
      </c>
      <c r="U2653" t="inlineStr">
        <is>
          <t>High</t>
        </is>
      </c>
      <c r="V2653">
        <f>IF(AND(OR(Dashboard!$C$6="All",E2653=Dashboard!$C$6),OR(Dashboard!$F$6="All",G2653=Dashboard!$F$6),OR(Dashboard!$I$6="All",H2653=Dashboard!$I$6)),1,0)</f>
        <v/>
      </c>
    </row>
    <row r="2654">
      <c r="A2654" t="inlineStr">
        <is>
          <t>PF102645</t>
        </is>
      </c>
      <c r="B2654" s="68" t="n">
        <v>45977</v>
      </c>
      <c r="C2654" s="69" t="n">
        <v>2025</v>
      </c>
      <c r="D2654" t="inlineStr">
        <is>
          <t>Nov</t>
        </is>
      </c>
      <c r="E2654" t="inlineStr">
        <is>
          <t>United States</t>
        </is>
      </c>
      <c r="F2654" t="inlineStr">
        <is>
          <t>USA</t>
        </is>
      </c>
      <c r="G2654" t="inlineStr">
        <is>
          <t>Paxlovid</t>
        </is>
      </c>
      <c r="H2654" t="inlineStr">
        <is>
          <t>Retail pharmacy</t>
        </is>
      </c>
      <c r="I2654" t="inlineStr">
        <is>
          <t>Private insurer</t>
        </is>
      </c>
      <c r="J2654" t="inlineStr">
        <is>
          <t>Amir Khan</t>
        </is>
      </c>
      <c r="K2654" s="70" t="n">
        <v>375</v>
      </c>
      <c r="L2654" s="71" t="n">
        <v>1761.6</v>
      </c>
      <c r="M2654" s="71" t="n">
        <v>660600</v>
      </c>
      <c r="N2654" s="71" t="n">
        <v>198180</v>
      </c>
      <c r="O2654" s="71" t="n">
        <v>462420</v>
      </c>
      <c r="P2654" s="71" t="n">
        <v>99991.06</v>
      </c>
      <c r="Q2654" s="71" t="n">
        <v>362428.94</v>
      </c>
      <c r="R2654" t="inlineStr">
        <is>
          <t>Antiviral</t>
        </is>
      </c>
      <c r="S2654" s="70" t="n">
        <v>313</v>
      </c>
      <c r="T2654" s="71" t="n">
        <v>106692.34</v>
      </c>
      <c r="U2654" t="inlineStr">
        <is>
          <t>Low</t>
        </is>
      </c>
      <c r="V2654">
        <f>IF(AND(OR(Dashboard!$C$6="All",E2654=Dashboard!$C$6),OR(Dashboard!$F$6="All",G2654=Dashboard!$F$6),OR(Dashboard!$I$6="All",H2654=Dashboard!$I$6)),1,0)</f>
        <v/>
      </c>
    </row>
    <row r="2655">
      <c r="A2655" t="inlineStr">
        <is>
          <t>PF102646</t>
        </is>
      </c>
      <c r="B2655" s="68" t="n">
        <v>45977</v>
      </c>
      <c r="C2655" s="69" t="n">
        <v>2025</v>
      </c>
      <c r="D2655" t="inlineStr">
        <is>
          <t>Nov</t>
        </is>
      </c>
      <c r="E2655" t="inlineStr">
        <is>
          <t>United States</t>
        </is>
      </c>
      <c r="F2655" t="inlineStr">
        <is>
          <t>USA</t>
        </is>
      </c>
      <c r="G2655" t="inlineStr">
        <is>
          <t>Abrysvo</t>
        </is>
      </c>
      <c r="H2655" t="inlineStr">
        <is>
          <t>Hospital</t>
        </is>
      </c>
      <c r="I2655" t="inlineStr">
        <is>
          <t>Self-pay</t>
        </is>
      </c>
      <c r="J2655" t="inlineStr">
        <is>
          <t>Aisha Bello</t>
        </is>
      </c>
      <c r="K2655" s="70" t="n">
        <v>755</v>
      </c>
      <c r="L2655" s="71" t="n">
        <v>412.43</v>
      </c>
      <c r="M2655" s="71" t="n">
        <v>311384.65</v>
      </c>
      <c r="N2655" s="71" t="n">
        <v>93415.39999999999</v>
      </c>
      <c r="O2655" s="71" t="n">
        <v>217969.25</v>
      </c>
      <c r="P2655" s="71" t="n">
        <v>63863.25</v>
      </c>
      <c r="Q2655" s="71" t="n">
        <v>154106</v>
      </c>
      <c r="R2655" t="inlineStr">
        <is>
          <t>Vaccines</t>
        </is>
      </c>
      <c r="S2655" s="70" t="n">
        <v>644</v>
      </c>
      <c r="T2655" s="71" t="n">
        <v>40096.72</v>
      </c>
      <c r="U2655" t="inlineStr">
        <is>
          <t>Low</t>
        </is>
      </c>
      <c r="V2655">
        <f>IF(AND(OR(Dashboard!$C$6="All",E2655=Dashboard!$C$6),OR(Dashboard!$F$6="All",G2655=Dashboard!$F$6),OR(Dashboard!$I$6="All",H2655=Dashboard!$I$6)),1,0)</f>
        <v/>
      </c>
    </row>
    <row r="2656">
      <c r="A2656" t="inlineStr">
        <is>
          <t>PF102647</t>
        </is>
      </c>
      <c r="B2656" s="68" t="n">
        <v>45977</v>
      </c>
      <c r="C2656" s="69" t="n">
        <v>2025</v>
      </c>
      <c r="D2656" t="inlineStr">
        <is>
          <t>Nov</t>
        </is>
      </c>
      <c r="E2656" t="inlineStr">
        <is>
          <t>Emerging markets</t>
        </is>
      </c>
      <c r="F2656" t="inlineStr">
        <is>
          <t>India</t>
        </is>
      </c>
      <c r="G2656" t="inlineStr">
        <is>
          <t>Vyndaqel</t>
        </is>
      </c>
      <c r="H2656" t="inlineStr">
        <is>
          <t>Retail pharmacy</t>
        </is>
      </c>
      <c r="I2656" t="inlineStr">
        <is>
          <t>Private insurer</t>
        </is>
      </c>
      <c r="J2656" t="inlineStr">
        <is>
          <t>Aisha Bello</t>
        </is>
      </c>
      <c r="K2656" s="70" t="n">
        <v>737</v>
      </c>
      <c r="L2656" s="71" t="n">
        <v>5285.18</v>
      </c>
      <c r="M2656" s="71" t="n">
        <v>3895177.66</v>
      </c>
      <c r="N2656" s="71" t="n">
        <v>779035.53</v>
      </c>
      <c r="O2656" s="71" t="n">
        <v>3116142.13</v>
      </c>
      <c r="P2656" s="71" t="n">
        <v>467646.45</v>
      </c>
      <c r="Q2656" s="71" t="n">
        <v>2648495.68</v>
      </c>
      <c r="R2656" t="inlineStr">
        <is>
          <t>Rare disease</t>
        </is>
      </c>
      <c r="S2656" s="70" t="n">
        <v>486</v>
      </c>
      <c r="T2656" s="71" t="n">
        <v>754342.74</v>
      </c>
      <c r="U2656" t="inlineStr">
        <is>
          <t>Medium</t>
        </is>
      </c>
      <c r="V2656">
        <f>IF(AND(OR(Dashboard!$C$6="All",E2656=Dashboard!$C$6),OR(Dashboard!$F$6="All",G2656=Dashboard!$F$6),OR(Dashboard!$I$6="All",H2656=Dashboard!$I$6)),1,0)</f>
        <v/>
      </c>
    </row>
    <row r="2657">
      <c r="A2657" t="inlineStr">
        <is>
          <t>PF102648</t>
        </is>
      </c>
      <c r="B2657" s="68" t="n">
        <v>45977</v>
      </c>
      <c r="C2657" s="69" t="n">
        <v>2025</v>
      </c>
      <c r="D2657" t="inlineStr">
        <is>
          <t>Nov</t>
        </is>
      </c>
      <c r="E2657" t="inlineStr">
        <is>
          <t>International developed</t>
        </is>
      </c>
      <c r="F2657" t="inlineStr">
        <is>
          <t>Canada</t>
        </is>
      </c>
      <c r="G2657" t="inlineStr">
        <is>
          <t>Eliquis</t>
        </is>
      </c>
      <c r="H2657" t="inlineStr">
        <is>
          <t>Retail pharmacy</t>
        </is>
      </c>
      <c r="I2657" t="inlineStr">
        <is>
          <t>Private insurer</t>
        </is>
      </c>
      <c r="J2657" t="inlineStr">
        <is>
          <t>Priya Nair</t>
        </is>
      </c>
      <c r="K2657" s="70" t="n">
        <v>2933</v>
      </c>
      <c r="L2657" s="71" t="n">
        <v>440.33</v>
      </c>
      <c r="M2657" s="71" t="n">
        <v>1291487.89</v>
      </c>
      <c r="N2657" s="71" t="n">
        <v>64574.39</v>
      </c>
      <c r="O2657" s="71" t="n">
        <v>1226913.5</v>
      </c>
      <c r="P2657" s="71" t="n">
        <v>214641.8</v>
      </c>
      <c r="Q2657" s="71" t="n">
        <v>1012271.7</v>
      </c>
      <c r="R2657" t="inlineStr">
        <is>
          <t>Cardiology</t>
        </is>
      </c>
      <c r="S2657" s="70" t="n">
        <v>2316</v>
      </c>
      <c r="T2657" s="71" t="n">
        <v>163120.73</v>
      </c>
      <c r="U2657" t="inlineStr">
        <is>
          <t>High</t>
        </is>
      </c>
      <c r="V2657">
        <f>IF(AND(OR(Dashboard!$C$6="All",E2657=Dashboard!$C$6),OR(Dashboard!$F$6="All",G2657=Dashboard!$F$6),OR(Dashboard!$I$6="All",H2657=Dashboard!$I$6)),1,0)</f>
        <v/>
      </c>
    </row>
    <row r="2658">
      <c r="A2658" t="inlineStr">
        <is>
          <t>PF102649</t>
        </is>
      </c>
      <c r="B2658" s="68" t="n">
        <v>45977</v>
      </c>
      <c r="C2658" s="69" t="n">
        <v>2025</v>
      </c>
      <c r="D2658" t="inlineStr">
        <is>
          <t>Nov</t>
        </is>
      </c>
      <c r="E2658" t="inlineStr">
        <is>
          <t>Europe</t>
        </is>
      </c>
      <c r="F2658" t="inlineStr">
        <is>
          <t>UK</t>
        </is>
      </c>
      <c r="G2658" t="inlineStr">
        <is>
          <t>Comirnaty</t>
        </is>
      </c>
      <c r="H2658" t="inlineStr">
        <is>
          <t>Retail pharmacy</t>
        </is>
      </c>
      <c r="I2658" t="inlineStr">
        <is>
          <t>Private insurer</t>
        </is>
      </c>
      <c r="J2658" t="inlineStr">
        <is>
          <t>Lucas Martin</t>
        </is>
      </c>
      <c r="K2658" s="70" t="n">
        <v>2886</v>
      </c>
      <c r="L2658" s="71" t="n">
        <v>111.09</v>
      </c>
      <c r="M2658" s="71" t="n">
        <v>320605.74</v>
      </c>
      <c r="N2658" s="71" t="n">
        <v>48090.86</v>
      </c>
      <c r="O2658" s="71" t="n">
        <v>272514.88</v>
      </c>
      <c r="P2658" s="71" t="n">
        <v>112405.84</v>
      </c>
      <c r="Q2658" s="71" t="n">
        <v>160109.04</v>
      </c>
      <c r="R2658" t="inlineStr">
        <is>
          <t>Vaccines</t>
        </is>
      </c>
      <c r="S2658" s="70" t="n">
        <v>2415</v>
      </c>
      <c r="T2658" s="71" t="n">
        <v>62556.13</v>
      </c>
      <c r="U2658" t="inlineStr">
        <is>
          <t>Low</t>
        </is>
      </c>
      <c r="V2658">
        <f>IF(AND(OR(Dashboard!$C$6="All",E2658=Dashboard!$C$6),OR(Dashboard!$F$6="All",G2658=Dashboard!$F$6),OR(Dashboard!$I$6="All",H2658=Dashboard!$I$6)),1,0)</f>
        <v/>
      </c>
    </row>
    <row r="2659">
      <c r="A2659" t="inlineStr">
        <is>
          <t>PF102650</t>
        </is>
      </c>
      <c r="B2659" s="68" t="n">
        <v>45977</v>
      </c>
      <c r="C2659" s="69" t="n">
        <v>2025</v>
      </c>
      <c r="D2659" t="inlineStr">
        <is>
          <t>Nov</t>
        </is>
      </c>
      <c r="E2659" t="inlineStr">
        <is>
          <t>United States</t>
        </is>
      </c>
      <c r="F2659" t="inlineStr">
        <is>
          <t>USA</t>
        </is>
      </c>
      <c r="G2659" t="inlineStr">
        <is>
          <t>Prevnar 20</t>
        </is>
      </c>
      <c r="H2659" t="inlineStr">
        <is>
          <t>Hospital</t>
        </is>
      </c>
      <c r="I2659" t="inlineStr">
        <is>
          <t>Self-pay</t>
        </is>
      </c>
      <c r="J2659" t="inlineStr">
        <is>
          <t>Emma Clarke</t>
        </is>
      </c>
      <c r="K2659" s="70" t="n">
        <v>762</v>
      </c>
      <c r="L2659" s="71" t="n">
        <v>401.06</v>
      </c>
      <c r="M2659" s="71" t="n">
        <v>305607.72</v>
      </c>
      <c r="N2659" s="71" t="n">
        <v>76401.92999999999</v>
      </c>
      <c r="O2659" s="71" t="n">
        <v>229205.79</v>
      </c>
      <c r="P2659" s="71" t="n">
        <v>52651.81</v>
      </c>
      <c r="Q2659" s="71" t="n">
        <v>176553.98</v>
      </c>
      <c r="R2659" t="inlineStr">
        <is>
          <t>Vaccines</t>
        </is>
      </c>
      <c r="S2659" s="70" t="n">
        <v>672</v>
      </c>
      <c r="T2659" s="71" t="n">
        <v>55209.14</v>
      </c>
      <c r="U2659" t="inlineStr">
        <is>
          <t>Low</t>
        </is>
      </c>
      <c r="V2659">
        <f>IF(AND(OR(Dashboard!$C$6="All",E2659=Dashboard!$C$6),OR(Dashboard!$F$6="All",G2659=Dashboard!$F$6),OR(Dashboard!$I$6="All",H2659=Dashboard!$I$6)),1,0)</f>
        <v/>
      </c>
    </row>
    <row r="2660">
      <c r="A2660" t="inlineStr">
        <is>
          <t>PF102651</t>
        </is>
      </c>
      <c r="B2660" s="68" t="n">
        <v>45977</v>
      </c>
      <c r="C2660" s="69" t="n">
        <v>2025</v>
      </c>
      <c r="D2660" t="inlineStr">
        <is>
          <t>Nov</t>
        </is>
      </c>
      <c r="E2660" t="inlineStr">
        <is>
          <t>United States</t>
        </is>
      </c>
      <c r="F2660" t="inlineStr">
        <is>
          <t>USA</t>
        </is>
      </c>
      <c r="G2660" t="inlineStr">
        <is>
          <t>Paxlovid</t>
        </is>
      </c>
      <c r="H2660" t="inlineStr">
        <is>
          <t>Retail pharmacy</t>
        </is>
      </c>
      <c r="I2660" t="inlineStr">
        <is>
          <t>Public payer</t>
        </is>
      </c>
      <c r="J2660" t="inlineStr">
        <is>
          <t>Emma Clarke</t>
        </is>
      </c>
      <c r="K2660" s="70" t="n">
        <v>260</v>
      </c>
      <c r="L2660" s="71" t="n">
        <v>1878.34</v>
      </c>
      <c r="M2660" s="71" t="n">
        <v>488368.4</v>
      </c>
      <c r="N2660" s="71" t="n">
        <v>146510.52</v>
      </c>
      <c r="O2660" s="71" t="n">
        <v>341857.88</v>
      </c>
      <c r="P2660" s="71" t="n">
        <v>70978.25999999999</v>
      </c>
      <c r="Q2660" s="71" t="n">
        <v>270879.62</v>
      </c>
      <c r="R2660" t="inlineStr">
        <is>
          <t>Antiviral</t>
        </is>
      </c>
      <c r="S2660" s="70" t="n">
        <v>175</v>
      </c>
      <c r="T2660" s="71" t="n">
        <v>88718.63</v>
      </c>
      <c r="U2660" t="inlineStr">
        <is>
          <t>Low</t>
        </is>
      </c>
      <c r="V2660">
        <f>IF(AND(OR(Dashboard!$C$6="All",E2660=Dashboard!$C$6),OR(Dashboard!$F$6="All",G2660=Dashboard!$F$6),OR(Dashboard!$I$6="All",H2660=Dashboard!$I$6)),1,0)</f>
        <v/>
      </c>
    </row>
    <row r="2661">
      <c r="A2661" t="inlineStr">
        <is>
          <t>PF102652</t>
        </is>
      </c>
      <c r="B2661" s="68" t="n">
        <v>45978</v>
      </c>
      <c r="C2661" s="69" t="n">
        <v>2025</v>
      </c>
      <c r="D2661" t="inlineStr">
        <is>
          <t>Nov</t>
        </is>
      </c>
      <c r="E2661" t="inlineStr">
        <is>
          <t>United States</t>
        </is>
      </c>
      <c r="F2661" t="inlineStr">
        <is>
          <t>USA</t>
        </is>
      </c>
      <c r="G2661" t="inlineStr">
        <is>
          <t>Eliquis</t>
        </is>
      </c>
      <c r="H2661" t="inlineStr">
        <is>
          <t>Retail pharmacy</t>
        </is>
      </c>
      <c r="I2661" t="inlineStr">
        <is>
          <t>Self-pay</t>
        </is>
      </c>
      <c r="J2661" t="inlineStr">
        <is>
          <t>Ana Costa</t>
        </is>
      </c>
      <c r="K2661" s="70" t="n">
        <v>3181</v>
      </c>
      <c r="L2661" s="71" t="n">
        <v>734.8</v>
      </c>
      <c r="M2661" s="71" t="n">
        <v>2337398.8</v>
      </c>
      <c r="N2661" s="71" t="n">
        <v>467479.76</v>
      </c>
      <c r="O2661" s="71" t="n">
        <v>1869919.04</v>
      </c>
      <c r="P2661" s="71" t="n">
        <v>244335.1</v>
      </c>
      <c r="Q2661" s="71" t="n">
        <v>1625583.94</v>
      </c>
      <c r="R2661" t="inlineStr">
        <is>
          <t>Cardiology</t>
        </is>
      </c>
      <c r="S2661" s="70" t="n">
        <v>2670</v>
      </c>
      <c r="T2661" s="71" t="n">
        <v>508080.36</v>
      </c>
      <c r="U2661" t="inlineStr">
        <is>
          <t>High</t>
        </is>
      </c>
      <c r="V2661">
        <f>IF(AND(OR(Dashboard!$C$6="All",E2661=Dashboard!$C$6),OR(Dashboard!$F$6="All",G2661=Dashboard!$F$6),OR(Dashboard!$I$6="All",H2661=Dashboard!$I$6)),1,0)</f>
        <v/>
      </c>
    </row>
    <row r="2662">
      <c r="A2662" t="inlineStr">
        <is>
          <t>PF102653</t>
        </is>
      </c>
      <c r="B2662" s="68" t="n">
        <v>45978</v>
      </c>
      <c r="C2662" s="69" t="n">
        <v>2025</v>
      </c>
      <c r="D2662" t="inlineStr">
        <is>
          <t>Nov</t>
        </is>
      </c>
      <c r="E2662" t="inlineStr">
        <is>
          <t>Emerging markets</t>
        </is>
      </c>
      <c r="F2662" t="inlineStr">
        <is>
          <t>China</t>
        </is>
      </c>
      <c r="G2662" t="inlineStr">
        <is>
          <t>Xeljanz</t>
        </is>
      </c>
      <c r="H2662" t="inlineStr">
        <is>
          <t>Government / tender</t>
        </is>
      </c>
      <c r="I2662" t="inlineStr">
        <is>
          <t>Public payer</t>
        </is>
      </c>
      <c r="J2662" t="inlineStr">
        <is>
          <t>Carlos Silva</t>
        </is>
      </c>
      <c r="K2662" s="70" t="n">
        <v>108</v>
      </c>
      <c r="L2662" s="71" t="n">
        <v>1344.46</v>
      </c>
      <c r="M2662" s="71" t="n">
        <v>145201.68</v>
      </c>
      <c r="N2662" s="71" t="n">
        <v>21780.25</v>
      </c>
      <c r="O2662" s="71" t="n">
        <v>123421.43</v>
      </c>
      <c r="P2662" s="71" t="n">
        <v>27841.04</v>
      </c>
      <c r="Q2662" s="71" t="n">
        <v>95580.39</v>
      </c>
      <c r="R2662" t="inlineStr">
        <is>
          <t>Inflammation</t>
        </is>
      </c>
      <c r="S2662" s="70" t="n">
        <v>82</v>
      </c>
      <c r="T2662" s="71" t="n">
        <v>25307.41</v>
      </c>
      <c r="U2662" t="inlineStr">
        <is>
          <t>High</t>
        </is>
      </c>
      <c r="V2662">
        <f>IF(AND(OR(Dashboard!$C$6="All",E2662=Dashboard!$C$6),OR(Dashboard!$F$6="All",G2662=Dashboard!$F$6),OR(Dashboard!$I$6="All",H2662=Dashboard!$I$6)),1,0)</f>
        <v/>
      </c>
    </row>
    <row r="2663">
      <c r="A2663" t="inlineStr">
        <is>
          <t>PF102654</t>
        </is>
      </c>
      <c r="B2663" s="68" t="n">
        <v>45978</v>
      </c>
      <c r="C2663" s="69" t="n">
        <v>2025</v>
      </c>
      <c r="D2663" t="inlineStr">
        <is>
          <t>Nov</t>
        </is>
      </c>
      <c r="E2663" t="inlineStr">
        <is>
          <t>United States</t>
        </is>
      </c>
      <c r="F2663" t="inlineStr">
        <is>
          <t>USA</t>
        </is>
      </c>
      <c r="G2663" t="inlineStr">
        <is>
          <t>Abrysvo</t>
        </is>
      </c>
      <c r="H2663" t="inlineStr">
        <is>
          <t>Retail pharmacy</t>
        </is>
      </c>
      <c r="I2663" t="inlineStr">
        <is>
          <t>Private insurer</t>
        </is>
      </c>
      <c r="J2663" t="inlineStr">
        <is>
          <t>Sara Rossi</t>
        </is>
      </c>
      <c r="K2663" s="70" t="n">
        <v>2320</v>
      </c>
      <c r="L2663" s="71" t="n">
        <v>434.93</v>
      </c>
      <c r="M2663" s="71" t="n">
        <v>1009037.6</v>
      </c>
      <c r="N2663" s="71" t="n">
        <v>252259.4</v>
      </c>
      <c r="O2663" s="71" t="n">
        <v>756778.2</v>
      </c>
      <c r="P2663" s="71" t="n">
        <v>196600.03</v>
      </c>
      <c r="Q2663" s="71" t="n">
        <v>560178.17</v>
      </c>
      <c r="R2663" t="inlineStr">
        <is>
          <t>Vaccines</t>
        </is>
      </c>
      <c r="S2663" s="70" t="n">
        <v>2190</v>
      </c>
      <c r="T2663" s="71" t="n">
        <v>197351.83</v>
      </c>
      <c r="U2663" t="inlineStr">
        <is>
          <t>Low</t>
        </is>
      </c>
      <c r="V2663">
        <f>IF(AND(OR(Dashboard!$C$6="All",E2663=Dashboard!$C$6),OR(Dashboard!$F$6="All",G2663=Dashboard!$F$6),OR(Dashboard!$I$6="All",H2663=Dashboard!$I$6)),1,0)</f>
        <v/>
      </c>
    </row>
    <row r="2664">
      <c r="A2664" t="inlineStr">
        <is>
          <t>PF102655</t>
        </is>
      </c>
      <c r="B2664" s="68" t="n">
        <v>45978</v>
      </c>
      <c r="C2664" s="69" t="n">
        <v>2025</v>
      </c>
      <c r="D2664" t="inlineStr">
        <is>
          <t>Nov</t>
        </is>
      </c>
      <c r="E2664" t="inlineStr">
        <is>
          <t>International developed</t>
        </is>
      </c>
      <c r="F2664" t="inlineStr">
        <is>
          <t>Japan</t>
        </is>
      </c>
      <c r="G2664" t="inlineStr">
        <is>
          <t>Eliquis</t>
        </is>
      </c>
      <c r="H2664" t="inlineStr">
        <is>
          <t>Hospital</t>
        </is>
      </c>
      <c r="I2664" t="inlineStr">
        <is>
          <t>Private insurer</t>
        </is>
      </c>
      <c r="J2664" t="inlineStr">
        <is>
          <t>Ana Costa</t>
        </is>
      </c>
      <c r="K2664" s="70" t="n">
        <v>2982</v>
      </c>
      <c r="L2664" s="71" t="n">
        <v>386.89</v>
      </c>
      <c r="M2664" s="71" t="n">
        <v>1153705.98</v>
      </c>
      <c r="N2664" s="71" t="n">
        <v>230741.2</v>
      </c>
      <c r="O2664" s="71" t="n">
        <v>922964.78</v>
      </c>
      <c r="P2664" s="71" t="n">
        <v>229607.02</v>
      </c>
      <c r="Q2664" s="71" t="n">
        <v>693357.76</v>
      </c>
      <c r="R2664" t="inlineStr">
        <is>
          <t>Cardiology</t>
        </is>
      </c>
      <c r="S2664" s="70" t="n">
        <v>2660</v>
      </c>
      <c r="T2664" s="71" t="n">
        <v>249473.11</v>
      </c>
      <c r="U2664" t="inlineStr">
        <is>
          <t>High</t>
        </is>
      </c>
      <c r="V2664">
        <f>IF(AND(OR(Dashboard!$C$6="All",E2664=Dashboard!$C$6),OR(Dashboard!$F$6="All",G2664=Dashboard!$F$6),OR(Dashboard!$I$6="All",H2664=Dashboard!$I$6)),1,0)</f>
        <v/>
      </c>
    </row>
    <row r="2665">
      <c r="A2665" t="inlineStr">
        <is>
          <t>PF102656</t>
        </is>
      </c>
      <c r="B2665" s="68" t="n">
        <v>45978</v>
      </c>
      <c r="C2665" s="69" t="n">
        <v>2025</v>
      </c>
      <c r="D2665" t="inlineStr">
        <is>
          <t>Nov</t>
        </is>
      </c>
      <c r="E2665" t="inlineStr">
        <is>
          <t>International developed</t>
        </is>
      </c>
      <c r="F2665" t="inlineStr">
        <is>
          <t>Japan</t>
        </is>
      </c>
      <c r="G2665" t="inlineStr">
        <is>
          <t>Prevnar 20</t>
        </is>
      </c>
      <c r="H2665" t="inlineStr">
        <is>
          <t>Hospital</t>
        </is>
      </c>
      <c r="I2665" t="inlineStr">
        <is>
          <t>Public payer</t>
        </is>
      </c>
      <c r="J2665" t="inlineStr">
        <is>
          <t>Sara Rossi</t>
        </is>
      </c>
      <c r="K2665" s="70" t="n">
        <v>1790</v>
      </c>
      <c r="L2665" s="71" t="n">
        <v>208.78</v>
      </c>
      <c r="M2665" s="71" t="n">
        <v>373716.2</v>
      </c>
      <c r="N2665" s="71" t="n">
        <v>37371.62</v>
      </c>
      <c r="O2665" s="71" t="n">
        <v>336344.58</v>
      </c>
      <c r="P2665" s="71" t="n">
        <v>119724.72</v>
      </c>
      <c r="Q2665" s="71" t="n">
        <v>216619.86</v>
      </c>
      <c r="R2665" t="inlineStr">
        <is>
          <t>Vaccines</t>
        </is>
      </c>
      <c r="S2665" s="70" t="n">
        <v>1247</v>
      </c>
      <c r="T2665" s="71" t="n">
        <v>57966.36</v>
      </c>
      <c r="U2665" t="inlineStr">
        <is>
          <t>Low</t>
        </is>
      </c>
      <c r="V2665">
        <f>IF(AND(OR(Dashboard!$C$6="All",E2665=Dashboard!$C$6),OR(Dashboard!$F$6="All",G2665=Dashboard!$F$6),OR(Dashboard!$I$6="All",H2665=Dashboard!$I$6)),1,0)</f>
        <v/>
      </c>
    </row>
    <row r="2666">
      <c r="A2666" t="inlineStr">
        <is>
          <t>PF102657</t>
        </is>
      </c>
      <c r="B2666" s="68" t="n">
        <v>45978</v>
      </c>
      <c r="C2666" s="69" t="n">
        <v>2025</v>
      </c>
      <c r="D2666" t="inlineStr">
        <is>
          <t>Nov</t>
        </is>
      </c>
      <c r="E2666" t="inlineStr">
        <is>
          <t>Emerging markets</t>
        </is>
      </c>
      <c r="F2666" t="inlineStr">
        <is>
          <t>Mexico</t>
        </is>
      </c>
      <c r="G2666" t="inlineStr">
        <is>
          <t>Paxlovid</t>
        </is>
      </c>
      <c r="H2666" t="inlineStr">
        <is>
          <t>Government / tender</t>
        </is>
      </c>
      <c r="I2666" t="inlineStr">
        <is>
          <t>Private insurer</t>
        </is>
      </c>
      <c r="J2666" t="inlineStr">
        <is>
          <t>Carlos Silva</t>
        </is>
      </c>
      <c r="K2666" s="70" t="n">
        <v>495</v>
      </c>
      <c r="L2666" s="71" t="n">
        <v>1154.34</v>
      </c>
      <c r="M2666" s="71" t="n">
        <v>571398.3</v>
      </c>
      <c r="N2666" s="71" t="n">
        <v>142849.58</v>
      </c>
      <c r="O2666" s="71" t="n">
        <v>428548.72</v>
      </c>
      <c r="P2666" s="71" t="n">
        <v>140387.06</v>
      </c>
      <c r="Q2666" s="71" t="n">
        <v>288161.66</v>
      </c>
      <c r="R2666" t="inlineStr">
        <is>
          <t>Antiviral</t>
        </is>
      </c>
      <c r="S2666" s="70" t="n">
        <v>488</v>
      </c>
      <c r="T2666" s="71" t="n">
        <v>124053.59</v>
      </c>
      <c r="U2666" t="inlineStr">
        <is>
          <t>Low</t>
        </is>
      </c>
      <c r="V2666">
        <f>IF(AND(OR(Dashboard!$C$6="All",E2666=Dashboard!$C$6),OR(Dashboard!$F$6="All",G2666=Dashboard!$F$6),OR(Dashboard!$I$6="All",H2666=Dashboard!$I$6)),1,0)</f>
        <v/>
      </c>
    </row>
    <row r="2667">
      <c r="A2667" t="inlineStr">
        <is>
          <t>PF102658</t>
        </is>
      </c>
      <c r="B2667" s="68" t="n">
        <v>45978</v>
      </c>
      <c r="C2667" s="69" t="n">
        <v>2025</v>
      </c>
      <c r="D2667" t="inlineStr">
        <is>
          <t>Nov</t>
        </is>
      </c>
      <c r="E2667" t="inlineStr">
        <is>
          <t>Europe</t>
        </is>
      </c>
      <c r="F2667" t="inlineStr">
        <is>
          <t>UK</t>
        </is>
      </c>
      <c r="G2667" t="inlineStr">
        <is>
          <t>Comirnaty</t>
        </is>
      </c>
      <c r="H2667" t="inlineStr">
        <is>
          <t>Retail pharmacy</t>
        </is>
      </c>
      <c r="I2667" t="inlineStr">
        <is>
          <t>Self-pay</t>
        </is>
      </c>
      <c r="J2667" t="inlineStr">
        <is>
          <t>Amir Khan</t>
        </is>
      </c>
      <c r="K2667" s="70" t="n">
        <v>1007</v>
      </c>
      <c r="L2667" s="71" t="n">
        <v>117.11</v>
      </c>
      <c r="M2667" s="71" t="n">
        <v>117929.77</v>
      </c>
      <c r="N2667" s="71" t="n">
        <v>23585.95</v>
      </c>
      <c r="O2667" s="71" t="n">
        <v>94343.82000000001</v>
      </c>
      <c r="P2667" s="71" t="n">
        <v>38734.31</v>
      </c>
      <c r="Q2667" s="71" t="n">
        <v>55609.51</v>
      </c>
      <c r="R2667" t="inlineStr">
        <is>
          <t>Vaccines</t>
        </is>
      </c>
      <c r="S2667" s="70" t="n">
        <v>771</v>
      </c>
      <c r="T2667" s="71" t="n">
        <v>18833.86</v>
      </c>
      <c r="U2667" t="inlineStr">
        <is>
          <t>Low</t>
        </is>
      </c>
      <c r="V2667">
        <f>IF(AND(OR(Dashboard!$C$6="All",E2667=Dashboard!$C$6),OR(Dashboard!$F$6="All",G2667=Dashboard!$F$6),OR(Dashboard!$I$6="All",H2667=Dashboard!$I$6)),1,0)</f>
        <v/>
      </c>
    </row>
    <row r="2668">
      <c r="A2668" t="inlineStr">
        <is>
          <t>PF102659</t>
        </is>
      </c>
      <c r="B2668" s="68" t="n">
        <v>45978</v>
      </c>
      <c r="C2668" s="69" t="n">
        <v>2025</v>
      </c>
      <c r="D2668" t="inlineStr">
        <is>
          <t>Nov</t>
        </is>
      </c>
      <c r="E2668" t="inlineStr">
        <is>
          <t>International developed</t>
        </is>
      </c>
      <c r="F2668" t="inlineStr">
        <is>
          <t>Japan</t>
        </is>
      </c>
      <c r="G2668" t="inlineStr">
        <is>
          <t>Prevnar 20</t>
        </is>
      </c>
      <c r="H2668" t="inlineStr">
        <is>
          <t>Hospital</t>
        </is>
      </c>
      <c r="I2668" t="inlineStr">
        <is>
          <t>Public payer</t>
        </is>
      </c>
      <c r="J2668" t="inlineStr">
        <is>
          <t>Sophie Müller</t>
        </is>
      </c>
      <c r="K2668" s="70" t="n">
        <v>240</v>
      </c>
      <c r="L2668" s="71" t="n">
        <v>216.71</v>
      </c>
      <c r="M2668" s="71" t="n">
        <v>52010.4</v>
      </c>
      <c r="N2668" s="71" t="n">
        <v>5201.04</v>
      </c>
      <c r="O2668" s="71" t="n">
        <v>46809.36</v>
      </c>
      <c r="P2668" s="71" t="n">
        <v>16468.85</v>
      </c>
      <c r="Q2668" s="71" t="n">
        <v>30340.51</v>
      </c>
      <c r="R2668" t="inlineStr">
        <is>
          <t>Vaccines</t>
        </is>
      </c>
      <c r="S2668" s="70" t="n">
        <v>151</v>
      </c>
      <c r="T2668" s="71" t="n">
        <v>9432.58</v>
      </c>
      <c r="U2668" t="inlineStr">
        <is>
          <t>Low</t>
        </is>
      </c>
      <c r="V2668">
        <f>IF(AND(OR(Dashboard!$C$6="All",E2668=Dashboard!$C$6),OR(Dashboard!$F$6="All",G2668=Dashboard!$F$6),OR(Dashboard!$I$6="All",H2668=Dashboard!$I$6)),1,0)</f>
        <v/>
      </c>
    </row>
    <row r="2669">
      <c r="A2669" t="inlineStr">
        <is>
          <t>PF102660</t>
        </is>
      </c>
      <c r="B2669" s="68" t="n">
        <v>45978</v>
      </c>
      <c r="C2669" s="69" t="n">
        <v>2025</v>
      </c>
      <c r="D2669" t="inlineStr">
        <is>
          <t>Nov</t>
        </is>
      </c>
      <c r="E2669" t="inlineStr">
        <is>
          <t>United States</t>
        </is>
      </c>
      <c r="F2669" t="inlineStr">
        <is>
          <t>USA</t>
        </is>
      </c>
      <c r="G2669" t="inlineStr">
        <is>
          <t>Xeljanz</t>
        </is>
      </c>
      <c r="H2669" t="inlineStr">
        <is>
          <t>Retail pharmacy</t>
        </is>
      </c>
      <c r="I2669" t="inlineStr">
        <is>
          <t>Public payer</t>
        </is>
      </c>
      <c r="J2669" t="inlineStr">
        <is>
          <t>Wei Chen</t>
        </is>
      </c>
      <c r="K2669" s="70" t="n">
        <v>209</v>
      </c>
      <c r="L2669" s="71" t="n">
        <v>2324.86</v>
      </c>
      <c r="M2669" s="71" t="n">
        <v>485895.74</v>
      </c>
      <c r="N2669" s="71" t="n">
        <v>97179.14999999999</v>
      </c>
      <c r="O2669" s="71" t="n">
        <v>388716.59</v>
      </c>
      <c r="P2669" s="71" t="n">
        <v>51248.48</v>
      </c>
      <c r="Q2669" s="71" t="n">
        <v>337468.11</v>
      </c>
      <c r="R2669" t="inlineStr">
        <is>
          <t>Inflammation</t>
        </is>
      </c>
      <c r="S2669" s="70" t="n">
        <v>156</v>
      </c>
      <c r="T2669" s="71" t="n">
        <v>64799.22</v>
      </c>
      <c r="U2669" t="inlineStr">
        <is>
          <t>High</t>
        </is>
      </c>
      <c r="V2669">
        <f>IF(AND(OR(Dashboard!$C$6="All",E2669=Dashboard!$C$6),OR(Dashboard!$F$6="All",G2669=Dashboard!$F$6),OR(Dashboard!$I$6="All",H2669=Dashboard!$I$6)),1,0)</f>
        <v/>
      </c>
    </row>
    <row r="2670">
      <c r="A2670" t="inlineStr">
        <is>
          <t>PF102661</t>
        </is>
      </c>
      <c r="B2670" s="68" t="n">
        <v>45978</v>
      </c>
      <c r="C2670" s="69" t="n">
        <v>2025</v>
      </c>
      <c r="D2670" t="inlineStr">
        <is>
          <t>Nov</t>
        </is>
      </c>
      <c r="E2670" t="inlineStr">
        <is>
          <t>Emerging markets</t>
        </is>
      </c>
      <c r="F2670" t="inlineStr">
        <is>
          <t>Brazil</t>
        </is>
      </c>
      <c r="G2670" t="inlineStr">
        <is>
          <t>Vyndaqel</t>
        </is>
      </c>
      <c r="H2670" t="inlineStr">
        <is>
          <t>Hospital</t>
        </is>
      </c>
      <c r="I2670" t="inlineStr">
        <is>
          <t>Private insurer</t>
        </is>
      </c>
      <c r="J2670" t="inlineStr">
        <is>
          <t>Kofi Mensah</t>
        </is>
      </c>
      <c r="K2670" s="70" t="n">
        <v>3269</v>
      </c>
      <c r="L2670" s="71" t="n">
        <v>5694.08</v>
      </c>
      <c r="M2670" s="71" t="n">
        <v>18613947.52</v>
      </c>
      <c r="N2670" s="71" t="n">
        <v>930697.38</v>
      </c>
      <c r="O2670" s="71" t="n">
        <v>17683250.14</v>
      </c>
      <c r="P2670" s="71" t="n">
        <v>2000071.52</v>
      </c>
      <c r="Q2670" s="71" t="n">
        <v>15683178.62</v>
      </c>
      <c r="R2670" t="inlineStr">
        <is>
          <t>Rare disease</t>
        </is>
      </c>
      <c r="S2670" s="70" t="n">
        <v>2431</v>
      </c>
      <c r="T2670" s="71" t="n">
        <v>2242403.32</v>
      </c>
      <c r="U2670" t="inlineStr">
        <is>
          <t>Medium</t>
        </is>
      </c>
      <c r="V2670">
        <f>IF(AND(OR(Dashboard!$C$6="All",E2670=Dashboard!$C$6),OR(Dashboard!$F$6="All",G2670=Dashboard!$F$6),OR(Dashboard!$I$6="All",H2670=Dashboard!$I$6)),1,0)</f>
        <v/>
      </c>
    </row>
    <row r="2671">
      <c r="A2671" t="inlineStr">
        <is>
          <t>PF102662</t>
        </is>
      </c>
      <c r="B2671" s="68" t="n">
        <v>45978</v>
      </c>
      <c r="C2671" s="69" t="n">
        <v>2025</v>
      </c>
      <c r="D2671" t="inlineStr">
        <is>
          <t>Nov</t>
        </is>
      </c>
      <c r="E2671" t="inlineStr">
        <is>
          <t>United States</t>
        </is>
      </c>
      <c r="F2671" t="inlineStr">
        <is>
          <t>USA</t>
        </is>
      </c>
      <c r="G2671" t="inlineStr">
        <is>
          <t>Vyndaqel</t>
        </is>
      </c>
      <c r="H2671" t="inlineStr">
        <is>
          <t>Government / tender</t>
        </is>
      </c>
      <c r="I2671" t="inlineStr">
        <is>
          <t>Self-pay</t>
        </is>
      </c>
      <c r="J2671" t="inlineStr">
        <is>
          <t>Liam O'Brien</t>
        </is>
      </c>
      <c r="K2671" s="70" t="n">
        <v>2398</v>
      </c>
      <c r="L2671" s="71" t="n">
        <v>8341.74</v>
      </c>
      <c r="M2671" s="71" t="n">
        <v>20003492.52</v>
      </c>
      <c r="N2671" s="71" t="n">
        <v>7001222.38</v>
      </c>
      <c r="O2671" s="71" t="n">
        <v>13002270.14</v>
      </c>
      <c r="P2671" s="71" t="n">
        <v>1486610.67</v>
      </c>
      <c r="Q2671" s="71" t="n">
        <v>11515659.47</v>
      </c>
      <c r="R2671" t="inlineStr">
        <is>
          <t>Rare disease</t>
        </is>
      </c>
      <c r="S2671" s="70" t="n">
        <v>1558</v>
      </c>
      <c r="T2671" s="71" t="n">
        <v>3609883.84</v>
      </c>
      <c r="U2671" t="inlineStr">
        <is>
          <t>Medium</t>
        </is>
      </c>
      <c r="V2671">
        <f>IF(AND(OR(Dashboard!$C$6="All",E2671=Dashboard!$C$6),OR(Dashboard!$F$6="All",G2671=Dashboard!$F$6),OR(Dashboard!$I$6="All",H2671=Dashboard!$I$6)),1,0)</f>
        <v/>
      </c>
    </row>
    <row r="2672">
      <c r="A2672" t="inlineStr">
        <is>
          <t>PF102663</t>
        </is>
      </c>
      <c r="B2672" s="68" t="n">
        <v>45979</v>
      </c>
      <c r="C2672" s="69" t="n">
        <v>2025</v>
      </c>
      <c r="D2672" t="inlineStr">
        <is>
          <t>Nov</t>
        </is>
      </c>
      <c r="E2672" t="inlineStr">
        <is>
          <t>United States</t>
        </is>
      </c>
      <c r="F2672" t="inlineStr">
        <is>
          <t>USA</t>
        </is>
      </c>
      <c r="G2672" t="inlineStr">
        <is>
          <t>Vyndaqel</t>
        </is>
      </c>
      <c r="H2672" t="inlineStr">
        <is>
          <t>Hospital</t>
        </is>
      </c>
      <c r="I2672" t="inlineStr">
        <is>
          <t>Private insurer</t>
        </is>
      </c>
      <c r="J2672" t="inlineStr">
        <is>
          <t>Shraddha Kulkarni</t>
        </is>
      </c>
      <c r="K2672" s="70" t="n">
        <v>3251</v>
      </c>
      <c r="L2672" s="71" t="n">
        <v>7566.27</v>
      </c>
      <c r="M2672" s="71" t="n">
        <v>24597943.77</v>
      </c>
      <c r="N2672" s="71" t="n">
        <v>8609280.32</v>
      </c>
      <c r="O2672" s="71" t="n">
        <v>15988663.45</v>
      </c>
      <c r="P2672" s="71" t="n">
        <v>1961845.48</v>
      </c>
      <c r="Q2672" s="71" t="n">
        <v>14026817.97</v>
      </c>
      <c r="R2672" t="inlineStr">
        <is>
          <t>Rare disease</t>
        </is>
      </c>
      <c r="S2672" s="70" t="n">
        <v>2226</v>
      </c>
      <c r="T2672" s="71" t="n">
        <v>4232332.93</v>
      </c>
      <c r="U2672" t="inlineStr">
        <is>
          <t>Medium</t>
        </is>
      </c>
      <c r="V2672">
        <f>IF(AND(OR(Dashboard!$C$6="All",E2672=Dashboard!$C$6),OR(Dashboard!$F$6="All",G2672=Dashboard!$F$6),OR(Dashboard!$I$6="All",H2672=Dashboard!$I$6)),1,0)</f>
        <v/>
      </c>
    </row>
    <row r="2673">
      <c r="A2673" t="inlineStr">
        <is>
          <t>PF102664</t>
        </is>
      </c>
      <c r="B2673" s="68" t="n">
        <v>45979</v>
      </c>
      <c r="C2673" s="69" t="n">
        <v>2025</v>
      </c>
      <c r="D2673" t="inlineStr">
        <is>
          <t>Nov</t>
        </is>
      </c>
      <c r="E2673" t="inlineStr">
        <is>
          <t>International developed</t>
        </is>
      </c>
      <c r="F2673" t="inlineStr">
        <is>
          <t>Australia</t>
        </is>
      </c>
      <c r="G2673" t="inlineStr">
        <is>
          <t>Ibrance</t>
        </is>
      </c>
      <c r="H2673" t="inlineStr">
        <is>
          <t>Hospital</t>
        </is>
      </c>
      <c r="I2673" t="inlineStr">
        <is>
          <t>Public payer</t>
        </is>
      </c>
      <c r="J2673" t="inlineStr">
        <is>
          <t>Ruhi Shaikh</t>
        </is>
      </c>
      <c r="K2673" s="70" t="n">
        <v>691</v>
      </c>
      <c r="L2673" s="71" t="n">
        <v>2854.34</v>
      </c>
      <c r="M2673" s="71" t="n">
        <v>1972348.94</v>
      </c>
      <c r="N2673" s="71" t="n">
        <v>394469.79</v>
      </c>
      <c r="O2673" s="71" t="n">
        <v>1577879.15</v>
      </c>
      <c r="P2673" s="71" t="n">
        <v>306527.26</v>
      </c>
      <c r="Q2673" s="71" t="n">
        <v>1271351.89</v>
      </c>
      <c r="R2673" t="inlineStr">
        <is>
          <t>Oncology</t>
        </is>
      </c>
      <c r="S2673" s="70" t="n">
        <v>687</v>
      </c>
      <c r="T2673" s="71" t="n">
        <v>320516.83</v>
      </c>
      <c r="U2673" t="inlineStr">
        <is>
          <t>High</t>
        </is>
      </c>
      <c r="V2673">
        <f>IF(AND(OR(Dashboard!$C$6="All",E2673=Dashboard!$C$6),OR(Dashboard!$F$6="All",G2673=Dashboard!$F$6),OR(Dashboard!$I$6="All",H2673=Dashboard!$I$6)),1,0)</f>
        <v/>
      </c>
    </row>
    <row r="2674">
      <c r="A2674" t="inlineStr">
        <is>
          <t>PF102665</t>
        </is>
      </c>
      <c r="B2674" s="68" t="n">
        <v>45979</v>
      </c>
      <c r="C2674" s="69" t="n">
        <v>2025</v>
      </c>
      <c r="D2674" t="inlineStr">
        <is>
          <t>Nov</t>
        </is>
      </c>
      <c r="E2674" t="inlineStr">
        <is>
          <t>International developed</t>
        </is>
      </c>
      <c r="F2674" t="inlineStr">
        <is>
          <t>Australia</t>
        </is>
      </c>
      <c r="G2674" t="inlineStr">
        <is>
          <t>Comirnaty</t>
        </is>
      </c>
      <c r="H2674" t="inlineStr">
        <is>
          <t>Retail pharmacy</t>
        </is>
      </c>
      <c r="I2674" t="inlineStr">
        <is>
          <t>Private insurer</t>
        </is>
      </c>
      <c r="J2674" t="inlineStr">
        <is>
          <t>Emma Clarke</t>
        </is>
      </c>
      <c r="K2674" s="70" t="n">
        <v>1336</v>
      </c>
      <c r="L2674" s="71" t="n">
        <v>102.69</v>
      </c>
      <c r="M2674" s="71" t="n">
        <v>137193.84</v>
      </c>
      <c r="N2674" s="71" t="n">
        <v>20579.08</v>
      </c>
      <c r="O2674" s="71" t="n">
        <v>116614.76</v>
      </c>
      <c r="P2674" s="71" t="n">
        <v>50494</v>
      </c>
      <c r="Q2674" s="71" t="n">
        <v>66120.75999999999</v>
      </c>
      <c r="R2674" t="inlineStr">
        <is>
          <t>Vaccines</t>
        </is>
      </c>
      <c r="S2674" s="70" t="n">
        <v>844</v>
      </c>
      <c r="T2674" s="71" t="n">
        <v>28104.27</v>
      </c>
      <c r="U2674" t="inlineStr">
        <is>
          <t>Low</t>
        </is>
      </c>
      <c r="V2674">
        <f>IF(AND(OR(Dashboard!$C$6="All",E2674=Dashboard!$C$6),OR(Dashboard!$F$6="All",G2674=Dashboard!$F$6),OR(Dashboard!$I$6="All",H2674=Dashboard!$I$6)),1,0)</f>
        <v/>
      </c>
    </row>
    <row r="2675">
      <c r="A2675" t="inlineStr">
        <is>
          <t>PF102666</t>
        </is>
      </c>
      <c r="B2675" s="68" t="n">
        <v>45979</v>
      </c>
      <c r="C2675" s="69" t="n">
        <v>2025</v>
      </c>
      <c r="D2675" t="inlineStr">
        <is>
          <t>Nov</t>
        </is>
      </c>
      <c r="E2675" t="inlineStr">
        <is>
          <t>United States</t>
        </is>
      </c>
      <c r="F2675" t="inlineStr">
        <is>
          <t>USA</t>
        </is>
      </c>
      <c r="G2675" t="inlineStr">
        <is>
          <t>Vyndaqel</t>
        </is>
      </c>
      <c r="H2675" t="inlineStr">
        <is>
          <t>Retail pharmacy</t>
        </is>
      </c>
      <c r="I2675" t="inlineStr">
        <is>
          <t>Private insurer</t>
        </is>
      </c>
      <c r="J2675" t="inlineStr">
        <is>
          <t>Ravindra Patil</t>
        </is>
      </c>
      <c r="K2675" s="70" t="n">
        <v>2189</v>
      </c>
      <c r="L2675" s="71" t="n">
        <v>8264.08</v>
      </c>
      <c r="M2675" s="71" t="n">
        <v>18090071.12</v>
      </c>
      <c r="N2675" s="71" t="n">
        <v>2713510.67</v>
      </c>
      <c r="O2675" s="71" t="n">
        <v>15376560.45</v>
      </c>
      <c r="P2675" s="71" t="n">
        <v>1372384.05</v>
      </c>
      <c r="Q2675" s="71" t="n">
        <v>14004176.4</v>
      </c>
      <c r="R2675" t="inlineStr">
        <is>
          <t>Rare disease</t>
        </is>
      </c>
      <c r="S2675" s="70" t="n">
        <v>1449</v>
      </c>
      <c r="T2675" s="71" t="n">
        <v>3838309.85</v>
      </c>
      <c r="U2675" t="inlineStr">
        <is>
          <t>Medium</t>
        </is>
      </c>
      <c r="V2675">
        <f>IF(AND(OR(Dashboard!$C$6="All",E2675=Dashboard!$C$6),OR(Dashboard!$F$6="All",G2675=Dashboard!$F$6),OR(Dashboard!$I$6="All",H2675=Dashboard!$I$6)),1,0)</f>
        <v/>
      </c>
    </row>
    <row r="2676">
      <c r="A2676" t="inlineStr">
        <is>
          <t>PF102667</t>
        </is>
      </c>
      <c r="B2676" s="68" t="n">
        <v>45979</v>
      </c>
      <c r="C2676" s="69" t="n">
        <v>2025</v>
      </c>
      <c r="D2676" t="inlineStr">
        <is>
          <t>Nov</t>
        </is>
      </c>
      <c r="E2676" t="inlineStr">
        <is>
          <t>International developed</t>
        </is>
      </c>
      <c r="F2676" t="inlineStr">
        <is>
          <t>Japan</t>
        </is>
      </c>
      <c r="G2676" t="inlineStr">
        <is>
          <t>Xeljanz</t>
        </is>
      </c>
      <c r="H2676" t="inlineStr">
        <is>
          <t>Retail pharmacy</t>
        </is>
      </c>
      <c r="I2676" t="inlineStr">
        <is>
          <t>Self-pay</t>
        </is>
      </c>
      <c r="J2676" t="inlineStr">
        <is>
          <t>Aisha Bello</t>
        </is>
      </c>
      <c r="K2676" s="70" t="n">
        <v>2691</v>
      </c>
      <c r="L2676" s="71" t="n">
        <v>1361.32</v>
      </c>
      <c r="M2676" s="71" t="n">
        <v>3663312.12</v>
      </c>
      <c r="N2676" s="71" t="n">
        <v>183165.61</v>
      </c>
      <c r="O2676" s="71" t="n">
        <v>3480146.51</v>
      </c>
      <c r="P2676" s="71" t="n">
        <v>660166.22</v>
      </c>
      <c r="Q2676" s="71" t="n">
        <v>2819980.29</v>
      </c>
      <c r="R2676" t="inlineStr">
        <is>
          <t>Inflammation</t>
        </is>
      </c>
      <c r="S2676" s="70" t="n">
        <v>2201</v>
      </c>
      <c r="T2676" s="71" t="n">
        <v>557031.3100000001</v>
      </c>
      <c r="U2676" t="inlineStr">
        <is>
          <t>High</t>
        </is>
      </c>
      <c r="V2676">
        <f>IF(AND(OR(Dashboard!$C$6="All",E2676=Dashboard!$C$6),OR(Dashboard!$F$6="All",G2676=Dashboard!$F$6),OR(Dashboard!$I$6="All",H2676=Dashboard!$I$6)),1,0)</f>
        <v/>
      </c>
    </row>
    <row r="2677">
      <c r="A2677" t="inlineStr">
        <is>
          <t>PF102668</t>
        </is>
      </c>
      <c r="B2677" s="68" t="n">
        <v>45979</v>
      </c>
      <c r="C2677" s="69" t="n">
        <v>2025</v>
      </c>
      <c r="D2677" t="inlineStr">
        <is>
          <t>Nov</t>
        </is>
      </c>
      <c r="E2677" t="inlineStr">
        <is>
          <t>United States</t>
        </is>
      </c>
      <c r="F2677" t="inlineStr">
        <is>
          <t>USA</t>
        </is>
      </c>
      <c r="G2677" t="inlineStr">
        <is>
          <t>Eliquis</t>
        </is>
      </c>
      <c r="H2677" t="inlineStr">
        <is>
          <t>Retail pharmacy</t>
        </is>
      </c>
      <c r="I2677" t="inlineStr">
        <is>
          <t>Public payer</t>
        </is>
      </c>
      <c r="J2677" t="inlineStr">
        <is>
          <t>Zoya Ahmed</t>
        </is>
      </c>
      <c r="K2677" s="70" t="n">
        <v>2222</v>
      </c>
      <c r="L2677" s="71" t="n">
        <v>707.22</v>
      </c>
      <c r="M2677" s="71" t="n">
        <v>1571442.84</v>
      </c>
      <c r="N2677" s="71" t="n">
        <v>314288.57</v>
      </c>
      <c r="O2677" s="71" t="n">
        <v>1257154.27</v>
      </c>
      <c r="P2677" s="71" t="n">
        <v>172026.59</v>
      </c>
      <c r="Q2677" s="71" t="n">
        <v>1085127.68</v>
      </c>
      <c r="R2677" t="inlineStr">
        <is>
          <t>Cardiology</t>
        </is>
      </c>
      <c r="S2677" s="70" t="n">
        <v>2154</v>
      </c>
      <c r="T2677" s="71" t="n">
        <v>245787.96</v>
      </c>
      <c r="U2677" t="inlineStr">
        <is>
          <t>High</t>
        </is>
      </c>
      <c r="V2677">
        <f>IF(AND(OR(Dashboard!$C$6="All",E2677=Dashboard!$C$6),OR(Dashboard!$F$6="All",G2677=Dashboard!$F$6),OR(Dashboard!$I$6="All",H2677=Dashboard!$I$6)),1,0)</f>
        <v/>
      </c>
    </row>
    <row r="2678">
      <c r="A2678" t="inlineStr">
        <is>
          <t>PF102669</t>
        </is>
      </c>
      <c r="B2678" s="68" t="n">
        <v>45979</v>
      </c>
      <c r="C2678" s="69" t="n">
        <v>2025</v>
      </c>
      <c r="D2678" t="inlineStr">
        <is>
          <t>Nov</t>
        </is>
      </c>
      <c r="E2678" t="inlineStr">
        <is>
          <t>United States</t>
        </is>
      </c>
      <c r="F2678" t="inlineStr">
        <is>
          <t>USA</t>
        </is>
      </c>
      <c r="G2678" t="inlineStr">
        <is>
          <t>Prevnar 20</t>
        </is>
      </c>
      <c r="H2678" t="inlineStr">
        <is>
          <t>Government / tender</t>
        </is>
      </c>
      <c r="I2678" t="inlineStr">
        <is>
          <t>Private insurer</t>
        </is>
      </c>
      <c r="J2678" t="inlineStr">
        <is>
          <t>Kofi Mensah</t>
        </is>
      </c>
      <c r="K2678" s="70" t="n">
        <v>2080</v>
      </c>
      <c r="L2678" s="71" t="n">
        <v>379.02</v>
      </c>
      <c r="M2678" s="71" t="n">
        <v>788361.6</v>
      </c>
      <c r="N2678" s="71" t="n">
        <v>275926.56</v>
      </c>
      <c r="O2678" s="71" t="n">
        <v>512435.04</v>
      </c>
      <c r="P2678" s="71" t="n">
        <v>148514.7</v>
      </c>
      <c r="Q2678" s="71" t="n">
        <v>363920.34</v>
      </c>
      <c r="R2678" t="inlineStr">
        <is>
          <t>Vaccines</t>
        </is>
      </c>
      <c r="S2678" s="70" t="n">
        <v>1397</v>
      </c>
      <c r="T2678" s="71" t="n">
        <v>121898.1</v>
      </c>
      <c r="U2678" t="inlineStr">
        <is>
          <t>Low</t>
        </is>
      </c>
      <c r="V2678">
        <f>IF(AND(OR(Dashboard!$C$6="All",E2678=Dashboard!$C$6),OR(Dashboard!$F$6="All",G2678=Dashboard!$F$6),OR(Dashboard!$I$6="All",H2678=Dashboard!$I$6)),1,0)</f>
        <v/>
      </c>
    </row>
    <row r="2679">
      <c r="A2679" t="inlineStr">
        <is>
          <t>PF102670</t>
        </is>
      </c>
      <c r="B2679" s="68" t="n">
        <v>45980</v>
      </c>
      <c r="C2679" s="69" t="n">
        <v>2025</v>
      </c>
      <c r="D2679" t="inlineStr">
        <is>
          <t>Nov</t>
        </is>
      </c>
      <c r="E2679" t="inlineStr">
        <is>
          <t>Emerging markets</t>
        </is>
      </c>
      <c r="F2679" t="inlineStr">
        <is>
          <t>Brazil</t>
        </is>
      </c>
      <c r="G2679" t="inlineStr">
        <is>
          <t>Eliquis</t>
        </is>
      </c>
      <c r="H2679" t="inlineStr">
        <is>
          <t>Retail pharmacy</t>
        </is>
      </c>
      <c r="I2679" t="inlineStr">
        <is>
          <t>Public payer</t>
        </is>
      </c>
      <c r="J2679" t="inlineStr">
        <is>
          <t>Kofi Mensah</t>
        </is>
      </c>
      <c r="K2679" s="70" t="n">
        <v>1157</v>
      </c>
      <c r="L2679" s="71" t="n">
        <v>414.49</v>
      </c>
      <c r="M2679" s="71" t="n">
        <v>479564.93</v>
      </c>
      <c r="N2679" s="71" t="n">
        <v>23978.25</v>
      </c>
      <c r="O2679" s="71" t="n">
        <v>455586.68</v>
      </c>
      <c r="P2679" s="71" t="n">
        <v>87779.33</v>
      </c>
      <c r="Q2679" s="71" t="n">
        <v>367807.35</v>
      </c>
      <c r="R2679" t="inlineStr">
        <is>
          <t>Cardiology</t>
        </is>
      </c>
      <c r="S2679" s="70" t="n">
        <v>1108</v>
      </c>
      <c r="T2679" s="71" t="n">
        <v>66017.87</v>
      </c>
      <c r="U2679" t="inlineStr">
        <is>
          <t>High</t>
        </is>
      </c>
      <c r="V2679">
        <f>IF(AND(OR(Dashboard!$C$6="All",E2679=Dashboard!$C$6),OR(Dashboard!$F$6="All",G2679=Dashboard!$F$6),OR(Dashboard!$I$6="All",H2679=Dashboard!$I$6)),1,0)</f>
        <v/>
      </c>
    </row>
    <row r="2680">
      <c r="A2680" t="inlineStr">
        <is>
          <t>PF102671</t>
        </is>
      </c>
      <c r="B2680" s="68" t="n">
        <v>45980</v>
      </c>
      <c r="C2680" s="69" t="n">
        <v>2025</v>
      </c>
      <c r="D2680" t="inlineStr">
        <is>
          <t>Nov</t>
        </is>
      </c>
      <c r="E2680" t="inlineStr">
        <is>
          <t>Europe</t>
        </is>
      </c>
      <c r="F2680" t="inlineStr">
        <is>
          <t>France</t>
        </is>
      </c>
      <c r="G2680" t="inlineStr">
        <is>
          <t>Paxlovid</t>
        </is>
      </c>
      <c r="H2680" t="inlineStr">
        <is>
          <t>Hospital</t>
        </is>
      </c>
      <c r="I2680" t="inlineStr">
        <is>
          <t>Public payer</t>
        </is>
      </c>
      <c r="J2680" t="inlineStr">
        <is>
          <t>Ruhi Shaikh</t>
        </is>
      </c>
      <c r="K2680" s="70" t="n">
        <v>3297</v>
      </c>
      <c r="L2680" s="71" t="n">
        <v>1119.4</v>
      </c>
      <c r="M2680" s="71" t="n">
        <v>3690661.8</v>
      </c>
      <c r="N2680" s="71" t="n">
        <v>922665.45</v>
      </c>
      <c r="O2680" s="71" t="n">
        <v>2767996.35</v>
      </c>
      <c r="P2680" s="71" t="n">
        <v>940038.1899999999</v>
      </c>
      <c r="Q2680" s="71" t="n">
        <v>1827958.16</v>
      </c>
      <c r="R2680" t="inlineStr">
        <is>
          <t>Antiviral</t>
        </is>
      </c>
      <c r="S2680" s="70" t="n">
        <v>2217</v>
      </c>
      <c r="T2680" s="71" t="n">
        <v>693616.1800000001</v>
      </c>
      <c r="U2680" t="inlineStr">
        <is>
          <t>Low</t>
        </is>
      </c>
      <c r="V2680">
        <f>IF(AND(OR(Dashboard!$C$6="All",E2680=Dashboard!$C$6),OR(Dashboard!$F$6="All",G2680=Dashboard!$F$6),OR(Dashboard!$I$6="All",H2680=Dashboard!$I$6)),1,0)</f>
        <v/>
      </c>
    </row>
    <row r="2681">
      <c r="A2681" t="inlineStr">
        <is>
          <t>PF102672</t>
        </is>
      </c>
      <c r="B2681" s="68" t="n">
        <v>45980</v>
      </c>
      <c r="C2681" s="69" t="n">
        <v>2025</v>
      </c>
      <c r="D2681" t="inlineStr">
        <is>
          <t>Nov</t>
        </is>
      </c>
      <c r="E2681" t="inlineStr">
        <is>
          <t>Emerging markets</t>
        </is>
      </c>
      <c r="F2681" t="inlineStr">
        <is>
          <t>Brazil</t>
        </is>
      </c>
      <c r="G2681" t="inlineStr">
        <is>
          <t>Eliquis</t>
        </is>
      </c>
      <c r="H2681" t="inlineStr">
        <is>
          <t>Retail pharmacy</t>
        </is>
      </c>
      <c r="I2681" t="inlineStr">
        <is>
          <t>Private insurer</t>
        </is>
      </c>
      <c r="J2681" t="inlineStr">
        <is>
          <t>Ravindra Patil</t>
        </is>
      </c>
      <c r="K2681" s="70" t="n">
        <v>1758</v>
      </c>
      <c r="L2681" s="71" t="n">
        <v>400.41</v>
      </c>
      <c r="M2681" s="71" t="n">
        <v>703920.78</v>
      </c>
      <c r="N2681" s="71" t="n">
        <v>140784.16</v>
      </c>
      <c r="O2681" s="71" t="n">
        <v>563136.62</v>
      </c>
      <c r="P2681" s="71" t="n">
        <v>130273</v>
      </c>
      <c r="Q2681" s="71" t="n">
        <v>432863.62</v>
      </c>
      <c r="R2681" t="inlineStr">
        <is>
          <t>Cardiology</t>
        </is>
      </c>
      <c r="S2681" s="70" t="n">
        <v>1103</v>
      </c>
      <c r="T2681" s="71" t="n">
        <v>122699.81</v>
      </c>
      <c r="U2681" t="inlineStr">
        <is>
          <t>High</t>
        </is>
      </c>
      <c r="V2681">
        <f>IF(AND(OR(Dashboard!$C$6="All",E2681=Dashboard!$C$6),OR(Dashboard!$F$6="All",G2681=Dashboard!$F$6),OR(Dashboard!$I$6="All",H2681=Dashboard!$I$6)),1,0)</f>
        <v/>
      </c>
    </row>
    <row r="2682">
      <c r="A2682" t="inlineStr">
        <is>
          <t>PF102673</t>
        </is>
      </c>
      <c r="B2682" s="68" t="n">
        <v>45980</v>
      </c>
      <c r="C2682" s="69" t="n">
        <v>2025</v>
      </c>
      <c r="D2682" t="inlineStr">
        <is>
          <t>Nov</t>
        </is>
      </c>
      <c r="E2682" t="inlineStr">
        <is>
          <t>United States</t>
        </is>
      </c>
      <c r="F2682" t="inlineStr">
        <is>
          <t>USA</t>
        </is>
      </c>
      <c r="G2682" t="inlineStr">
        <is>
          <t>Xeljanz</t>
        </is>
      </c>
      <c r="H2682" t="inlineStr">
        <is>
          <t>Government / tender</t>
        </is>
      </c>
      <c r="I2682" t="inlineStr">
        <is>
          <t>Private insurer</t>
        </is>
      </c>
      <c r="J2682" t="inlineStr">
        <is>
          <t>Amir Khan</t>
        </is>
      </c>
      <c r="K2682" s="70" t="n">
        <v>3201</v>
      </c>
      <c r="L2682" s="71" t="n">
        <v>2279.54</v>
      </c>
      <c r="M2682" s="71" t="n">
        <v>7296807.54</v>
      </c>
      <c r="N2682" s="71" t="n">
        <v>1459361.51</v>
      </c>
      <c r="O2682" s="71" t="n">
        <v>5837446.03</v>
      </c>
      <c r="P2682" s="71" t="n">
        <v>786591.84</v>
      </c>
      <c r="Q2682" s="71" t="n">
        <v>5050854.19</v>
      </c>
      <c r="R2682" t="inlineStr">
        <is>
          <t>Inflammation</t>
        </is>
      </c>
      <c r="S2682" s="70" t="n">
        <v>2387</v>
      </c>
      <c r="T2682" s="71" t="n">
        <v>1314440.59</v>
      </c>
      <c r="U2682" t="inlineStr">
        <is>
          <t>High</t>
        </is>
      </c>
      <c r="V2682">
        <f>IF(AND(OR(Dashboard!$C$6="All",E2682=Dashboard!$C$6),OR(Dashboard!$F$6="All",G2682=Dashboard!$F$6),OR(Dashboard!$I$6="All",H2682=Dashboard!$I$6)),1,0)</f>
        <v/>
      </c>
    </row>
    <row r="2683">
      <c r="A2683" t="inlineStr">
        <is>
          <t>PF102674</t>
        </is>
      </c>
      <c r="B2683" s="68" t="n">
        <v>45980</v>
      </c>
      <c r="C2683" s="69" t="n">
        <v>2025</v>
      </c>
      <c r="D2683" t="inlineStr">
        <is>
          <t>Nov</t>
        </is>
      </c>
      <c r="E2683" t="inlineStr">
        <is>
          <t>United States</t>
        </is>
      </c>
      <c r="F2683" t="inlineStr">
        <is>
          <t>USA</t>
        </is>
      </c>
      <c r="G2683" t="inlineStr">
        <is>
          <t>Prevnar 20</t>
        </is>
      </c>
      <c r="H2683" t="inlineStr">
        <is>
          <t>Hospital</t>
        </is>
      </c>
      <c r="I2683" t="inlineStr">
        <is>
          <t>Private insurer</t>
        </is>
      </c>
      <c r="J2683" t="inlineStr">
        <is>
          <t>Kofi Mensah</t>
        </is>
      </c>
      <c r="K2683" s="70" t="n">
        <v>2814</v>
      </c>
      <c r="L2683" s="71" t="n">
        <v>365.07</v>
      </c>
      <c r="M2683" s="71" t="n">
        <v>1027306.98</v>
      </c>
      <c r="N2683" s="71" t="n">
        <v>205461.4</v>
      </c>
      <c r="O2683" s="71" t="n">
        <v>821845.58</v>
      </c>
      <c r="P2683" s="71" t="n">
        <v>189559.15</v>
      </c>
      <c r="Q2683" s="71" t="n">
        <v>632286.4300000001</v>
      </c>
      <c r="R2683" t="inlineStr">
        <is>
          <t>Vaccines</t>
        </is>
      </c>
      <c r="S2683" s="70" t="n">
        <v>2542</v>
      </c>
      <c r="T2683" s="71" t="n">
        <v>188869.61</v>
      </c>
      <c r="U2683" t="inlineStr">
        <is>
          <t>Low</t>
        </is>
      </c>
      <c r="V2683">
        <f>IF(AND(OR(Dashboard!$C$6="All",E2683=Dashboard!$C$6),OR(Dashboard!$F$6="All",G2683=Dashboard!$F$6),OR(Dashboard!$I$6="All",H2683=Dashboard!$I$6)),1,0)</f>
        <v/>
      </c>
    </row>
    <row r="2684">
      <c r="A2684" t="inlineStr">
        <is>
          <t>PF102675</t>
        </is>
      </c>
      <c r="B2684" s="68" t="n">
        <v>45980</v>
      </c>
      <c r="C2684" s="69" t="n">
        <v>2025</v>
      </c>
      <c r="D2684" t="inlineStr">
        <is>
          <t>Nov</t>
        </is>
      </c>
      <c r="E2684" t="inlineStr">
        <is>
          <t>United States</t>
        </is>
      </c>
      <c r="F2684" t="inlineStr">
        <is>
          <t>USA</t>
        </is>
      </c>
      <c r="G2684" t="inlineStr">
        <is>
          <t>Paxlovid</t>
        </is>
      </c>
      <c r="H2684" t="inlineStr">
        <is>
          <t>Hospital</t>
        </is>
      </c>
      <c r="I2684" t="inlineStr">
        <is>
          <t>Public payer</t>
        </is>
      </c>
      <c r="J2684" t="inlineStr">
        <is>
          <t>Kofi Mensah</t>
        </is>
      </c>
      <c r="K2684" s="70" t="n">
        <v>103</v>
      </c>
      <c r="L2684" s="71" t="n">
        <v>1708.22</v>
      </c>
      <c r="M2684" s="71" t="n">
        <v>175946.66</v>
      </c>
      <c r="N2684" s="71" t="n">
        <v>35189.33</v>
      </c>
      <c r="O2684" s="71" t="n">
        <v>140757.33</v>
      </c>
      <c r="P2684" s="71" t="n">
        <v>28486.32</v>
      </c>
      <c r="Q2684" s="71" t="n">
        <v>112271.01</v>
      </c>
      <c r="R2684" t="inlineStr">
        <is>
          <t>Antiviral</t>
        </is>
      </c>
      <c r="S2684" s="70" t="n">
        <v>91</v>
      </c>
      <c r="T2684" s="71" t="n">
        <v>28971.26</v>
      </c>
      <c r="U2684" t="inlineStr">
        <is>
          <t>Low</t>
        </is>
      </c>
      <c r="V2684">
        <f>IF(AND(OR(Dashboard!$C$6="All",E2684=Dashboard!$C$6),OR(Dashboard!$F$6="All",G2684=Dashboard!$F$6),OR(Dashboard!$I$6="All",H2684=Dashboard!$I$6)),1,0)</f>
        <v/>
      </c>
    </row>
    <row r="2685">
      <c r="A2685" t="inlineStr">
        <is>
          <t>PF102676</t>
        </is>
      </c>
      <c r="B2685" s="68" t="n">
        <v>45980</v>
      </c>
      <c r="C2685" s="69" t="n">
        <v>2025</v>
      </c>
      <c r="D2685" t="inlineStr">
        <is>
          <t>Nov</t>
        </is>
      </c>
      <c r="E2685" t="inlineStr">
        <is>
          <t>Emerging markets</t>
        </is>
      </c>
      <c r="F2685" t="inlineStr">
        <is>
          <t>India</t>
        </is>
      </c>
      <c r="G2685" t="inlineStr">
        <is>
          <t>Prevnar 20</t>
        </is>
      </c>
      <c r="H2685" t="inlineStr">
        <is>
          <t>Retail pharmacy</t>
        </is>
      </c>
      <c r="I2685" t="inlineStr">
        <is>
          <t>Public payer</t>
        </is>
      </c>
      <c r="J2685" t="inlineStr">
        <is>
          <t>Yuki Sato</t>
        </is>
      </c>
      <c r="K2685" s="70" t="n">
        <v>2520</v>
      </c>
      <c r="L2685" s="71" t="n">
        <v>235.92</v>
      </c>
      <c r="M2685" s="71" t="n">
        <v>594518.4</v>
      </c>
      <c r="N2685" s="71" t="n">
        <v>89177.75999999999</v>
      </c>
      <c r="O2685" s="71" t="n">
        <v>505340.64</v>
      </c>
      <c r="P2685" s="71" t="n">
        <v>171575.17</v>
      </c>
      <c r="Q2685" s="71" t="n">
        <v>333765.47</v>
      </c>
      <c r="R2685" t="inlineStr">
        <is>
          <t>Vaccines</t>
        </is>
      </c>
      <c r="S2685" s="70" t="n">
        <v>1719</v>
      </c>
      <c r="T2685" s="71" t="n">
        <v>74678.75</v>
      </c>
      <c r="U2685" t="inlineStr">
        <is>
          <t>Low</t>
        </is>
      </c>
      <c r="V2685">
        <f>IF(AND(OR(Dashboard!$C$6="All",E2685=Dashboard!$C$6),OR(Dashboard!$F$6="All",G2685=Dashboard!$F$6),OR(Dashboard!$I$6="All",H2685=Dashboard!$I$6)),1,0)</f>
        <v/>
      </c>
    </row>
    <row r="2686">
      <c r="A2686" t="inlineStr">
        <is>
          <t>PF102677</t>
        </is>
      </c>
      <c r="B2686" s="68" t="n">
        <v>45980</v>
      </c>
      <c r="C2686" s="69" t="n">
        <v>2025</v>
      </c>
      <c r="D2686" t="inlineStr">
        <is>
          <t>Nov</t>
        </is>
      </c>
      <c r="E2686" t="inlineStr">
        <is>
          <t>United States</t>
        </is>
      </c>
      <c r="F2686" t="inlineStr">
        <is>
          <t>USA</t>
        </is>
      </c>
      <c r="G2686" t="inlineStr">
        <is>
          <t>Prevnar 20</t>
        </is>
      </c>
      <c r="H2686" t="inlineStr">
        <is>
          <t>Retail pharmacy</t>
        </is>
      </c>
      <c r="I2686" t="inlineStr">
        <is>
          <t>Public payer</t>
        </is>
      </c>
      <c r="J2686" t="inlineStr">
        <is>
          <t>Aisha Bello</t>
        </is>
      </c>
      <c r="K2686" s="70" t="n">
        <v>3199</v>
      </c>
      <c r="L2686" s="71" t="n">
        <v>371.1</v>
      </c>
      <c r="M2686" s="71" t="n">
        <v>1187148.9</v>
      </c>
      <c r="N2686" s="71" t="n">
        <v>415502.11</v>
      </c>
      <c r="O2686" s="71" t="n">
        <v>771646.79</v>
      </c>
      <c r="P2686" s="71" t="n">
        <v>218345.87</v>
      </c>
      <c r="Q2686" s="71" t="n">
        <v>553300.92</v>
      </c>
      <c r="R2686" t="inlineStr">
        <is>
          <t>Vaccines</t>
        </is>
      </c>
      <c r="S2686" s="70" t="n">
        <v>2119</v>
      </c>
      <c r="T2686" s="71" t="n">
        <v>179288.32</v>
      </c>
      <c r="U2686" t="inlineStr">
        <is>
          <t>Low</t>
        </is>
      </c>
      <c r="V2686">
        <f>IF(AND(OR(Dashboard!$C$6="All",E2686=Dashboard!$C$6),OR(Dashboard!$F$6="All",G2686=Dashboard!$F$6),OR(Dashboard!$I$6="All",H2686=Dashboard!$I$6)),1,0)</f>
        <v/>
      </c>
    </row>
    <row r="2687">
      <c r="A2687" t="inlineStr">
        <is>
          <t>PF102678</t>
        </is>
      </c>
      <c r="B2687" s="68" t="n">
        <v>45980</v>
      </c>
      <c r="C2687" s="69" t="n">
        <v>2025</v>
      </c>
      <c r="D2687" t="inlineStr">
        <is>
          <t>Nov</t>
        </is>
      </c>
      <c r="E2687" t="inlineStr">
        <is>
          <t>Emerging markets</t>
        </is>
      </c>
      <c r="F2687" t="inlineStr">
        <is>
          <t>Mexico</t>
        </is>
      </c>
      <c r="G2687" t="inlineStr">
        <is>
          <t>Vyndaqel</t>
        </is>
      </c>
      <c r="H2687" t="inlineStr">
        <is>
          <t>Retail pharmacy</t>
        </is>
      </c>
      <c r="I2687" t="inlineStr">
        <is>
          <t>Public payer</t>
        </is>
      </c>
      <c r="J2687" t="inlineStr">
        <is>
          <t>Ravindra Patil</t>
        </is>
      </c>
      <c r="K2687" s="70" t="n">
        <v>1983</v>
      </c>
      <c r="L2687" s="71" t="n">
        <v>5530.85</v>
      </c>
      <c r="M2687" s="71" t="n">
        <v>10967675.55</v>
      </c>
      <c r="N2687" s="71" t="n">
        <v>1645151.33</v>
      </c>
      <c r="O2687" s="71" t="n">
        <v>9322524.220000001</v>
      </c>
      <c r="P2687" s="71" t="n">
        <v>1258997.55</v>
      </c>
      <c r="Q2687" s="71" t="n">
        <v>8063526.67</v>
      </c>
      <c r="R2687" t="inlineStr">
        <is>
          <t>Rare disease</t>
        </is>
      </c>
      <c r="S2687" s="70" t="n">
        <v>1248</v>
      </c>
      <c r="T2687" s="71" t="n">
        <v>1776982.14</v>
      </c>
      <c r="U2687" t="inlineStr">
        <is>
          <t>Medium</t>
        </is>
      </c>
      <c r="V2687">
        <f>IF(AND(OR(Dashboard!$C$6="All",E2687=Dashboard!$C$6),OR(Dashboard!$F$6="All",G2687=Dashboard!$F$6),OR(Dashboard!$I$6="All",H2687=Dashboard!$I$6)),1,0)</f>
        <v/>
      </c>
    </row>
    <row r="2688">
      <c r="A2688" t="inlineStr">
        <is>
          <t>PF102679</t>
        </is>
      </c>
      <c r="B2688" s="68" t="n">
        <v>45981</v>
      </c>
      <c r="C2688" s="69" t="n">
        <v>2025</v>
      </c>
      <c r="D2688" t="inlineStr">
        <is>
          <t>Nov</t>
        </is>
      </c>
      <c r="E2688" t="inlineStr">
        <is>
          <t>United States</t>
        </is>
      </c>
      <c r="F2688" t="inlineStr">
        <is>
          <t>USA</t>
        </is>
      </c>
      <c r="G2688" t="inlineStr">
        <is>
          <t>Abrysvo</t>
        </is>
      </c>
      <c r="H2688" t="inlineStr">
        <is>
          <t>Hospital</t>
        </is>
      </c>
      <c r="I2688" t="inlineStr">
        <is>
          <t>Public payer</t>
        </is>
      </c>
      <c r="J2688" t="inlineStr">
        <is>
          <t>Noah Smith</t>
        </is>
      </c>
      <c r="K2688" s="70" t="n">
        <v>254</v>
      </c>
      <c r="L2688" s="71" t="n">
        <v>430.26</v>
      </c>
      <c r="M2688" s="71" t="n">
        <v>109286.04</v>
      </c>
      <c r="N2688" s="71" t="n">
        <v>38250.11</v>
      </c>
      <c r="O2688" s="71" t="n">
        <v>71035.92999999999</v>
      </c>
      <c r="P2688" s="71" t="n">
        <v>20982.79</v>
      </c>
      <c r="Q2688" s="71" t="n">
        <v>50053.14</v>
      </c>
      <c r="R2688" t="inlineStr">
        <is>
          <t>Vaccines</t>
        </is>
      </c>
      <c r="S2688" s="70" t="n">
        <v>187</v>
      </c>
      <c r="T2688" s="71" t="n">
        <v>14746.76</v>
      </c>
      <c r="U2688" t="inlineStr">
        <is>
          <t>Low</t>
        </is>
      </c>
      <c r="V2688">
        <f>IF(AND(OR(Dashboard!$C$6="All",E2688=Dashboard!$C$6),OR(Dashboard!$F$6="All",G2688=Dashboard!$F$6),OR(Dashboard!$I$6="All",H2688=Dashboard!$I$6)),1,0)</f>
        <v/>
      </c>
    </row>
    <row r="2689">
      <c r="A2689" t="inlineStr">
        <is>
          <t>PF102680</t>
        </is>
      </c>
      <c r="B2689" s="68" t="n">
        <v>45981</v>
      </c>
      <c r="C2689" s="69" t="n">
        <v>2025</v>
      </c>
      <c r="D2689" t="inlineStr">
        <is>
          <t>Nov</t>
        </is>
      </c>
      <c r="E2689" t="inlineStr">
        <is>
          <t>United States</t>
        </is>
      </c>
      <c r="F2689" t="inlineStr">
        <is>
          <t>USA</t>
        </is>
      </c>
      <c r="G2689" t="inlineStr">
        <is>
          <t>Abrysvo</t>
        </is>
      </c>
      <c r="H2689" t="inlineStr">
        <is>
          <t>Retail pharmacy</t>
        </is>
      </c>
      <c r="I2689" t="inlineStr">
        <is>
          <t>Public payer</t>
        </is>
      </c>
      <c r="J2689" t="inlineStr">
        <is>
          <t>Kofi Mensah</t>
        </is>
      </c>
      <c r="K2689" s="70" t="n">
        <v>793</v>
      </c>
      <c r="L2689" s="71" t="n">
        <v>482.59</v>
      </c>
      <c r="M2689" s="71" t="n">
        <v>382693.87</v>
      </c>
      <c r="N2689" s="71" t="n">
        <v>76538.77</v>
      </c>
      <c r="O2689" s="71" t="n">
        <v>306155.1</v>
      </c>
      <c r="P2689" s="71" t="n">
        <v>65026.06</v>
      </c>
      <c r="Q2689" s="71" t="n">
        <v>241129.04</v>
      </c>
      <c r="R2689" t="inlineStr">
        <is>
          <t>Vaccines</t>
        </is>
      </c>
      <c r="S2689" s="70" t="n">
        <v>503</v>
      </c>
      <c r="T2689" s="71" t="n">
        <v>53683.56</v>
      </c>
      <c r="U2689" t="inlineStr">
        <is>
          <t>Low</t>
        </is>
      </c>
      <c r="V2689">
        <f>IF(AND(OR(Dashboard!$C$6="All",E2689=Dashboard!$C$6),OR(Dashboard!$F$6="All",G2689=Dashboard!$F$6),OR(Dashboard!$I$6="All",H2689=Dashboard!$I$6)),1,0)</f>
        <v/>
      </c>
    </row>
    <row r="2690">
      <c r="A2690" t="inlineStr">
        <is>
          <t>PF102681</t>
        </is>
      </c>
      <c r="B2690" s="68" t="n">
        <v>45981</v>
      </c>
      <c r="C2690" s="69" t="n">
        <v>2025</v>
      </c>
      <c r="D2690" t="inlineStr">
        <is>
          <t>Nov</t>
        </is>
      </c>
      <c r="E2690" t="inlineStr">
        <is>
          <t>United States</t>
        </is>
      </c>
      <c r="F2690" t="inlineStr">
        <is>
          <t>USA</t>
        </is>
      </c>
      <c r="G2690" t="inlineStr">
        <is>
          <t>Abrysvo</t>
        </is>
      </c>
      <c r="H2690" t="inlineStr">
        <is>
          <t>Retail pharmacy</t>
        </is>
      </c>
      <c r="I2690" t="inlineStr">
        <is>
          <t>Public payer</t>
        </is>
      </c>
      <c r="J2690" t="inlineStr">
        <is>
          <t>Shraddha Kulkarni</t>
        </is>
      </c>
      <c r="K2690" s="70" t="n">
        <v>807</v>
      </c>
      <c r="L2690" s="71" t="n">
        <v>420.66</v>
      </c>
      <c r="M2690" s="71" t="n">
        <v>339472.62</v>
      </c>
      <c r="N2690" s="71" t="n">
        <v>118815.42</v>
      </c>
      <c r="O2690" s="71" t="n">
        <v>220657.2</v>
      </c>
      <c r="P2690" s="71" t="n">
        <v>67067.53</v>
      </c>
      <c r="Q2690" s="71" t="n">
        <v>153589.67</v>
      </c>
      <c r="R2690" t="inlineStr">
        <is>
          <t>Vaccines</t>
        </is>
      </c>
      <c r="S2690" s="70" t="n">
        <v>544</v>
      </c>
      <c r="T2690" s="71" t="n">
        <v>73622.32000000001</v>
      </c>
      <c r="U2690" t="inlineStr">
        <is>
          <t>Low</t>
        </is>
      </c>
      <c r="V2690">
        <f>IF(AND(OR(Dashboard!$C$6="All",E2690=Dashboard!$C$6),OR(Dashboard!$F$6="All",G2690=Dashboard!$F$6),OR(Dashboard!$I$6="All",H2690=Dashboard!$I$6)),1,0)</f>
        <v/>
      </c>
    </row>
    <row r="2691">
      <c r="A2691" t="inlineStr">
        <is>
          <t>PF102682</t>
        </is>
      </c>
      <c r="B2691" s="68" t="n">
        <v>45981</v>
      </c>
      <c r="C2691" s="69" t="n">
        <v>2025</v>
      </c>
      <c r="D2691" t="inlineStr">
        <is>
          <t>Nov</t>
        </is>
      </c>
      <c r="E2691" t="inlineStr">
        <is>
          <t>Europe</t>
        </is>
      </c>
      <c r="F2691" t="inlineStr">
        <is>
          <t>France</t>
        </is>
      </c>
      <c r="G2691" t="inlineStr">
        <is>
          <t>Eliquis</t>
        </is>
      </c>
      <c r="H2691" t="inlineStr">
        <is>
          <t>Government / tender</t>
        </is>
      </c>
      <c r="I2691" t="inlineStr">
        <is>
          <t>Private insurer</t>
        </is>
      </c>
      <c r="J2691" t="inlineStr">
        <is>
          <t>Olivia Brown</t>
        </is>
      </c>
      <c r="K2691" s="70" t="n">
        <v>3190</v>
      </c>
      <c r="L2691" s="71" t="n">
        <v>433.27</v>
      </c>
      <c r="M2691" s="71" t="n">
        <v>1382131.3</v>
      </c>
      <c r="N2691" s="71" t="n">
        <v>69106.57000000001</v>
      </c>
      <c r="O2691" s="71" t="n">
        <v>1313024.73</v>
      </c>
      <c r="P2691" s="71" t="n">
        <v>242913.54</v>
      </c>
      <c r="Q2691" s="71" t="n">
        <v>1070111.19</v>
      </c>
      <c r="R2691" t="inlineStr">
        <is>
          <t>Cardiology</t>
        </is>
      </c>
      <c r="S2691" s="70" t="n">
        <v>2170</v>
      </c>
      <c r="T2691" s="71" t="n">
        <v>273314.97</v>
      </c>
      <c r="U2691" t="inlineStr">
        <is>
          <t>High</t>
        </is>
      </c>
      <c r="V2691">
        <f>IF(AND(OR(Dashboard!$C$6="All",E2691=Dashboard!$C$6),OR(Dashboard!$F$6="All",G2691=Dashboard!$F$6),OR(Dashboard!$I$6="All",H2691=Dashboard!$I$6)),1,0)</f>
        <v/>
      </c>
    </row>
    <row r="2692">
      <c r="A2692" t="inlineStr">
        <is>
          <t>PF102683</t>
        </is>
      </c>
      <c r="B2692" s="68" t="n">
        <v>45981</v>
      </c>
      <c r="C2692" s="69" t="n">
        <v>2025</v>
      </c>
      <c r="D2692" t="inlineStr">
        <is>
          <t>Nov</t>
        </is>
      </c>
      <c r="E2692" t="inlineStr">
        <is>
          <t>Europe</t>
        </is>
      </c>
      <c r="F2692" t="inlineStr">
        <is>
          <t>UK</t>
        </is>
      </c>
      <c r="G2692" t="inlineStr">
        <is>
          <t>Abrysvo</t>
        </is>
      </c>
      <c r="H2692" t="inlineStr">
        <is>
          <t>Retail pharmacy</t>
        </is>
      </c>
      <c r="I2692" t="inlineStr">
        <is>
          <t>Public payer</t>
        </is>
      </c>
      <c r="J2692" t="inlineStr">
        <is>
          <t>Aisha Bello</t>
        </is>
      </c>
      <c r="K2692" s="70" t="n">
        <v>2944</v>
      </c>
      <c r="L2692" s="71" t="n">
        <v>255.09</v>
      </c>
      <c r="M2692" s="71" t="n">
        <v>750984.96</v>
      </c>
      <c r="N2692" s="71" t="n">
        <v>37549.25</v>
      </c>
      <c r="O2692" s="71" t="n">
        <v>713435.71</v>
      </c>
      <c r="P2692" s="71" t="n">
        <v>242148.85</v>
      </c>
      <c r="Q2692" s="71" t="n">
        <v>471286.86</v>
      </c>
      <c r="R2692" t="inlineStr">
        <is>
          <t>Vaccines</t>
        </is>
      </c>
      <c r="S2692" s="70" t="n">
        <v>1922</v>
      </c>
      <c r="T2692" s="71" t="n">
        <v>98050.22</v>
      </c>
      <c r="U2692" t="inlineStr">
        <is>
          <t>Low</t>
        </is>
      </c>
      <c r="V2692">
        <f>IF(AND(OR(Dashboard!$C$6="All",E2692=Dashboard!$C$6),OR(Dashboard!$F$6="All",G2692=Dashboard!$F$6),OR(Dashboard!$I$6="All",H2692=Dashboard!$I$6)),1,0)</f>
        <v/>
      </c>
    </row>
    <row r="2693">
      <c r="A2693" t="inlineStr">
        <is>
          <t>PF102684</t>
        </is>
      </c>
      <c r="B2693" s="68" t="n">
        <v>45981</v>
      </c>
      <c r="C2693" s="69" t="n">
        <v>2025</v>
      </c>
      <c r="D2693" t="inlineStr">
        <is>
          <t>Nov</t>
        </is>
      </c>
      <c r="E2693" t="inlineStr">
        <is>
          <t>Europe</t>
        </is>
      </c>
      <c r="F2693" t="inlineStr">
        <is>
          <t>UK</t>
        </is>
      </c>
      <c r="G2693" t="inlineStr">
        <is>
          <t>Eliquis</t>
        </is>
      </c>
      <c r="H2693" t="inlineStr">
        <is>
          <t>Retail pharmacy</t>
        </is>
      </c>
      <c r="I2693" t="inlineStr">
        <is>
          <t>Public payer</t>
        </is>
      </c>
      <c r="J2693" t="inlineStr">
        <is>
          <t>Fatima Al-Saud</t>
        </is>
      </c>
      <c r="K2693" s="70" t="n">
        <v>3060</v>
      </c>
      <c r="L2693" s="71" t="n">
        <v>412.65</v>
      </c>
      <c r="M2693" s="71" t="n">
        <v>1262709</v>
      </c>
      <c r="N2693" s="71" t="n">
        <v>189406.35</v>
      </c>
      <c r="O2693" s="71" t="n">
        <v>1073302.65</v>
      </c>
      <c r="P2693" s="71" t="n">
        <v>226223.94</v>
      </c>
      <c r="Q2693" s="71" t="n">
        <v>847078.71</v>
      </c>
      <c r="R2693" t="inlineStr">
        <is>
          <t>Cardiology</t>
        </is>
      </c>
      <c r="S2693" s="70" t="n">
        <v>2025</v>
      </c>
      <c r="T2693" s="71" t="n">
        <v>232298</v>
      </c>
      <c r="U2693" t="inlineStr">
        <is>
          <t>High</t>
        </is>
      </c>
      <c r="V2693">
        <f>IF(AND(OR(Dashboard!$C$6="All",E2693=Dashboard!$C$6),OR(Dashboard!$F$6="All",G2693=Dashboard!$F$6),OR(Dashboard!$I$6="All",H2693=Dashboard!$I$6)),1,0)</f>
        <v/>
      </c>
    </row>
    <row r="2694">
      <c r="A2694" t="inlineStr">
        <is>
          <t>PF102685</t>
        </is>
      </c>
      <c r="B2694" s="68" t="n">
        <v>45981</v>
      </c>
      <c r="C2694" s="69" t="n">
        <v>2025</v>
      </c>
      <c r="D2694" t="inlineStr">
        <is>
          <t>Nov</t>
        </is>
      </c>
      <c r="E2694" t="inlineStr">
        <is>
          <t>Emerging markets</t>
        </is>
      </c>
      <c r="F2694" t="inlineStr">
        <is>
          <t>China</t>
        </is>
      </c>
      <c r="G2694" t="inlineStr">
        <is>
          <t>Eliquis</t>
        </is>
      </c>
      <c r="H2694" t="inlineStr">
        <is>
          <t>Hospital</t>
        </is>
      </c>
      <c r="I2694" t="inlineStr">
        <is>
          <t>Private insurer</t>
        </is>
      </c>
      <c r="J2694" t="inlineStr">
        <is>
          <t>Mei Lin</t>
        </is>
      </c>
      <c r="K2694" s="70" t="n">
        <v>1221</v>
      </c>
      <c r="L2694" s="71" t="n">
        <v>431.52</v>
      </c>
      <c r="M2694" s="71" t="n">
        <v>526885.92</v>
      </c>
      <c r="N2694" s="71" t="n">
        <v>105377.18</v>
      </c>
      <c r="O2694" s="71" t="n">
        <v>421508.74</v>
      </c>
      <c r="P2694" s="71" t="n">
        <v>91035.39999999999</v>
      </c>
      <c r="Q2694" s="71" t="n">
        <v>330473.34</v>
      </c>
      <c r="R2694" t="inlineStr">
        <is>
          <t>Cardiology</t>
        </is>
      </c>
      <c r="S2694" s="70" t="n">
        <v>1164</v>
      </c>
      <c r="T2694" s="71" t="n">
        <v>89128.12</v>
      </c>
      <c r="U2694" t="inlineStr">
        <is>
          <t>High</t>
        </is>
      </c>
      <c r="V2694">
        <f>IF(AND(OR(Dashboard!$C$6="All",E2694=Dashboard!$C$6),OR(Dashboard!$F$6="All",G2694=Dashboard!$F$6),OR(Dashboard!$I$6="All",H2694=Dashboard!$I$6)),1,0)</f>
        <v/>
      </c>
    </row>
    <row r="2695">
      <c r="A2695" t="inlineStr">
        <is>
          <t>PF102686</t>
        </is>
      </c>
      <c r="B2695" s="68" t="n">
        <v>45982</v>
      </c>
      <c r="C2695" s="69" t="n">
        <v>2025</v>
      </c>
      <c r="D2695" t="inlineStr">
        <is>
          <t>Nov</t>
        </is>
      </c>
      <c r="E2695" t="inlineStr">
        <is>
          <t>United States</t>
        </is>
      </c>
      <c r="F2695" t="inlineStr">
        <is>
          <t>USA</t>
        </is>
      </c>
      <c r="G2695" t="inlineStr">
        <is>
          <t>Prevnar 20</t>
        </is>
      </c>
      <c r="H2695" t="inlineStr">
        <is>
          <t>Hospital</t>
        </is>
      </c>
      <c r="I2695" t="inlineStr">
        <is>
          <t>Self-pay</t>
        </is>
      </c>
      <c r="J2695" t="inlineStr">
        <is>
          <t>Ruhi Shaikh</t>
        </is>
      </c>
      <c r="K2695" s="70" t="n">
        <v>1687</v>
      </c>
      <c r="L2695" s="71" t="n">
        <v>378.51</v>
      </c>
      <c r="M2695" s="71" t="n">
        <v>638546.37</v>
      </c>
      <c r="N2695" s="71" t="n">
        <v>127709.27</v>
      </c>
      <c r="O2695" s="71" t="n">
        <v>510837.1</v>
      </c>
      <c r="P2695" s="71" t="n">
        <v>116047.06</v>
      </c>
      <c r="Q2695" s="71" t="n">
        <v>394790.04</v>
      </c>
      <c r="R2695" t="inlineStr">
        <is>
          <t>Vaccines</t>
        </is>
      </c>
      <c r="S2695" s="70" t="n">
        <v>1209</v>
      </c>
      <c r="T2695" s="71" t="n">
        <v>108284.12</v>
      </c>
      <c r="U2695" t="inlineStr">
        <is>
          <t>Low</t>
        </is>
      </c>
      <c r="V2695">
        <f>IF(AND(OR(Dashboard!$C$6="All",E2695=Dashboard!$C$6),OR(Dashboard!$F$6="All",G2695=Dashboard!$F$6),OR(Dashboard!$I$6="All",H2695=Dashboard!$I$6)),1,0)</f>
        <v/>
      </c>
    </row>
    <row r="2696">
      <c r="A2696" t="inlineStr">
        <is>
          <t>PF102687</t>
        </is>
      </c>
      <c r="B2696" s="68" t="n">
        <v>45982</v>
      </c>
      <c r="C2696" s="69" t="n">
        <v>2025</v>
      </c>
      <c r="D2696" t="inlineStr">
        <is>
          <t>Nov</t>
        </is>
      </c>
      <c r="E2696" t="inlineStr">
        <is>
          <t>United States</t>
        </is>
      </c>
      <c r="F2696" t="inlineStr">
        <is>
          <t>USA</t>
        </is>
      </c>
      <c r="G2696" t="inlineStr">
        <is>
          <t>Paxlovid</t>
        </is>
      </c>
      <c r="H2696" t="inlineStr">
        <is>
          <t>Hospital</t>
        </is>
      </c>
      <c r="I2696" t="inlineStr">
        <is>
          <t>Private insurer</t>
        </is>
      </c>
      <c r="J2696" t="inlineStr">
        <is>
          <t>Sara Rossi</t>
        </is>
      </c>
      <c r="K2696" s="70" t="n">
        <v>123</v>
      </c>
      <c r="L2696" s="71" t="n">
        <v>1594.78</v>
      </c>
      <c r="M2696" s="71" t="n">
        <v>196157.94</v>
      </c>
      <c r="N2696" s="71" t="n">
        <v>29423.69</v>
      </c>
      <c r="O2696" s="71" t="n">
        <v>166734.25</v>
      </c>
      <c r="P2696" s="71" t="n">
        <v>33222.25</v>
      </c>
      <c r="Q2696" s="71" t="n">
        <v>133512</v>
      </c>
      <c r="R2696" t="inlineStr">
        <is>
          <t>Antiviral</t>
        </is>
      </c>
      <c r="S2696" s="70" t="n">
        <v>91</v>
      </c>
      <c r="T2696" s="71" t="n">
        <v>37854.8</v>
      </c>
      <c r="U2696" t="inlineStr">
        <is>
          <t>Low</t>
        </is>
      </c>
      <c r="V2696">
        <f>IF(AND(OR(Dashboard!$C$6="All",E2696=Dashboard!$C$6),OR(Dashboard!$F$6="All",G2696=Dashboard!$F$6),OR(Dashboard!$I$6="All",H2696=Dashboard!$I$6)),1,0)</f>
        <v/>
      </c>
    </row>
    <row r="2697">
      <c r="A2697" t="inlineStr">
        <is>
          <t>PF102688</t>
        </is>
      </c>
      <c r="B2697" s="68" t="n">
        <v>45982</v>
      </c>
      <c r="C2697" s="69" t="n">
        <v>2025</v>
      </c>
      <c r="D2697" t="inlineStr">
        <is>
          <t>Nov</t>
        </is>
      </c>
      <c r="E2697" t="inlineStr">
        <is>
          <t>Europe</t>
        </is>
      </c>
      <c r="F2697" t="inlineStr">
        <is>
          <t>France</t>
        </is>
      </c>
      <c r="G2697" t="inlineStr">
        <is>
          <t>Ibrance</t>
        </is>
      </c>
      <c r="H2697" t="inlineStr">
        <is>
          <t>Hospital</t>
        </is>
      </c>
      <c r="I2697" t="inlineStr">
        <is>
          <t>Private insurer</t>
        </is>
      </c>
      <c r="J2697" t="inlineStr">
        <is>
          <t>Sophie Müller</t>
        </is>
      </c>
      <c r="K2697" s="70" t="n">
        <v>2241</v>
      </c>
      <c r="L2697" s="71" t="n">
        <v>2781.36</v>
      </c>
      <c r="M2697" s="71" t="n">
        <v>6233027.76</v>
      </c>
      <c r="N2697" s="71" t="n">
        <v>934954.16</v>
      </c>
      <c r="O2697" s="71" t="n">
        <v>5298073.6</v>
      </c>
      <c r="P2697" s="71" t="n">
        <v>985262.51</v>
      </c>
      <c r="Q2697" s="71" t="n">
        <v>4312811.09</v>
      </c>
      <c r="R2697" t="inlineStr">
        <is>
          <t>Oncology</t>
        </is>
      </c>
      <c r="S2697" s="70" t="n">
        <v>1471</v>
      </c>
      <c r="T2697" s="71" t="n">
        <v>1181150.49</v>
      </c>
      <c r="U2697" t="inlineStr">
        <is>
          <t>High</t>
        </is>
      </c>
      <c r="V2697">
        <f>IF(AND(OR(Dashboard!$C$6="All",E2697=Dashboard!$C$6),OR(Dashboard!$F$6="All",G2697=Dashboard!$F$6),OR(Dashboard!$I$6="All",H2697=Dashboard!$I$6)),1,0)</f>
        <v/>
      </c>
    </row>
    <row r="2698">
      <c r="A2698" t="inlineStr">
        <is>
          <t>PF102689</t>
        </is>
      </c>
      <c r="B2698" s="68" t="n">
        <v>45982</v>
      </c>
      <c r="C2698" s="69" t="n">
        <v>2025</v>
      </c>
      <c r="D2698" t="inlineStr">
        <is>
          <t>Nov</t>
        </is>
      </c>
      <c r="E2698" t="inlineStr">
        <is>
          <t>United States</t>
        </is>
      </c>
      <c r="F2698" t="inlineStr">
        <is>
          <t>USA</t>
        </is>
      </c>
      <c r="G2698" t="inlineStr">
        <is>
          <t>Abrysvo</t>
        </is>
      </c>
      <c r="H2698" t="inlineStr">
        <is>
          <t>Hospital</t>
        </is>
      </c>
      <c r="I2698" t="inlineStr">
        <is>
          <t>Private insurer</t>
        </is>
      </c>
      <c r="J2698" t="inlineStr">
        <is>
          <t>Sara Rossi</t>
        </is>
      </c>
      <c r="K2698" s="70" t="n">
        <v>1574</v>
      </c>
      <c r="L2698" s="71" t="n">
        <v>451.97</v>
      </c>
      <c r="M2698" s="71" t="n">
        <v>711400.78</v>
      </c>
      <c r="N2698" s="71" t="n">
        <v>177850.2</v>
      </c>
      <c r="O2698" s="71" t="n">
        <v>533550.58</v>
      </c>
      <c r="P2698" s="71" t="n">
        <v>131369.31</v>
      </c>
      <c r="Q2698" s="71" t="n">
        <v>402181.27</v>
      </c>
      <c r="R2698" t="inlineStr">
        <is>
          <t>Vaccines</t>
        </is>
      </c>
      <c r="S2698" s="70" t="n">
        <v>1016</v>
      </c>
      <c r="T2698" s="71" t="n">
        <v>97704.14</v>
      </c>
      <c r="U2698" t="inlineStr">
        <is>
          <t>Low</t>
        </is>
      </c>
      <c r="V2698">
        <f>IF(AND(OR(Dashboard!$C$6="All",E2698=Dashboard!$C$6),OR(Dashboard!$F$6="All",G2698=Dashboard!$F$6),OR(Dashboard!$I$6="All",H2698=Dashboard!$I$6)),1,0)</f>
        <v/>
      </c>
    </row>
    <row r="2699">
      <c r="A2699" t="inlineStr">
        <is>
          <t>PF102690</t>
        </is>
      </c>
      <c r="B2699" s="68" t="n">
        <v>45982</v>
      </c>
      <c r="C2699" s="69" t="n">
        <v>2025</v>
      </c>
      <c r="D2699" t="inlineStr">
        <is>
          <t>Nov</t>
        </is>
      </c>
      <c r="E2699" t="inlineStr">
        <is>
          <t>United States</t>
        </is>
      </c>
      <c r="F2699" t="inlineStr">
        <is>
          <t>USA</t>
        </is>
      </c>
      <c r="G2699" t="inlineStr">
        <is>
          <t>Prevnar 20</t>
        </is>
      </c>
      <c r="H2699" t="inlineStr">
        <is>
          <t>Government / tender</t>
        </is>
      </c>
      <c r="I2699" t="inlineStr">
        <is>
          <t>Public payer</t>
        </is>
      </c>
      <c r="J2699" t="inlineStr">
        <is>
          <t>Arjun Mehta</t>
        </is>
      </c>
      <c r="K2699" s="70" t="n">
        <v>1195</v>
      </c>
      <c r="L2699" s="71" t="n">
        <v>340.06</v>
      </c>
      <c r="M2699" s="71" t="n">
        <v>406371.7</v>
      </c>
      <c r="N2699" s="71" t="n">
        <v>60955.76</v>
      </c>
      <c r="O2699" s="71" t="n">
        <v>345415.94</v>
      </c>
      <c r="P2699" s="71" t="n">
        <v>81049.64</v>
      </c>
      <c r="Q2699" s="71" t="n">
        <v>264366.3</v>
      </c>
      <c r="R2699" t="inlineStr">
        <is>
          <t>Vaccines</t>
        </is>
      </c>
      <c r="S2699" s="70" t="n">
        <v>990</v>
      </c>
      <c r="T2699" s="71" t="n">
        <v>72068.95</v>
      </c>
      <c r="U2699" t="inlineStr">
        <is>
          <t>Low</t>
        </is>
      </c>
      <c r="V2699">
        <f>IF(AND(OR(Dashboard!$C$6="All",E2699=Dashboard!$C$6),OR(Dashboard!$F$6="All",G2699=Dashboard!$F$6),OR(Dashboard!$I$6="All",H2699=Dashboard!$I$6)),1,0)</f>
        <v/>
      </c>
    </row>
    <row r="2700">
      <c r="A2700" t="inlineStr">
        <is>
          <t>PF102691</t>
        </is>
      </c>
      <c r="B2700" s="68" t="n">
        <v>45982</v>
      </c>
      <c r="C2700" s="69" t="n">
        <v>2025</v>
      </c>
      <c r="D2700" t="inlineStr">
        <is>
          <t>Nov</t>
        </is>
      </c>
      <c r="E2700" t="inlineStr">
        <is>
          <t>Emerging markets</t>
        </is>
      </c>
      <c r="F2700" t="inlineStr">
        <is>
          <t>Mexico</t>
        </is>
      </c>
      <c r="G2700" t="inlineStr">
        <is>
          <t>Paxlovid</t>
        </is>
      </c>
      <c r="H2700" t="inlineStr">
        <is>
          <t>Government / tender</t>
        </is>
      </c>
      <c r="I2700" t="inlineStr">
        <is>
          <t>Private insurer</t>
        </is>
      </c>
      <c r="J2700" t="inlineStr">
        <is>
          <t>Lucas Martin</t>
        </is>
      </c>
      <c r="K2700" s="70" t="n">
        <v>1500</v>
      </c>
      <c r="L2700" s="71" t="n">
        <v>1096.04</v>
      </c>
      <c r="M2700" s="71" t="n">
        <v>1644060</v>
      </c>
      <c r="N2700" s="71" t="n">
        <v>82203</v>
      </c>
      <c r="O2700" s="71" t="n">
        <v>1561857</v>
      </c>
      <c r="P2700" s="71" t="n">
        <v>407164.37</v>
      </c>
      <c r="Q2700" s="71" t="n">
        <v>1154692.63</v>
      </c>
      <c r="R2700" t="inlineStr">
        <is>
          <t>Antiviral</t>
        </is>
      </c>
      <c r="S2700" s="70" t="n">
        <v>1359</v>
      </c>
      <c r="T2700" s="71" t="n">
        <v>304914.14</v>
      </c>
      <c r="U2700" t="inlineStr">
        <is>
          <t>Low</t>
        </is>
      </c>
      <c r="V2700">
        <f>IF(AND(OR(Dashboard!$C$6="All",E2700=Dashboard!$C$6),OR(Dashboard!$F$6="All",G2700=Dashboard!$F$6),OR(Dashboard!$I$6="All",H2700=Dashboard!$I$6)),1,0)</f>
        <v/>
      </c>
    </row>
    <row r="2701">
      <c r="A2701" t="inlineStr">
        <is>
          <t>PF102692</t>
        </is>
      </c>
      <c r="B2701" s="68" t="n">
        <v>45982</v>
      </c>
      <c r="C2701" s="69" t="n">
        <v>2025</v>
      </c>
      <c r="D2701" t="inlineStr">
        <is>
          <t>Nov</t>
        </is>
      </c>
      <c r="E2701" t="inlineStr">
        <is>
          <t>Europe</t>
        </is>
      </c>
      <c r="F2701" t="inlineStr">
        <is>
          <t>Italy</t>
        </is>
      </c>
      <c r="G2701" t="inlineStr">
        <is>
          <t>Comirnaty</t>
        </is>
      </c>
      <c r="H2701" t="inlineStr">
        <is>
          <t>Retail pharmacy</t>
        </is>
      </c>
      <c r="I2701" t="inlineStr">
        <is>
          <t>Self-pay</t>
        </is>
      </c>
      <c r="J2701" t="inlineStr">
        <is>
          <t>Carlos Silva</t>
        </is>
      </c>
      <c r="K2701" s="70" t="n">
        <v>3234</v>
      </c>
      <c r="L2701" s="71" t="n">
        <v>119.96</v>
      </c>
      <c r="M2701" s="71" t="n">
        <v>387950.64</v>
      </c>
      <c r="N2701" s="71" t="n">
        <v>19397.53</v>
      </c>
      <c r="O2701" s="71" t="n">
        <v>368553.11</v>
      </c>
      <c r="P2701" s="71" t="n">
        <v>119731.09</v>
      </c>
      <c r="Q2701" s="71" t="n">
        <v>248822.02</v>
      </c>
      <c r="R2701" t="inlineStr">
        <is>
          <t>Vaccines</t>
        </is>
      </c>
      <c r="S2701" s="70" t="n">
        <v>2478</v>
      </c>
      <c r="T2701" s="71" t="n">
        <v>47815.56</v>
      </c>
      <c r="U2701" t="inlineStr">
        <is>
          <t>Low</t>
        </is>
      </c>
      <c r="V2701">
        <f>IF(AND(OR(Dashboard!$C$6="All",E2701=Dashboard!$C$6),OR(Dashboard!$F$6="All",G2701=Dashboard!$F$6),OR(Dashboard!$I$6="All",H2701=Dashboard!$I$6)),1,0)</f>
        <v/>
      </c>
    </row>
    <row r="2702">
      <c r="A2702" t="inlineStr">
        <is>
          <t>PF102693</t>
        </is>
      </c>
      <c r="B2702" s="68" t="n">
        <v>45982</v>
      </c>
      <c r="C2702" s="69" t="n">
        <v>2025</v>
      </c>
      <c r="D2702" t="inlineStr">
        <is>
          <t>Nov</t>
        </is>
      </c>
      <c r="E2702" t="inlineStr">
        <is>
          <t>Emerging markets</t>
        </is>
      </c>
      <c r="F2702" t="inlineStr">
        <is>
          <t>Brazil</t>
        </is>
      </c>
      <c r="G2702" t="inlineStr">
        <is>
          <t>Abrysvo</t>
        </is>
      </c>
      <c r="H2702" t="inlineStr">
        <is>
          <t>Retail pharmacy</t>
        </is>
      </c>
      <c r="I2702" t="inlineStr">
        <is>
          <t>Private insurer</t>
        </is>
      </c>
      <c r="J2702" t="inlineStr">
        <is>
          <t>Noah Smith</t>
        </is>
      </c>
      <c r="K2702" s="70" t="n">
        <v>1232</v>
      </c>
      <c r="L2702" s="71" t="n">
        <v>292.85</v>
      </c>
      <c r="M2702" s="71" t="n">
        <v>360791.2</v>
      </c>
      <c r="N2702" s="71" t="n">
        <v>90197.8</v>
      </c>
      <c r="O2702" s="71" t="n">
        <v>270593.4</v>
      </c>
      <c r="P2702" s="71" t="n">
        <v>103486.69</v>
      </c>
      <c r="Q2702" s="71" t="n">
        <v>167106.71</v>
      </c>
      <c r="R2702" t="inlineStr">
        <is>
          <t>Vaccines</t>
        </is>
      </c>
      <c r="S2702" s="70" t="n">
        <v>883</v>
      </c>
      <c r="T2702" s="71" t="n">
        <v>55137.27</v>
      </c>
      <c r="U2702" t="inlineStr">
        <is>
          <t>Low</t>
        </is>
      </c>
      <c r="V2702">
        <f>IF(AND(OR(Dashboard!$C$6="All",E2702=Dashboard!$C$6),OR(Dashboard!$F$6="All",G2702=Dashboard!$F$6),OR(Dashboard!$I$6="All",H2702=Dashboard!$I$6)),1,0)</f>
        <v/>
      </c>
    </row>
    <row r="2703">
      <c r="A2703" t="inlineStr">
        <is>
          <t>PF102694</t>
        </is>
      </c>
      <c r="B2703" s="68" t="n">
        <v>45982</v>
      </c>
      <c r="C2703" s="69" t="n">
        <v>2025</v>
      </c>
      <c r="D2703" t="inlineStr">
        <is>
          <t>Nov</t>
        </is>
      </c>
      <c r="E2703" t="inlineStr">
        <is>
          <t>United States</t>
        </is>
      </c>
      <c r="F2703" t="inlineStr">
        <is>
          <t>USA</t>
        </is>
      </c>
      <c r="G2703" t="inlineStr">
        <is>
          <t>Abrysvo</t>
        </is>
      </c>
      <c r="H2703" t="inlineStr">
        <is>
          <t>Hospital</t>
        </is>
      </c>
      <c r="I2703" t="inlineStr">
        <is>
          <t>Private insurer</t>
        </is>
      </c>
      <c r="J2703" t="inlineStr">
        <is>
          <t>Ruhi Shaikh</t>
        </is>
      </c>
      <c r="K2703" s="70" t="n">
        <v>2034</v>
      </c>
      <c r="L2703" s="71" t="n">
        <v>490.03</v>
      </c>
      <c r="M2703" s="71" t="n">
        <v>996721.02</v>
      </c>
      <c r="N2703" s="71" t="n">
        <v>199344.2</v>
      </c>
      <c r="O2703" s="71" t="n">
        <v>797376.8199999999</v>
      </c>
      <c r="P2703" s="71" t="n">
        <v>164286.97</v>
      </c>
      <c r="Q2703" s="71" t="n">
        <v>633089.85</v>
      </c>
      <c r="R2703" t="inlineStr">
        <is>
          <t>Vaccines</t>
        </is>
      </c>
      <c r="S2703" s="70" t="n">
        <v>1614</v>
      </c>
      <c r="T2703" s="71" t="n">
        <v>133162.07</v>
      </c>
      <c r="U2703" t="inlineStr">
        <is>
          <t>Low</t>
        </is>
      </c>
      <c r="V2703">
        <f>IF(AND(OR(Dashboard!$C$6="All",E2703=Dashboard!$C$6),OR(Dashboard!$F$6="All",G2703=Dashboard!$F$6),OR(Dashboard!$I$6="All",H2703=Dashboard!$I$6)),1,0)</f>
        <v/>
      </c>
    </row>
    <row r="2704">
      <c r="A2704" t="inlineStr">
        <is>
          <t>PF102695</t>
        </is>
      </c>
      <c r="B2704" s="68" t="n">
        <v>45982</v>
      </c>
      <c r="C2704" s="69" t="n">
        <v>2025</v>
      </c>
      <c r="D2704" t="inlineStr">
        <is>
          <t>Nov</t>
        </is>
      </c>
      <c r="E2704" t="inlineStr">
        <is>
          <t>Europe</t>
        </is>
      </c>
      <c r="F2704" t="inlineStr">
        <is>
          <t>Italy</t>
        </is>
      </c>
      <c r="G2704" t="inlineStr">
        <is>
          <t>Paxlovid</t>
        </is>
      </c>
      <c r="H2704" t="inlineStr">
        <is>
          <t>Hospital</t>
        </is>
      </c>
      <c r="I2704" t="inlineStr">
        <is>
          <t>Private insurer</t>
        </is>
      </c>
      <c r="J2704" t="inlineStr">
        <is>
          <t>Noah Smith</t>
        </is>
      </c>
      <c r="K2704" s="70" t="n">
        <v>855</v>
      </c>
      <c r="L2704" s="71" t="n">
        <v>1053.95</v>
      </c>
      <c r="M2704" s="71" t="n">
        <v>901127.25</v>
      </c>
      <c r="N2704" s="71" t="n">
        <v>180225.45</v>
      </c>
      <c r="O2704" s="71" t="n">
        <v>720901.8</v>
      </c>
      <c r="P2704" s="71" t="n">
        <v>239044.22</v>
      </c>
      <c r="Q2704" s="71" t="n">
        <v>481857.58</v>
      </c>
      <c r="R2704" t="inlineStr">
        <is>
          <t>Antiviral</t>
        </is>
      </c>
      <c r="S2704" s="70" t="n">
        <v>836</v>
      </c>
      <c r="T2704" s="71" t="n">
        <v>115693.37</v>
      </c>
      <c r="U2704" t="inlineStr">
        <is>
          <t>Low</t>
        </is>
      </c>
      <c r="V2704">
        <f>IF(AND(OR(Dashboard!$C$6="All",E2704=Dashboard!$C$6),OR(Dashboard!$F$6="All",G2704=Dashboard!$F$6),OR(Dashboard!$I$6="All",H2704=Dashboard!$I$6)),1,0)</f>
        <v/>
      </c>
    </row>
    <row r="2705">
      <c r="A2705" t="inlineStr">
        <is>
          <t>PF102696</t>
        </is>
      </c>
      <c r="B2705" s="68" t="n">
        <v>45983</v>
      </c>
      <c r="C2705" s="69" t="n">
        <v>2025</v>
      </c>
      <c r="D2705" t="inlineStr">
        <is>
          <t>Nov</t>
        </is>
      </c>
      <c r="E2705" t="inlineStr">
        <is>
          <t>International developed</t>
        </is>
      </c>
      <c r="F2705" t="inlineStr">
        <is>
          <t>Canada</t>
        </is>
      </c>
      <c r="G2705" t="inlineStr">
        <is>
          <t>Xeljanz</t>
        </is>
      </c>
      <c r="H2705" t="inlineStr">
        <is>
          <t>Retail pharmacy</t>
        </is>
      </c>
      <c r="I2705" t="inlineStr">
        <is>
          <t>Self-pay</t>
        </is>
      </c>
      <c r="J2705" t="inlineStr">
        <is>
          <t>Olivia Brown</t>
        </is>
      </c>
      <c r="K2705" s="70" t="n">
        <v>1027</v>
      </c>
      <c r="L2705" s="71" t="n">
        <v>1403.22</v>
      </c>
      <c r="M2705" s="71" t="n">
        <v>1441106.94</v>
      </c>
      <c r="N2705" s="71" t="n">
        <v>216166.04</v>
      </c>
      <c r="O2705" s="71" t="n">
        <v>1224940.9</v>
      </c>
      <c r="P2705" s="71" t="n">
        <v>256006.02</v>
      </c>
      <c r="Q2705" s="71" t="n">
        <v>968934.88</v>
      </c>
      <c r="R2705" t="inlineStr">
        <is>
          <t>Inflammation</t>
        </is>
      </c>
      <c r="S2705" s="70" t="n">
        <v>663</v>
      </c>
      <c r="T2705" s="71" t="n">
        <v>236691.06</v>
      </c>
      <c r="U2705" t="inlineStr">
        <is>
          <t>High</t>
        </is>
      </c>
      <c r="V2705">
        <f>IF(AND(OR(Dashboard!$C$6="All",E2705=Dashboard!$C$6),OR(Dashboard!$F$6="All",G2705=Dashboard!$F$6),OR(Dashboard!$I$6="All",H2705=Dashboard!$I$6)),1,0)</f>
        <v/>
      </c>
    </row>
    <row r="2706">
      <c r="A2706" t="inlineStr">
        <is>
          <t>PF102697</t>
        </is>
      </c>
      <c r="B2706" s="68" t="n">
        <v>45983</v>
      </c>
      <c r="C2706" s="69" t="n">
        <v>2025</v>
      </c>
      <c r="D2706" t="inlineStr">
        <is>
          <t>Nov</t>
        </is>
      </c>
      <c r="E2706" t="inlineStr">
        <is>
          <t>Europe</t>
        </is>
      </c>
      <c r="F2706" t="inlineStr">
        <is>
          <t>UK</t>
        </is>
      </c>
      <c r="G2706" t="inlineStr">
        <is>
          <t>Prevnar 20</t>
        </is>
      </c>
      <c r="H2706" t="inlineStr">
        <is>
          <t>Retail pharmacy</t>
        </is>
      </c>
      <c r="I2706" t="inlineStr">
        <is>
          <t>Private insurer</t>
        </is>
      </c>
      <c r="J2706" t="inlineStr">
        <is>
          <t>Ana Costa</t>
        </is>
      </c>
      <c r="K2706" s="70" t="n">
        <v>2354</v>
      </c>
      <c r="L2706" s="71" t="n">
        <v>231.59</v>
      </c>
      <c r="M2706" s="71" t="n">
        <v>545162.86</v>
      </c>
      <c r="N2706" s="71" t="n">
        <v>54516.29</v>
      </c>
      <c r="O2706" s="71" t="n">
        <v>490646.57</v>
      </c>
      <c r="P2706" s="71" t="n">
        <v>164811.5</v>
      </c>
      <c r="Q2706" s="71" t="n">
        <v>325835.07</v>
      </c>
      <c r="R2706" t="inlineStr">
        <is>
          <t>Vaccines</t>
        </is>
      </c>
      <c r="S2706" s="70" t="n">
        <v>1616</v>
      </c>
      <c r="T2706" s="71" t="n">
        <v>105392.8</v>
      </c>
      <c r="U2706" t="inlineStr">
        <is>
          <t>Low</t>
        </is>
      </c>
      <c r="V2706">
        <f>IF(AND(OR(Dashboard!$C$6="All",E2706=Dashboard!$C$6),OR(Dashboard!$F$6="All",G2706=Dashboard!$F$6),OR(Dashboard!$I$6="All",H2706=Dashboard!$I$6)),1,0)</f>
        <v/>
      </c>
    </row>
    <row r="2707">
      <c r="A2707" t="inlineStr">
        <is>
          <t>PF102698</t>
        </is>
      </c>
      <c r="B2707" s="68" t="n">
        <v>45983</v>
      </c>
      <c r="C2707" s="69" t="n">
        <v>2025</v>
      </c>
      <c r="D2707" t="inlineStr">
        <is>
          <t>Nov</t>
        </is>
      </c>
      <c r="E2707" t="inlineStr">
        <is>
          <t>United States</t>
        </is>
      </c>
      <c r="F2707" t="inlineStr">
        <is>
          <t>USA</t>
        </is>
      </c>
      <c r="G2707" t="inlineStr">
        <is>
          <t>Vyndaqel</t>
        </is>
      </c>
      <c r="H2707" t="inlineStr">
        <is>
          <t>Retail pharmacy</t>
        </is>
      </c>
      <c r="I2707" t="inlineStr">
        <is>
          <t>Public payer</t>
        </is>
      </c>
      <c r="J2707" t="inlineStr">
        <is>
          <t>Shraddha Kulkarni</t>
        </is>
      </c>
      <c r="K2707" s="70" t="n">
        <v>2500</v>
      </c>
      <c r="L2707" s="71" t="n">
        <v>9099.969999999999</v>
      </c>
      <c r="M2707" s="71" t="n">
        <v>22749925</v>
      </c>
      <c r="N2707" s="71" t="n">
        <v>7962473.75</v>
      </c>
      <c r="O2707" s="71" t="n">
        <v>14787451.25</v>
      </c>
      <c r="P2707" s="71" t="n">
        <v>1599542.99</v>
      </c>
      <c r="Q2707" s="71" t="n">
        <v>13187908.26</v>
      </c>
      <c r="R2707" t="inlineStr">
        <is>
          <t>Rare disease</t>
        </is>
      </c>
      <c r="S2707" s="70" t="n">
        <v>2398</v>
      </c>
      <c r="T2707" s="71" t="n">
        <v>3608549.68</v>
      </c>
      <c r="U2707" t="inlineStr">
        <is>
          <t>Medium</t>
        </is>
      </c>
      <c r="V2707">
        <f>IF(AND(OR(Dashboard!$C$6="All",E2707=Dashboard!$C$6),OR(Dashboard!$F$6="All",G2707=Dashboard!$F$6),OR(Dashboard!$I$6="All",H2707=Dashboard!$I$6)),1,0)</f>
        <v/>
      </c>
    </row>
    <row r="2708">
      <c r="A2708" t="inlineStr">
        <is>
          <t>PF102699</t>
        </is>
      </c>
      <c r="B2708" s="68" t="n">
        <v>45983</v>
      </c>
      <c r="C2708" s="69" t="n">
        <v>2025</v>
      </c>
      <c r="D2708" t="inlineStr">
        <is>
          <t>Nov</t>
        </is>
      </c>
      <c r="E2708" t="inlineStr">
        <is>
          <t>United States</t>
        </is>
      </c>
      <c r="F2708" t="inlineStr">
        <is>
          <t>USA</t>
        </is>
      </c>
      <c r="G2708" t="inlineStr">
        <is>
          <t>Prevnar 20</t>
        </is>
      </c>
      <c r="H2708" t="inlineStr">
        <is>
          <t>Hospital</t>
        </is>
      </c>
      <c r="I2708" t="inlineStr">
        <is>
          <t>Private insurer</t>
        </is>
      </c>
      <c r="J2708" t="inlineStr">
        <is>
          <t>Aisha Bello</t>
        </is>
      </c>
      <c r="K2708" s="70" t="n">
        <v>2402</v>
      </c>
      <c r="L2708" s="71" t="n">
        <v>343.65</v>
      </c>
      <c r="M2708" s="71" t="n">
        <v>825447.3</v>
      </c>
      <c r="N2708" s="71" t="n">
        <v>247634.19</v>
      </c>
      <c r="O2708" s="71" t="n">
        <v>577813.11</v>
      </c>
      <c r="P2708" s="71" t="n">
        <v>171974.19</v>
      </c>
      <c r="Q2708" s="71" t="n">
        <v>405838.92</v>
      </c>
      <c r="R2708" t="inlineStr">
        <is>
          <t>Vaccines</t>
        </is>
      </c>
      <c r="S2708" s="70" t="n">
        <v>2357</v>
      </c>
      <c r="T2708" s="71" t="n">
        <v>165753.79</v>
      </c>
      <c r="U2708" t="inlineStr">
        <is>
          <t>Low</t>
        </is>
      </c>
      <c r="V2708">
        <f>IF(AND(OR(Dashboard!$C$6="All",E2708=Dashboard!$C$6),OR(Dashboard!$F$6="All",G2708=Dashboard!$F$6),OR(Dashboard!$I$6="All",H2708=Dashboard!$I$6)),1,0)</f>
        <v/>
      </c>
    </row>
    <row r="2709">
      <c r="A2709" t="inlineStr">
        <is>
          <t>PF102700</t>
        </is>
      </c>
      <c r="B2709" s="68" t="n">
        <v>45983</v>
      </c>
      <c r="C2709" s="69" t="n">
        <v>2025</v>
      </c>
      <c r="D2709" t="inlineStr">
        <is>
          <t>Nov</t>
        </is>
      </c>
      <c r="E2709" t="inlineStr">
        <is>
          <t>United States</t>
        </is>
      </c>
      <c r="F2709" t="inlineStr">
        <is>
          <t>USA</t>
        </is>
      </c>
      <c r="G2709" t="inlineStr">
        <is>
          <t>Prevnar 20</t>
        </is>
      </c>
      <c r="H2709" t="inlineStr">
        <is>
          <t>Hospital</t>
        </is>
      </c>
      <c r="I2709" t="inlineStr">
        <is>
          <t>Public payer</t>
        </is>
      </c>
      <c r="J2709" t="inlineStr">
        <is>
          <t>Noah Smith</t>
        </is>
      </c>
      <c r="K2709" s="70" t="n">
        <v>1278</v>
      </c>
      <c r="L2709" s="71" t="n">
        <v>339.78</v>
      </c>
      <c r="M2709" s="71" t="n">
        <v>434238.84</v>
      </c>
      <c r="N2709" s="71" t="n">
        <v>65135.83</v>
      </c>
      <c r="O2709" s="71" t="n">
        <v>369103.01</v>
      </c>
      <c r="P2709" s="71" t="n">
        <v>85941.13</v>
      </c>
      <c r="Q2709" s="71" t="n">
        <v>283161.88</v>
      </c>
      <c r="R2709" t="inlineStr">
        <is>
          <t>Vaccines</t>
        </is>
      </c>
      <c r="S2709" s="70" t="n">
        <v>1222</v>
      </c>
      <c r="T2709" s="71" t="n">
        <v>84320.59</v>
      </c>
      <c r="U2709" t="inlineStr">
        <is>
          <t>Low</t>
        </is>
      </c>
      <c r="V2709">
        <f>IF(AND(OR(Dashboard!$C$6="All",E2709=Dashboard!$C$6),OR(Dashboard!$F$6="All",G2709=Dashboard!$F$6),OR(Dashboard!$I$6="All",H2709=Dashboard!$I$6)),1,0)</f>
        <v/>
      </c>
    </row>
    <row r="2710">
      <c r="A2710" t="inlineStr">
        <is>
          <t>PF102701</t>
        </is>
      </c>
      <c r="B2710" s="68" t="n">
        <v>45983</v>
      </c>
      <c r="C2710" s="69" t="n">
        <v>2025</v>
      </c>
      <c r="D2710" t="inlineStr">
        <is>
          <t>Nov</t>
        </is>
      </c>
      <c r="E2710" t="inlineStr">
        <is>
          <t>United States</t>
        </is>
      </c>
      <c r="F2710" t="inlineStr">
        <is>
          <t>USA</t>
        </is>
      </c>
      <c r="G2710" t="inlineStr">
        <is>
          <t>Vyndaqel</t>
        </is>
      </c>
      <c r="H2710" t="inlineStr">
        <is>
          <t>Hospital</t>
        </is>
      </c>
      <c r="I2710" t="inlineStr">
        <is>
          <t>Private insurer</t>
        </is>
      </c>
      <c r="J2710" t="inlineStr">
        <is>
          <t>Aisha Bello</t>
        </is>
      </c>
      <c r="K2710" s="70" t="n">
        <v>1287</v>
      </c>
      <c r="L2710" s="71" t="n">
        <v>8302.860000000001</v>
      </c>
      <c r="M2710" s="71" t="n">
        <v>10685780.82</v>
      </c>
      <c r="N2710" s="71" t="n">
        <v>1602867.12</v>
      </c>
      <c r="O2710" s="71" t="n">
        <v>9082913.699999999</v>
      </c>
      <c r="P2710" s="71" t="n">
        <v>774060.72</v>
      </c>
      <c r="Q2710" s="71" t="n">
        <v>8308852.98</v>
      </c>
      <c r="R2710" t="inlineStr">
        <is>
          <t>Rare disease</t>
        </is>
      </c>
      <c r="S2710" s="70" t="n">
        <v>1253</v>
      </c>
      <c r="T2710" s="71" t="n">
        <v>1840293.1</v>
      </c>
      <c r="U2710" t="inlineStr">
        <is>
          <t>Medium</t>
        </is>
      </c>
      <c r="V2710">
        <f>IF(AND(OR(Dashboard!$C$6="All",E2710=Dashboard!$C$6),OR(Dashboard!$F$6="All",G2710=Dashboard!$F$6),OR(Dashboard!$I$6="All",H2710=Dashboard!$I$6)),1,0)</f>
        <v/>
      </c>
    </row>
    <row r="2711">
      <c r="A2711" t="inlineStr">
        <is>
          <t>PF102702</t>
        </is>
      </c>
      <c r="B2711" s="68" t="n">
        <v>45983</v>
      </c>
      <c r="C2711" s="69" t="n">
        <v>2025</v>
      </c>
      <c r="D2711" t="inlineStr">
        <is>
          <t>Nov</t>
        </is>
      </c>
      <c r="E2711" t="inlineStr">
        <is>
          <t>United States</t>
        </is>
      </c>
      <c r="F2711" t="inlineStr">
        <is>
          <t>USA</t>
        </is>
      </c>
      <c r="G2711" t="inlineStr">
        <is>
          <t>Eliquis</t>
        </is>
      </c>
      <c r="H2711" t="inlineStr">
        <is>
          <t>Government / tender</t>
        </is>
      </c>
      <c r="I2711" t="inlineStr">
        <is>
          <t>Public payer</t>
        </is>
      </c>
      <c r="J2711" t="inlineStr">
        <is>
          <t>Fatima Al-Saud</t>
        </is>
      </c>
      <c r="K2711" s="70" t="n">
        <v>2329</v>
      </c>
      <c r="L2711" s="71" t="n">
        <v>673.9400000000001</v>
      </c>
      <c r="M2711" s="71" t="n">
        <v>1569606.26</v>
      </c>
      <c r="N2711" s="71" t="n">
        <v>549362.1899999999</v>
      </c>
      <c r="O2711" s="71" t="n">
        <v>1020244.07</v>
      </c>
      <c r="P2711" s="71" t="n">
        <v>179280.16</v>
      </c>
      <c r="Q2711" s="71" t="n">
        <v>840963.91</v>
      </c>
      <c r="R2711" t="inlineStr">
        <is>
          <t>Cardiology</t>
        </is>
      </c>
      <c r="S2711" s="70" t="n">
        <v>1672</v>
      </c>
      <c r="T2711" s="71" t="n">
        <v>280419.18</v>
      </c>
      <c r="U2711" t="inlineStr">
        <is>
          <t>High</t>
        </is>
      </c>
      <c r="V2711">
        <f>IF(AND(OR(Dashboard!$C$6="All",E2711=Dashboard!$C$6),OR(Dashboard!$F$6="All",G2711=Dashboard!$F$6),OR(Dashboard!$I$6="All",H2711=Dashboard!$I$6)),1,0)</f>
        <v/>
      </c>
    </row>
    <row r="2712">
      <c r="A2712" t="inlineStr">
        <is>
          <t>PF102703</t>
        </is>
      </c>
      <c r="B2712" s="68" t="n">
        <v>45983</v>
      </c>
      <c r="C2712" s="69" t="n">
        <v>2025</v>
      </c>
      <c r="D2712" t="inlineStr">
        <is>
          <t>Nov</t>
        </is>
      </c>
      <c r="E2712" t="inlineStr">
        <is>
          <t>International developed</t>
        </is>
      </c>
      <c r="F2712" t="inlineStr">
        <is>
          <t>Canada</t>
        </is>
      </c>
      <c r="G2712" t="inlineStr">
        <is>
          <t>Abrysvo</t>
        </is>
      </c>
      <c r="H2712" t="inlineStr">
        <is>
          <t>Hospital</t>
        </is>
      </c>
      <c r="I2712" t="inlineStr">
        <is>
          <t>Public payer</t>
        </is>
      </c>
      <c r="J2712" t="inlineStr">
        <is>
          <t>Hiroshi Tanaka</t>
        </is>
      </c>
      <c r="K2712" s="70" t="n">
        <v>1692</v>
      </c>
      <c r="L2712" s="71" t="n">
        <v>297.5</v>
      </c>
      <c r="M2712" s="71" t="n">
        <v>503370</v>
      </c>
      <c r="N2712" s="71" t="n">
        <v>125842.5</v>
      </c>
      <c r="O2712" s="71" t="n">
        <v>377527.5</v>
      </c>
      <c r="P2712" s="71" t="n">
        <v>139172.35</v>
      </c>
      <c r="Q2712" s="71" t="n">
        <v>238355.15</v>
      </c>
      <c r="R2712" t="inlineStr">
        <is>
          <t>Vaccines</t>
        </is>
      </c>
      <c r="S2712" s="70" t="n">
        <v>1381</v>
      </c>
      <c r="T2712" s="71" t="n">
        <v>63174.43</v>
      </c>
      <c r="U2712" t="inlineStr">
        <is>
          <t>Low</t>
        </is>
      </c>
      <c r="V2712">
        <f>IF(AND(OR(Dashboard!$C$6="All",E2712=Dashboard!$C$6),OR(Dashboard!$F$6="All",G2712=Dashboard!$F$6),OR(Dashboard!$I$6="All",H2712=Dashboard!$I$6)),1,0)</f>
        <v/>
      </c>
    </row>
    <row r="2713">
      <c r="A2713" t="inlineStr">
        <is>
          <t>PF102704</t>
        </is>
      </c>
      <c r="B2713" s="68" t="n">
        <v>45983</v>
      </c>
      <c r="C2713" s="69" t="n">
        <v>2025</v>
      </c>
      <c r="D2713" t="inlineStr">
        <is>
          <t>Nov</t>
        </is>
      </c>
      <c r="E2713" t="inlineStr">
        <is>
          <t>Europe</t>
        </is>
      </c>
      <c r="F2713" t="inlineStr">
        <is>
          <t>UK</t>
        </is>
      </c>
      <c r="G2713" t="inlineStr">
        <is>
          <t>Eliquis</t>
        </is>
      </c>
      <c r="H2713" t="inlineStr">
        <is>
          <t>Government / tender</t>
        </is>
      </c>
      <c r="I2713" t="inlineStr">
        <is>
          <t>Private insurer</t>
        </is>
      </c>
      <c r="J2713" t="inlineStr">
        <is>
          <t>Aisha Bello</t>
        </is>
      </c>
      <c r="K2713" s="70" t="n">
        <v>562</v>
      </c>
      <c r="L2713" s="71" t="n">
        <v>444.14</v>
      </c>
      <c r="M2713" s="71" t="n">
        <v>249606.68</v>
      </c>
      <c r="N2713" s="71" t="n">
        <v>24960.67</v>
      </c>
      <c r="O2713" s="71" t="n">
        <v>224646.01</v>
      </c>
      <c r="P2713" s="71" t="n">
        <v>42699.59</v>
      </c>
      <c r="Q2713" s="71" t="n">
        <v>181946.42</v>
      </c>
      <c r="R2713" t="inlineStr">
        <is>
          <t>Cardiology</t>
        </is>
      </c>
      <c r="S2713" s="70" t="n">
        <v>483</v>
      </c>
      <c r="T2713" s="71" t="n">
        <v>45481.87</v>
      </c>
      <c r="U2713" t="inlineStr">
        <is>
          <t>High</t>
        </is>
      </c>
      <c r="V2713">
        <f>IF(AND(OR(Dashboard!$C$6="All",E2713=Dashboard!$C$6),OR(Dashboard!$F$6="All",G2713=Dashboard!$F$6),OR(Dashboard!$I$6="All",H2713=Dashboard!$I$6)),1,0)</f>
        <v/>
      </c>
    </row>
    <row r="2714">
      <c r="A2714" t="inlineStr">
        <is>
          <t>PF102705</t>
        </is>
      </c>
      <c r="B2714" s="68" t="n">
        <v>45983</v>
      </c>
      <c r="C2714" s="69" t="n">
        <v>2025</v>
      </c>
      <c r="D2714" t="inlineStr">
        <is>
          <t>Nov</t>
        </is>
      </c>
      <c r="E2714" t="inlineStr">
        <is>
          <t>International developed</t>
        </is>
      </c>
      <c r="F2714" t="inlineStr">
        <is>
          <t>Australia</t>
        </is>
      </c>
      <c r="G2714" t="inlineStr">
        <is>
          <t>Xeljanz</t>
        </is>
      </c>
      <c r="H2714" t="inlineStr">
        <is>
          <t>Hospital</t>
        </is>
      </c>
      <c r="I2714" t="inlineStr">
        <is>
          <t>Self-pay</t>
        </is>
      </c>
      <c r="J2714" t="inlineStr">
        <is>
          <t>Amir Khan</t>
        </is>
      </c>
      <c r="K2714" s="70" t="n">
        <v>1291</v>
      </c>
      <c r="L2714" s="71" t="n">
        <v>1489.68</v>
      </c>
      <c r="M2714" s="71" t="n">
        <v>1923176.88</v>
      </c>
      <c r="N2714" s="71" t="n">
        <v>288476.53</v>
      </c>
      <c r="O2714" s="71" t="n">
        <v>1634700.35</v>
      </c>
      <c r="P2714" s="71" t="n">
        <v>320043.8</v>
      </c>
      <c r="Q2714" s="71" t="n">
        <v>1314656.55</v>
      </c>
      <c r="R2714" t="inlineStr">
        <is>
          <t>Inflammation</t>
        </is>
      </c>
      <c r="S2714" s="70" t="n">
        <v>1121</v>
      </c>
      <c r="T2714" s="71" t="n">
        <v>253152.04</v>
      </c>
      <c r="U2714" t="inlineStr">
        <is>
          <t>High</t>
        </is>
      </c>
      <c r="V2714">
        <f>IF(AND(OR(Dashboard!$C$6="All",E2714=Dashboard!$C$6),OR(Dashboard!$F$6="All",G2714=Dashboard!$F$6),OR(Dashboard!$I$6="All",H2714=Dashboard!$I$6)),1,0)</f>
        <v/>
      </c>
    </row>
    <row r="2715">
      <c r="A2715" t="inlineStr">
        <is>
          <t>PF102706</t>
        </is>
      </c>
      <c r="B2715" s="68" t="n">
        <v>45983</v>
      </c>
      <c r="C2715" s="69" t="n">
        <v>2025</v>
      </c>
      <c r="D2715" t="inlineStr">
        <is>
          <t>Nov</t>
        </is>
      </c>
      <c r="E2715" t="inlineStr">
        <is>
          <t>International developed</t>
        </is>
      </c>
      <c r="F2715" t="inlineStr">
        <is>
          <t>Australia</t>
        </is>
      </c>
      <c r="G2715" t="inlineStr">
        <is>
          <t>Xeljanz</t>
        </is>
      </c>
      <c r="H2715" t="inlineStr">
        <is>
          <t>Hospital</t>
        </is>
      </c>
      <c r="I2715" t="inlineStr">
        <is>
          <t>Public payer</t>
        </is>
      </c>
      <c r="J2715" t="inlineStr">
        <is>
          <t>Fatima Al-Saud</t>
        </is>
      </c>
      <c r="K2715" s="70" t="n">
        <v>1064</v>
      </c>
      <c r="L2715" s="71" t="n">
        <v>1304.08</v>
      </c>
      <c r="M2715" s="71" t="n">
        <v>1387541.12</v>
      </c>
      <c r="N2715" s="71" t="n">
        <v>346885.28</v>
      </c>
      <c r="O2715" s="71" t="n">
        <v>1040655.84</v>
      </c>
      <c r="P2715" s="71" t="n">
        <v>264376.19</v>
      </c>
      <c r="Q2715" s="71" t="n">
        <v>776279.65</v>
      </c>
      <c r="R2715" t="inlineStr">
        <is>
          <t>Inflammation</t>
        </is>
      </c>
      <c r="S2715" s="70" t="n">
        <v>1032</v>
      </c>
      <c r="T2715" s="71" t="n">
        <v>286093.22</v>
      </c>
      <c r="U2715" t="inlineStr">
        <is>
          <t>High</t>
        </is>
      </c>
      <c r="V2715">
        <f>IF(AND(OR(Dashboard!$C$6="All",E2715=Dashboard!$C$6),OR(Dashboard!$F$6="All",G2715=Dashboard!$F$6),OR(Dashboard!$I$6="All",H2715=Dashboard!$I$6)),1,0)</f>
        <v/>
      </c>
    </row>
    <row r="2716">
      <c r="A2716" t="inlineStr">
        <is>
          <t>PF102707</t>
        </is>
      </c>
      <c r="B2716" s="68" t="n">
        <v>45984</v>
      </c>
      <c r="C2716" s="69" t="n">
        <v>2025</v>
      </c>
      <c r="D2716" t="inlineStr">
        <is>
          <t>Nov</t>
        </is>
      </c>
      <c r="E2716" t="inlineStr">
        <is>
          <t>United States</t>
        </is>
      </c>
      <c r="F2716" t="inlineStr">
        <is>
          <t>USA</t>
        </is>
      </c>
      <c r="G2716" t="inlineStr">
        <is>
          <t>Eliquis</t>
        </is>
      </c>
      <c r="H2716" t="inlineStr">
        <is>
          <t>Hospital</t>
        </is>
      </c>
      <c r="I2716" t="inlineStr">
        <is>
          <t>Public payer</t>
        </is>
      </c>
      <c r="J2716" t="inlineStr">
        <is>
          <t>Sara Rossi</t>
        </is>
      </c>
      <c r="K2716" s="70" t="n">
        <v>1007</v>
      </c>
      <c r="L2716" s="71" t="n">
        <v>678.9299999999999</v>
      </c>
      <c r="M2716" s="71" t="n">
        <v>683682.51</v>
      </c>
      <c r="N2716" s="71" t="n">
        <v>136736.5</v>
      </c>
      <c r="O2716" s="71" t="n">
        <v>546946.01</v>
      </c>
      <c r="P2716" s="71" t="n">
        <v>77509.25</v>
      </c>
      <c r="Q2716" s="71" t="n">
        <v>469436.76</v>
      </c>
      <c r="R2716" t="inlineStr">
        <is>
          <t>Cardiology</t>
        </is>
      </c>
      <c r="S2716" s="70" t="n">
        <v>876</v>
      </c>
      <c r="T2716" s="71" t="n">
        <v>90571.36</v>
      </c>
      <c r="U2716" t="inlineStr">
        <is>
          <t>High</t>
        </is>
      </c>
      <c r="V2716">
        <f>IF(AND(OR(Dashboard!$C$6="All",E2716=Dashboard!$C$6),OR(Dashboard!$F$6="All",G2716=Dashboard!$F$6),OR(Dashboard!$I$6="All",H2716=Dashboard!$I$6)),1,0)</f>
        <v/>
      </c>
    </row>
    <row r="2717">
      <c r="A2717" t="inlineStr">
        <is>
          <t>PF102708</t>
        </is>
      </c>
      <c r="B2717" s="68" t="n">
        <v>45984</v>
      </c>
      <c r="C2717" s="69" t="n">
        <v>2025</v>
      </c>
      <c r="D2717" t="inlineStr">
        <is>
          <t>Nov</t>
        </is>
      </c>
      <c r="E2717" t="inlineStr">
        <is>
          <t>Europe</t>
        </is>
      </c>
      <c r="F2717" t="inlineStr">
        <is>
          <t>Germany</t>
        </is>
      </c>
      <c r="G2717" t="inlineStr">
        <is>
          <t>Eliquis</t>
        </is>
      </c>
      <c r="H2717" t="inlineStr">
        <is>
          <t>Retail pharmacy</t>
        </is>
      </c>
      <c r="I2717" t="inlineStr">
        <is>
          <t>Private insurer</t>
        </is>
      </c>
      <c r="J2717" t="inlineStr">
        <is>
          <t>Olivia Brown</t>
        </is>
      </c>
      <c r="K2717" s="70" t="n">
        <v>1379</v>
      </c>
      <c r="L2717" s="71" t="n">
        <v>449.28</v>
      </c>
      <c r="M2717" s="71" t="n">
        <v>619557.12</v>
      </c>
      <c r="N2717" s="71" t="n">
        <v>61955.71</v>
      </c>
      <c r="O2717" s="71" t="n">
        <v>557601.41</v>
      </c>
      <c r="P2717" s="71" t="n">
        <v>103728.34</v>
      </c>
      <c r="Q2717" s="71" t="n">
        <v>453873.07</v>
      </c>
      <c r="R2717" t="inlineStr">
        <is>
          <t>Cardiology</t>
        </is>
      </c>
      <c r="S2717" s="70" t="n">
        <v>1313</v>
      </c>
      <c r="T2717" s="71" t="n">
        <v>122341.01</v>
      </c>
      <c r="U2717" t="inlineStr">
        <is>
          <t>High</t>
        </is>
      </c>
      <c r="V2717">
        <f>IF(AND(OR(Dashboard!$C$6="All",E2717=Dashboard!$C$6),OR(Dashboard!$F$6="All",G2717=Dashboard!$F$6),OR(Dashboard!$I$6="All",H2717=Dashboard!$I$6)),1,0)</f>
        <v/>
      </c>
    </row>
    <row r="2718">
      <c r="A2718" t="inlineStr">
        <is>
          <t>PF102709</t>
        </is>
      </c>
      <c r="B2718" s="68" t="n">
        <v>45984</v>
      </c>
      <c r="C2718" s="69" t="n">
        <v>2025</v>
      </c>
      <c r="D2718" t="inlineStr">
        <is>
          <t>Nov</t>
        </is>
      </c>
      <c r="E2718" t="inlineStr">
        <is>
          <t>Emerging markets</t>
        </is>
      </c>
      <c r="F2718" t="inlineStr">
        <is>
          <t>Brazil</t>
        </is>
      </c>
      <c r="G2718" t="inlineStr">
        <is>
          <t>Prevnar 20</t>
        </is>
      </c>
      <c r="H2718" t="inlineStr">
        <is>
          <t>Government / tender</t>
        </is>
      </c>
      <c r="I2718" t="inlineStr">
        <is>
          <t>Private insurer</t>
        </is>
      </c>
      <c r="J2718" t="inlineStr">
        <is>
          <t>Fatima Al-Saud</t>
        </is>
      </c>
      <c r="K2718" s="70" t="n">
        <v>346</v>
      </c>
      <c r="L2718" s="71" t="n">
        <v>230.9</v>
      </c>
      <c r="M2718" s="71" t="n">
        <v>79891.39999999999</v>
      </c>
      <c r="N2718" s="71" t="n">
        <v>15978.28</v>
      </c>
      <c r="O2718" s="71" t="n">
        <v>63913.12</v>
      </c>
      <c r="P2718" s="71" t="n">
        <v>24345.52</v>
      </c>
      <c r="Q2718" s="71" t="n">
        <v>39567.6</v>
      </c>
      <c r="R2718" t="inlineStr">
        <is>
          <t>Vaccines</t>
        </is>
      </c>
      <c r="S2718" s="70" t="n">
        <v>272</v>
      </c>
      <c r="T2718" s="71" t="n">
        <v>13282.75</v>
      </c>
      <c r="U2718" t="inlineStr">
        <is>
          <t>Low</t>
        </is>
      </c>
      <c r="V2718">
        <f>IF(AND(OR(Dashboard!$C$6="All",E2718=Dashboard!$C$6),OR(Dashboard!$F$6="All",G2718=Dashboard!$F$6),OR(Dashboard!$I$6="All",H2718=Dashboard!$I$6)),1,0)</f>
        <v/>
      </c>
    </row>
    <row r="2719">
      <c r="A2719" t="inlineStr">
        <is>
          <t>PF102710</t>
        </is>
      </c>
      <c r="B2719" s="68" t="n">
        <v>45984</v>
      </c>
      <c r="C2719" s="69" t="n">
        <v>2025</v>
      </c>
      <c r="D2719" t="inlineStr">
        <is>
          <t>Nov</t>
        </is>
      </c>
      <c r="E2719" t="inlineStr">
        <is>
          <t>United States</t>
        </is>
      </c>
      <c r="F2719" t="inlineStr">
        <is>
          <t>USA</t>
        </is>
      </c>
      <c r="G2719" t="inlineStr">
        <is>
          <t>Prevnar 20</t>
        </is>
      </c>
      <c r="H2719" t="inlineStr">
        <is>
          <t>Government / tender</t>
        </is>
      </c>
      <c r="I2719" t="inlineStr">
        <is>
          <t>Self-pay</t>
        </is>
      </c>
      <c r="J2719" t="inlineStr">
        <is>
          <t>Kofi Mensah</t>
        </is>
      </c>
      <c r="K2719" s="70" t="n">
        <v>537</v>
      </c>
      <c r="L2719" s="71" t="n">
        <v>354.37</v>
      </c>
      <c r="M2719" s="71" t="n">
        <v>190296.69</v>
      </c>
      <c r="N2719" s="71" t="n">
        <v>47574.17</v>
      </c>
      <c r="O2719" s="71" t="n">
        <v>142722.52</v>
      </c>
      <c r="P2719" s="71" t="n">
        <v>37083.89</v>
      </c>
      <c r="Q2719" s="71" t="n">
        <v>105638.63</v>
      </c>
      <c r="R2719" t="inlineStr">
        <is>
          <t>Vaccines</t>
        </is>
      </c>
      <c r="S2719" s="70" t="n">
        <v>387</v>
      </c>
      <c r="T2719" s="71" t="n">
        <v>26464.49</v>
      </c>
      <c r="U2719" t="inlineStr">
        <is>
          <t>Low</t>
        </is>
      </c>
      <c r="V2719">
        <f>IF(AND(OR(Dashboard!$C$6="All",E2719=Dashboard!$C$6),OR(Dashboard!$F$6="All",G2719=Dashboard!$F$6),OR(Dashboard!$I$6="All",H2719=Dashboard!$I$6)),1,0)</f>
        <v/>
      </c>
    </row>
    <row r="2720">
      <c r="A2720" t="inlineStr">
        <is>
          <t>PF102711</t>
        </is>
      </c>
      <c r="B2720" s="68" t="n">
        <v>45985</v>
      </c>
      <c r="C2720" s="69" t="n">
        <v>2025</v>
      </c>
      <c r="D2720" t="inlineStr">
        <is>
          <t>Nov</t>
        </is>
      </c>
      <c r="E2720" t="inlineStr">
        <is>
          <t>Europe</t>
        </is>
      </c>
      <c r="F2720" t="inlineStr">
        <is>
          <t>France</t>
        </is>
      </c>
      <c r="G2720" t="inlineStr">
        <is>
          <t>Ibrance</t>
        </is>
      </c>
      <c r="H2720" t="inlineStr">
        <is>
          <t>Government / tender</t>
        </is>
      </c>
      <c r="I2720" t="inlineStr">
        <is>
          <t>Public payer</t>
        </is>
      </c>
      <c r="J2720" t="inlineStr">
        <is>
          <t>Emma Clarke</t>
        </is>
      </c>
      <c r="K2720" s="70" t="n">
        <v>2856</v>
      </c>
      <c r="L2720" s="71" t="n">
        <v>2736.55</v>
      </c>
      <c r="M2720" s="71" t="n">
        <v>7815586.8</v>
      </c>
      <c r="N2720" s="71" t="n">
        <v>781558.6800000001</v>
      </c>
      <c r="O2720" s="71" t="n">
        <v>7034028.12</v>
      </c>
      <c r="P2720" s="71" t="n">
        <v>1213193.32</v>
      </c>
      <c r="Q2720" s="71" t="n">
        <v>5820834.8</v>
      </c>
      <c r="R2720" t="inlineStr">
        <is>
          <t>Oncology</t>
        </is>
      </c>
      <c r="S2720" s="70" t="n">
        <v>2142</v>
      </c>
      <c r="T2720" s="71" t="n">
        <v>1290193.07</v>
      </c>
      <c r="U2720" t="inlineStr">
        <is>
          <t>High</t>
        </is>
      </c>
      <c r="V2720">
        <f>IF(AND(OR(Dashboard!$C$6="All",E2720=Dashboard!$C$6),OR(Dashboard!$F$6="All",G2720=Dashboard!$F$6),OR(Dashboard!$I$6="All",H2720=Dashboard!$I$6)),1,0)</f>
        <v/>
      </c>
    </row>
    <row r="2721">
      <c r="A2721" t="inlineStr">
        <is>
          <t>PF102712</t>
        </is>
      </c>
      <c r="B2721" s="68" t="n">
        <v>45985</v>
      </c>
      <c r="C2721" s="69" t="n">
        <v>2025</v>
      </c>
      <c r="D2721" t="inlineStr">
        <is>
          <t>Nov</t>
        </is>
      </c>
      <c r="E2721" t="inlineStr">
        <is>
          <t>United States</t>
        </is>
      </c>
      <c r="F2721" t="inlineStr">
        <is>
          <t>USA</t>
        </is>
      </c>
      <c r="G2721" t="inlineStr">
        <is>
          <t>Eliquis</t>
        </is>
      </c>
      <c r="H2721" t="inlineStr">
        <is>
          <t>Retail pharmacy</t>
        </is>
      </c>
      <c r="I2721" t="inlineStr">
        <is>
          <t>Private insurer</t>
        </is>
      </c>
      <c r="J2721" t="inlineStr">
        <is>
          <t>Hiroshi Tanaka</t>
        </is>
      </c>
      <c r="K2721" s="70" t="n">
        <v>2054</v>
      </c>
      <c r="L2721" s="71" t="n">
        <v>611.8200000000001</v>
      </c>
      <c r="M2721" s="71" t="n">
        <v>1256678.28</v>
      </c>
      <c r="N2721" s="71" t="n">
        <v>314169.57</v>
      </c>
      <c r="O2721" s="71" t="n">
        <v>942508.71</v>
      </c>
      <c r="P2721" s="71" t="n">
        <v>160946.66</v>
      </c>
      <c r="Q2721" s="71" t="n">
        <v>781562.05</v>
      </c>
      <c r="R2721" t="inlineStr">
        <is>
          <t>Cardiology</t>
        </is>
      </c>
      <c r="S2721" s="70" t="n">
        <v>1618</v>
      </c>
      <c r="T2721" s="71" t="n">
        <v>202749.29</v>
      </c>
      <c r="U2721" t="inlineStr">
        <is>
          <t>High</t>
        </is>
      </c>
      <c r="V2721">
        <f>IF(AND(OR(Dashboard!$C$6="All",E2721=Dashboard!$C$6),OR(Dashboard!$F$6="All",G2721=Dashboard!$F$6),OR(Dashboard!$I$6="All",H2721=Dashboard!$I$6)),1,0)</f>
        <v/>
      </c>
    </row>
    <row r="2722">
      <c r="A2722" t="inlineStr">
        <is>
          <t>PF102713</t>
        </is>
      </c>
      <c r="B2722" s="68" t="n">
        <v>45985</v>
      </c>
      <c r="C2722" s="69" t="n">
        <v>2025</v>
      </c>
      <c r="D2722" t="inlineStr">
        <is>
          <t>Nov</t>
        </is>
      </c>
      <c r="E2722" t="inlineStr">
        <is>
          <t>United States</t>
        </is>
      </c>
      <c r="F2722" t="inlineStr">
        <is>
          <t>USA</t>
        </is>
      </c>
      <c r="G2722" t="inlineStr">
        <is>
          <t>Xeljanz</t>
        </is>
      </c>
      <c r="H2722" t="inlineStr">
        <is>
          <t>Hospital</t>
        </is>
      </c>
      <c r="I2722" t="inlineStr">
        <is>
          <t>Self-pay</t>
        </is>
      </c>
      <c r="J2722" t="inlineStr">
        <is>
          <t>Olivia Brown</t>
        </is>
      </c>
      <c r="K2722" s="70" t="n">
        <v>2411</v>
      </c>
      <c r="L2722" s="71" t="n">
        <v>2149.44</v>
      </c>
      <c r="M2722" s="71" t="n">
        <v>5182299.84</v>
      </c>
      <c r="N2722" s="71" t="n">
        <v>777344.98</v>
      </c>
      <c r="O2722" s="71" t="n">
        <v>4404954.86</v>
      </c>
      <c r="P2722" s="71" t="n">
        <v>610477.09</v>
      </c>
      <c r="Q2722" s="71" t="n">
        <v>3794477.77</v>
      </c>
      <c r="R2722" t="inlineStr">
        <is>
          <t>Inflammation</t>
        </is>
      </c>
      <c r="S2722" s="70" t="n">
        <v>1960</v>
      </c>
      <c r="T2722" s="71" t="n">
        <v>856582.7</v>
      </c>
      <c r="U2722" t="inlineStr">
        <is>
          <t>High</t>
        </is>
      </c>
      <c r="V2722">
        <f>IF(AND(OR(Dashboard!$C$6="All",E2722=Dashboard!$C$6),OR(Dashboard!$F$6="All",G2722=Dashboard!$F$6),OR(Dashboard!$I$6="All",H2722=Dashboard!$I$6)),1,0)</f>
        <v/>
      </c>
    </row>
    <row r="2723">
      <c r="A2723" t="inlineStr">
        <is>
          <t>PF102714</t>
        </is>
      </c>
      <c r="B2723" s="68" t="n">
        <v>45985</v>
      </c>
      <c r="C2723" s="69" t="n">
        <v>2025</v>
      </c>
      <c r="D2723" t="inlineStr">
        <is>
          <t>Nov</t>
        </is>
      </c>
      <c r="E2723" t="inlineStr">
        <is>
          <t>Emerging markets</t>
        </is>
      </c>
      <c r="F2723" t="inlineStr">
        <is>
          <t>China</t>
        </is>
      </c>
      <c r="G2723" t="inlineStr">
        <is>
          <t>Eliquis</t>
        </is>
      </c>
      <c r="H2723" t="inlineStr">
        <is>
          <t>Government / tender</t>
        </is>
      </c>
      <c r="I2723" t="inlineStr">
        <is>
          <t>Public payer</t>
        </is>
      </c>
      <c r="J2723" t="inlineStr">
        <is>
          <t>Arjun Mehta</t>
        </is>
      </c>
      <c r="K2723" s="70" t="n">
        <v>2071</v>
      </c>
      <c r="L2723" s="71" t="n">
        <v>404.74</v>
      </c>
      <c r="M2723" s="71" t="n">
        <v>838216.54</v>
      </c>
      <c r="N2723" s="71" t="n">
        <v>209554.14</v>
      </c>
      <c r="O2723" s="71" t="n">
        <v>628662.4</v>
      </c>
      <c r="P2723" s="71" t="n">
        <v>155041.07</v>
      </c>
      <c r="Q2723" s="71" t="n">
        <v>473621.33</v>
      </c>
      <c r="R2723" t="inlineStr">
        <is>
          <t>Cardiology</t>
        </is>
      </c>
      <c r="S2723" s="70" t="n">
        <v>1417</v>
      </c>
      <c r="T2723" s="71" t="n">
        <v>133246.18</v>
      </c>
      <c r="U2723" t="inlineStr">
        <is>
          <t>High</t>
        </is>
      </c>
      <c r="V2723">
        <f>IF(AND(OR(Dashboard!$C$6="All",E2723=Dashboard!$C$6),OR(Dashboard!$F$6="All",G2723=Dashboard!$F$6),OR(Dashboard!$I$6="All",H2723=Dashboard!$I$6)),1,0)</f>
        <v/>
      </c>
    </row>
    <row r="2724">
      <c r="A2724" t="inlineStr">
        <is>
          <t>PF102715</t>
        </is>
      </c>
      <c r="B2724" s="68" t="n">
        <v>45985</v>
      </c>
      <c r="C2724" s="69" t="n">
        <v>2025</v>
      </c>
      <c r="D2724" t="inlineStr">
        <is>
          <t>Nov</t>
        </is>
      </c>
      <c r="E2724" t="inlineStr">
        <is>
          <t>International developed</t>
        </is>
      </c>
      <c r="F2724" t="inlineStr">
        <is>
          <t>Canada</t>
        </is>
      </c>
      <c r="G2724" t="inlineStr">
        <is>
          <t>Eliquis</t>
        </is>
      </c>
      <c r="H2724" t="inlineStr">
        <is>
          <t>Hospital</t>
        </is>
      </c>
      <c r="I2724" t="inlineStr">
        <is>
          <t>Private insurer</t>
        </is>
      </c>
      <c r="J2724" t="inlineStr">
        <is>
          <t>Shraddha Kulkarni</t>
        </is>
      </c>
      <c r="K2724" s="70" t="n">
        <v>592</v>
      </c>
      <c r="L2724" s="71" t="n">
        <v>455.81</v>
      </c>
      <c r="M2724" s="71" t="n">
        <v>269839.52</v>
      </c>
      <c r="N2724" s="71" t="n">
        <v>40475.93</v>
      </c>
      <c r="O2724" s="71" t="n">
        <v>229363.59</v>
      </c>
      <c r="P2724" s="71" t="n">
        <v>43191.9</v>
      </c>
      <c r="Q2724" s="71" t="n">
        <v>186171.69</v>
      </c>
      <c r="R2724" t="inlineStr">
        <is>
          <t>Cardiology</t>
        </is>
      </c>
      <c r="S2724" s="70" t="n">
        <v>415</v>
      </c>
      <c r="T2724" s="71" t="n">
        <v>44299.75</v>
      </c>
      <c r="U2724" t="inlineStr">
        <is>
          <t>High</t>
        </is>
      </c>
      <c r="V2724">
        <f>IF(AND(OR(Dashboard!$C$6="All",E2724=Dashboard!$C$6),OR(Dashboard!$F$6="All",G2724=Dashboard!$F$6),OR(Dashboard!$I$6="All",H2724=Dashboard!$I$6)),1,0)</f>
        <v/>
      </c>
    </row>
    <row r="2725">
      <c r="A2725" t="inlineStr">
        <is>
          <t>PF102716</t>
        </is>
      </c>
      <c r="B2725" s="68" t="n">
        <v>45985</v>
      </c>
      <c r="C2725" s="69" t="n">
        <v>2025</v>
      </c>
      <c r="D2725" t="inlineStr">
        <is>
          <t>Nov</t>
        </is>
      </c>
      <c r="E2725" t="inlineStr">
        <is>
          <t>Europe</t>
        </is>
      </c>
      <c r="F2725" t="inlineStr">
        <is>
          <t>Spain</t>
        </is>
      </c>
      <c r="G2725" t="inlineStr">
        <is>
          <t>Vyndaqel</t>
        </is>
      </c>
      <c r="H2725" t="inlineStr">
        <is>
          <t>Retail pharmacy</t>
        </is>
      </c>
      <c r="I2725" t="inlineStr">
        <is>
          <t>Private insurer</t>
        </is>
      </c>
      <c r="J2725" t="inlineStr">
        <is>
          <t>Emma Clarke</t>
        </is>
      </c>
      <c r="K2725" s="70" t="n">
        <v>1355</v>
      </c>
      <c r="L2725" s="71" t="n">
        <v>4813.61</v>
      </c>
      <c r="M2725" s="71" t="n">
        <v>6522441.55</v>
      </c>
      <c r="N2725" s="71" t="n">
        <v>652244.16</v>
      </c>
      <c r="O2725" s="71" t="n">
        <v>5870197.39</v>
      </c>
      <c r="P2725" s="71" t="n">
        <v>865722.59</v>
      </c>
      <c r="Q2725" s="71" t="n">
        <v>5004474.8</v>
      </c>
      <c r="R2725" t="inlineStr">
        <is>
          <t>Rare disease</t>
        </is>
      </c>
      <c r="S2725" s="70" t="n">
        <v>972</v>
      </c>
      <c r="T2725" s="71" t="n">
        <v>1359385.7</v>
      </c>
      <c r="U2725" t="inlineStr">
        <is>
          <t>Medium</t>
        </is>
      </c>
      <c r="V2725">
        <f>IF(AND(OR(Dashboard!$C$6="All",E2725=Dashboard!$C$6),OR(Dashboard!$F$6="All",G2725=Dashboard!$F$6),OR(Dashboard!$I$6="All",H2725=Dashboard!$I$6)),1,0)</f>
        <v/>
      </c>
    </row>
    <row r="2726">
      <c r="A2726" t="inlineStr">
        <is>
          <t>PF102717</t>
        </is>
      </c>
      <c r="B2726" s="68" t="n">
        <v>45985</v>
      </c>
      <c r="C2726" s="69" t="n">
        <v>2025</v>
      </c>
      <c r="D2726" t="inlineStr">
        <is>
          <t>Nov</t>
        </is>
      </c>
      <c r="E2726" t="inlineStr">
        <is>
          <t>Europe</t>
        </is>
      </c>
      <c r="F2726" t="inlineStr">
        <is>
          <t>UK</t>
        </is>
      </c>
      <c r="G2726" t="inlineStr">
        <is>
          <t>Ibrance</t>
        </is>
      </c>
      <c r="H2726" t="inlineStr">
        <is>
          <t>Government / tender</t>
        </is>
      </c>
      <c r="I2726" t="inlineStr">
        <is>
          <t>Private insurer</t>
        </is>
      </c>
      <c r="J2726" t="inlineStr">
        <is>
          <t>Arjun Mehta</t>
        </is>
      </c>
      <c r="K2726" s="70" t="n">
        <v>2611</v>
      </c>
      <c r="L2726" s="71" t="n">
        <v>3127.03</v>
      </c>
      <c r="M2726" s="71" t="n">
        <v>8164675.33</v>
      </c>
      <c r="N2726" s="71" t="n">
        <v>2041168.83</v>
      </c>
      <c r="O2726" s="71" t="n">
        <v>6123506.5</v>
      </c>
      <c r="P2726" s="71" t="n">
        <v>1177808.95</v>
      </c>
      <c r="Q2726" s="71" t="n">
        <v>4945697.55</v>
      </c>
      <c r="R2726" t="inlineStr">
        <is>
          <t>Oncology</t>
        </is>
      </c>
      <c r="S2726" s="70" t="n">
        <v>1982</v>
      </c>
      <c r="T2726" s="71" t="n">
        <v>1152183.2</v>
      </c>
      <c r="U2726" t="inlineStr">
        <is>
          <t>High</t>
        </is>
      </c>
      <c r="V2726">
        <f>IF(AND(OR(Dashboard!$C$6="All",E2726=Dashboard!$C$6),OR(Dashboard!$F$6="All",G2726=Dashboard!$F$6),OR(Dashboard!$I$6="All",H2726=Dashboard!$I$6)),1,0)</f>
        <v/>
      </c>
    </row>
    <row r="2727">
      <c r="A2727" t="inlineStr">
        <is>
          <t>PF102718</t>
        </is>
      </c>
      <c r="B2727" s="68" t="n">
        <v>45985</v>
      </c>
      <c r="C2727" s="69" t="n">
        <v>2025</v>
      </c>
      <c r="D2727" t="inlineStr">
        <is>
          <t>Nov</t>
        </is>
      </c>
      <c r="E2727" t="inlineStr">
        <is>
          <t>United States</t>
        </is>
      </c>
      <c r="F2727" t="inlineStr">
        <is>
          <t>USA</t>
        </is>
      </c>
      <c r="G2727" t="inlineStr">
        <is>
          <t>Prevnar 20</t>
        </is>
      </c>
      <c r="H2727" t="inlineStr">
        <is>
          <t>Government / tender</t>
        </is>
      </c>
      <c r="I2727" t="inlineStr">
        <is>
          <t>Public payer</t>
        </is>
      </c>
      <c r="J2727" t="inlineStr">
        <is>
          <t>Emma Clarke</t>
        </is>
      </c>
      <c r="K2727" s="70" t="n">
        <v>673</v>
      </c>
      <c r="L2727" s="71" t="n">
        <v>344.62</v>
      </c>
      <c r="M2727" s="71" t="n">
        <v>231929.26</v>
      </c>
      <c r="N2727" s="71" t="n">
        <v>57982.32</v>
      </c>
      <c r="O2727" s="71" t="n">
        <v>173946.94</v>
      </c>
      <c r="P2727" s="71" t="n">
        <v>45594.27</v>
      </c>
      <c r="Q2727" s="71" t="n">
        <v>128352.67</v>
      </c>
      <c r="R2727" t="inlineStr">
        <is>
          <t>Vaccines</t>
        </is>
      </c>
      <c r="S2727" s="70" t="n">
        <v>554</v>
      </c>
      <c r="T2727" s="71" t="n">
        <v>44601.49</v>
      </c>
      <c r="U2727" t="inlineStr">
        <is>
          <t>Low</t>
        </is>
      </c>
      <c r="V2727">
        <f>IF(AND(OR(Dashboard!$C$6="All",E2727=Dashboard!$C$6),OR(Dashboard!$F$6="All",G2727=Dashboard!$F$6),OR(Dashboard!$I$6="All",H2727=Dashboard!$I$6)),1,0)</f>
        <v/>
      </c>
    </row>
    <row r="2728">
      <c r="A2728" t="inlineStr">
        <is>
          <t>PF102719</t>
        </is>
      </c>
      <c r="B2728" s="68" t="n">
        <v>45986</v>
      </c>
      <c r="C2728" s="69" t="n">
        <v>2025</v>
      </c>
      <c r="D2728" t="inlineStr">
        <is>
          <t>Nov</t>
        </is>
      </c>
      <c r="E2728" t="inlineStr">
        <is>
          <t>United States</t>
        </is>
      </c>
      <c r="F2728" t="inlineStr">
        <is>
          <t>USA</t>
        </is>
      </c>
      <c r="G2728" t="inlineStr">
        <is>
          <t>Xeljanz</t>
        </is>
      </c>
      <c r="H2728" t="inlineStr">
        <is>
          <t>Retail pharmacy</t>
        </is>
      </c>
      <c r="I2728" t="inlineStr">
        <is>
          <t>Private insurer</t>
        </is>
      </c>
      <c r="J2728" t="inlineStr">
        <is>
          <t>Fatima Al-Saud</t>
        </is>
      </c>
      <c r="K2728" s="70" t="n">
        <v>2185</v>
      </c>
      <c r="L2728" s="71" t="n">
        <v>2204.61</v>
      </c>
      <c r="M2728" s="71" t="n">
        <v>4817072.85</v>
      </c>
      <c r="N2728" s="71" t="n">
        <v>1445121.86</v>
      </c>
      <c r="O2728" s="71" t="n">
        <v>3371950.99</v>
      </c>
      <c r="P2728" s="71" t="n">
        <v>532542.65</v>
      </c>
      <c r="Q2728" s="71" t="n">
        <v>2839408.34</v>
      </c>
      <c r="R2728" t="inlineStr">
        <is>
          <t>Inflammation</t>
        </is>
      </c>
      <c r="S2728" s="70" t="n">
        <v>1600</v>
      </c>
      <c r="T2728" s="71" t="n">
        <v>836009.24</v>
      </c>
      <c r="U2728" t="inlineStr">
        <is>
          <t>High</t>
        </is>
      </c>
      <c r="V2728">
        <f>IF(AND(OR(Dashboard!$C$6="All",E2728=Dashboard!$C$6),OR(Dashboard!$F$6="All",G2728=Dashboard!$F$6),OR(Dashboard!$I$6="All",H2728=Dashboard!$I$6)),1,0)</f>
        <v/>
      </c>
    </row>
    <row r="2729">
      <c r="A2729" t="inlineStr">
        <is>
          <t>PF102720</t>
        </is>
      </c>
      <c r="B2729" s="68" t="n">
        <v>45986</v>
      </c>
      <c r="C2729" s="69" t="n">
        <v>2025</v>
      </c>
      <c r="D2729" t="inlineStr">
        <is>
          <t>Nov</t>
        </is>
      </c>
      <c r="E2729" t="inlineStr">
        <is>
          <t>Emerging markets</t>
        </is>
      </c>
      <c r="F2729" t="inlineStr">
        <is>
          <t>India</t>
        </is>
      </c>
      <c r="G2729" t="inlineStr">
        <is>
          <t>Prevnar 20</t>
        </is>
      </c>
      <c r="H2729" t="inlineStr">
        <is>
          <t>Hospital</t>
        </is>
      </c>
      <c r="I2729" t="inlineStr">
        <is>
          <t>Private insurer</t>
        </is>
      </c>
      <c r="J2729" t="inlineStr">
        <is>
          <t>Sara Rossi</t>
        </is>
      </c>
      <c r="K2729" s="70" t="n">
        <v>1398</v>
      </c>
      <c r="L2729" s="71" t="n">
        <v>230.09</v>
      </c>
      <c r="M2729" s="71" t="n">
        <v>321665.82</v>
      </c>
      <c r="N2729" s="71" t="n">
        <v>64333.16</v>
      </c>
      <c r="O2729" s="71" t="n">
        <v>257332.66</v>
      </c>
      <c r="P2729" s="71" t="n">
        <v>94332.67</v>
      </c>
      <c r="Q2729" s="71" t="n">
        <v>162999.99</v>
      </c>
      <c r="R2729" t="inlineStr">
        <is>
          <t>Vaccines</t>
        </is>
      </c>
      <c r="S2729" s="70" t="n">
        <v>979</v>
      </c>
      <c r="T2729" s="71" t="n">
        <v>67819.31</v>
      </c>
      <c r="U2729" t="inlineStr">
        <is>
          <t>Low</t>
        </is>
      </c>
      <c r="V2729">
        <f>IF(AND(OR(Dashboard!$C$6="All",E2729=Dashboard!$C$6),OR(Dashboard!$F$6="All",G2729=Dashboard!$F$6),OR(Dashboard!$I$6="All",H2729=Dashboard!$I$6)),1,0)</f>
        <v/>
      </c>
    </row>
    <row r="2730">
      <c r="A2730" t="inlineStr">
        <is>
          <t>PF102721</t>
        </is>
      </c>
      <c r="B2730" s="68" t="n">
        <v>45986</v>
      </c>
      <c r="C2730" s="69" t="n">
        <v>2025</v>
      </c>
      <c r="D2730" t="inlineStr">
        <is>
          <t>Nov</t>
        </is>
      </c>
      <c r="E2730" t="inlineStr">
        <is>
          <t>United States</t>
        </is>
      </c>
      <c r="F2730" t="inlineStr">
        <is>
          <t>USA</t>
        </is>
      </c>
      <c r="G2730" t="inlineStr">
        <is>
          <t>Paxlovid</t>
        </is>
      </c>
      <c r="H2730" t="inlineStr">
        <is>
          <t>Retail pharmacy</t>
        </is>
      </c>
      <c r="I2730" t="inlineStr">
        <is>
          <t>Private insurer</t>
        </is>
      </c>
      <c r="J2730" t="inlineStr">
        <is>
          <t>Noah Smith</t>
        </is>
      </c>
      <c r="K2730" s="70" t="n">
        <v>3282</v>
      </c>
      <c r="L2730" s="71" t="n">
        <v>1739.81</v>
      </c>
      <c r="M2730" s="71" t="n">
        <v>5710056.42</v>
      </c>
      <c r="N2730" s="71" t="n">
        <v>1142011.28</v>
      </c>
      <c r="O2730" s="71" t="n">
        <v>4568045.14</v>
      </c>
      <c r="P2730" s="71" t="n">
        <v>868140.74</v>
      </c>
      <c r="Q2730" s="71" t="n">
        <v>3699904.4</v>
      </c>
      <c r="R2730" t="inlineStr">
        <is>
          <t>Antiviral</t>
        </is>
      </c>
      <c r="S2730" s="70" t="n">
        <v>2892</v>
      </c>
      <c r="T2730" s="71" t="n">
        <v>797889.89</v>
      </c>
      <c r="U2730" t="inlineStr">
        <is>
          <t>Low</t>
        </is>
      </c>
      <c r="V2730">
        <f>IF(AND(OR(Dashboard!$C$6="All",E2730=Dashboard!$C$6),OR(Dashboard!$F$6="All",G2730=Dashboard!$F$6),OR(Dashboard!$I$6="All",H2730=Dashboard!$I$6)),1,0)</f>
        <v/>
      </c>
    </row>
    <row r="2731">
      <c r="A2731" t="inlineStr">
        <is>
          <t>PF102722</t>
        </is>
      </c>
      <c r="B2731" s="68" t="n">
        <v>45986</v>
      </c>
      <c r="C2731" s="69" t="n">
        <v>2025</v>
      </c>
      <c r="D2731" t="inlineStr">
        <is>
          <t>Nov</t>
        </is>
      </c>
      <c r="E2731" t="inlineStr">
        <is>
          <t>Emerging markets</t>
        </is>
      </c>
      <c r="F2731" t="inlineStr">
        <is>
          <t>China</t>
        </is>
      </c>
      <c r="G2731" t="inlineStr">
        <is>
          <t>Ibrance</t>
        </is>
      </c>
      <c r="H2731" t="inlineStr">
        <is>
          <t>Retail pharmacy</t>
        </is>
      </c>
      <c r="I2731" t="inlineStr">
        <is>
          <t>Public payer</t>
        </is>
      </c>
      <c r="J2731" t="inlineStr">
        <is>
          <t>Noah Smith</t>
        </is>
      </c>
      <c r="K2731" s="70" t="n">
        <v>2904</v>
      </c>
      <c r="L2731" s="71" t="n">
        <v>2745.17</v>
      </c>
      <c r="M2731" s="71" t="n">
        <v>7971973.68</v>
      </c>
      <c r="N2731" s="71" t="n">
        <v>797197.37</v>
      </c>
      <c r="O2731" s="71" t="n">
        <v>7174776.31</v>
      </c>
      <c r="P2731" s="71" t="n">
        <v>1272522.45</v>
      </c>
      <c r="Q2731" s="71" t="n">
        <v>5902253.86</v>
      </c>
      <c r="R2731" t="inlineStr">
        <is>
          <t>Oncology</t>
        </is>
      </c>
      <c r="S2731" s="70" t="n">
        <v>2720</v>
      </c>
      <c r="T2731" s="71" t="n">
        <v>1337556.89</v>
      </c>
      <c r="U2731" t="inlineStr">
        <is>
          <t>High</t>
        </is>
      </c>
      <c r="V2731">
        <f>IF(AND(OR(Dashboard!$C$6="All",E2731=Dashboard!$C$6),OR(Dashboard!$F$6="All",G2731=Dashboard!$F$6),OR(Dashboard!$I$6="All",H2731=Dashboard!$I$6)),1,0)</f>
        <v/>
      </c>
    </row>
    <row r="2732">
      <c r="A2732" t="inlineStr">
        <is>
          <t>PF102723</t>
        </is>
      </c>
      <c r="B2732" s="68" t="n">
        <v>45986</v>
      </c>
      <c r="C2732" s="69" t="n">
        <v>2025</v>
      </c>
      <c r="D2732" t="inlineStr">
        <is>
          <t>Nov</t>
        </is>
      </c>
      <c r="E2732" t="inlineStr">
        <is>
          <t>Europe</t>
        </is>
      </c>
      <c r="F2732" t="inlineStr">
        <is>
          <t>Italy</t>
        </is>
      </c>
      <c r="G2732" t="inlineStr">
        <is>
          <t>Paxlovid</t>
        </is>
      </c>
      <c r="H2732" t="inlineStr">
        <is>
          <t>Retail pharmacy</t>
        </is>
      </c>
      <c r="I2732" t="inlineStr">
        <is>
          <t>Public payer</t>
        </is>
      </c>
      <c r="J2732" t="inlineStr">
        <is>
          <t>Fatima Al-Saud</t>
        </is>
      </c>
      <c r="K2732" s="70" t="n">
        <v>2517</v>
      </c>
      <c r="L2732" s="71" t="n">
        <v>1000.3</v>
      </c>
      <c r="M2732" s="71" t="n">
        <v>2517755.1</v>
      </c>
      <c r="N2732" s="71" t="n">
        <v>503551.02</v>
      </c>
      <c r="O2732" s="71" t="n">
        <v>2014204.08</v>
      </c>
      <c r="P2732" s="71" t="n">
        <v>701583.64</v>
      </c>
      <c r="Q2732" s="71" t="n">
        <v>1312620.44</v>
      </c>
      <c r="R2732" t="inlineStr">
        <is>
          <t>Antiviral</t>
        </is>
      </c>
      <c r="S2732" s="70" t="n">
        <v>1624</v>
      </c>
      <c r="T2732" s="71" t="n">
        <v>452988.74</v>
      </c>
      <c r="U2732" t="inlineStr">
        <is>
          <t>Low</t>
        </is>
      </c>
      <c r="V2732">
        <f>IF(AND(OR(Dashboard!$C$6="All",E2732=Dashboard!$C$6),OR(Dashboard!$F$6="All",G2732=Dashboard!$F$6),OR(Dashboard!$I$6="All",H2732=Dashboard!$I$6)),1,0)</f>
        <v/>
      </c>
    </row>
    <row r="2733">
      <c r="A2733" t="inlineStr">
        <is>
          <t>PF102724</t>
        </is>
      </c>
      <c r="B2733" s="68" t="n">
        <v>45986</v>
      </c>
      <c r="C2733" s="69" t="n">
        <v>2025</v>
      </c>
      <c r="D2733" t="inlineStr">
        <is>
          <t>Nov</t>
        </is>
      </c>
      <c r="E2733" t="inlineStr">
        <is>
          <t>United States</t>
        </is>
      </c>
      <c r="F2733" t="inlineStr">
        <is>
          <t>USA</t>
        </is>
      </c>
      <c r="G2733" t="inlineStr">
        <is>
          <t>Abrysvo</t>
        </is>
      </c>
      <c r="H2733" t="inlineStr">
        <is>
          <t>Retail pharmacy</t>
        </is>
      </c>
      <c r="I2733" t="inlineStr">
        <is>
          <t>Public payer</t>
        </is>
      </c>
      <c r="J2733" t="inlineStr">
        <is>
          <t>Kofi Mensah</t>
        </is>
      </c>
      <c r="K2733" s="70" t="n">
        <v>3017</v>
      </c>
      <c r="L2733" s="71" t="n">
        <v>456.34</v>
      </c>
      <c r="M2733" s="71" t="n">
        <v>1376777.78</v>
      </c>
      <c r="N2733" s="71" t="n">
        <v>275355.56</v>
      </c>
      <c r="O2733" s="71" t="n">
        <v>1101422.22</v>
      </c>
      <c r="P2733" s="71" t="n">
        <v>262419.32</v>
      </c>
      <c r="Q2733" s="71" t="n">
        <v>839002.9</v>
      </c>
      <c r="R2733" t="inlineStr">
        <is>
          <t>Vaccines</t>
        </is>
      </c>
      <c r="S2733" s="70" t="n">
        <v>1896</v>
      </c>
      <c r="T2733" s="71" t="n">
        <v>195359.8</v>
      </c>
      <c r="U2733" t="inlineStr">
        <is>
          <t>Low</t>
        </is>
      </c>
      <c r="V2733">
        <f>IF(AND(OR(Dashboard!$C$6="All",E2733=Dashboard!$C$6),OR(Dashboard!$F$6="All",G2733=Dashboard!$F$6),OR(Dashboard!$I$6="All",H2733=Dashboard!$I$6)),1,0)</f>
        <v/>
      </c>
    </row>
    <row r="2734">
      <c r="A2734" t="inlineStr">
        <is>
          <t>PF102725</t>
        </is>
      </c>
      <c r="B2734" s="68" t="n">
        <v>45986</v>
      </c>
      <c r="C2734" s="69" t="n">
        <v>2025</v>
      </c>
      <c r="D2734" t="inlineStr">
        <is>
          <t>Nov</t>
        </is>
      </c>
      <c r="E2734" t="inlineStr">
        <is>
          <t>International developed</t>
        </is>
      </c>
      <c r="F2734" t="inlineStr">
        <is>
          <t>Australia</t>
        </is>
      </c>
      <c r="G2734" t="inlineStr">
        <is>
          <t>Xeljanz</t>
        </is>
      </c>
      <c r="H2734" t="inlineStr">
        <is>
          <t>Government / tender</t>
        </is>
      </c>
      <c r="I2734" t="inlineStr">
        <is>
          <t>Private insurer</t>
        </is>
      </c>
      <c r="J2734" t="inlineStr">
        <is>
          <t>Fatima Al-Saud</t>
        </is>
      </c>
      <c r="K2734" s="70" t="n">
        <v>474</v>
      </c>
      <c r="L2734" s="71" t="n">
        <v>1429.08</v>
      </c>
      <c r="M2734" s="71" t="n">
        <v>677383.92</v>
      </c>
      <c r="N2734" s="71" t="n">
        <v>135476.78</v>
      </c>
      <c r="O2734" s="71" t="n">
        <v>541907.14</v>
      </c>
      <c r="P2734" s="71" t="n">
        <v>117598.28</v>
      </c>
      <c r="Q2734" s="71" t="n">
        <v>424308.86</v>
      </c>
      <c r="R2734" t="inlineStr">
        <is>
          <t>Inflammation</t>
        </is>
      </c>
      <c r="S2734" s="70" t="n">
        <v>307</v>
      </c>
      <c r="T2734" s="71" t="n">
        <v>82306.28</v>
      </c>
      <c r="U2734" t="inlineStr">
        <is>
          <t>High</t>
        </is>
      </c>
      <c r="V2734">
        <f>IF(AND(OR(Dashboard!$C$6="All",E2734=Dashboard!$C$6),OR(Dashboard!$F$6="All",G2734=Dashboard!$F$6),OR(Dashboard!$I$6="All",H2734=Dashboard!$I$6)),1,0)</f>
        <v/>
      </c>
    </row>
    <row r="2735">
      <c r="A2735" t="inlineStr">
        <is>
          <t>PF102726</t>
        </is>
      </c>
      <c r="B2735" s="68" t="n">
        <v>45986</v>
      </c>
      <c r="C2735" s="69" t="n">
        <v>2025</v>
      </c>
      <c r="D2735" t="inlineStr">
        <is>
          <t>Nov</t>
        </is>
      </c>
      <c r="E2735" t="inlineStr">
        <is>
          <t>United States</t>
        </is>
      </c>
      <c r="F2735" t="inlineStr">
        <is>
          <t>USA</t>
        </is>
      </c>
      <c r="G2735" t="inlineStr">
        <is>
          <t>Xeljanz</t>
        </is>
      </c>
      <c r="H2735" t="inlineStr">
        <is>
          <t>Government / tender</t>
        </is>
      </c>
      <c r="I2735" t="inlineStr">
        <is>
          <t>Public payer</t>
        </is>
      </c>
      <c r="J2735" t="inlineStr">
        <is>
          <t>Omar Haddad</t>
        </is>
      </c>
      <c r="K2735" s="70" t="n">
        <v>2404</v>
      </c>
      <c r="L2735" s="71" t="n">
        <v>2333.26</v>
      </c>
      <c r="M2735" s="71" t="n">
        <v>5609157.04</v>
      </c>
      <c r="N2735" s="71" t="n">
        <v>1402289.26</v>
      </c>
      <c r="O2735" s="71" t="n">
        <v>4206867.78</v>
      </c>
      <c r="P2735" s="71" t="n">
        <v>604744.29</v>
      </c>
      <c r="Q2735" s="71" t="n">
        <v>3602123.49</v>
      </c>
      <c r="R2735" t="inlineStr">
        <is>
          <t>Inflammation</t>
        </is>
      </c>
      <c r="S2735" s="70" t="n">
        <v>2172</v>
      </c>
      <c r="T2735" s="71" t="n">
        <v>833477.21</v>
      </c>
      <c r="U2735" t="inlineStr">
        <is>
          <t>High</t>
        </is>
      </c>
      <c r="V2735">
        <f>IF(AND(OR(Dashboard!$C$6="All",E2735=Dashboard!$C$6),OR(Dashboard!$F$6="All",G2735=Dashboard!$F$6),OR(Dashboard!$I$6="All",H2735=Dashboard!$I$6)),1,0)</f>
        <v/>
      </c>
    </row>
    <row r="2736">
      <c r="A2736" t="inlineStr">
        <is>
          <t>PF102727</t>
        </is>
      </c>
      <c r="B2736" s="68" t="n">
        <v>45986</v>
      </c>
      <c r="C2736" s="69" t="n">
        <v>2025</v>
      </c>
      <c r="D2736" t="inlineStr">
        <is>
          <t>Nov</t>
        </is>
      </c>
      <c r="E2736" t="inlineStr">
        <is>
          <t>United States</t>
        </is>
      </c>
      <c r="F2736" t="inlineStr">
        <is>
          <t>USA</t>
        </is>
      </c>
      <c r="G2736" t="inlineStr">
        <is>
          <t>Prevnar 20</t>
        </is>
      </c>
      <c r="H2736" t="inlineStr">
        <is>
          <t>Government / tender</t>
        </is>
      </c>
      <c r="I2736" t="inlineStr">
        <is>
          <t>Public payer</t>
        </is>
      </c>
      <c r="J2736" t="inlineStr">
        <is>
          <t>Sara Rossi</t>
        </is>
      </c>
      <c r="K2736" s="70" t="n">
        <v>2233</v>
      </c>
      <c r="L2736" s="71" t="n">
        <v>390.59</v>
      </c>
      <c r="M2736" s="71" t="n">
        <v>872187.47</v>
      </c>
      <c r="N2736" s="71" t="n">
        <v>218046.87</v>
      </c>
      <c r="O2736" s="71" t="n">
        <v>654140.6</v>
      </c>
      <c r="P2736" s="71" t="n">
        <v>151234.39</v>
      </c>
      <c r="Q2736" s="71" t="n">
        <v>502906.21</v>
      </c>
      <c r="R2736" t="inlineStr">
        <is>
          <t>Vaccines</t>
        </is>
      </c>
      <c r="S2736" s="70" t="n">
        <v>1573</v>
      </c>
      <c r="T2736" s="71" t="n">
        <v>180578.41</v>
      </c>
      <c r="U2736" t="inlineStr">
        <is>
          <t>Low</t>
        </is>
      </c>
      <c r="V2736">
        <f>IF(AND(OR(Dashboard!$C$6="All",E2736=Dashboard!$C$6),OR(Dashboard!$F$6="All",G2736=Dashboard!$F$6),OR(Dashboard!$I$6="All",H2736=Dashboard!$I$6)),1,0)</f>
        <v/>
      </c>
    </row>
    <row r="2737">
      <c r="A2737" t="inlineStr">
        <is>
          <t>PF102728</t>
        </is>
      </c>
      <c r="B2737" s="68" t="n">
        <v>45986</v>
      </c>
      <c r="C2737" s="69" t="n">
        <v>2025</v>
      </c>
      <c r="D2737" t="inlineStr">
        <is>
          <t>Nov</t>
        </is>
      </c>
      <c r="E2737" t="inlineStr">
        <is>
          <t>United States</t>
        </is>
      </c>
      <c r="F2737" t="inlineStr">
        <is>
          <t>USA</t>
        </is>
      </c>
      <c r="G2737" t="inlineStr">
        <is>
          <t>Prevnar 20</t>
        </is>
      </c>
      <c r="H2737" t="inlineStr">
        <is>
          <t>Retail pharmacy</t>
        </is>
      </c>
      <c r="I2737" t="inlineStr">
        <is>
          <t>Private insurer</t>
        </is>
      </c>
      <c r="J2737" t="inlineStr">
        <is>
          <t>Hiroshi Tanaka</t>
        </is>
      </c>
      <c r="K2737" s="70" t="n">
        <v>3287</v>
      </c>
      <c r="L2737" s="71" t="n">
        <v>343.84</v>
      </c>
      <c r="M2737" s="71" t="n">
        <v>1130202.08</v>
      </c>
      <c r="N2737" s="71" t="n">
        <v>169530.31</v>
      </c>
      <c r="O2737" s="71" t="n">
        <v>960671.77</v>
      </c>
      <c r="P2737" s="71" t="n">
        <v>220085.64</v>
      </c>
      <c r="Q2737" s="71" t="n">
        <v>740586.13</v>
      </c>
      <c r="R2737" t="inlineStr">
        <is>
          <t>Vaccines</t>
        </is>
      </c>
      <c r="S2737" s="70" t="n">
        <v>2297</v>
      </c>
      <c r="T2737" s="71" t="n">
        <v>174320.15</v>
      </c>
      <c r="U2737" t="inlineStr">
        <is>
          <t>Low</t>
        </is>
      </c>
      <c r="V2737">
        <f>IF(AND(OR(Dashboard!$C$6="All",E2737=Dashboard!$C$6),OR(Dashboard!$F$6="All",G2737=Dashboard!$F$6),OR(Dashboard!$I$6="All",H2737=Dashboard!$I$6)),1,0)</f>
        <v/>
      </c>
    </row>
    <row r="2738">
      <c r="A2738" t="inlineStr">
        <is>
          <t>PF102729</t>
        </is>
      </c>
      <c r="B2738" s="68" t="n">
        <v>45986</v>
      </c>
      <c r="C2738" s="69" t="n">
        <v>2025</v>
      </c>
      <c r="D2738" t="inlineStr">
        <is>
          <t>Nov</t>
        </is>
      </c>
      <c r="E2738" t="inlineStr">
        <is>
          <t>Emerging markets</t>
        </is>
      </c>
      <c r="F2738" t="inlineStr">
        <is>
          <t>India</t>
        </is>
      </c>
      <c r="G2738" t="inlineStr">
        <is>
          <t>Ibrance</t>
        </is>
      </c>
      <c r="H2738" t="inlineStr">
        <is>
          <t>Government / tender</t>
        </is>
      </c>
      <c r="I2738" t="inlineStr">
        <is>
          <t>Self-pay</t>
        </is>
      </c>
      <c r="J2738" t="inlineStr">
        <is>
          <t>Ana Costa</t>
        </is>
      </c>
      <c r="K2738" s="70" t="n">
        <v>2083</v>
      </c>
      <c r="L2738" s="71" t="n">
        <v>3042.68</v>
      </c>
      <c r="M2738" s="71" t="n">
        <v>6337902.44</v>
      </c>
      <c r="N2738" s="71" t="n">
        <v>633790.24</v>
      </c>
      <c r="O2738" s="71" t="n">
        <v>5704112.2</v>
      </c>
      <c r="P2738" s="71" t="n">
        <v>874813.5</v>
      </c>
      <c r="Q2738" s="71" t="n">
        <v>4829298.7</v>
      </c>
      <c r="R2738" t="inlineStr">
        <is>
          <t>Oncology</t>
        </is>
      </c>
      <c r="S2738" s="70" t="n">
        <v>1947</v>
      </c>
      <c r="T2738" s="71" t="n">
        <v>958963.46</v>
      </c>
      <c r="U2738" t="inlineStr">
        <is>
          <t>High</t>
        </is>
      </c>
      <c r="V2738">
        <f>IF(AND(OR(Dashboard!$C$6="All",E2738=Dashboard!$C$6),OR(Dashboard!$F$6="All",G2738=Dashboard!$F$6),OR(Dashboard!$I$6="All",H2738=Dashboard!$I$6)),1,0)</f>
        <v/>
      </c>
    </row>
    <row r="2739">
      <c r="A2739" t="inlineStr">
        <is>
          <t>PF102730</t>
        </is>
      </c>
      <c r="B2739" s="68" t="n">
        <v>45986</v>
      </c>
      <c r="C2739" s="69" t="n">
        <v>2025</v>
      </c>
      <c r="D2739" t="inlineStr">
        <is>
          <t>Nov</t>
        </is>
      </c>
      <c r="E2739" t="inlineStr">
        <is>
          <t>Emerging markets</t>
        </is>
      </c>
      <c r="F2739" t="inlineStr">
        <is>
          <t>Mexico</t>
        </is>
      </c>
      <c r="G2739" t="inlineStr">
        <is>
          <t>Comirnaty</t>
        </is>
      </c>
      <c r="H2739" t="inlineStr">
        <is>
          <t>Retail pharmacy</t>
        </is>
      </c>
      <c r="I2739" t="inlineStr">
        <is>
          <t>Public payer</t>
        </is>
      </c>
      <c r="J2739" t="inlineStr">
        <is>
          <t>Fatima Al-Saud</t>
        </is>
      </c>
      <c r="K2739" s="70" t="n">
        <v>2054</v>
      </c>
      <c r="L2739" s="71" t="n">
        <v>111.21</v>
      </c>
      <c r="M2739" s="71" t="n">
        <v>228425.34</v>
      </c>
      <c r="N2739" s="71" t="n">
        <v>22842.53</v>
      </c>
      <c r="O2739" s="71" t="n">
        <v>205582.81</v>
      </c>
      <c r="P2739" s="71" t="n">
        <v>77469.21000000001</v>
      </c>
      <c r="Q2739" s="71" t="n">
        <v>128113.6</v>
      </c>
      <c r="R2739" t="inlineStr">
        <is>
          <t>Vaccines</t>
        </is>
      </c>
      <c r="S2739" s="70" t="n">
        <v>1758</v>
      </c>
      <c r="T2739" s="71" t="n">
        <v>39198.31</v>
      </c>
      <c r="U2739" t="inlineStr">
        <is>
          <t>Low</t>
        </is>
      </c>
      <c r="V2739">
        <f>IF(AND(OR(Dashboard!$C$6="All",E2739=Dashboard!$C$6),OR(Dashboard!$F$6="All",G2739=Dashboard!$F$6),OR(Dashboard!$I$6="All",H2739=Dashboard!$I$6)),1,0)</f>
        <v/>
      </c>
    </row>
    <row r="2740">
      <c r="A2740" t="inlineStr">
        <is>
          <t>PF102731</t>
        </is>
      </c>
      <c r="B2740" s="68" t="n">
        <v>45987</v>
      </c>
      <c r="C2740" s="69" t="n">
        <v>2025</v>
      </c>
      <c r="D2740" t="inlineStr">
        <is>
          <t>Nov</t>
        </is>
      </c>
      <c r="E2740" t="inlineStr">
        <is>
          <t>Europe</t>
        </is>
      </c>
      <c r="F2740" t="inlineStr">
        <is>
          <t>Italy</t>
        </is>
      </c>
      <c r="G2740" t="inlineStr">
        <is>
          <t>Ibrance</t>
        </is>
      </c>
      <c r="H2740" t="inlineStr">
        <is>
          <t>Government / tender</t>
        </is>
      </c>
      <c r="I2740" t="inlineStr">
        <is>
          <t>Private insurer</t>
        </is>
      </c>
      <c r="J2740" t="inlineStr">
        <is>
          <t>Lucas Martin</t>
        </is>
      </c>
      <c r="K2740" s="70" t="n">
        <v>1548</v>
      </c>
      <c r="L2740" s="71" t="n">
        <v>3132</v>
      </c>
      <c r="M2740" s="71" t="n">
        <v>4848336</v>
      </c>
      <c r="N2740" s="71" t="n">
        <v>484833.6</v>
      </c>
      <c r="O2740" s="71" t="n">
        <v>4363502.4</v>
      </c>
      <c r="P2740" s="71" t="n">
        <v>685361.59</v>
      </c>
      <c r="Q2740" s="71" t="n">
        <v>3678140.81</v>
      </c>
      <c r="R2740" t="inlineStr">
        <is>
          <t>Oncology</t>
        </is>
      </c>
      <c r="S2740" s="70" t="n">
        <v>1162</v>
      </c>
      <c r="T2740" s="71" t="n">
        <v>658220.75</v>
      </c>
      <c r="U2740" t="inlineStr">
        <is>
          <t>High</t>
        </is>
      </c>
      <c r="V2740">
        <f>IF(AND(OR(Dashboard!$C$6="All",E2740=Dashboard!$C$6),OR(Dashboard!$F$6="All",G2740=Dashboard!$F$6),OR(Dashboard!$I$6="All",H2740=Dashboard!$I$6)),1,0)</f>
        <v/>
      </c>
    </row>
    <row r="2741">
      <c r="A2741" t="inlineStr">
        <is>
          <t>PF102732</t>
        </is>
      </c>
      <c r="B2741" s="68" t="n">
        <v>45987</v>
      </c>
      <c r="C2741" s="69" t="n">
        <v>2025</v>
      </c>
      <c r="D2741" t="inlineStr">
        <is>
          <t>Nov</t>
        </is>
      </c>
      <c r="E2741" t="inlineStr">
        <is>
          <t>United States</t>
        </is>
      </c>
      <c r="F2741" t="inlineStr">
        <is>
          <t>USA</t>
        </is>
      </c>
      <c r="G2741" t="inlineStr">
        <is>
          <t>Comirnaty</t>
        </is>
      </c>
      <c r="H2741" t="inlineStr">
        <is>
          <t>Retail pharmacy</t>
        </is>
      </c>
      <c r="I2741" t="inlineStr">
        <is>
          <t>Private insurer</t>
        </is>
      </c>
      <c r="J2741" t="inlineStr">
        <is>
          <t>Mei Lin</t>
        </is>
      </c>
      <c r="K2741" s="70" t="n">
        <v>2295</v>
      </c>
      <c r="L2741" s="71" t="n">
        <v>162.18</v>
      </c>
      <c r="M2741" s="71" t="n">
        <v>372203.1</v>
      </c>
      <c r="N2741" s="71" t="n">
        <v>74440.62</v>
      </c>
      <c r="O2741" s="71" t="n">
        <v>297762.48</v>
      </c>
      <c r="P2741" s="71" t="n">
        <v>87445.60000000001</v>
      </c>
      <c r="Q2741" s="71" t="n">
        <v>210316.88</v>
      </c>
      <c r="R2741" t="inlineStr">
        <is>
          <t>Vaccines</t>
        </is>
      </c>
      <c r="S2741" s="70" t="n">
        <v>1546</v>
      </c>
      <c r="T2741" s="71" t="n">
        <v>49054.04</v>
      </c>
      <c r="U2741" t="inlineStr">
        <is>
          <t>Low</t>
        </is>
      </c>
      <c r="V2741">
        <f>IF(AND(OR(Dashboard!$C$6="All",E2741=Dashboard!$C$6),OR(Dashboard!$F$6="All",G2741=Dashboard!$F$6),OR(Dashboard!$I$6="All",H2741=Dashboard!$I$6)),1,0)</f>
        <v/>
      </c>
    </row>
    <row r="2742">
      <c r="A2742" t="inlineStr">
        <is>
          <t>PF102733</t>
        </is>
      </c>
      <c r="B2742" s="68" t="n">
        <v>45987</v>
      </c>
      <c r="C2742" s="69" t="n">
        <v>2025</v>
      </c>
      <c r="D2742" t="inlineStr">
        <is>
          <t>Nov</t>
        </is>
      </c>
      <c r="E2742" t="inlineStr">
        <is>
          <t>United States</t>
        </is>
      </c>
      <c r="F2742" t="inlineStr">
        <is>
          <t>USA</t>
        </is>
      </c>
      <c r="G2742" t="inlineStr">
        <is>
          <t>Ibrance</t>
        </is>
      </c>
      <c r="H2742" t="inlineStr">
        <is>
          <t>Retail pharmacy</t>
        </is>
      </c>
      <c r="I2742" t="inlineStr">
        <is>
          <t>Private insurer</t>
        </is>
      </c>
      <c r="J2742" t="inlineStr">
        <is>
          <t>Liam O'Brien</t>
        </is>
      </c>
      <c r="K2742" s="70" t="n">
        <v>377</v>
      </c>
      <c r="L2742" s="71" t="n">
        <v>4935.52</v>
      </c>
      <c r="M2742" s="71" t="n">
        <v>1860691.04</v>
      </c>
      <c r="N2742" s="71" t="n">
        <v>465172.76</v>
      </c>
      <c r="O2742" s="71" t="n">
        <v>1395518.28</v>
      </c>
      <c r="P2742" s="71" t="n">
        <v>158580.82</v>
      </c>
      <c r="Q2742" s="71" t="n">
        <v>1236937.46</v>
      </c>
      <c r="R2742" t="inlineStr">
        <is>
          <t>Oncology</t>
        </is>
      </c>
      <c r="S2742" s="70" t="n">
        <v>255</v>
      </c>
      <c r="T2742" s="71" t="n">
        <v>259103.64</v>
      </c>
      <c r="U2742" t="inlineStr">
        <is>
          <t>High</t>
        </is>
      </c>
      <c r="V2742">
        <f>IF(AND(OR(Dashboard!$C$6="All",E2742=Dashboard!$C$6),OR(Dashboard!$F$6="All",G2742=Dashboard!$F$6),OR(Dashboard!$I$6="All",H2742=Dashboard!$I$6)),1,0)</f>
        <v/>
      </c>
    </row>
    <row r="2743">
      <c r="A2743" t="inlineStr">
        <is>
          <t>PF102734</t>
        </is>
      </c>
      <c r="B2743" s="68" t="n">
        <v>45987</v>
      </c>
      <c r="C2743" s="69" t="n">
        <v>2025</v>
      </c>
      <c r="D2743" t="inlineStr">
        <is>
          <t>Nov</t>
        </is>
      </c>
      <c r="E2743" t="inlineStr">
        <is>
          <t>United States</t>
        </is>
      </c>
      <c r="F2743" t="inlineStr">
        <is>
          <t>USA</t>
        </is>
      </c>
      <c r="G2743" t="inlineStr">
        <is>
          <t>Abrysvo</t>
        </is>
      </c>
      <c r="H2743" t="inlineStr">
        <is>
          <t>Government / tender</t>
        </is>
      </c>
      <c r="I2743" t="inlineStr">
        <is>
          <t>Private insurer</t>
        </is>
      </c>
      <c r="J2743" t="inlineStr">
        <is>
          <t>Fatima Al-Saud</t>
        </is>
      </c>
      <c r="K2743" s="70" t="n">
        <v>969</v>
      </c>
      <c r="L2743" s="71" t="n">
        <v>436.19</v>
      </c>
      <c r="M2743" s="71" t="n">
        <v>422668.11</v>
      </c>
      <c r="N2743" s="71" t="n">
        <v>63400.22</v>
      </c>
      <c r="O2743" s="71" t="n">
        <v>359267.89</v>
      </c>
      <c r="P2743" s="71" t="n">
        <v>81647.59</v>
      </c>
      <c r="Q2743" s="71" t="n">
        <v>277620.3</v>
      </c>
      <c r="R2743" t="inlineStr">
        <is>
          <t>Vaccines</t>
        </is>
      </c>
      <c r="S2743" s="70" t="n">
        <v>717</v>
      </c>
      <c r="T2743" s="71" t="n">
        <v>57050.98</v>
      </c>
      <c r="U2743" t="inlineStr">
        <is>
          <t>Low</t>
        </is>
      </c>
      <c r="V2743">
        <f>IF(AND(OR(Dashboard!$C$6="All",E2743=Dashboard!$C$6),OR(Dashboard!$F$6="All",G2743=Dashboard!$F$6),OR(Dashboard!$I$6="All",H2743=Dashboard!$I$6)),1,0)</f>
        <v/>
      </c>
    </row>
    <row r="2744">
      <c r="A2744" t="inlineStr">
        <is>
          <t>PF102735</t>
        </is>
      </c>
      <c r="B2744" s="68" t="n">
        <v>45987</v>
      </c>
      <c r="C2744" s="69" t="n">
        <v>2025</v>
      </c>
      <c r="D2744" t="inlineStr">
        <is>
          <t>Nov</t>
        </is>
      </c>
      <c r="E2744" t="inlineStr">
        <is>
          <t>Europe</t>
        </is>
      </c>
      <c r="F2744" t="inlineStr">
        <is>
          <t>Germany</t>
        </is>
      </c>
      <c r="G2744" t="inlineStr">
        <is>
          <t>Eliquis</t>
        </is>
      </c>
      <c r="H2744" t="inlineStr">
        <is>
          <t>Retail pharmacy</t>
        </is>
      </c>
      <c r="I2744" t="inlineStr">
        <is>
          <t>Public payer</t>
        </is>
      </c>
      <c r="J2744" t="inlineStr">
        <is>
          <t>Ana Costa</t>
        </is>
      </c>
      <c r="K2744" s="70" t="n">
        <v>2201</v>
      </c>
      <c r="L2744" s="71" t="n">
        <v>438.57</v>
      </c>
      <c r="M2744" s="71" t="n">
        <v>965292.5699999999</v>
      </c>
      <c r="N2744" s="71" t="n">
        <v>144793.89</v>
      </c>
      <c r="O2744" s="71" t="n">
        <v>820498.6800000001</v>
      </c>
      <c r="P2744" s="71" t="n">
        <v>162340.14</v>
      </c>
      <c r="Q2744" s="71" t="n">
        <v>658158.54</v>
      </c>
      <c r="R2744" t="inlineStr">
        <is>
          <t>Cardiology</t>
        </is>
      </c>
      <c r="S2744" s="70" t="n">
        <v>1459</v>
      </c>
      <c r="T2744" s="71" t="n">
        <v>127293.8</v>
      </c>
      <c r="U2744" t="inlineStr">
        <is>
          <t>High</t>
        </is>
      </c>
      <c r="V2744">
        <f>IF(AND(OR(Dashboard!$C$6="All",E2744=Dashboard!$C$6),OR(Dashboard!$F$6="All",G2744=Dashboard!$F$6),OR(Dashboard!$I$6="All",H2744=Dashboard!$I$6)),1,0)</f>
        <v/>
      </c>
    </row>
    <row r="2745">
      <c r="A2745" t="inlineStr">
        <is>
          <t>PF102736</t>
        </is>
      </c>
      <c r="B2745" s="68" t="n">
        <v>45987</v>
      </c>
      <c r="C2745" s="69" t="n">
        <v>2025</v>
      </c>
      <c r="D2745" t="inlineStr">
        <is>
          <t>Nov</t>
        </is>
      </c>
      <c r="E2745" t="inlineStr">
        <is>
          <t>Europe</t>
        </is>
      </c>
      <c r="F2745" t="inlineStr">
        <is>
          <t>UK</t>
        </is>
      </c>
      <c r="G2745" t="inlineStr">
        <is>
          <t>Paxlovid</t>
        </is>
      </c>
      <c r="H2745" t="inlineStr">
        <is>
          <t>Hospital</t>
        </is>
      </c>
      <c r="I2745" t="inlineStr">
        <is>
          <t>Private insurer</t>
        </is>
      </c>
      <c r="J2745" t="inlineStr">
        <is>
          <t>Liam O'Brien</t>
        </is>
      </c>
      <c r="K2745" s="70" t="n">
        <v>1971</v>
      </c>
      <c r="L2745" s="71" t="n">
        <v>1193.93</v>
      </c>
      <c r="M2745" s="71" t="n">
        <v>2353236.03</v>
      </c>
      <c r="N2745" s="71" t="n">
        <v>117661.8</v>
      </c>
      <c r="O2745" s="71" t="n">
        <v>2235574.23</v>
      </c>
      <c r="P2745" s="71" t="n">
        <v>557669.13</v>
      </c>
      <c r="Q2745" s="71" t="n">
        <v>1677905.1</v>
      </c>
      <c r="R2745" t="inlineStr">
        <is>
          <t>Antiviral</t>
        </is>
      </c>
      <c r="S2745" s="70" t="n">
        <v>1496</v>
      </c>
      <c r="T2745" s="71" t="n">
        <v>480500.47</v>
      </c>
      <c r="U2745" t="inlineStr">
        <is>
          <t>Low</t>
        </is>
      </c>
      <c r="V2745">
        <f>IF(AND(OR(Dashboard!$C$6="All",E2745=Dashboard!$C$6),OR(Dashboard!$F$6="All",G2745=Dashboard!$F$6),OR(Dashboard!$I$6="All",H2745=Dashboard!$I$6)),1,0)</f>
        <v/>
      </c>
    </row>
    <row r="2746">
      <c r="A2746" t="inlineStr">
        <is>
          <t>PF102737</t>
        </is>
      </c>
      <c r="B2746" s="68" t="n">
        <v>45987</v>
      </c>
      <c r="C2746" s="69" t="n">
        <v>2025</v>
      </c>
      <c r="D2746" t="inlineStr">
        <is>
          <t>Nov</t>
        </is>
      </c>
      <c r="E2746" t="inlineStr">
        <is>
          <t>United States</t>
        </is>
      </c>
      <c r="F2746" t="inlineStr">
        <is>
          <t>USA</t>
        </is>
      </c>
      <c r="G2746" t="inlineStr">
        <is>
          <t>Vyndaqel</t>
        </is>
      </c>
      <c r="H2746" t="inlineStr">
        <is>
          <t>Retail pharmacy</t>
        </is>
      </c>
      <c r="I2746" t="inlineStr">
        <is>
          <t>Public payer</t>
        </is>
      </c>
      <c r="J2746" t="inlineStr">
        <is>
          <t>Noah Smith</t>
        </is>
      </c>
      <c r="K2746" s="70" t="n">
        <v>2523</v>
      </c>
      <c r="L2746" s="71" t="n">
        <v>7678.9</v>
      </c>
      <c r="M2746" s="71" t="n">
        <v>19373864.7</v>
      </c>
      <c r="N2746" s="71" t="n">
        <v>2906079.71</v>
      </c>
      <c r="O2746" s="71" t="n">
        <v>16467784.99</v>
      </c>
      <c r="P2746" s="71" t="n">
        <v>1590186.3</v>
      </c>
      <c r="Q2746" s="71" t="n">
        <v>14877598.69</v>
      </c>
      <c r="R2746" t="inlineStr">
        <is>
          <t>Rare disease</t>
        </is>
      </c>
      <c r="S2746" s="70" t="n">
        <v>2322</v>
      </c>
      <c r="T2746" s="71" t="n">
        <v>2771383.11</v>
      </c>
      <c r="U2746" t="inlineStr">
        <is>
          <t>Medium</t>
        </is>
      </c>
      <c r="V2746">
        <f>IF(AND(OR(Dashboard!$C$6="All",E2746=Dashboard!$C$6),OR(Dashboard!$F$6="All",G2746=Dashboard!$F$6),OR(Dashboard!$I$6="All",H2746=Dashboard!$I$6)),1,0)</f>
        <v/>
      </c>
    </row>
    <row r="2747">
      <c r="A2747" t="inlineStr">
        <is>
          <t>PF102738</t>
        </is>
      </c>
      <c r="B2747" s="68" t="n">
        <v>45987</v>
      </c>
      <c r="C2747" s="69" t="n">
        <v>2025</v>
      </c>
      <c r="D2747" t="inlineStr">
        <is>
          <t>Nov</t>
        </is>
      </c>
      <c r="E2747" t="inlineStr">
        <is>
          <t>International developed</t>
        </is>
      </c>
      <c r="F2747" t="inlineStr">
        <is>
          <t>Canada</t>
        </is>
      </c>
      <c r="G2747" t="inlineStr">
        <is>
          <t>Paxlovid</t>
        </is>
      </c>
      <c r="H2747" t="inlineStr">
        <is>
          <t>Retail pharmacy</t>
        </is>
      </c>
      <c r="I2747" t="inlineStr">
        <is>
          <t>Private insurer</t>
        </is>
      </c>
      <c r="J2747" t="inlineStr">
        <is>
          <t>Ruhi Shaikh</t>
        </is>
      </c>
      <c r="K2747" s="70" t="n">
        <v>2655</v>
      </c>
      <c r="L2747" s="71" t="n">
        <v>1072.82</v>
      </c>
      <c r="M2747" s="71" t="n">
        <v>2848337.1</v>
      </c>
      <c r="N2747" s="71" t="n">
        <v>427250.57</v>
      </c>
      <c r="O2747" s="71" t="n">
        <v>2421086.53</v>
      </c>
      <c r="P2747" s="71" t="n">
        <v>754321.6899999999</v>
      </c>
      <c r="Q2747" s="71" t="n">
        <v>1666764.84</v>
      </c>
      <c r="R2747" t="inlineStr">
        <is>
          <t>Antiviral</t>
        </is>
      </c>
      <c r="S2747" s="70" t="n">
        <v>1825</v>
      </c>
      <c r="T2747" s="71" t="n">
        <v>510644.49</v>
      </c>
      <c r="U2747" t="inlineStr">
        <is>
          <t>Low</t>
        </is>
      </c>
      <c r="V2747">
        <f>IF(AND(OR(Dashboard!$C$6="All",E2747=Dashboard!$C$6),OR(Dashboard!$F$6="All",G2747=Dashboard!$F$6),OR(Dashboard!$I$6="All",H2747=Dashboard!$I$6)),1,0)</f>
        <v/>
      </c>
    </row>
    <row r="2748">
      <c r="A2748" t="inlineStr">
        <is>
          <t>PF102739</t>
        </is>
      </c>
      <c r="B2748" s="68" t="n">
        <v>45987</v>
      </c>
      <c r="C2748" s="69" t="n">
        <v>2025</v>
      </c>
      <c r="D2748" t="inlineStr">
        <is>
          <t>Nov</t>
        </is>
      </c>
      <c r="E2748" t="inlineStr">
        <is>
          <t>Emerging markets</t>
        </is>
      </c>
      <c r="F2748" t="inlineStr">
        <is>
          <t>Mexico</t>
        </is>
      </c>
      <c r="G2748" t="inlineStr">
        <is>
          <t>Eliquis</t>
        </is>
      </c>
      <c r="H2748" t="inlineStr">
        <is>
          <t>Retail pharmacy</t>
        </is>
      </c>
      <c r="I2748" t="inlineStr">
        <is>
          <t>Private insurer</t>
        </is>
      </c>
      <c r="J2748" t="inlineStr">
        <is>
          <t>Sara Rossi</t>
        </is>
      </c>
      <c r="K2748" s="70" t="n">
        <v>2311</v>
      </c>
      <c r="L2748" s="71" t="n">
        <v>435.37</v>
      </c>
      <c r="M2748" s="71" t="n">
        <v>1006140.07</v>
      </c>
      <c r="N2748" s="71" t="n">
        <v>251535.02</v>
      </c>
      <c r="O2748" s="71" t="n">
        <v>754605.05</v>
      </c>
      <c r="P2748" s="71" t="n">
        <v>178039.02</v>
      </c>
      <c r="Q2748" s="71" t="n">
        <v>576566.03</v>
      </c>
      <c r="R2748" t="inlineStr">
        <is>
          <t>Cardiology</t>
        </is>
      </c>
      <c r="S2748" s="70" t="n">
        <v>1479</v>
      </c>
      <c r="T2748" s="71" t="n">
        <v>163488.64</v>
      </c>
      <c r="U2748" t="inlineStr">
        <is>
          <t>High</t>
        </is>
      </c>
      <c r="V2748">
        <f>IF(AND(OR(Dashboard!$C$6="All",E2748=Dashboard!$C$6),OR(Dashboard!$F$6="All",G2748=Dashboard!$F$6),OR(Dashboard!$I$6="All",H2748=Dashboard!$I$6)),1,0)</f>
        <v/>
      </c>
    </row>
    <row r="2749">
      <c r="A2749" t="inlineStr">
        <is>
          <t>PF102740</t>
        </is>
      </c>
      <c r="B2749" s="68" t="n">
        <v>45987</v>
      </c>
      <c r="C2749" s="69" t="n">
        <v>2025</v>
      </c>
      <c r="D2749" t="inlineStr">
        <is>
          <t>Nov</t>
        </is>
      </c>
      <c r="E2749" t="inlineStr">
        <is>
          <t>United States</t>
        </is>
      </c>
      <c r="F2749" t="inlineStr">
        <is>
          <t>USA</t>
        </is>
      </c>
      <c r="G2749" t="inlineStr">
        <is>
          <t>Prevnar 20</t>
        </is>
      </c>
      <c r="H2749" t="inlineStr">
        <is>
          <t>Government / tender</t>
        </is>
      </c>
      <c r="I2749" t="inlineStr">
        <is>
          <t>Public payer</t>
        </is>
      </c>
      <c r="J2749" t="inlineStr">
        <is>
          <t>Emma Clarke</t>
        </is>
      </c>
      <c r="K2749" s="70" t="n">
        <v>2551</v>
      </c>
      <c r="L2749" s="71" t="n">
        <v>387.39</v>
      </c>
      <c r="M2749" s="71" t="n">
        <v>988231.89</v>
      </c>
      <c r="N2749" s="71" t="n">
        <v>247057.97</v>
      </c>
      <c r="O2749" s="71" t="n">
        <v>741173.92</v>
      </c>
      <c r="P2749" s="71" t="n">
        <v>169838.5</v>
      </c>
      <c r="Q2749" s="71" t="n">
        <v>571335.42</v>
      </c>
      <c r="R2749" t="inlineStr">
        <is>
          <t>Vaccines</t>
        </is>
      </c>
      <c r="S2749" s="70" t="n">
        <v>1998</v>
      </c>
      <c r="T2749" s="71" t="n">
        <v>157631.39</v>
      </c>
      <c r="U2749" t="inlineStr">
        <is>
          <t>Low</t>
        </is>
      </c>
      <c r="V2749">
        <f>IF(AND(OR(Dashboard!$C$6="All",E2749=Dashboard!$C$6),OR(Dashboard!$F$6="All",G2749=Dashboard!$F$6),OR(Dashboard!$I$6="All",H2749=Dashboard!$I$6)),1,0)</f>
        <v/>
      </c>
    </row>
    <row r="2750">
      <c r="A2750" t="inlineStr">
        <is>
          <t>PF102741</t>
        </is>
      </c>
      <c r="B2750" s="68" t="n">
        <v>45987</v>
      </c>
      <c r="C2750" s="69" t="n">
        <v>2025</v>
      </c>
      <c r="D2750" t="inlineStr">
        <is>
          <t>Nov</t>
        </is>
      </c>
      <c r="E2750" t="inlineStr">
        <is>
          <t>Europe</t>
        </is>
      </c>
      <c r="F2750" t="inlineStr">
        <is>
          <t>France</t>
        </is>
      </c>
      <c r="G2750" t="inlineStr">
        <is>
          <t>Comirnaty</t>
        </is>
      </c>
      <c r="H2750" t="inlineStr">
        <is>
          <t>Hospital</t>
        </is>
      </c>
      <c r="I2750" t="inlineStr">
        <is>
          <t>Public payer</t>
        </is>
      </c>
      <c r="J2750" t="inlineStr">
        <is>
          <t>Amir Khan</t>
        </is>
      </c>
      <c r="K2750" s="70" t="n">
        <v>1341</v>
      </c>
      <c r="L2750" s="71" t="n">
        <v>107.11</v>
      </c>
      <c r="M2750" s="71" t="n">
        <v>143634.51</v>
      </c>
      <c r="N2750" s="71" t="n">
        <v>21545.18</v>
      </c>
      <c r="O2750" s="71" t="n">
        <v>122089.33</v>
      </c>
      <c r="P2750" s="71" t="n">
        <v>52084.95</v>
      </c>
      <c r="Q2750" s="71" t="n">
        <v>70004.38</v>
      </c>
      <c r="R2750" t="inlineStr">
        <is>
          <t>Vaccines</t>
        </is>
      </c>
      <c r="S2750" s="70" t="n">
        <v>1269</v>
      </c>
      <c r="T2750" s="71" t="n">
        <v>22366.92</v>
      </c>
      <c r="U2750" t="inlineStr">
        <is>
          <t>Low</t>
        </is>
      </c>
      <c r="V2750">
        <f>IF(AND(OR(Dashboard!$C$6="All",E2750=Dashboard!$C$6),OR(Dashboard!$F$6="All",G2750=Dashboard!$F$6),OR(Dashboard!$I$6="All",H2750=Dashboard!$I$6)),1,0)</f>
        <v/>
      </c>
    </row>
    <row r="2751">
      <c r="A2751" t="inlineStr">
        <is>
          <t>PF102742</t>
        </is>
      </c>
      <c r="B2751" s="68" t="n">
        <v>45988</v>
      </c>
      <c r="C2751" s="69" t="n">
        <v>2025</v>
      </c>
      <c r="D2751" t="inlineStr">
        <is>
          <t>Nov</t>
        </is>
      </c>
      <c r="E2751" t="inlineStr">
        <is>
          <t>International developed</t>
        </is>
      </c>
      <c r="F2751" t="inlineStr">
        <is>
          <t>Canada</t>
        </is>
      </c>
      <c r="G2751" t="inlineStr">
        <is>
          <t>Paxlovid</t>
        </is>
      </c>
      <c r="H2751" t="inlineStr">
        <is>
          <t>Hospital</t>
        </is>
      </c>
      <c r="I2751" t="inlineStr">
        <is>
          <t>Private insurer</t>
        </is>
      </c>
      <c r="J2751" t="inlineStr">
        <is>
          <t>Liam O'Brien</t>
        </is>
      </c>
      <c r="K2751" s="70" t="n">
        <v>2211</v>
      </c>
      <c r="L2751" s="71" t="n">
        <v>1169.91</v>
      </c>
      <c r="M2751" s="71" t="n">
        <v>2586671.01</v>
      </c>
      <c r="N2751" s="71" t="n">
        <v>129333.55</v>
      </c>
      <c r="O2751" s="71" t="n">
        <v>2457337.46</v>
      </c>
      <c r="P2751" s="71" t="n">
        <v>618779.13</v>
      </c>
      <c r="Q2751" s="71" t="n">
        <v>1838558.33</v>
      </c>
      <c r="R2751" t="inlineStr">
        <is>
          <t>Antiviral</t>
        </is>
      </c>
      <c r="S2751" s="70" t="n">
        <v>1513</v>
      </c>
      <c r="T2751" s="71" t="n">
        <v>560148.0600000001</v>
      </c>
      <c r="U2751" t="inlineStr">
        <is>
          <t>Low</t>
        </is>
      </c>
      <c r="V2751">
        <f>IF(AND(OR(Dashboard!$C$6="All",E2751=Dashboard!$C$6),OR(Dashboard!$F$6="All",G2751=Dashboard!$F$6),OR(Dashboard!$I$6="All",H2751=Dashboard!$I$6)),1,0)</f>
        <v/>
      </c>
    </row>
    <row r="2752">
      <c r="A2752" t="inlineStr">
        <is>
          <t>PF102743</t>
        </is>
      </c>
      <c r="B2752" s="68" t="n">
        <v>45988</v>
      </c>
      <c r="C2752" s="69" t="n">
        <v>2025</v>
      </c>
      <c r="D2752" t="inlineStr">
        <is>
          <t>Nov</t>
        </is>
      </c>
      <c r="E2752" t="inlineStr">
        <is>
          <t>Europe</t>
        </is>
      </c>
      <c r="F2752" t="inlineStr">
        <is>
          <t>Italy</t>
        </is>
      </c>
      <c r="G2752" t="inlineStr">
        <is>
          <t>Eliquis</t>
        </is>
      </c>
      <c r="H2752" t="inlineStr">
        <is>
          <t>Retail pharmacy</t>
        </is>
      </c>
      <c r="I2752" t="inlineStr">
        <is>
          <t>Self-pay</t>
        </is>
      </c>
      <c r="J2752" t="inlineStr">
        <is>
          <t>Noah Smith</t>
        </is>
      </c>
      <c r="K2752" s="70" t="n">
        <v>1498</v>
      </c>
      <c r="L2752" s="71" t="n">
        <v>398.41</v>
      </c>
      <c r="M2752" s="71" t="n">
        <v>596818.1800000001</v>
      </c>
      <c r="N2752" s="71" t="n">
        <v>29840.91</v>
      </c>
      <c r="O2752" s="71" t="n">
        <v>566977.27</v>
      </c>
      <c r="P2752" s="71" t="n">
        <v>113607.01</v>
      </c>
      <c r="Q2752" s="71" t="n">
        <v>453370.26</v>
      </c>
      <c r="R2752" t="inlineStr">
        <is>
          <t>Cardiology</t>
        </is>
      </c>
      <c r="S2752" s="70" t="n">
        <v>948</v>
      </c>
      <c r="T2752" s="71" t="n">
        <v>128546.94</v>
      </c>
      <c r="U2752" t="inlineStr">
        <is>
          <t>High</t>
        </is>
      </c>
      <c r="V2752">
        <f>IF(AND(OR(Dashboard!$C$6="All",E2752=Dashboard!$C$6),OR(Dashboard!$F$6="All",G2752=Dashboard!$F$6),OR(Dashboard!$I$6="All",H2752=Dashboard!$I$6)),1,0)</f>
        <v/>
      </c>
    </row>
    <row r="2753">
      <c r="A2753" t="inlineStr">
        <is>
          <t>PF102744</t>
        </is>
      </c>
      <c r="B2753" s="68" t="n">
        <v>45988</v>
      </c>
      <c r="C2753" s="69" t="n">
        <v>2025</v>
      </c>
      <c r="D2753" t="inlineStr">
        <is>
          <t>Nov</t>
        </is>
      </c>
      <c r="E2753" t="inlineStr">
        <is>
          <t>Emerging markets</t>
        </is>
      </c>
      <c r="F2753" t="inlineStr">
        <is>
          <t>China</t>
        </is>
      </c>
      <c r="G2753" t="inlineStr">
        <is>
          <t>Xeljanz</t>
        </is>
      </c>
      <c r="H2753" t="inlineStr">
        <is>
          <t>Retail pharmacy</t>
        </is>
      </c>
      <c r="I2753" t="inlineStr">
        <is>
          <t>Public payer</t>
        </is>
      </c>
      <c r="J2753" t="inlineStr">
        <is>
          <t>Yuki Sato</t>
        </is>
      </c>
      <c r="K2753" s="70" t="n">
        <v>1147</v>
      </c>
      <c r="L2753" s="71" t="n">
        <v>1460.02</v>
      </c>
      <c r="M2753" s="71" t="n">
        <v>1674642.94</v>
      </c>
      <c r="N2753" s="71" t="n">
        <v>167464.29</v>
      </c>
      <c r="O2753" s="71" t="n">
        <v>1507178.65</v>
      </c>
      <c r="P2753" s="71" t="n">
        <v>296913.08</v>
      </c>
      <c r="Q2753" s="71" t="n">
        <v>1210265.57</v>
      </c>
      <c r="R2753" t="inlineStr">
        <is>
          <t>Inflammation</t>
        </is>
      </c>
      <c r="S2753" s="70" t="n">
        <v>977</v>
      </c>
      <c r="T2753" s="71" t="n">
        <v>286800.83</v>
      </c>
      <c r="U2753" t="inlineStr">
        <is>
          <t>High</t>
        </is>
      </c>
      <c r="V2753">
        <f>IF(AND(OR(Dashboard!$C$6="All",E2753=Dashboard!$C$6),OR(Dashboard!$F$6="All",G2753=Dashboard!$F$6),OR(Dashboard!$I$6="All",H2753=Dashboard!$I$6)),1,0)</f>
        <v/>
      </c>
    </row>
    <row r="2754">
      <c r="A2754" t="inlineStr">
        <is>
          <t>PF102745</t>
        </is>
      </c>
      <c r="B2754" s="68" t="n">
        <v>45989</v>
      </c>
      <c r="C2754" s="69" t="n">
        <v>2025</v>
      </c>
      <c r="D2754" t="inlineStr">
        <is>
          <t>Nov</t>
        </is>
      </c>
      <c r="E2754" t="inlineStr">
        <is>
          <t>United States</t>
        </is>
      </c>
      <c r="F2754" t="inlineStr">
        <is>
          <t>USA</t>
        </is>
      </c>
      <c r="G2754" t="inlineStr">
        <is>
          <t>Prevnar 20</t>
        </is>
      </c>
      <c r="H2754" t="inlineStr">
        <is>
          <t>Government / tender</t>
        </is>
      </c>
      <c r="I2754" t="inlineStr">
        <is>
          <t>Public payer</t>
        </is>
      </c>
      <c r="J2754" t="inlineStr">
        <is>
          <t>Omar Haddad</t>
        </is>
      </c>
      <c r="K2754" s="70" t="n">
        <v>99</v>
      </c>
      <c r="L2754" s="71" t="n">
        <v>338.62</v>
      </c>
      <c r="M2754" s="71" t="n">
        <v>33523.38</v>
      </c>
      <c r="N2754" s="71" t="n">
        <v>8380.84</v>
      </c>
      <c r="O2754" s="71" t="n">
        <v>25142.54</v>
      </c>
      <c r="P2754" s="71" t="n">
        <v>6599.76</v>
      </c>
      <c r="Q2754" s="71" t="n">
        <v>18542.78</v>
      </c>
      <c r="R2754" t="inlineStr">
        <is>
          <t>Vaccines</t>
        </is>
      </c>
      <c r="S2754" s="70" t="n">
        <v>99</v>
      </c>
      <c r="T2754" s="71" t="n">
        <v>6787.89</v>
      </c>
      <c r="U2754" t="inlineStr">
        <is>
          <t>Low</t>
        </is>
      </c>
      <c r="V2754">
        <f>IF(AND(OR(Dashboard!$C$6="All",E2754=Dashboard!$C$6),OR(Dashboard!$F$6="All",G2754=Dashboard!$F$6),OR(Dashboard!$I$6="All",H2754=Dashboard!$I$6)),1,0)</f>
        <v/>
      </c>
    </row>
    <row r="2755">
      <c r="A2755" t="inlineStr">
        <is>
          <t>PF102746</t>
        </is>
      </c>
      <c r="B2755" s="68" t="n">
        <v>45989</v>
      </c>
      <c r="C2755" s="69" t="n">
        <v>2025</v>
      </c>
      <c r="D2755" t="inlineStr">
        <is>
          <t>Nov</t>
        </is>
      </c>
      <c r="E2755" t="inlineStr">
        <is>
          <t>United States</t>
        </is>
      </c>
      <c r="F2755" t="inlineStr">
        <is>
          <t>USA</t>
        </is>
      </c>
      <c r="G2755" t="inlineStr">
        <is>
          <t>Eliquis</t>
        </is>
      </c>
      <c r="H2755" t="inlineStr">
        <is>
          <t>Hospital</t>
        </is>
      </c>
      <c r="I2755" t="inlineStr">
        <is>
          <t>Private insurer</t>
        </is>
      </c>
      <c r="J2755" t="inlineStr">
        <is>
          <t>Amir Khan</t>
        </is>
      </c>
      <c r="K2755" s="70" t="n">
        <v>1602</v>
      </c>
      <c r="L2755" s="71" t="n">
        <v>642.88</v>
      </c>
      <c r="M2755" s="71" t="n">
        <v>1029893.76</v>
      </c>
      <c r="N2755" s="71" t="n">
        <v>154484.06</v>
      </c>
      <c r="O2755" s="71" t="n">
        <v>875409.7</v>
      </c>
      <c r="P2755" s="71" t="n">
        <v>119834.8</v>
      </c>
      <c r="Q2755" s="71" t="n">
        <v>755574.9</v>
      </c>
      <c r="R2755" t="inlineStr">
        <is>
          <t>Cardiology</t>
        </is>
      </c>
      <c r="S2755" s="70" t="n">
        <v>1413</v>
      </c>
      <c r="T2755" s="71" t="n">
        <v>133865.68</v>
      </c>
      <c r="U2755" t="inlineStr">
        <is>
          <t>High</t>
        </is>
      </c>
      <c r="V2755">
        <f>IF(AND(OR(Dashboard!$C$6="All",E2755=Dashboard!$C$6),OR(Dashboard!$F$6="All",G2755=Dashboard!$F$6),OR(Dashboard!$I$6="All",H2755=Dashboard!$I$6)),1,0)</f>
        <v/>
      </c>
    </row>
    <row r="2756">
      <c r="A2756" t="inlineStr">
        <is>
          <t>PF102747</t>
        </is>
      </c>
      <c r="B2756" s="68" t="n">
        <v>45989</v>
      </c>
      <c r="C2756" s="69" t="n">
        <v>2025</v>
      </c>
      <c r="D2756" t="inlineStr">
        <is>
          <t>Nov</t>
        </is>
      </c>
      <c r="E2756" t="inlineStr">
        <is>
          <t>International developed</t>
        </is>
      </c>
      <c r="F2756" t="inlineStr">
        <is>
          <t>Japan</t>
        </is>
      </c>
      <c r="G2756" t="inlineStr">
        <is>
          <t>Comirnaty</t>
        </is>
      </c>
      <c r="H2756" t="inlineStr">
        <is>
          <t>Retail pharmacy</t>
        </is>
      </c>
      <c r="I2756" t="inlineStr">
        <is>
          <t>Public payer</t>
        </is>
      </c>
      <c r="J2756" t="inlineStr">
        <is>
          <t>Ana Costa</t>
        </is>
      </c>
      <c r="K2756" s="70" t="n">
        <v>392</v>
      </c>
      <c r="L2756" s="71" t="n">
        <v>108.03</v>
      </c>
      <c r="M2756" s="71" t="n">
        <v>42347.76</v>
      </c>
      <c r="N2756" s="71" t="n">
        <v>2117.39</v>
      </c>
      <c r="O2756" s="71" t="n">
        <v>40230.37</v>
      </c>
      <c r="P2756" s="71" t="n">
        <v>15151.43</v>
      </c>
      <c r="Q2756" s="71" t="n">
        <v>25078.94</v>
      </c>
      <c r="R2756" t="inlineStr">
        <is>
          <t>Vaccines</t>
        </is>
      </c>
      <c r="S2756" s="70" t="n">
        <v>301</v>
      </c>
      <c r="T2756" s="71" t="n">
        <v>5171.47</v>
      </c>
      <c r="U2756" t="inlineStr">
        <is>
          <t>Low</t>
        </is>
      </c>
      <c r="V2756">
        <f>IF(AND(OR(Dashboard!$C$6="All",E2756=Dashboard!$C$6),OR(Dashboard!$F$6="All",G2756=Dashboard!$F$6),OR(Dashboard!$I$6="All",H2756=Dashboard!$I$6)),1,0)</f>
        <v/>
      </c>
    </row>
    <row r="2757">
      <c r="A2757" t="inlineStr">
        <is>
          <t>PF102748</t>
        </is>
      </c>
      <c r="B2757" s="68" t="n">
        <v>45989</v>
      </c>
      <c r="C2757" s="69" t="n">
        <v>2025</v>
      </c>
      <c r="D2757" t="inlineStr">
        <is>
          <t>Nov</t>
        </is>
      </c>
      <c r="E2757" t="inlineStr">
        <is>
          <t>Europe</t>
        </is>
      </c>
      <c r="F2757" t="inlineStr">
        <is>
          <t>Italy</t>
        </is>
      </c>
      <c r="G2757" t="inlineStr">
        <is>
          <t>Prevnar 20</t>
        </is>
      </c>
      <c r="H2757" t="inlineStr">
        <is>
          <t>Retail pharmacy</t>
        </is>
      </c>
      <c r="I2757" t="inlineStr">
        <is>
          <t>Public payer</t>
        </is>
      </c>
      <c r="J2757" t="inlineStr">
        <is>
          <t>Zoya Ahmed</t>
        </is>
      </c>
      <c r="K2757" s="70" t="n">
        <v>827</v>
      </c>
      <c r="L2757" s="71" t="n">
        <v>207.65</v>
      </c>
      <c r="M2757" s="71" t="n">
        <v>171726.55</v>
      </c>
      <c r="N2757" s="71" t="n">
        <v>25758.98</v>
      </c>
      <c r="O2757" s="71" t="n">
        <v>145967.57</v>
      </c>
      <c r="P2757" s="71" t="n">
        <v>56197.45</v>
      </c>
      <c r="Q2757" s="71" t="n">
        <v>89770.12</v>
      </c>
      <c r="R2757" t="inlineStr">
        <is>
          <t>Vaccines</t>
        </is>
      </c>
      <c r="S2757" s="70" t="n">
        <v>565</v>
      </c>
      <c r="T2757" s="71" t="n">
        <v>26437.1</v>
      </c>
      <c r="U2757" t="inlineStr">
        <is>
          <t>Low</t>
        </is>
      </c>
      <c r="V2757">
        <f>IF(AND(OR(Dashboard!$C$6="All",E2757=Dashboard!$C$6),OR(Dashboard!$F$6="All",G2757=Dashboard!$F$6),OR(Dashboard!$I$6="All",H2757=Dashboard!$I$6)),1,0)</f>
        <v/>
      </c>
    </row>
    <row r="2758">
      <c r="A2758" t="inlineStr">
        <is>
          <t>PF102749</t>
        </is>
      </c>
      <c r="B2758" s="68" t="n">
        <v>45989</v>
      </c>
      <c r="C2758" s="69" t="n">
        <v>2025</v>
      </c>
      <c r="D2758" t="inlineStr">
        <is>
          <t>Nov</t>
        </is>
      </c>
      <c r="E2758" t="inlineStr">
        <is>
          <t>Emerging markets</t>
        </is>
      </c>
      <c r="F2758" t="inlineStr">
        <is>
          <t>Mexico</t>
        </is>
      </c>
      <c r="G2758" t="inlineStr">
        <is>
          <t>Prevnar 20</t>
        </is>
      </c>
      <c r="H2758" t="inlineStr">
        <is>
          <t>Retail pharmacy</t>
        </is>
      </c>
      <c r="I2758" t="inlineStr">
        <is>
          <t>Public payer</t>
        </is>
      </c>
      <c r="J2758" t="inlineStr">
        <is>
          <t>Priya Nair</t>
        </is>
      </c>
      <c r="K2758" s="70" t="n">
        <v>3153</v>
      </c>
      <c r="L2758" s="71" t="n">
        <v>251.34</v>
      </c>
      <c r="M2758" s="71" t="n">
        <v>792475.02</v>
      </c>
      <c r="N2758" s="71" t="n">
        <v>79247.5</v>
      </c>
      <c r="O2758" s="71" t="n">
        <v>713227.52</v>
      </c>
      <c r="P2758" s="71" t="n">
        <v>210825.43</v>
      </c>
      <c r="Q2758" s="71" t="n">
        <v>502402.09</v>
      </c>
      <c r="R2758" t="inlineStr">
        <is>
          <t>Vaccines</t>
        </is>
      </c>
      <c r="S2758" s="70" t="n">
        <v>2066</v>
      </c>
      <c r="T2758" s="71" t="n">
        <v>155022.2</v>
      </c>
      <c r="U2758" t="inlineStr">
        <is>
          <t>Low</t>
        </is>
      </c>
      <c r="V2758">
        <f>IF(AND(OR(Dashboard!$C$6="All",E2758=Dashboard!$C$6),OR(Dashboard!$F$6="All",G2758=Dashboard!$F$6),OR(Dashboard!$I$6="All",H2758=Dashboard!$I$6)),1,0)</f>
        <v/>
      </c>
    </row>
    <row r="2759">
      <c r="A2759" t="inlineStr">
        <is>
          <t>PF102750</t>
        </is>
      </c>
      <c r="B2759" s="68" t="n">
        <v>45989</v>
      </c>
      <c r="C2759" s="69" t="n">
        <v>2025</v>
      </c>
      <c r="D2759" t="inlineStr">
        <is>
          <t>Nov</t>
        </is>
      </c>
      <c r="E2759" t="inlineStr">
        <is>
          <t>United States</t>
        </is>
      </c>
      <c r="F2759" t="inlineStr">
        <is>
          <t>USA</t>
        </is>
      </c>
      <c r="G2759" t="inlineStr">
        <is>
          <t>Comirnaty</t>
        </is>
      </c>
      <c r="H2759" t="inlineStr">
        <is>
          <t>Retail pharmacy</t>
        </is>
      </c>
      <c r="I2759" t="inlineStr">
        <is>
          <t>Public payer</t>
        </is>
      </c>
      <c r="J2759" t="inlineStr">
        <is>
          <t>Olivia Brown</t>
        </is>
      </c>
      <c r="K2759" s="70" t="n">
        <v>3178</v>
      </c>
      <c r="L2759" s="71" t="n">
        <v>169.79</v>
      </c>
      <c r="M2759" s="71" t="n">
        <v>539592.62</v>
      </c>
      <c r="N2759" s="71" t="n">
        <v>161877.79</v>
      </c>
      <c r="O2759" s="71" t="n">
        <v>377714.83</v>
      </c>
      <c r="P2759" s="71" t="n">
        <v>121355.97</v>
      </c>
      <c r="Q2759" s="71" t="n">
        <v>256358.86</v>
      </c>
      <c r="R2759" t="inlineStr">
        <is>
          <t>Vaccines</t>
        </is>
      </c>
      <c r="S2759" s="70" t="n">
        <v>2682</v>
      </c>
      <c r="T2759" s="71" t="n">
        <v>83843.08</v>
      </c>
      <c r="U2759" t="inlineStr">
        <is>
          <t>Low</t>
        </is>
      </c>
      <c r="V2759">
        <f>IF(AND(OR(Dashboard!$C$6="All",E2759=Dashboard!$C$6),OR(Dashboard!$F$6="All",G2759=Dashboard!$F$6),OR(Dashboard!$I$6="All",H2759=Dashboard!$I$6)),1,0)</f>
        <v/>
      </c>
    </row>
    <row r="2760">
      <c r="A2760" t="inlineStr">
        <is>
          <t>PF102751</t>
        </is>
      </c>
      <c r="B2760" s="68" t="n">
        <v>45989</v>
      </c>
      <c r="C2760" s="69" t="n">
        <v>2025</v>
      </c>
      <c r="D2760" t="inlineStr">
        <is>
          <t>Nov</t>
        </is>
      </c>
      <c r="E2760" t="inlineStr">
        <is>
          <t>International developed</t>
        </is>
      </c>
      <c r="F2760" t="inlineStr">
        <is>
          <t>Japan</t>
        </is>
      </c>
      <c r="G2760" t="inlineStr">
        <is>
          <t>Paxlovid</t>
        </is>
      </c>
      <c r="H2760" t="inlineStr">
        <is>
          <t>Retail pharmacy</t>
        </is>
      </c>
      <c r="I2760" t="inlineStr">
        <is>
          <t>Private insurer</t>
        </is>
      </c>
      <c r="J2760" t="inlineStr">
        <is>
          <t>Wei Chen</t>
        </is>
      </c>
      <c r="K2760" s="70" t="n">
        <v>1602</v>
      </c>
      <c r="L2760" s="71" t="n">
        <v>1116.99</v>
      </c>
      <c r="M2760" s="71" t="n">
        <v>1789417.98</v>
      </c>
      <c r="N2760" s="71" t="n">
        <v>447354.49</v>
      </c>
      <c r="O2760" s="71" t="n">
        <v>1342063.49</v>
      </c>
      <c r="P2760" s="71" t="n">
        <v>423485.38</v>
      </c>
      <c r="Q2760" s="71" t="n">
        <v>918578.11</v>
      </c>
      <c r="R2760" t="inlineStr">
        <is>
          <t>Antiviral</t>
        </is>
      </c>
      <c r="S2760" s="70" t="n">
        <v>1423</v>
      </c>
      <c r="T2760" s="71" t="n">
        <v>351096.43</v>
      </c>
      <c r="U2760" t="inlineStr">
        <is>
          <t>Low</t>
        </is>
      </c>
      <c r="V2760">
        <f>IF(AND(OR(Dashboard!$C$6="All",E2760=Dashboard!$C$6),OR(Dashboard!$F$6="All",G2760=Dashboard!$F$6),OR(Dashboard!$I$6="All",H2760=Dashboard!$I$6)),1,0)</f>
        <v/>
      </c>
    </row>
    <row r="2761">
      <c r="A2761" t="inlineStr">
        <is>
          <t>PF102752</t>
        </is>
      </c>
      <c r="B2761" s="68" t="n">
        <v>45989</v>
      </c>
      <c r="C2761" s="69" t="n">
        <v>2025</v>
      </c>
      <c r="D2761" t="inlineStr">
        <is>
          <t>Nov</t>
        </is>
      </c>
      <c r="E2761" t="inlineStr">
        <is>
          <t>United States</t>
        </is>
      </c>
      <c r="F2761" t="inlineStr">
        <is>
          <t>USA</t>
        </is>
      </c>
      <c r="G2761" t="inlineStr">
        <is>
          <t>Ibrance</t>
        </is>
      </c>
      <c r="H2761" t="inlineStr">
        <is>
          <t>Hospital</t>
        </is>
      </c>
      <c r="I2761" t="inlineStr">
        <is>
          <t>Public payer</t>
        </is>
      </c>
      <c r="J2761" t="inlineStr">
        <is>
          <t>Ruhi Shaikh</t>
        </is>
      </c>
      <c r="K2761" s="70" t="n">
        <v>2396</v>
      </c>
      <c r="L2761" s="71" t="n">
        <v>4604.77</v>
      </c>
      <c r="M2761" s="71" t="n">
        <v>11033028.92</v>
      </c>
      <c r="N2761" s="71" t="n">
        <v>1654954.34</v>
      </c>
      <c r="O2761" s="71" t="n">
        <v>9378074.58</v>
      </c>
      <c r="P2761" s="71" t="n">
        <v>1061048.1</v>
      </c>
      <c r="Q2761" s="71" t="n">
        <v>8317026.48</v>
      </c>
      <c r="R2761" t="inlineStr">
        <is>
          <t>Oncology</t>
        </is>
      </c>
      <c r="S2761" s="70" t="n">
        <v>2197</v>
      </c>
      <c r="T2761" s="71" t="n">
        <v>2392681.53</v>
      </c>
      <c r="U2761" t="inlineStr">
        <is>
          <t>High</t>
        </is>
      </c>
      <c r="V2761">
        <f>IF(AND(OR(Dashboard!$C$6="All",E2761=Dashboard!$C$6),OR(Dashboard!$F$6="All",G2761=Dashboard!$F$6),OR(Dashboard!$I$6="All",H2761=Dashboard!$I$6)),1,0)</f>
        <v/>
      </c>
    </row>
    <row r="2762">
      <c r="A2762" t="inlineStr">
        <is>
          <t>PF102753</t>
        </is>
      </c>
      <c r="B2762" s="68" t="n">
        <v>45989</v>
      </c>
      <c r="C2762" s="69" t="n">
        <v>2025</v>
      </c>
      <c r="D2762" t="inlineStr">
        <is>
          <t>Nov</t>
        </is>
      </c>
      <c r="E2762" t="inlineStr">
        <is>
          <t>United States</t>
        </is>
      </c>
      <c r="F2762" t="inlineStr">
        <is>
          <t>USA</t>
        </is>
      </c>
      <c r="G2762" t="inlineStr">
        <is>
          <t>Prevnar 20</t>
        </is>
      </c>
      <c r="H2762" t="inlineStr">
        <is>
          <t>Hospital</t>
        </is>
      </c>
      <c r="I2762" t="inlineStr">
        <is>
          <t>Private insurer</t>
        </is>
      </c>
      <c r="J2762" t="inlineStr">
        <is>
          <t>Aisha Bello</t>
        </is>
      </c>
      <c r="K2762" s="70" t="n">
        <v>2250</v>
      </c>
      <c r="L2762" s="71" t="n">
        <v>394.34</v>
      </c>
      <c r="M2762" s="71" t="n">
        <v>887265</v>
      </c>
      <c r="N2762" s="71" t="n">
        <v>133089.75</v>
      </c>
      <c r="O2762" s="71" t="n">
        <v>754175.25</v>
      </c>
      <c r="P2762" s="71" t="n">
        <v>156250.15</v>
      </c>
      <c r="Q2762" s="71" t="n">
        <v>597925.1</v>
      </c>
      <c r="R2762" t="inlineStr">
        <is>
          <t>Vaccines</t>
        </is>
      </c>
      <c r="S2762" s="70" t="n">
        <v>1697</v>
      </c>
      <c r="T2762" s="71" t="n">
        <v>183258.02</v>
      </c>
      <c r="U2762" t="inlineStr">
        <is>
          <t>Low</t>
        </is>
      </c>
      <c r="V2762">
        <f>IF(AND(OR(Dashboard!$C$6="All",E2762=Dashboard!$C$6),OR(Dashboard!$F$6="All",G2762=Dashboard!$F$6),OR(Dashboard!$I$6="All",H2762=Dashboard!$I$6)),1,0)</f>
        <v/>
      </c>
    </row>
    <row r="2763">
      <c r="A2763" t="inlineStr">
        <is>
          <t>PF102754</t>
        </is>
      </c>
      <c r="B2763" s="68" t="n">
        <v>45989</v>
      </c>
      <c r="C2763" s="69" t="n">
        <v>2025</v>
      </c>
      <c r="D2763" t="inlineStr">
        <is>
          <t>Nov</t>
        </is>
      </c>
      <c r="E2763" t="inlineStr">
        <is>
          <t>United States</t>
        </is>
      </c>
      <c r="F2763" t="inlineStr">
        <is>
          <t>USA</t>
        </is>
      </c>
      <c r="G2763" t="inlineStr">
        <is>
          <t>Eliquis</t>
        </is>
      </c>
      <c r="H2763" t="inlineStr">
        <is>
          <t>Retail pharmacy</t>
        </is>
      </c>
      <c r="I2763" t="inlineStr">
        <is>
          <t>Public payer</t>
        </is>
      </c>
      <c r="J2763" t="inlineStr">
        <is>
          <t>Ravindra Patil</t>
        </is>
      </c>
      <c r="K2763" s="70" t="n">
        <v>2486</v>
      </c>
      <c r="L2763" s="71" t="n">
        <v>722.1900000000001</v>
      </c>
      <c r="M2763" s="71" t="n">
        <v>1795364.34</v>
      </c>
      <c r="N2763" s="71" t="n">
        <v>538609.3</v>
      </c>
      <c r="O2763" s="71" t="n">
        <v>1256755.04</v>
      </c>
      <c r="P2763" s="71" t="n">
        <v>189738.47</v>
      </c>
      <c r="Q2763" s="71" t="n">
        <v>1067016.57</v>
      </c>
      <c r="R2763" t="inlineStr">
        <is>
          <t>Cardiology</t>
        </is>
      </c>
      <c r="S2763" s="70" t="n">
        <v>1932</v>
      </c>
      <c r="T2763" s="71" t="n">
        <v>344848.46</v>
      </c>
      <c r="U2763" t="inlineStr">
        <is>
          <t>High</t>
        </is>
      </c>
      <c r="V2763">
        <f>IF(AND(OR(Dashboard!$C$6="All",E2763=Dashboard!$C$6),OR(Dashboard!$F$6="All",G2763=Dashboard!$F$6),OR(Dashboard!$I$6="All",H2763=Dashboard!$I$6)),1,0)</f>
        <v/>
      </c>
    </row>
    <row r="2764">
      <c r="A2764" t="inlineStr">
        <is>
          <t>PF102755</t>
        </is>
      </c>
      <c r="B2764" s="68" t="n">
        <v>45989</v>
      </c>
      <c r="C2764" s="69" t="n">
        <v>2025</v>
      </c>
      <c r="D2764" t="inlineStr">
        <is>
          <t>Nov</t>
        </is>
      </c>
      <c r="E2764" t="inlineStr">
        <is>
          <t>United States</t>
        </is>
      </c>
      <c r="F2764" t="inlineStr">
        <is>
          <t>USA</t>
        </is>
      </c>
      <c r="G2764" t="inlineStr">
        <is>
          <t>Prevnar 20</t>
        </is>
      </c>
      <c r="H2764" t="inlineStr">
        <is>
          <t>Hospital</t>
        </is>
      </c>
      <c r="I2764" t="inlineStr">
        <is>
          <t>Public payer</t>
        </is>
      </c>
      <c r="J2764" t="inlineStr">
        <is>
          <t>Zoya Ahmed</t>
        </is>
      </c>
      <c r="K2764" s="70" t="n">
        <v>552</v>
      </c>
      <c r="L2764" s="71" t="n">
        <v>398.93</v>
      </c>
      <c r="M2764" s="71" t="n">
        <v>220209.36</v>
      </c>
      <c r="N2764" s="71" t="n">
        <v>33031.4</v>
      </c>
      <c r="O2764" s="71" t="n">
        <v>187177.96</v>
      </c>
      <c r="P2764" s="71" t="n">
        <v>39205.55</v>
      </c>
      <c r="Q2764" s="71" t="n">
        <v>147972.41</v>
      </c>
      <c r="R2764" t="inlineStr">
        <is>
          <t>Vaccines</t>
        </is>
      </c>
      <c r="S2764" s="70" t="n">
        <v>507</v>
      </c>
      <c r="T2764" s="71" t="n">
        <v>41146.38</v>
      </c>
      <c r="U2764" t="inlineStr">
        <is>
          <t>Low</t>
        </is>
      </c>
      <c r="V2764">
        <f>IF(AND(OR(Dashboard!$C$6="All",E2764=Dashboard!$C$6),OR(Dashboard!$F$6="All",G2764=Dashboard!$F$6),OR(Dashboard!$I$6="All",H2764=Dashboard!$I$6)),1,0)</f>
        <v/>
      </c>
    </row>
    <row r="2765">
      <c r="A2765" t="inlineStr">
        <is>
          <t>PF102756</t>
        </is>
      </c>
      <c r="B2765" s="68" t="n">
        <v>45989</v>
      </c>
      <c r="C2765" s="69" t="n">
        <v>2025</v>
      </c>
      <c r="D2765" t="inlineStr">
        <is>
          <t>Nov</t>
        </is>
      </c>
      <c r="E2765" t="inlineStr">
        <is>
          <t>United States</t>
        </is>
      </c>
      <c r="F2765" t="inlineStr">
        <is>
          <t>USA</t>
        </is>
      </c>
      <c r="G2765" t="inlineStr">
        <is>
          <t>Prevnar 20</t>
        </is>
      </c>
      <c r="H2765" t="inlineStr">
        <is>
          <t>Hospital</t>
        </is>
      </c>
      <c r="I2765" t="inlineStr">
        <is>
          <t>Private insurer</t>
        </is>
      </c>
      <c r="J2765" t="inlineStr">
        <is>
          <t>Kofi Mensah</t>
        </is>
      </c>
      <c r="K2765" s="70" t="n">
        <v>2331</v>
      </c>
      <c r="L2765" s="71" t="n">
        <v>338.59</v>
      </c>
      <c r="M2765" s="71" t="n">
        <v>789253.29</v>
      </c>
      <c r="N2765" s="71" t="n">
        <v>276238.65</v>
      </c>
      <c r="O2765" s="71" t="n">
        <v>513014.64</v>
      </c>
      <c r="P2765" s="71" t="n">
        <v>157165.31</v>
      </c>
      <c r="Q2765" s="71" t="n">
        <v>355849.33</v>
      </c>
      <c r="R2765" t="inlineStr">
        <is>
          <t>Vaccines</t>
        </is>
      </c>
      <c r="S2765" s="70" t="n">
        <v>1553</v>
      </c>
      <c r="T2765" s="71" t="n">
        <v>122384.97</v>
      </c>
      <c r="U2765" t="inlineStr">
        <is>
          <t>Low</t>
        </is>
      </c>
      <c r="V2765">
        <f>IF(AND(OR(Dashboard!$C$6="All",E2765=Dashboard!$C$6),OR(Dashboard!$F$6="All",G2765=Dashboard!$F$6),OR(Dashboard!$I$6="All",H2765=Dashboard!$I$6)),1,0)</f>
        <v/>
      </c>
    </row>
    <row r="2766">
      <c r="A2766" t="inlineStr">
        <is>
          <t>PF102757</t>
        </is>
      </c>
      <c r="B2766" s="68" t="n">
        <v>45989</v>
      </c>
      <c r="C2766" s="69" t="n">
        <v>2025</v>
      </c>
      <c r="D2766" t="inlineStr">
        <is>
          <t>Nov</t>
        </is>
      </c>
      <c r="E2766" t="inlineStr">
        <is>
          <t>Europe</t>
        </is>
      </c>
      <c r="F2766" t="inlineStr">
        <is>
          <t>Spain</t>
        </is>
      </c>
      <c r="G2766" t="inlineStr">
        <is>
          <t>Eliquis</t>
        </is>
      </c>
      <c r="H2766" t="inlineStr">
        <is>
          <t>Retail pharmacy</t>
        </is>
      </c>
      <c r="I2766" t="inlineStr">
        <is>
          <t>Public payer</t>
        </is>
      </c>
      <c r="J2766" t="inlineStr">
        <is>
          <t>Omar Haddad</t>
        </is>
      </c>
      <c r="K2766" s="70" t="n">
        <v>789</v>
      </c>
      <c r="L2766" s="71" t="n">
        <v>410.74</v>
      </c>
      <c r="M2766" s="71" t="n">
        <v>324073.86</v>
      </c>
      <c r="N2766" s="71" t="n">
        <v>16203.69</v>
      </c>
      <c r="O2766" s="71" t="n">
        <v>307870.17</v>
      </c>
      <c r="P2766" s="71" t="n">
        <v>57631.09</v>
      </c>
      <c r="Q2766" s="71" t="n">
        <v>250239.08</v>
      </c>
      <c r="R2766" t="inlineStr">
        <is>
          <t>Cardiology</t>
        </is>
      </c>
      <c r="S2766" s="70" t="n">
        <v>679</v>
      </c>
      <c r="T2766" s="71" t="n">
        <v>40310.51</v>
      </c>
      <c r="U2766" t="inlineStr">
        <is>
          <t>High</t>
        </is>
      </c>
      <c r="V2766">
        <f>IF(AND(OR(Dashboard!$C$6="All",E2766=Dashboard!$C$6),OR(Dashboard!$F$6="All",G2766=Dashboard!$F$6),OR(Dashboard!$I$6="All",H2766=Dashboard!$I$6)),1,0)</f>
        <v/>
      </c>
    </row>
    <row r="2767">
      <c r="A2767" t="inlineStr">
        <is>
          <t>PF102758</t>
        </is>
      </c>
      <c r="B2767" s="68" t="n">
        <v>45992</v>
      </c>
      <c r="C2767" s="69" t="n">
        <v>2025</v>
      </c>
      <c r="D2767" t="inlineStr">
        <is>
          <t>Dec</t>
        </is>
      </c>
      <c r="E2767" t="inlineStr">
        <is>
          <t>United States</t>
        </is>
      </c>
      <c r="F2767" t="inlineStr">
        <is>
          <t>USA</t>
        </is>
      </c>
      <c r="G2767" t="inlineStr">
        <is>
          <t>Prevnar 20</t>
        </is>
      </c>
      <c r="H2767" t="inlineStr">
        <is>
          <t>Retail pharmacy</t>
        </is>
      </c>
      <c r="I2767" t="inlineStr">
        <is>
          <t>Public payer</t>
        </is>
      </c>
      <c r="J2767" t="inlineStr">
        <is>
          <t>Olivia Brown</t>
        </is>
      </c>
      <c r="K2767" s="70" t="n">
        <v>3007</v>
      </c>
      <c r="L2767" s="71" t="n">
        <v>353.36</v>
      </c>
      <c r="M2767" s="71" t="n">
        <v>1062553.52</v>
      </c>
      <c r="N2767" s="71" t="n">
        <v>371893.73</v>
      </c>
      <c r="O2767" s="71" t="n">
        <v>690659.79</v>
      </c>
      <c r="P2767" s="71" t="n">
        <v>212964.43</v>
      </c>
      <c r="Q2767" s="71" t="n">
        <v>477695.36</v>
      </c>
      <c r="R2767" t="inlineStr">
        <is>
          <t>Vaccines</t>
        </is>
      </c>
      <c r="S2767" s="70" t="n">
        <v>2546</v>
      </c>
      <c r="T2767" s="71" t="n">
        <v>140567.53</v>
      </c>
      <c r="U2767" t="inlineStr">
        <is>
          <t>Low</t>
        </is>
      </c>
      <c r="V2767">
        <f>IF(AND(OR(Dashboard!$C$6="All",E2767=Dashboard!$C$6),OR(Dashboard!$F$6="All",G2767=Dashboard!$F$6),OR(Dashboard!$I$6="All",H2767=Dashboard!$I$6)),1,0)</f>
        <v/>
      </c>
    </row>
    <row r="2768">
      <c r="A2768" t="inlineStr">
        <is>
          <t>PF102759</t>
        </is>
      </c>
      <c r="B2768" s="68" t="n">
        <v>45992</v>
      </c>
      <c r="C2768" s="69" t="n">
        <v>2025</v>
      </c>
      <c r="D2768" t="inlineStr">
        <is>
          <t>Dec</t>
        </is>
      </c>
      <c r="E2768" t="inlineStr">
        <is>
          <t>United States</t>
        </is>
      </c>
      <c r="F2768" t="inlineStr">
        <is>
          <t>USA</t>
        </is>
      </c>
      <c r="G2768" t="inlineStr">
        <is>
          <t>Paxlovid</t>
        </is>
      </c>
      <c r="H2768" t="inlineStr">
        <is>
          <t>Hospital</t>
        </is>
      </c>
      <c r="I2768" t="inlineStr">
        <is>
          <t>Public payer</t>
        </is>
      </c>
      <c r="J2768" t="inlineStr">
        <is>
          <t>Hiroshi Tanaka</t>
        </is>
      </c>
      <c r="K2768" s="70" t="n">
        <v>2217</v>
      </c>
      <c r="L2768" s="71" t="n">
        <v>1843.07</v>
      </c>
      <c r="M2768" s="71" t="n">
        <v>4086086.19</v>
      </c>
      <c r="N2768" s="71" t="n">
        <v>612912.9300000001</v>
      </c>
      <c r="O2768" s="71" t="n">
        <v>3473173.26</v>
      </c>
      <c r="P2768" s="71" t="n">
        <v>586753.21</v>
      </c>
      <c r="Q2768" s="71" t="n">
        <v>2886420.05</v>
      </c>
      <c r="R2768" t="inlineStr">
        <is>
          <t>Antiviral</t>
        </is>
      </c>
      <c r="S2768" s="70" t="n">
        <v>1485</v>
      </c>
      <c r="T2768" s="71" t="n">
        <v>620845.03</v>
      </c>
      <c r="U2768" t="inlineStr">
        <is>
          <t>Low</t>
        </is>
      </c>
      <c r="V2768">
        <f>IF(AND(OR(Dashboard!$C$6="All",E2768=Dashboard!$C$6),OR(Dashboard!$F$6="All",G2768=Dashboard!$F$6),OR(Dashboard!$I$6="All",H2768=Dashboard!$I$6)),1,0)</f>
        <v/>
      </c>
    </row>
    <row r="2769">
      <c r="A2769" t="inlineStr">
        <is>
          <t>PF102760</t>
        </is>
      </c>
      <c r="B2769" s="68" t="n">
        <v>45992</v>
      </c>
      <c r="C2769" s="69" t="n">
        <v>2025</v>
      </c>
      <c r="D2769" t="inlineStr">
        <is>
          <t>Dec</t>
        </is>
      </c>
      <c r="E2769" t="inlineStr">
        <is>
          <t>International developed</t>
        </is>
      </c>
      <c r="F2769" t="inlineStr">
        <is>
          <t>Australia</t>
        </is>
      </c>
      <c r="G2769" t="inlineStr">
        <is>
          <t>Abrysvo</t>
        </is>
      </c>
      <c r="H2769" t="inlineStr">
        <is>
          <t>Government / tender</t>
        </is>
      </c>
      <c r="I2769" t="inlineStr">
        <is>
          <t>Private insurer</t>
        </is>
      </c>
      <c r="J2769" t="inlineStr">
        <is>
          <t>Wei Chen</t>
        </is>
      </c>
      <c r="K2769" s="70" t="n">
        <v>1756</v>
      </c>
      <c r="L2769" s="71" t="n">
        <v>294.75</v>
      </c>
      <c r="M2769" s="71" t="n">
        <v>517581</v>
      </c>
      <c r="N2769" s="71" t="n">
        <v>77637.14999999999</v>
      </c>
      <c r="O2769" s="71" t="n">
        <v>439943.85</v>
      </c>
      <c r="P2769" s="71" t="n">
        <v>147690.59</v>
      </c>
      <c r="Q2769" s="71" t="n">
        <v>292253.26</v>
      </c>
      <c r="R2769" t="inlineStr">
        <is>
          <t>Vaccines</t>
        </is>
      </c>
      <c r="S2769" s="70" t="n">
        <v>1662</v>
      </c>
      <c r="T2769" s="71" t="n">
        <v>72027.45</v>
      </c>
      <c r="U2769" t="inlineStr">
        <is>
          <t>Low</t>
        </is>
      </c>
      <c r="V2769">
        <f>IF(AND(OR(Dashboard!$C$6="All",E2769=Dashboard!$C$6),OR(Dashboard!$F$6="All",G2769=Dashboard!$F$6),OR(Dashboard!$I$6="All",H2769=Dashboard!$I$6)),1,0)</f>
        <v/>
      </c>
    </row>
    <row r="2770">
      <c r="A2770" t="inlineStr">
        <is>
          <t>PF102761</t>
        </is>
      </c>
      <c r="B2770" s="68" t="n">
        <v>45992</v>
      </c>
      <c r="C2770" s="69" t="n">
        <v>2025</v>
      </c>
      <c r="D2770" t="inlineStr">
        <is>
          <t>Dec</t>
        </is>
      </c>
      <c r="E2770" t="inlineStr">
        <is>
          <t>United States</t>
        </is>
      </c>
      <c r="F2770" t="inlineStr">
        <is>
          <t>USA</t>
        </is>
      </c>
      <c r="G2770" t="inlineStr">
        <is>
          <t>Ibrance</t>
        </is>
      </c>
      <c r="H2770" t="inlineStr">
        <is>
          <t>Retail pharmacy</t>
        </is>
      </c>
      <c r="I2770" t="inlineStr">
        <is>
          <t>Public payer</t>
        </is>
      </c>
      <c r="J2770" t="inlineStr">
        <is>
          <t>Emma Clarke</t>
        </is>
      </c>
      <c r="K2770" s="70" t="n">
        <v>3016</v>
      </c>
      <c r="L2770" s="71" t="n">
        <v>4562.45</v>
      </c>
      <c r="M2770" s="71" t="n">
        <v>13760349.2</v>
      </c>
      <c r="N2770" s="71" t="n">
        <v>3440087.3</v>
      </c>
      <c r="O2770" s="71" t="n">
        <v>10320261.9</v>
      </c>
      <c r="P2770" s="71" t="n">
        <v>1275469.76</v>
      </c>
      <c r="Q2770" s="71" t="n">
        <v>9044792.140000001</v>
      </c>
      <c r="R2770" t="inlineStr">
        <is>
          <t>Oncology</t>
        </is>
      </c>
      <c r="S2770" s="70" t="n">
        <v>2497</v>
      </c>
      <c r="T2770" s="71" t="n">
        <v>3003395.57</v>
      </c>
      <c r="U2770" t="inlineStr">
        <is>
          <t>High</t>
        </is>
      </c>
      <c r="V2770">
        <f>IF(AND(OR(Dashboard!$C$6="All",E2770=Dashboard!$C$6),OR(Dashboard!$F$6="All",G2770=Dashboard!$F$6),OR(Dashboard!$I$6="All",H2770=Dashboard!$I$6)),1,0)</f>
        <v/>
      </c>
    </row>
    <row r="2771">
      <c r="A2771" t="inlineStr">
        <is>
          <t>PF102762</t>
        </is>
      </c>
      <c r="B2771" s="68" t="n">
        <v>45992</v>
      </c>
      <c r="C2771" s="69" t="n">
        <v>2025</v>
      </c>
      <c r="D2771" t="inlineStr">
        <is>
          <t>Dec</t>
        </is>
      </c>
      <c r="E2771" t="inlineStr">
        <is>
          <t>Emerging markets</t>
        </is>
      </c>
      <c r="F2771" t="inlineStr">
        <is>
          <t>China</t>
        </is>
      </c>
      <c r="G2771" t="inlineStr">
        <is>
          <t>Comirnaty</t>
        </is>
      </c>
      <c r="H2771" t="inlineStr">
        <is>
          <t>Retail pharmacy</t>
        </is>
      </c>
      <c r="I2771" t="inlineStr">
        <is>
          <t>Private insurer</t>
        </is>
      </c>
      <c r="J2771" t="inlineStr">
        <is>
          <t>Kofi Mensah</t>
        </is>
      </c>
      <c r="K2771" s="70" t="n">
        <v>696</v>
      </c>
      <c r="L2771" s="71" t="n">
        <v>120.55</v>
      </c>
      <c r="M2771" s="71" t="n">
        <v>83902.8</v>
      </c>
      <c r="N2771" s="71" t="n">
        <v>4195.14</v>
      </c>
      <c r="O2771" s="71" t="n">
        <v>79707.66</v>
      </c>
      <c r="P2771" s="71" t="n">
        <v>27398.84</v>
      </c>
      <c r="Q2771" s="71" t="n">
        <v>52308.82</v>
      </c>
      <c r="R2771" t="inlineStr">
        <is>
          <t>Vaccines</t>
        </is>
      </c>
      <c r="S2771" s="70" t="n">
        <v>491</v>
      </c>
      <c r="T2771" s="71" t="n">
        <v>11292.86</v>
      </c>
      <c r="U2771" t="inlineStr">
        <is>
          <t>Low</t>
        </is>
      </c>
      <c r="V2771">
        <f>IF(AND(OR(Dashboard!$C$6="All",E2771=Dashboard!$C$6),OR(Dashboard!$F$6="All",G2771=Dashboard!$F$6),OR(Dashboard!$I$6="All",H2771=Dashboard!$I$6)),1,0)</f>
        <v/>
      </c>
    </row>
    <row r="2772">
      <c r="A2772" t="inlineStr">
        <is>
          <t>PF102763</t>
        </is>
      </c>
      <c r="B2772" s="68" t="n">
        <v>45992</v>
      </c>
      <c r="C2772" s="69" t="n">
        <v>2025</v>
      </c>
      <c r="D2772" t="inlineStr">
        <is>
          <t>Dec</t>
        </is>
      </c>
      <c r="E2772" t="inlineStr">
        <is>
          <t>Emerging markets</t>
        </is>
      </c>
      <c r="F2772" t="inlineStr">
        <is>
          <t>Mexico</t>
        </is>
      </c>
      <c r="G2772" t="inlineStr">
        <is>
          <t>Comirnaty</t>
        </is>
      </c>
      <c r="H2772" t="inlineStr">
        <is>
          <t>Government / tender</t>
        </is>
      </c>
      <c r="I2772" t="inlineStr">
        <is>
          <t>Private insurer</t>
        </is>
      </c>
      <c r="J2772" t="inlineStr">
        <is>
          <t>Ruhi Shaikh</t>
        </is>
      </c>
      <c r="K2772" s="70" t="n">
        <v>2100</v>
      </c>
      <c r="L2772" s="71" t="n">
        <v>111.64</v>
      </c>
      <c r="M2772" s="71" t="n">
        <v>234444</v>
      </c>
      <c r="N2772" s="71" t="n">
        <v>46888.8</v>
      </c>
      <c r="O2772" s="71" t="n">
        <v>187555.2</v>
      </c>
      <c r="P2772" s="71" t="n">
        <v>79279.97</v>
      </c>
      <c r="Q2772" s="71" t="n">
        <v>108275.23</v>
      </c>
      <c r="R2772" t="inlineStr">
        <is>
          <t>Vaccines</t>
        </is>
      </c>
      <c r="S2772" s="70" t="n">
        <v>1365</v>
      </c>
      <c r="T2772" s="71" t="n">
        <v>43451.23</v>
      </c>
      <c r="U2772" t="inlineStr">
        <is>
          <t>Low</t>
        </is>
      </c>
      <c r="V2772">
        <f>IF(AND(OR(Dashboard!$C$6="All",E2772=Dashboard!$C$6),OR(Dashboard!$F$6="All",G2772=Dashboard!$F$6),OR(Dashboard!$I$6="All",H2772=Dashboard!$I$6)),1,0)</f>
        <v/>
      </c>
    </row>
    <row r="2773">
      <c r="A2773" t="inlineStr">
        <is>
          <t>PF102764</t>
        </is>
      </c>
      <c r="B2773" s="68" t="n">
        <v>45992</v>
      </c>
      <c r="C2773" s="69" t="n">
        <v>2025</v>
      </c>
      <c r="D2773" t="inlineStr">
        <is>
          <t>Dec</t>
        </is>
      </c>
      <c r="E2773" t="inlineStr">
        <is>
          <t>United States</t>
        </is>
      </c>
      <c r="F2773" t="inlineStr">
        <is>
          <t>USA</t>
        </is>
      </c>
      <c r="G2773" t="inlineStr">
        <is>
          <t>Eliquis</t>
        </is>
      </c>
      <c r="H2773" t="inlineStr">
        <is>
          <t>Hospital</t>
        </is>
      </c>
      <c r="I2773" t="inlineStr">
        <is>
          <t>Public payer</t>
        </is>
      </c>
      <c r="J2773" t="inlineStr">
        <is>
          <t>Amir Khan</t>
        </is>
      </c>
      <c r="K2773" s="70" t="n">
        <v>1129</v>
      </c>
      <c r="L2773" s="71" t="n">
        <v>657.9400000000001</v>
      </c>
      <c r="M2773" s="71" t="n">
        <v>742814.26</v>
      </c>
      <c r="N2773" s="71" t="n">
        <v>111422.14</v>
      </c>
      <c r="O2773" s="71" t="n">
        <v>631392.12</v>
      </c>
      <c r="P2773" s="71" t="n">
        <v>88251.61</v>
      </c>
      <c r="Q2773" s="71" t="n">
        <v>543140.51</v>
      </c>
      <c r="R2773" t="inlineStr">
        <is>
          <t>Cardiology</t>
        </is>
      </c>
      <c r="S2773" s="70" t="n">
        <v>871</v>
      </c>
      <c r="T2773" s="71" t="n">
        <v>153350.81</v>
      </c>
      <c r="U2773" t="inlineStr">
        <is>
          <t>High</t>
        </is>
      </c>
      <c r="V2773">
        <f>IF(AND(OR(Dashboard!$C$6="All",E2773=Dashboard!$C$6),OR(Dashboard!$F$6="All",G2773=Dashboard!$F$6),OR(Dashboard!$I$6="All",H2773=Dashboard!$I$6)),1,0)</f>
        <v/>
      </c>
    </row>
    <row r="2774">
      <c r="A2774" t="inlineStr">
        <is>
          <t>PF102765</t>
        </is>
      </c>
      <c r="B2774" s="68" t="n">
        <v>45993</v>
      </c>
      <c r="C2774" s="69" t="n">
        <v>2025</v>
      </c>
      <c r="D2774" t="inlineStr">
        <is>
          <t>Dec</t>
        </is>
      </c>
      <c r="E2774" t="inlineStr">
        <is>
          <t>Europe</t>
        </is>
      </c>
      <c r="F2774" t="inlineStr">
        <is>
          <t>UK</t>
        </is>
      </c>
      <c r="G2774" t="inlineStr">
        <is>
          <t>Vyndaqel</t>
        </is>
      </c>
      <c r="H2774" t="inlineStr">
        <is>
          <t>Hospital</t>
        </is>
      </c>
      <c r="I2774" t="inlineStr">
        <is>
          <t>Public payer</t>
        </is>
      </c>
      <c r="J2774" t="inlineStr">
        <is>
          <t>Priya Nair</t>
        </is>
      </c>
      <c r="K2774" s="70" t="n">
        <v>2849</v>
      </c>
      <c r="L2774" s="71" t="n">
        <v>5456.98</v>
      </c>
      <c r="M2774" s="71" t="n">
        <v>15546936.02</v>
      </c>
      <c r="N2774" s="71" t="n">
        <v>1554693.6</v>
      </c>
      <c r="O2774" s="71" t="n">
        <v>13992242.42</v>
      </c>
      <c r="P2774" s="71" t="n">
        <v>1818127.43</v>
      </c>
      <c r="Q2774" s="71" t="n">
        <v>12174114.99</v>
      </c>
      <c r="R2774" t="inlineStr">
        <is>
          <t>Rare disease</t>
        </is>
      </c>
      <c r="S2774" s="70" t="n">
        <v>2535</v>
      </c>
      <c r="T2774" s="71" t="n">
        <v>2530947</v>
      </c>
      <c r="U2774" t="inlineStr">
        <is>
          <t>Medium</t>
        </is>
      </c>
      <c r="V2774">
        <f>IF(AND(OR(Dashboard!$C$6="All",E2774=Dashboard!$C$6),OR(Dashboard!$F$6="All",G2774=Dashboard!$F$6),OR(Dashboard!$I$6="All",H2774=Dashboard!$I$6)),1,0)</f>
        <v/>
      </c>
    </row>
    <row r="2775">
      <c r="A2775" t="inlineStr">
        <is>
          <t>PF102766</t>
        </is>
      </c>
      <c r="B2775" s="68" t="n">
        <v>45993</v>
      </c>
      <c r="C2775" s="69" t="n">
        <v>2025</v>
      </c>
      <c r="D2775" t="inlineStr">
        <is>
          <t>Dec</t>
        </is>
      </c>
      <c r="E2775" t="inlineStr">
        <is>
          <t>Emerging markets</t>
        </is>
      </c>
      <c r="F2775" t="inlineStr">
        <is>
          <t>Mexico</t>
        </is>
      </c>
      <c r="G2775" t="inlineStr">
        <is>
          <t>Prevnar 20</t>
        </is>
      </c>
      <c r="H2775" t="inlineStr">
        <is>
          <t>Hospital</t>
        </is>
      </c>
      <c r="I2775" t="inlineStr">
        <is>
          <t>Public payer</t>
        </is>
      </c>
      <c r="J2775" t="inlineStr">
        <is>
          <t>Ana Costa</t>
        </is>
      </c>
      <c r="K2775" s="70" t="n">
        <v>1684</v>
      </c>
      <c r="L2775" s="71" t="n">
        <v>215.46</v>
      </c>
      <c r="M2775" s="71" t="n">
        <v>362834.64</v>
      </c>
      <c r="N2775" s="71" t="n">
        <v>36283.46</v>
      </c>
      <c r="O2775" s="71" t="n">
        <v>326551.18</v>
      </c>
      <c r="P2775" s="71" t="n">
        <v>114083.6</v>
      </c>
      <c r="Q2775" s="71" t="n">
        <v>212467.58</v>
      </c>
      <c r="R2775" t="inlineStr">
        <is>
          <t>Vaccines</t>
        </is>
      </c>
      <c r="S2775" s="70" t="n">
        <v>1618</v>
      </c>
      <c r="T2775" s="71" t="n">
        <v>63986.67</v>
      </c>
      <c r="U2775" t="inlineStr">
        <is>
          <t>Low</t>
        </is>
      </c>
      <c r="V2775">
        <f>IF(AND(OR(Dashboard!$C$6="All",E2775=Dashboard!$C$6),OR(Dashboard!$F$6="All",G2775=Dashboard!$F$6),OR(Dashboard!$I$6="All",H2775=Dashboard!$I$6)),1,0)</f>
        <v/>
      </c>
    </row>
    <row r="2776">
      <c r="A2776" t="inlineStr">
        <is>
          <t>PF102767</t>
        </is>
      </c>
      <c r="B2776" s="68" t="n">
        <v>45993</v>
      </c>
      <c r="C2776" s="69" t="n">
        <v>2025</v>
      </c>
      <c r="D2776" t="inlineStr">
        <is>
          <t>Dec</t>
        </is>
      </c>
      <c r="E2776" t="inlineStr">
        <is>
          <t>United States</t>
        </is>
      </c>
      <c r="F2776" t="inlineStr">
        <is>
          <t>USA</t>
        </is>
      </c>
      <c r="G2776" t="inlineStr">
        <is>
          <t>Eliquis</t>
        </is>
      </c>
      <c r="H2776" t="inlineStr">
        <is>
          <t>Hospital</t>
        </is>
      </c>
      <c r="I2776" t="inlineStr">
        <is>
          <t>Public payer</t>
        </is>
      </c>
      <c r="J2776" t="inlineStr">
        <is>
          <t>Liam O'Brien</t>
        </is>
      </c>
      <c r="K2776" s="70" t="n">
        <v>394</v>
      </c>
      <c r="L2776" s="71" t="n">
        <v>669.9</v>
      </c>
      <c r="M2776" s="71" t="n">
        <v>263940.6</v>
      </c>
      <c r="N2776" s="71" t="n">
        <v>52788.12</v>
      </c>
      <c r="O2776" s="71" t="n">
        <v>211152.48</v>
      </c>
      <c r="P2776" s="71" t="n">
        <v>29086.3</v>
      </c>
      <c r="Q2776" s="71" t="n">
        <v>182066.18</v>
      </c>
      <c r="R2776" t="inlineStr">
        <is>
          <t>Cardiology</t>
        </is>
      </c>
      <c r="S2776" s="70" t="n">
        <v>249</v>
      </c>
      <c r="T2776" s="71" t="n">
        <v>40975.36</v>
      </c>
      <c r="U2776" t="inlineStr">
        <is>
          <t>High</t>
        </is>
      </c>
      <c r="V2776">
        <f>IF(AND(OR(Dashboard!$C$6="All",E2776=Dashboard!$C$6),OR(Dashboard!$F$6="All",G2776=Dashboard!$F$6),OR(Dashboard!$I$6="All",H2776=Dashboard!$I$6)),1,0)</f>
        <v/>
      </c>
    </row>
    <row r="2777">
      <c r="A2777" t="inlineStr">
        <is>
          <t>PF102768</t>
        </is>
      </c>
      <c r="B2777" s="68" t="n">
        <v>45993</v>
      </c>
      <c r="C2777" s="69" t="n">
        <v>2025</v>
      </c>
      <c r="D2777" t="inlineStr">
        <is>
          <t>Dec</t>
        </is>
      </c>
      <c r="E2777" t="inlineStr">
        <is>
          <t>United States</t>
        </is>
      </c>
      <c r="F2777" t="inlineStr">
        <is>
          <t>USA</t>
        </is>
      </c>
      <c r="G2777" t="inlineStr">
        <is>
          <t>Eliquis</t>
        </is>
      </c>
      <c r="H2777" t="inlineStr">
        <is>
          <t>Hospital</t>
        </is>
      </c>
      <c r="I2777" t="inlineStr">
        <is>
          <t>Private insurer</t>
        </is>
      </c>
      <c r="J2777" t="inlineStr">
        <is>
          <t>Ravindra Patil</t>
        </is>
      </c>
      <c r="K2777" s="70" t="n">
        <v>3472</v>
      </c>
      <c r="L2777" s="71" t="n">
        <v>659.28</v>
      </c>
      <c r="M2777" s="71" t="n">
        <v>2289020.16</v>
      </c>
      <c r="N2777" s="71" t="n">
        <v>686706.05</v>
      </c>
      <c r="O2777" s="71" t="n">
        <v>1602314.11</v>
      </c>
      <c r="P2777" s="71" t="n">
        <v>257946.69</v>
      </c>
      <c r="Q2777" s="71" t="n">
        <v>1344367.42</v>
      </c>
      <c r="R2777" t="inlineStr">
        <is>
          <t>Cardiology</t>
        </is>
      </c>
      <c r="S2777" s="70" t="n">
        <v>2406</v>
      </c>
      <c r="T2777" s="71" t="n">
        <v>375268.89</v>
      </c>
      <c r="U2777" t="inlineStr">
        <is>
          <t>High</t>
        </is>
      </c>
      <c r="V2777">
        <f>IF(AND(OR(Dashboard!$C$6="All",E2777=Dashboard!$C$6),OR(Dashboard!$F$6="All",G2777=Dashboard!$F$6),OR(Dashboard!$I$6="All",H2777=Dashboard!$I$6)),1,0)</f>
        <v/>
      </c>
    </row>
    <row r="2778">
      <c r="A2778" t="inlineStr">
        <is>
          <t>PF102769</t>
        </is>
      </c>
      <c r="B2778" s="68" t="n">
        <v>45993</v>
      </c>
      <c r="C2778" s="69" t="n">
        <v>2025</v>
      </c>
      <c r="D2778" t="inlineStr">
        <is>
          <t>Dec</t>
        </is>
      </c>
      <c r="E2778" t="inlineStr">
        <is>
          <t>United States</t>
        </is>
      </c>
      <c r="F2778" t="inlineStr">
        <is>
          <t>USA</t>
        </is>
      </c>
      <c r="G2778" t="inlineStr">
        <is>
          <t>Eliquis</t>
        </is>
      </c>
      <c r="H2778" t="inlineStr">
        <is>
          <t>Hospital</t>
        </is>
      </c>
      <c r="I2778" t="inlineStr">
        <is>
          <t>Public payer</t>
        </is>
      </c>
      <c r="J2778" t="inlineStr">
        <is>
          <t>Noah Smith</t>
        </is>
      </c>
      <c r="K2778" s="70" t="n">
        <v>458</v>
      </c>
      <c r="L2778" s="71" t="n">
        <v>629.42</v>
      </c>
      <c r="M2778" s="71" t="n">
        <v>288274.36</v>
      </c>
      <c r="N2778" s="71" t="n">
        <v>72068.59</v>
      </c>
      <c r="O2778" s="71" t="n">
        <v>216205.77</v>
      </c>
      <c r="P2778" s="71" t="n">
        <v>33969.61</v>
      </c>
      <c r="Q2778" s="71" t="n">
        <v>182236.16</v>
      </c>
      <c r="R2778" t="inlineStr">
        <is>
          <t>Cardiology</t>
        </is>
      </c>
      <c r="S2778" s="70" t="n">
        <v>336</v>
      </c>
      <c r="T2778" s="71" t="n">
        <v>35862.98</v>
      </c>
      <c r="U2778" t="inlineStr">
        <is>
          <t>High</t>
        </is>
      </c>
      <c r="V2778">
        <f>IF(AND(OR(Dashboard!$C$6="All",E2778=Dashboard!$C$6),OR(Dashboard!$F$6="All",G2778=Dashboard!$F$6),OR(Dashboard!$I$6="All",H2778=Dashboard!$I$6)),1,0)</f>
        <v/>
      </c>
    </row>
    <row r="2779">
      <c r="A2779" t="inlineStr">
        <is>
          <t>PF102770</t>
        </is>
      </c>
      <c r="B2779" s="68" t="n">
        <v>45993</v>
      </c>
      <c r="C2779" s="69" t="n">
        <v>2025</v>
      </c>
      <c r="D2779" t="inlineStr">
        <is>
          <t>Dec</t>
        </is>
      </c>
      <c r="E2779" t="inlineStr">
        <is>
          <t>United States</t>
        </is>
      </c>
      <c r="F2779" t="inlineStr">
        <is>
          <t>USA</t>
        </is>
      </c>
      <c r="G2779" t="inlineStr">
        <is>
          <t>Prevnar 20</t>
        </is>
      </c>
      <c r="H2779" t="inlineStr">
        <is>
          <t>Hospital</t>
        </is>
      </c>
      <c r="I2779" t="inlineStr">
        <is>
          <t>Private insurer</t>
        </is>
      </c>
      <c r="J2779" t="inlineStr">
        <is>
          <t>Aisha Bello</t>
        </is>
      </c>
      <c r="K2779" s="70" t="n">
        <v>2279</v>
      </c>
      <c r="L2779" s="71" t="n">
        <v>366.64</v>
      </c>
      <c r="M2779" s="71" t="n">
        <v>835572.5600000001</v>
      </c>
      <c r="N2779" s="71" t="n">
        <v>292450.4</v>
      </c>
      <c r="O2779" s="71" t="n">
        <v>543122.16</v>
      </c>
      <c r="P2779" s="71" t="n">
        <v>154476.27</v>
      </c>
      <c r="Q2779" s="71" t="n">
        <v>388645.89</v>
      </c>
      <c r="R2779" t="inlineStr">
        <is>
          <t>Vaccines</t>
        </is>
      </c>
      <c r="S2779" s="70" t="n">
        <v>1446</v>
      </c>
      <c r="T2779" s="71" t="n">
        <v>119968.19</v>
      </c>
      <c r="U2779" t="inlineStr">
        <is>
          <t>Low</t>
        </is>
      </c>
      <c r="V2779">
        <f>IF(AND(OR(Dashboard!$C$6="All",E2779=Dashboard!$C$6),OR(Dashboard!$F$6="All",G2779=Dashboard!$F$6),OR(Dashboard!$I$6="All",H2779=Dashboard!$I$6)),1,0)</f>
        <v/>
      </c>
    </row>
    <row r="2780">
      <c r="A2780" t="inlineStr">
        <is>
          <t>PF102771</t>
        </is>
      </c>
      <c r="B2780" s="68" t="n">
        <v>45993</v>
      </c>
      <c r="C2780" s="69" t="n">
        <v>2025</v>
      </c>
      <c r="D2780" t="inlineStr">
        <is>
          <t>Dec</t>
        </is>
      </c>
      <c r="E2780" t="inlineStr">
        <is>
          <t>United States</t>
        </is>
      </c>
      <c r="F2780" t="inlineStr">
        <is>
          <t>USA</t>
        </is>
      </c>
      <c r="G2780" t="inlineStr">
        <is>
          <t>Comirnaty</t>
        </is>
      </c>
      <c r="H2780" t="inlineStr">
        <is>
          <t>Retail pharmacy</t>
        </is>
      </c>
      <c r="I2780" t="inlineStr">
        <is>
          <t>Self-pay</t>
        </is>
      </c>
      <c r="J2780" t="inlineStr">
        <is>
          <t>Arjun Mehta</t>
        </is>
      </c>
      <c r="K2780" s="70" t="n">
        <v>1985</v>
      </c>
      <c r="L2780" s="71" t="n">
        <v>169.76</v>
      </c>
      <c r="M2780" s="71" t="n">
        <v>336973.6</v>
      </c>
      <c r="N2780" s="71" t="n">
        <v>84243.39999999999</v>
      </c>
      <c r="O2780" s="71" t="n">
        <v>252730.2</v>
      </c>
      <c r="P2780" s="71" t="n">
        <v>79002.75999999999</v>
      </c>
      <c r="Q2780" s="71" t="n">
        <v>173727.44</v>
      </c>
      <c r="R2780" t="inlineStr">
        <is>
          <t>Vaccines</t>
        </is>
      </c>
      <c r="S2780" s="70" t="n">
        <v>1802</v>
      </c>
      <c r="T2780" s="71" t="n">
        <v>41485.63</v>
      </c>
      <c r="U2780" t="inlineStr">
        <is>
          <t>Low</t>
        </is>
      </c>
      <c r="V2780">
        <f>IF(AND(OR(Dashboard!$C$6="All",E2780=Dashboard!$C$6),OR(Dashboard!$F$6="All",G2780=Dashboard!$F$6),OR(Dashboard!$I$6="All",H2780=Dashboard!$I$6)),1,0)</f>
        <v/>
      </c>
    </row>
    <row r="2781">
      <c r="A2781" t="inlineStr">
        <is>
          <t>PF102772</t>
        </is>
      </c>
      <c r="B2781" s="68" t="n">
        <v>45993</v>
      </c>
      <c r="C2781" s="69" t="n">
        <v>2025</v>
      </c>
      <c r="D2781" t="inlineStr">
        <is>
          <t>Dec</t>
        </is>
      </c>
      <c r="E2781" t="inlineStr">
        <is>
          <t>Europe</t>
        </is>
      </c>
      <c r="F2781" t="inlineStr">
        <is>
          <t>UK</t>
        </is>
      </c>
      <c r="G2781" t="inlineStr">
        <is>
          <t>Vyndaqel</t>
        </is>
      </c>
      <c r="H2781" t="inlineStr">
        <is>
          <t>Retail pharmacy</t>
        </is>
      </c>
      <c r="I2781" t="inlineStr">
        <is>
          <t>Private insurer</t>
        </is>
      </c>
      <c r="J2781" t="inlineStr">
        <is>
          <t>Lucas Martin</t>
        </is>
      </c>
      <c r="K2781" s="70" t="n">
        <v>454</v>
      </c>
      <c r="L2781" s="71" t="n">
        <v>4951.45</v>
      </c>
      <c r="M2781" s="71" t="n">
        <v>2247958.3</v>
      </c>
      <c r="N2781" s="71" t="n">
        <v>337193.74</v>
      </c>
      <c r="O2781" s="71" t="n">
        <v>1910764.56</v>
      </c>
      <c r="P2781" s="71" t="n">
        <v>293183.6</v>
      </c>
      <c r="Q2781" s="71" t="n">
        <v>1617580.96</v>
      </c>
      <c r="R2781" t="inlineStr">
        <is>
          <t>Rare disease</t>
        </is>
      </c>
      <c r="S2781" s="70" t="n">
        <v>321</v>
      </c>
      <c r="T2781" s="71" t="n">
        <v>492039.22</v>
      </c>
      <c r="U2781" t="inlineStr">
        <is>
          <t>Medium</t>
        </is>
      </c>
      <c r="V2781">
        <f>IF(AND(OR(Dashboard!$C$6="All",E2781=Dashboard!$C$6),OR(Dashboard!$F$6="All",G2781=Dashboard!$F$6),OR(Dashboard!$I$6="All",H2781=Dashboard!$I$6)),1,0)</f>
        <v/>
      </c>
    </row>
    <row r="2782">
      <c r="A2782" t="inlineStr">
        <is>
          <t>PF102773</t>
        </is>
      </c>
      <c r="B2782" s="68" t="n">
        <v>45993</v>
      </c>
      <c r="C2782" s="69" t="n">
        <v>2025</v>
      </c>
      <c r="D2782" t="inlineStr">
        <is>
          <t>Dec</t>
        </is>
      </c>
      <c r="E2782" t="inlineStr">
        <is>
          <t>United States</t>
        </is>
      </c>
      <c r="F2782" t="inlineStr">
        <is>
          <t>USA</t>
        </is>
      </c>
      <c r="G2782" t="inlineStr">
        <is>
          <t>Abrysvo</t>
        </is>
      </c>
      <c r="H2782" t="inlineStr">
        <is>
          <t>Retail pharmacy</t>
        </is>
      </c>
      <c r="I2782" t="inlineStr">
        <is>
          <t>Self-pay</t>
        </is>
      </c>
      <c r="J2782" t="inlineStr">
        <is>
          <t>Fatima Al-Saud</t>
        </is>
      </c>
      <c r="K2782" s="70" t="n">
        <v>776</v>
      </c>
      <c r="L2782" s="71" t="n">
        <v>450.98</v>
      </c>
      <c r="M2782" s="71" t="n">
        <v>349960.48</v>
      </c>
      <c r="N2782" s="71" t="n">
        <v>122486.17</v>
      </c>
      <c r="O2782" s="71" t="n">
        <v>227474.31</v>
      </c>
      <c r="P2782" s="71" t="n">
        <v>65122.92</v>
      </c>
      <c r="Q2782" s="71" t="n">
        <v>162351.39</v>
      </c>
      <c r="R2782" t="inlineStr">
        <is>
          <t>Vaccines</t>
        </is>
      </c>
      <c r="S2782" s="70" t="n">
        <v>519</v>
      </c>
      <c r="T2782" s="71" t="n">
        <v>69829.23</v>
      </c>
      <c r="U2782" t="inlineStr">
        <is>
          <t>Low</t>
        </is>
      </c>
      <c r="V2782">
        <f>IF(AND(OR(Dashboard!$C$6="All",E2782=Dashboard!$C$6),OR(Dashboard!$F$6="All",G2782=Dashboard!$F$6),OR(Dashboard!$I$6="All",H2782=Dashboard!$I$6)),1,0)</f>
        <v/>
      </c>
    </row>
    <row r="2783">
      <c r="A2783" t="inlineStr">
        <is>
          <t>PF102774</t>
        </is>
      </c>
      <c r="B2783" s="68" t="n">
        <v>45994</v>
      </c>
      <c r="C2783" s="69" t="n">
        <v>2025</v>
      </c>
      <c r="D2783" t="inlineStr">
        <is>
          <t>Dec</t>
        </is>
      </c>
      <c r="E2783" t="inlineStr">
        <is>
          <t>Europe</t>
        </is>
      </c>
      <c r="F2783" t="inlineStr">
        <is>
          <t>UK</t>
        </is>
      </c>
      <c r="G2783" t="inlineStr">
        <is>
          <t>Abrysvo</t>
        </is>
      </c>
      <c r="H2783" t="inlineStr">
        <is>
          <t>Retail pharmacy</t>
        </is>
      </c>
      <c r="I2783" t="inlineStr">
        <is>
          <t>Private insurer</t>
        </is>
      </c>
      <c r="J2783" t="inlineStr">
        <is>
          <t>Zoya Ahmed</t>
        </is>
      </c>
      <c r="K2783" s="70" t="n">
        <v>769</v>
      </c>
      <c r="L2783" s="71" t="n">
        <v>285.53</v>
      </c>
      <c r="M2783" s="71" t="n">
        <v>219572.57</v>
      </c>
      <c r="N2783" s="71" t="n">
        <v>10978.63</v>
      </c>
      <c r="O2783" s="71" t="n">
        <v>208593.94</v>
      </c>
      <c r="P2783" s="71" t="n">
        <v>64911.21</v>
      </c>
      <c r="Q2783" s="71" t="n">
        <v>143682.73</v>
      </c>
      <c r="R2783" t="inlineStr">
        <is>
          <t>Vaccines</t>
        </is>
      </c>
      <c r="S2783" s="70" t="n">
        <v>679</v>
      </c>
      <c r="T2783" s="71" t="n">
        <v>41422.3</v>
      </c>
      <c r="U2783" t="inlineStr">
        <is>
          <t>Low</t>
        </is>
      </c>
      <c r="V2783">
        <f>IF(AND(OR(Dashboard!$C$6="All",E2783=Dashboard!$C$6),OR(Dashboard!$F$6="All",G2783=Dashboard!$F$6),OR(Dashboard!$I$6="All",H2783=Dashboard!$I$6)),1,0)</f>
        <v/>
      </c>
    </row>
    <row r="2784">
      <c r="A2784" t="inlineStr">
        <is>
          <t>PF102775</t>
        </is>
      </c>
      <c r="B2784" s="68" t="n">
        <v>45994</v>
      </c>
      <c r="C2784" s="69" t="n">
        <v>2025</v>
      </c>
      <c r="D2784" t="inlineStr">
        <is>
          <t>Dec</t>
        </is>
      </c>
      <c r="E2784" t="inlineStr">
        <is>
          <t>Europe</t>
        </is>
      </c>
      <c r="F2784" t="inlineStr">
        <is>
          <t>UK</t>
        </is>
      </c>
      <c r="G2784" t="inlineStr">
        <is>
          <t>Vyndaqel</t>
        </is>
      </c>
      <c r="H2784" t="inlineStr">
        <is>
          <t>Government / tender</t>
        </is>
      </c>
      <c r="I2784" t="inlineStr">
        <is>
          <t>Private insurer</t>
        </is>
      </c>
      <c r="J2784" t="inlineStr">
        <is>
          <t>Shraddha Kulkarni</t>
        </is>
      </c>
      <c r="K2784" s="70" t="n">
        <v>317</v>
      </c>
      <c r="L2784" s="71" t="n">
        <v>5253.98</v>
      </c>
      <c r="M2784" s="71" t="n">
        <v>1665511.66</v>
      </c>
      <c r="N2784" s="71" t="n">
        <v>249826.75</v>
      </c>
      <c r="O2784" s="71" t="n">
        <v>1415684.91</v>
      </c>
      <c r="P2784" s="71" t="n">
        <v>203740.23</v>
      </c>
      <c r="Q2784" s="71" t="n">
        <v>1211944.68</v>
      </c>
      <c r="R2784" t="inlineStr">
        <is>
          <t>Rare disease</t>
        </is>
      </c>
      <c r="S2784" s="70" t="n">
        <v>293</v>
      </c>
      <c r="T2784" s="71" t="n">
        <v>250116.65</v>
      </c>
      <c r="U2784" t="inlineStr">
        <is>
          <t>Medium</t>
        </is>
      </c>
      <c r="V2784">
        <f>IF(AND(OR(Dashboard!$C$6="All",E2784=Dashboard!$C$6),OR(Dashboard!$F$6="All",G2784=Dashboard!$F$6),OR(Dashboard!$I$6="All",H2784=Dashboard!$I$6)),1,0)</f>
        <v/>
      </c>
    </row>
    <row r="2785">
      <c r="A2785" t="inlineStr">
        <is>
          <t>PF102776</t>
        </is>
      </c>
      <c r="B2785" s="68" t="n">
        <v>45994</v>
      </c>
      <c r="C2785" s="69" t="n">
        <v>2025</v>
      </c>
      <c r="D2785" t="inlineStr">
        <is>
          <t>Dec</t>
        </is>
      </c>
      <c r="E2785" t="inlineStr">
        <is>
          <t>United States</t>
        </is>
      </c>
      <c r="F2785" t="inlineStr">
        <is>
          <t>USA</t>
        </is>
      </c>
      <c r="G2785" t="inlineStr">
        <is>
          <t>Comirnaty</t>
        </is>
      </c>
      <c r="H2785" t="inlineStr">
        <is>
          <t>Government / tender</t>
        </is>
      </c>
      <c r="I2785" t="inlineStr">
        <is>
          <t>Public payer</t>
        </is>
      </c>
      <c r="J2785" t="inlineStr">
        <is>
          <t>Hiroshi Tanaka</t>
        </is>
      </c>
      <c r="K2785" s="70" t="n">
        <v>902</v>
      </c>
      <c r="L2785" s="71" t="n">
        <v>164.27</v>
      </c>
      <c r="M2785" s="71" t="n">
        <v>148171.54</v>
      </c>
      <c r="N2785" s="71" t="n">
        <v>44451.46</v>
      </c>
      <c r="O2785" s="71" t="n">
        <v>103720.08</v>
      </c>
      <c r="P2785" s="71" t="n">
        <v>34907.03</v>
      </c>
      <c r="Q2785" s="71" t="n">
        <v>68813.05</v>
      </c>
      <c r="R2785" t="inlineStr">
        <is>
          <t>Vaccines</t>
        </is>
      </c>
      <c r="S2785" s="70" t="n">
        <v>707</v>
      </c>
      <c r="T2785" s="71" t="n">
        <v>27521.4</v>
      </c>
      <c r="U2785" t="inlineStr">
        <is>
          <t>Low</t>
        </is>
      </c>
      <c r="V2785">
        <f>IF(AND(OR(Dashboard!$C$6="All",E2785=Dashboard!$C$6),OR(Dashboard!$F$6="All",G2785=Dashboard!$F$6),OR(Dashboard!$I$6="All",H2785=Dashboard!$I$6)),1,0)</f>
        <v/>
      </c>
    </row>
    <row r="2786">
      <c r="A2786" t="inlineStr">
        <is>
          <t>PF102777</t>
        </is>
      </c>
      <c r="B2786" s="68" t="n">
        <v>45994</v>
      </c>
      <c r="C2786" s="69" t="n">
        <v>2025</v>
      </c>
      <c r="D2786" t="inlineStr">
        <is>
          <t>Dec</t>
        </is>
      </c>
      <c r="E2786" t="inlineStr">
        <is>
          <t>United States</t>
        </is>
      </c>
      <c r="F2786" t="inlineStr">
        <is>
          <t>USA</t>
        </is>
      </c>
      <c r="G2786" t="inlineStr">
        <is>
          <t>Vyndaqel</t>
        </is>
      </c>
      <c r="H2786" t="inlineStr">
        <is>
          <t>Retail pharmacy</t>
        </is>
      </c>
      <c r="I2786" t="inlineStr">
        <is>
          <t>Public payer</t>
        </is>
      </c>
      <c r="J2786" t="inlineStr">
        <is>
          <t>Sophie Müller</t>
        </is>
      </c>
      <c r="K2786" s="70" t="n">
        <v>2623</v>
      </c>
      <c r="L2786" s="71" t="n">
        <v>7649.55</v>
      </c>
      <c r="M2786" s="71" t="n">
        <v>20064769.65</v>
      </c>
      <c r="N2786" s="71" t="n">
        <v>5016192.41</v>
      </c>
      <c r="O2786" s="71" t="n">
        <v>15048577.24</v>
      </c>
      <c r="P2786" s="71" t="n">
        <v>1585582.84</v>
      </c>
      <c r="Q2786" s="71" t="n">
        <v>13462994.4</v>
      </c>
      <c r="R2786" t="inlineStr">
        <is>
          <t>Rare disease</t>
        </is>
      </c>
      <c r="S2786" s="70" t="n">
        <v>1674</v>
      </c>
      <c r="T2786" s="71" t="n">
        <v>2752108.26</v>
      </c>
      <c r="U2786" t="inlineStr">
        <is>
          <t>Medium</t>
        </is>
      </c>
      <c r="V2786">
        <f>IF(AND(OR(Dashboard!$C$6="All",E2786=Dashboard!$C$6),OR(Dashboard!$F$6="All",G2786=Dashboard!$F$6),OR(Dashboard!$I$6="All",H2786=Dashboard!$I$6)),1,0)</f>
        <v/>
      </c>
    </row>
    <row r="2787">
      <c r="A2787" t="inlineStr">
        <is>
          <t>PF102778</t>
        </is>
      </c>
      <c r="B2787" s="68" t="n">
        <v>45994</v>
      </c>
      <c r="C2787" s="69" t="n">
        <v>2025</v>
      </c>
      <c r="D2787" t="inlineStr">
        <is>
          <t>Dec</t>
        </is>
      </c>
      <c r="E2787" t="inlineStr">
        <is>
          <t>Emerging markets</t>
        </is>
      </c>
      <c r="F2787" t="inlineStr">
        <is>
          <t>Brazil</t>
        </is>
      </c>
      <c r="G2787" t="inlineStr">
        <is>
          <t>Abrysvo</t>
        </is>
      </c>
      <c r="H2787" t="inlineStr">
        <is>
          <t>Retail pharmacy</t>
        </is>
      </c>
      <c r="I2787" t="inlineStr">
        <is>
          <t>Public payer</t>
        </is>
      </c>
      <c r="J2787" t="inlineStr">
        <is>
          <t>Zoya Ahmed</t>
        </is>
      </c>
      <c r="K2787" s="70" t="n">
        <v>1296</v>
      </c>
      <c r="L2787" s="71" t="n">
        <v>283.99</v>
      </c>
      <c r="M2787" s="71" t="n">
        <v>368051.04</v>
      </c>
      <c r="N2787" s="71" t="n">
        <v>18402.55</v>
      </c>
      <c r="O2787" s="71" t="n">
        <v>349648.49</v>
      </c>
      <c r="P2787" s="71" t="n">
        <v>107698.19</v>
      </c>
      <c r="Q2787" s="71" t="n">
        <v>241950.3</v>
      </c>
      <c r="R2787" t="inlineStr">
        <is>
          <t>Vaccines</t>
        </is>
      </c>
      <c r="S2787" s="70" t="n">
        <v>1167</v>
      </c>
      <c r="T2787" s="71" t="n">
        <v>44884.55</v>
      </c>
      <c r="U2787" t="inlineStr">
        <is>
          <t>Low</t>
        </is>
      </c>
      <c r="V2787">
        <f>IF(AND(OR(Dashboard!$C$6="All",E2787=Dashboard!$C$6),OR(Dashboard!$F$6="All",G2787=Dashboard!$F$6),OR(Dashboard!$I$6="All",H2787=Dashboard!$I$6)),1,0)</f>
        <v/>
      </c>
    </row>
    <row r="2788">
      <c r="A2788" t="inlineStr">
        <is>
          <t>PF102779</t>
        </is>
      </c>
      <c r="B2788" s="68" t="n">
        <v>45994</v>
      </c>
      <c r="C2788" s="69" t="n">
        <v>2025</v>
      </c>
      <c r="D2788" t="inlineStr">
        <is>
          <t>Dec</t>
        </is>
      </c>
      <c r="E2788" t="inlineStr">
        <is>
          <t>Europe</t>
        </is>
      </c>
      <c r="F2788" t="inlineStr">
        <is>
          <t>Spain</t>
        </is>
      </c>
      <c r="G2788" t="inlineStr">
        <is>
          <t>Vyndaqel</t>
        </is>
      </c>
      <c r="H2788" t="inlineStr">
        <is>
          <t>Retail pharmacy</t>
        </is>
      </c>
      <c r="I2788" t="inlineStr">
        <is>
          <t>Self-pay</t>
        </is>
      </c>
      <c r="J2788" t="inlineStr">
        <is>
          <t>Ravindra Patil</t>
        </is>
      </c>
      <c r="K2788" s="70" t="n">
        <v>2048</v>
      </c>
      <c r="L2788" s="71" t="n">
        <v>4935.4</v>
      </c>
      <c r="M2788" s="71" t="n">
        <v>10107699.2</v>
      </c>
      <c r="N2788" s="71" t="n">
        <v>1516154.88</v>
      </c>
      <c r="O2788" s="71" t="n">
        <v>8591544.32</v>
      </c>
      <c r="P2788" s="71" t="n">
        <v>1304757.69</v>
      </c>
      <c r="Q2788" s="71" t="n">
        <v>7286786.63</v>
      </c>
      <c r="R2788" t="inlineStr">
        <is>
          <t>Rare disease</t>
        </is>
      </c>
      <c r="S2788" s="70" t="n">
        <v>1857</v>
      </c>
      <c r="T2788" s="71" t="n">
        <v>1371775.53</v>
      </c>
      <c r="U2788" t="inlineStr">
        <is>
          <t>Medium</t>
        </is>
      </c>
      <c r="V2788">
        <f>IF(AND(OR(Dashboard!$C$6="All",E2788=Dashboard!$C$6),OR(Dashboard!$F$6="All",G2788=Dashboard!$F$6),OR(Dashboard!$I$6="All",H2788=Dashboard!$I$6)),1,0)</f>
        <v/>
      </c>
    </row>
    <row r="2789">
      <c r="A2789" t="inlineStr">
        <is>
          <t>PF102780</t>
        </is>
      </c>
      <c r="B2789" s="68" t="n">
        <v>45994</v>
      </c>
      <c r="C2789" s="69" t="n">
        <v>2025</v>
      </c>
      <c r="D2789" t="inlineStr">
        <is>
          <t>Dec</t>
        </is>
      </c>
      <c r="E2789" t="inlineStr">
        <is>
          <t>Europe</t>
        </is>
      </c>
      <c r="F2789" t="inlineStr">
        <is>
          <t>Spain</t>
        </is>
      </c>
      <c r="G2789" t="inlineStr">
        <is>
          <t>Eliquis</t>
        </is>
      </c>
      <c r="H2789" t="inlineStr">
        <is>
          <t>Government / tender</t>
        </is>
      </c>
      <c r="I2789" t="inlineStr">
        <is>
          <t>Private insurer</t>
        </is>
      </c>
      <c r="J2789" t="inlineStr">
        <is>
          <t>Zoya Ahmed</t>
        </is>
      </c>
      <c r="K2789" s="70" t="n">
        <v>1584</v>
      </c>
      <c r="L2789" s="71" t="n">
        <v>454</v>
      </c>
      <c r="M2789" s="71" t="n">
        <v>719136</v>
      </c>
      <c r="N2789" s="71" t="n">
        <v>143827.2</v>
      </c>
      <c r="O2789" s="71" t="n">
        <v>575308.8</v>
      </c>
      <c r="P2789" s="71" t="n">
        <v>122532.94</v>
      </c>
      <c r="Q2789" s="71" t="n">
        <v>452775.86</v>
      </c>
      <c r="R2789" t="inlineStr">
        <is>
          <t>Cardiology</t>
        </is>
      </c>
      <c r="S2789" s="70" t="n">
        <v>1081</v>
      </c>
      <c r="T2789" s="71" t="n">
        <v>104656.98</v>
      </c>
      <c r="U2789" t="inlineStr">
        <is>
          <t>High</t>
        </is>
      </c>
      <c r="V2789">
        <f>IF(AND(OR(Dashboard!$C$6="All",E2789=Dashboard!$C$6),OR(Dashboard!$F$6="All",G2789=Dashboard!$F$6),OR(Dashboard!$I$6="All",H2789=Dashboard!$I$6)),1,0)</f>
        <v/>
      </c>
    </row>
    <row r="2790">
      <c r="A2790" t="inlineStr">
        <is>
          <t>PF102781</t>
        </is>
      </c>
      <c r="B2790" s="68" t="n">
        <v>45994</v>
      </c>
      <c r="C2790" s="69" t="n">
        <v>2025</v>
      </c>
      <c r="D2790" t="inlineStr">
        <is>
          <t>Dec</t>
        </is>
      </c>
      <c r="E2790" t="inlineStr">
        <is>
          <t>United States</t>
        </is>
      </c>
      <c r="F2790" t="inlineStr">
        <is>
          <t>USA</t>
        </is>
      </c>
      <c r="G2790" t="inlineStr">
        <is>
          <t>Eliquis</t>
        </is>
      </c>
      <c r="H2790" t="inlineStr">
        <is>
          <t>Retail pharmacy</t>
        </is>
      </c>
      <c r="I2790" t="inlineStr">
        <is>
          <t>Private insurer</t>
        </is>
      </c>
      <c r="J2790" t="inlineStr">
        <is>
          <t>Ana Costa</t>
        </is>
      </c>
      <c r="K2790" s="70" t="n">
        <v>2605</v>
      </c>
      <c r="L2790" s="71" t="n">
        <v>672.53</v>
      </c>
      <c r="M2790" s="71" t="n">
        <v>1751940.65</v>
      </c>
      <c r="N2790" s="71" t="n">
        <v>437985.16</v>
      </c>
      <c r="O2790" s="71" t="n">
        <v>1313955.49</v>
      </c>
      <c r="P2790" s="71" t="n">
        <v>193555.29</v>
      </c>
      <c r="Q2790" s="71" t="n">
        <v>1120400.2</v>
      </c>
      <c r="R2790" t="inlineStr">
        <is>
          <t>Cardiology</t>
        </is>
      </c>
      <c r="S2790" s="70" t="n">
        <v>2158</v>
      </c>
      <c r="T2790" s="71" t="n">
        <v>229870.3</v>
      </c>
      <c r="U2790" t="inlineStr">
        <is>
          <t>High</t>
        </is>
      </c>
      <c r="V2790">
        <f>IF(AND(OR(Dashboard!$C$6="All",E2790=Dashboard!$C$6),OR(Dashboard!$F$6="All",G2790=Dashboard!$F$6),OR(Dashboard!$I$6="All",H2790=Dashboard!$I$6)),1,0)</f>
        <v/>
      </c>
    </row>
    <row r="2791">
      <c r="A2791" t="inlineStr">
        <is>
          <t>PF102782</t>
        </is>
      </c>
      <c r="B2791" s="68" t="n">
        <v>45994</v>
      </c>
      <c r="C2791" s="69" t="n">
        <v>2025</v>
      </c>
      <c r="D2791" t="inlineStr">
        <is>
          <t>Dec</t>
        </is>
      </c>
      <c r="E2791" t="inlineStr">
        <is>
          <t>Europe</t>
        </is>
      </c>
      <c r="F2791" t="inlineStr">
        <is>
          <t>Italy</t>
        </is>
      </c>
      <c r="G2791" t="inlineStr">
        <is>
          <t>Abrysvo</t>
        </is>
      </c>
      <c r="H2791" t="inlineStr">
        <is>
          <t>Hospital</t>
        </is>
      </c>
      <c r="I2791" t="inlineStr">
        <is>
          <t>Self-pay</t>
        </is>
      </c>
      <c r="J2791" t="inlineStr">
        <is>
          <t>Arjun Mehta</t>
        </is>
      </c>
      <c r="K2791" s="70" t="n">
        <v>781</v>
      </c>
      <c r="L2791" s="71" t="n">
        <v>269.79</v>
      </c>
      <c r="M2791" s="71" t="n">
        <v>210705.99</v>
      </c>
      <c r="N2791" s="71" t="n">
        <v>52676.5</v>
      </c>
      <c r="O2791" s="71" t="n">
        <v>158029.49</v>
      </c>
      <c r="P2791" s="71" t="n">
        <v>64865.97</v>
      </c>
      <c r="Q2791" s="71" t="n">
        <v>93163.52</v>
      </c>
      <c r="R2791" t="inlineStr">
        <is>
          <t>Vaccines</t>
        </is>
      </c>
      <c r="S2791" s="70" t="n">
        <v>539</v>
      </c>
      <c r="T2791" s="71" t="n">
        <v>38355.36</v>
      </c>
      <c r="U2791" t="inlineStr">
        <is>
          <t>Low</t>
        </is>
      </c>
      <c r="V2791">
        <f>IF(AND(OR(Dashboard!$C$6="All",E2791=Dashboard!$C$6),OR(Dashboard!$F$6="All",G2791=Dashboard!$F$6),OR(Dashboard!$I$6="All",H2791=Dashboard!$I$6)),1,0)</f>
        <v/>
      </c>
    </row>
    <row r="2792">
      <c r="A2792" t="inlineStr">
        <is>
          <t>PF102783</t>
        </is>
      </c>
      <c r="B2792" s="68" t="n">
        <v>45995</v>
      </c>
      <c r="C2792" s="69" t="n">
        <v>2025</v>
      </c>
      <c r="D2792" t="inlineStr">
        <is>
          <t>Dec</t>
        </is>
      </c>
      <c r="E2792" t="inlineStr">
        <is>
          <t>United States</t>
        </is>
      </c>
      <c r="F2792" t="inlineStr">
        <is>
          <t>USA</t>
        </is>
      </c>
      <c r="G2792" t="inlineStr">
        <is>
          <t>Comirnaty</t>
        </is>
      </c>
      <c r="H2792" t="inlineStr">
        <is>
          <t>Retail pharmacy</t>
        </is>
      </c>
      <c r="I2792" t="inlineStr">
        <is>
          <t>Self-pay</t>
        </is>
      </c>
      <c r="J2792" t="inlineStr">
        <is>
          <t>Shraddha Kulkarni</t>
        </is>
      </c>
      <c r="K2792" s="70" t="n">
        <v>1569</v>
      </c>
      <c r="L2792" s="71" t="n">
        <v>186.69</v>
      </c>
      <c r="M2792" s="71" t="n">
        <v>292916.61</v>
      </c>
      <c r="N2792" s="71" t="n">
        <v>102520.81</v>
      </c>
      <c r="O2792" s="71" t="n">
        <v>190395.8</v>
      </c>
      <c r="P2792" s="71" t="n">
        <v>59775.51</v>
      </c>
      <c r="Q2792" s="71" t="n">
        <v>130620.29</v>
      </c>
      <c r="R2792" t="inlineStr">
        <is>
          <t>Vaccines</t>
        </is>
      </c>
      <c r="S2792" s="70" t="n">
        <v>1298</v>
      </c>
      <c r="T2792" s="71" t="n">
        <v>58663.9</v>
      </c>
      <c r="U2792" t="inlineStr">
        <is>
          <t>Low</t>
        </is>
      </c>
      <c r="V2792">
        <f>IF(AND(OR(Dashboard!$C$6="All",E2792=Dashboard!$C$6),OR(Dashboard!$F$6="All",G2792=Dashboard!$F$6),OR(Dashboard!$I$6="All",H2792=Dashboard!$I$6)),1,0)</f>
        <v/>
      </c>
    </row>
    <row r="2793">
      <c r="A2793" t="inlineStr">
        <is>
          <t>PF102784</t>
        </is>
      </c>
      <c r="B2793" s="68" t="n">
        <v>45995</v>
      </c>
      <c r="C2793" s="69" t="n">
        <v>2025</v>
      </c>
      <c r="D2793" t="inlineStr">
        <is>
          <t>Dec</t>
        </is>
      </c>
      <c r="E2793" t="inlineStr">
        <is>
          <t>United States</t>
        </is>
      </c>
      <c r="F2793" t="inlineStr">
        <is>
          <t>USA</t>
        </is>
      </c>
      <c r="G2793" t="inlineStr">
        <is>
          <t>Vyndaqel</t>
        </is>
      </c>
      <c r="H2793" t="inlineStr">
        <is>
          <t>Hospital</t>
        </is>
      </c>
      <c r="I2793" t="inlineStr">
        <is>
          <t>Private insurer</t>
        </is>
      </c>
      <c r="J2793" t="inlineStr">
        <is>
          <t>Ruhi Shaikh</t>
        </is>
      </c>
      <c r="K2793" s="70" t="n">
        <v>2021</v>
      </c>
      <c r="L2793" s="71" t="n">
        <v>8779.33</v>
      </c>
      <c r="M2793" s="71" t="n">
        <v>17743025.93</v>
      </c>
      <c r="N2793" s="71" t="n">
        <v>5322907.78</v>
      </c>
      <c r="O2793" s="71" t="n">
        <v>12420118.15</v>
      </c>
      <c r="P2793" s="71" t="n">
        <v>1264592.43</v>
      </c>
      <c r="Q2793" s="71" t="n">
        <v>11155525.72</v>
      </c>
      <c r="R2793" t="inlineStr">
        <is>
          <t>Rare disease</t>
        </is>
      </c>
      <c r="S2793" s="70" t="n">
        <v>2009</v>
      </c>
      <c r="T2793" s="71" t="n">
        <v>2767151.43</v>
      </c>
      <c r="U2793" t="inlineStr">
        <is>
          <t>Medium</t>
        </is>
      </c>
      <c r="V2793">
        <f>IF(AND(OR(Dashboard!$C$6="All",E2793=Dashboard!$C$6),OR(Dashboard!$F$6="All",G2793=Dashboard!$F$6),OR(Dashboard!$I$6="All",H2793=Dashboard!$I$6)),1,0)</f>
        <v/>
      </c>
    </row>
    <row r="2794">
      <c r="A2794" t="inlineStr">
        <is>
          <t>PF102785</t>
        </is>
      </c>
      <c r="B2794" s="68" t="n">
        <v>45995</v>
      </c>
      <c r="C2794" s="69" t="n">
        <v>2025</v>
      </c>
      <c r="D2794" t="inlineStr">
        <is>
          <t>Dec</t>
        </is>
      </c>
      <c r="E2794" t="inlineStr">
        <is>
          <t>United States</t>
        </is>
      </c>
      <c r="F2794" t="inlineStr">
        <is>
          <t>USA</t>
        </is>
      </c>
      <c r="G2794" t="inlineStr">
        <is>
          <t>Prevnar 20</t>
        </is>
      </c>
      <c r="H2794" t="inlineStr">
        <is>
          <t>Hospital</t>
        </is>
      </c>
      <c r="I2794" t="inlineStr">
        <is>
          <t>Private insurer</t>
        </is>
      </c>
      <c r="J2794" t="inlineStr">
        <is>
          <t>Kofi Mensah</t>
        </is>
      </c>
      <c r="K2794" s="70" t="n">
        <v>2089</v>
      </c>
      <c r="L2794" s="71" t="n">
        <v>333.25</v>
      </c>
      <c r="M2794" s="71" t="n">
        <v>696159.25</v>
      </c>
      <c r="N2794" s="71" t="n">
        <v>243655.74</v>
      </c>
      <c r="O2794" s="71" t="n">
        <v>452503.51</v>
      </c>
      <c r="P2794" s="71" t="n">
        <v>146514.2</v>
      </c>
      <c r="Q2794" s="71" t="n">
        <v>305989.31</v>
      </c>
      <c r="R2794" t="inlineStr">
        <is>
          <t>Vaccines</t>
        </is>
      </c>
      <c r="S2794" s="70" t="n">
        <v>1379</v>
      </c>
      <c r="T2794" s="71" t="n">
        <v>132797.51</v>
      </c>
      <c r="U2794" t="inlineStr">
        <is>
          <t>Low</t>
        </is>
      </c>
      <c r="V2794">
        <f>IF(AND(OR(Dashboard!$C$6="All",E2794=Dashboard!$C$6),OR(Dashboard!$F$6="All",G2794=Dashboard!$F$6),OR(Dashboard!$I$6="All",H2794=Dashboard!$I$6)),1,0)</f>
        <v/>
      </c>
    </row>
    <row r="2795">
      <c r="A2795" t="inlineStr">
        <is>
          <t>PF102786</t>
        </is>
      </c>
      <c r="B2795" s="68" t="n">
        <v>45995</v>
      </c>
      <c r="C2795" s="69" t="n">
        <v>2025</v>
      </c>
      <c r="D2795" t="inlineStr">
        <is>
          <t>Dec</t>
        </is>
      </c>
      <c r="E2795" t="inlineStr">
        <is>
          <t>United States</t>
        </is>
      </c>
      <c r="F2795" t="inlineStr">
        <is>
          <t>USA</t>
        </is>
      </c>
      <c r="G2795" t="inlineStr">
        <is>
          <t>Xeljanz</t>
        </is>
      </c>
      <c r="H2795" t="inlineStr">
        <is>
          <t>Retail pharmacy</t>
        </is>
      </c>
      <c r="I2795" t="inlineStr">
        <is>
          <t>Private insurer</t>
        </is>
      </c>
      <c r="J2795" t="inlineStr">
        <is>
          <t>Mei Lin</t>
        </is>
      </c>
      <c r="K2795" s="70" t="n">
        <v>2909</v>
      </c>
      <c r="L2795" s="71" t="n">
        <v>2246.48</v>
      </c>
      <c r="M2795" s="71" t="n">
        <v>6535010.32</v>
      </c>
      <c r="N2795" s="71" t="n">
        <v>2287253.61</v>
      </c>
      <c r="O2795" s="71" t="n">
        <v>4247756.71</v>
      </c>
      <c r="P2795" s="71" t="n">
        <v>714187.13</v>
      </c>
      <c r="Q2795" s="71" t="n">
        <v>3533569.58</v>
      </c>
      <c r="R2795" t="inlineStr">
        <is>
          <t>Inflammation</t>
        </is>
      </c>
      <c r="S2795" s="70" t="n">
        <v>2389</v>
      </c>
      <c r="T2795" s="71" t="n">
        <v>992193.1800000001</v>
      </c>
      <c r="U2795" t="inlineStr">
        <is>
          <t>High</t>
        </is>
      </c>
      <c r="V2795">
        <f>IF(AND(OR(Dashboard!$C$6="All",E2795=Dashboard!$C$6),OR(Dashboard!$F$6="All",G2795=Dashboard!$F$6),OR(Dashboard!$I$6="All",H2795=Dashboard!$I$6)),1,0)</f>
        <v/>
      </c>
    </row>
    <row r="2796">
      <c r="A2796" t="inlineStr">
        <is>
          <t>PF102787</t>
        </is>
      </c>
      <c r="B2796" s="68" t="n">
        <v>45996</v>
      </c>
      <c r="C2796" s="69" t="n">
        <v>2025</v>
      </c>
      <c r="D2796" t="inlineStr">
        <is>
          <t>Dec</t>
        </is>
      </c>
      <c r="E2796" t="inlineStr">
        <is>
          <t>United States</t>
        </is>
      </c>
      <c r="F2796" t="inlineStr">
        <is>
          <t>USA</t>
        </is>
      </c>
      <c r="G2796" t="inlineStr">
        <is>
          <t>Prevnar 20</t>
        </is>
      </c>
      <c r="H2796" t="inlineStr">
        <is>
          <t>Government / tender</t>
        </is>
      </c>
      <c r="I2796" t="inlineStr">
        <is>
          <t>Private insurer</t>
        </is>
      </c>
      <c r="J2796" t="inlineStr">
        <is>
          <t>Carlos Silva</t>
        </is>
      </c>
      <c r="K2796" s="70" t="n">
        <v>155</v>
      </c>
      <c r="L2796" s="71" t="n">
        <v>332.34</v>
      </c>
      <c r="M2796" s="71" t="n">
        <v>51512.7</v>
      </c>
      <c r="N2796" s="71" t="n">
        <v>12878.17</v>
      </c>
      <c r="O2796" s="71" t="n">
        <v>38634.53</v>
      </c>
      <c r="P2796" s="71" t="n">
        <v>10944.43</v>
      </c>
      <c r="Q2796" s="71" t="n">
        <v>27690.1</v>
      </c>
      <c r="R2796" t="inlineStr">
        <is>
          <t>Vaccines</t>
        </is>
      </c>
      <c r="S2796" s="70" t="n">
        <v>97</v>
      </c>
      <c r="T2796" s="71" t="n">
        <v>9942.299999999999</v>
      </c>
      <c r="U2796" t="inlineStr">
        <is>
          <t>Low</t>
        </is>
      </c>
      <c r="V2796">
        <f>IF(AND(OR(Dashboard!$C$6="All",E2796=Dashboard!$C$6),OR(Dashboard!$F$6="All",G2796=Dashboard!$F$6),OR(Dashboard!$I$6="All",H2796=Dashboard!$I$6)),1,0)</f>
        <v/>
      </c>
    </row>
    <row r="2797">
      <c r="A2797" t="inlineStr">
        <is>
          <t>PF102788</t>
        </is>
      </c>
      <c r="B2797" s="68" t="n">
        <v>45996</v>
      </c>
      <c r="C2797" s="69" t="n">
        <v>2025</v>
      </c>
      <c r="D2797" t="inlineStr">
        <is>
          <t>Dec</t>
        </is>
      </c>
      <c r="E2797" t="inlineStr">
        <is>
          <t>Europe</t>
        </is>
      </c>
      <c r="F2797" t="inlineStr">
        <is>
          <t>Italy</t>
        </is>
      </c>
      <c r="G2797" t="inlineStr">
        <is>
          <t>Abrysvo</t>
        </is>
      </c>
      <c r="H2797" t="inlineStr">
        <is>
          <t>Retail pharmacy</t>
        </is>
      </c>
      <c r="I2797" t="inlineStr">
        <is>
          <t>Private insurer</t>
        </is>
      </c>
      <c r="J2797" t="inlineStr">
        <is>
          <t>Sophie Müller</t>
        </is>
      </c>
      <c r="K2797" s="70" t="n">
        <v>2904</v>
      </c>
      <c r="L2797" s="71" t="n">
        <v>289.67</v>
      </c>
      <c r="M2797" s="71" t="n">
        <v>841201.6800000001</v>
      </c>
      <c r="N2797" s="71" t="n">
        <v>84120.17</v>
      </c>
      <c r="O2797" s="71" t="n">
        <v>757081.51</v>
      </c>
      <c r="P2797" s="71" t="n">
        <v>240848.29</v>
      </c>
      <c r="Q2797" s="71" t="n">
        <v>516233.22</v>
      </c>
      <c r="R2797" t="inlineStr">
        <is>
          <t>Vaccines</t>
        </is>
      </c>
      <c r="S2797" s="70" t="n">
        <v>2377</v>
      </c>
      <c r="T2797" s="71" t="n">
        <v>156727.45</v>
      </c>
      <c r="U2797" t="inlineStr">
        <is>
          <t>Low</t>
        </is>
      </c>
      <c r="V2797">
        <f>IF(AND(OR(Dashboard!$C$6="All",E2797=Dashboard!$C$6),OR(Dashboard!$F$6="All",G2797=Dashboard!$F$6),OR(Dashboard!$I$6="All",H2797=Dashboard!$I$6)),1,0)</f>
        <v/>
      </c>
    </row>
    <row r="2798">
      <c r="A2798" t="inlineStr">
        <is>
          <t>PF102789</t>
        </is>
      </c>
      <c r="B2798" s="68" t="n">
        <v>45996</v>
      </c>
      <c r="C2798" s="69" t="n">
        <v>2025</v>
      </c>
      <c r="D2798" t="inlineStr">
        <is>
          <t>Dec</t>
        </is>
      </c>
      <c r="E2798" t="inlineStr">
        <is>
          <t>Europe</t>
        </is>
      </c>
      <c r="F2798" t="inlineStr">
        <is>
          <t>UK</t>
        </is>
      </c>
      <c r="G2798" t="inlineStr">
        <is>
          <t>Paxlovid</t>
        </is>
      </c>
      <c r="H2798" t="inlineStr">
        <is>
          <t>Retail pharmacy</t>
        </is>
      </c>
      <c r="I2798" t="inlineStr">
        <is>
          <t>Private insurer</t>
        </is>
      </c>
      <c r="J2798" t="inlineStr">
        <is>
          <t>Lucas Martin</t>
        </is>
      </c>
      <c r="K2798" s="70" t="n">
        <v>2384</v>
      </c>
      <c r="L2798" s="71" t="n">
        <v>1201.46</v>
      </c>
      <c r="M2798" s="71" t="n">
        <v>2864280.64</v>
      </c>
      <c r="N2798" s="71" t="n">
        <v>143214.03</v>
      </c>
      <c r="O2798" s="71" t="n">
        <v>2721066.61</v>
      </c>
      <c r="P2798" s="71" t="n">
        <v>636527.23</v>
      </c>
      <c r="Q2798" s="71" t="n">
        <v>2084539.38</v>
      </c>
      <c r="R2798" t="inlineStr">
        <is>
          <t>Antiviral</t>
        </is>
      </c>
      <c r="S2798" s="70" t="n">
        <v>1570</v>
      </c>
      <c r="T2798" s="71" t="n">
        <v>612112.26</v>
      </c>
      <c r="U2798" t="inlineStr">
        <is>
          <t>Low</t>
        </is>
      </c>
      <c r="V2798">
        <f>IF(AND(OR(Dashboard!$C$6="All",E2798=Dashboard!$C$6),OR(Dashboard!$F$6="All",G2798=Dashboard!$F$6),OR(Dashboard!$I$6="All",H2798=Dashboard!$I$6)),1,0)</f>
        <v/>
      </c>
    </row>
    <row r="2799">
      <c r="A2799" t="inlineStr">
        <is>
          <t>PF102790</t>
        </is>
      </c>
      <c r="B2799" s="68" t="n">
        <v>45996</v>
      </c>
      <c r="C2799" s="69" t="n">
        <v>2025</v>
      </c>
      <c r="D2799" t="inlineStr">
        <is>
          <t>Dec</t>
        </is>
      </c>
      <c r="E2799" t="inlineStr">
        <is>
          <t>United States</t>
        </is>
      </c>
      <c r="F2799" t="inlineStr">
        <is>
          <t>USA</t>
        </is>
      </c>
      <c r="G2799" t="inlineStr">
        <is>
          <t>Vyndaqel</t>
        </is>
      </c>
      <c r="H2799" t="inlineStr">
        <is>
          <t>Government / tender</t>
        </is>
      </c>
      <c r="I2799" t="inlineStr">
        <is>
          <t>Public payer</t>
        </is>
      </c>
      <c r="J2799" t="inlineStr">
        <is>
          <t>Wei Chen</t>
        </is>
      </c>
      <c r="K2799" s="70" t="n">
        <v>2611</v>
      </c>
      <c r="L2799" s="71" t="n">
        <v>8865.940000000001</v>
      </c>
      <c r="M2799" s="71" t="n">
        <v>23148969.34</v>
      </c>
      <c r="N2799" s="71" t="n">
        <v>3472345.4</v>
      </c>
      <c r="O2799" s="71" t="n">
        <v>19676623.94</v>
      </c>
      <c r="P2799" s="71" t="n">
        <v>1638251.29</v>
      </c>
      <c r="Q2799" s="71" t="n">
        <v>18038372.65</v>
      </c>
      <c r="R2799" t="inlineStr">
        <is>
          <t>Rare disease</t>
        </is>
      </c>
      <c r="S2799" s="70" t="n">
        <v>2015</v>
      </c>
      <c r="T2799" s="71" t="n">
        <v>4879729.89</v>
      </c>
      <c r="U2799" t="inlineStr">
        <is>
          <t>Medium</t>
        </is>
      </c>
      <c r="V2799">
        <f>IF(AND(OR(Dashboard!$C$6="All",E2799=Dashboard!$C$6),OR(Dashboard!$F$6="All",G2799=Dashboard!$F$6),OR(Dashboard!$I$6="All",H2799=Dashboard!$I$6)),1,0)</f>
        <v/>
      </c>
    </row>
    <row r="2800">
      <c r="A2800" t="inlineStr">
        <is>
          <t>PF102791</t>
        </is>
      </c>
      <c r="B2800" s="68" t="n">
        <v>45996</v>
      </c>
      <c r="C2800" s="69" t="n">
        <v>2025</v>
      </c>
      <c r="D2800" t="inlineStr">
        <is>
          <t>Dec</t>
        </is>
      </c>
      <c r="E2800" t="inlineStr">
        <is>
          <t>Emerging markets</t>
        </is>
      </c>
      <c r="F2800" t="inlineStr">
        <is>
          <t>China</t>
        </is>
      </c>
      <c r="G2800" t="inlineStr">
        <is>
          <t>Eliquis</t>
        </is>
      </c>
      <c r="H2800" t="inlineStr">
        <is>
          <t>Retail pharmacy</t>
        </is>
      </c>
      <c r="I2800" t="inlineStr">
        <is>
          <t>Public payer</t>
        </is>
      </c>
      <c r="J2800" t="inlineStr">
        <is>
          <t>Ruhi Shaikh</t>
        </is>
      </c>
      <c r="K2800" s="70" t="n">
        <v>2320</v>
      </c>
      <c r="L2800" s="71" t="n">
        <v>406.76</v>
      </c>
      <c r="M2800" s="71" t="n">
        <v>943683.2</v>
      </c>
      <c r="N2800" s="71" t="n">
        <v>235920.8</v>
      </c>
      <c r="O2800" s="71" t="n">
        <v>707762.4</v>
      </c>
      <c r="P2800" s="71" t="n">
        <v>172648.99</v>
      </c>
      <c r="Q2800" s="71" t="n">
        <v>535113.41</v>
      </c>
      <c r="R2800" t="inlineStr">
        <is>
          <t>Cardiology</t>
        </is>
      </c>
      <c r="S2800" s="70" t="n">
        <v>1489</v>
      </c>
      <c r="T2800" s="71" t="n">
        <v>130408.78</v>
      </c>
      <c r="U2800" t="inlineStr">
        <is>
          <t>High</t>
        </is>
      </c>
      <c r="V2800">
        <f>IF(AND(OR(Dashboard!$C$6="All",E2800=Dashboard!$C$6),OR(Dashboard!$F$6="All",G2800=Dashboard!$F$6),OR(Dashboard!$I$6="All",H2800=Dashboard!$I$6)),1,0)</f>
        <v/>
      </c>
    </row>
    <row r="2801">
      <c r="A2801" t="inlineStr">
        <is>
          <t>PF102792</t>
        </is>
      </c>
      <c r="B2801" s="68" t="n">
        <v>45996</v>
      </c>
      <c r="C2801" s="69" t="n">
        <v>2025</v>
      </c>
      <c r="D2801" t="inlineStr">
        <is>
          <t>Dec</t>
        </is>
      </c>
      <c r="E2801" t="inlineStr">
        <is>
          <t>International developed</t>
        </is>
      </c>
      <c r="F2801" t="inlineStr">
        <is>
          <t>Canada</t>
        </is>
      </c>
      <c r="G2801" t="inlineStr">
        <is>
          <t>Prevnar 20</t>
        </is>
      </c>
      <c r="H2801" t="inlineStr">
        <is>
          <t>Hospital</t>
        </is>
      </c>
      <c r="I2801" t="inlineStr">
        <is>
          <t>Public payer</t>
        </is>
      </c>
      <c r="J2801" t="inlineStr">
        <is>
          <t>Ana Costa</t>
        </is>
      </c>
      <c r="K2801" s="70" t="n">
        <v>2795</v>
      </c>
      <c r="L2801" s="71" t="n">
        <v>221.86</v>
      </c>
      <c r="M2801" s="71" t="n">
        <v>620098.7</v>
      </c>
      <c r="N2801" s="71" t="n">
        <v>62009.87</v>
      </c>
      <c r="O2801" s="71" t="n">
        <v>558088.83</v>
      </c>
      <c r="P2801" s="71" t="n">
        <v>197070.75</v>
      </c>
      <c r="Q2801" s="71" t="n">
        <v>361018.08</v>
      </c>
      <c r="R2801" t="inlineStr">
        <is>
          <t>Vaccines</t>
        </is>
      </c>
      <c r="S2801" s="70" t="n">
        <v>2401</v>
      </c>
      <c r="T2801" s="71" t="n">
        <v>111415.41</v>
      </c>
      <c r="U2801" t="inlineStr">
        <is>
          <t>Low</t>
        </is>
      </c>
      <c r="V2801">
        <f>IF(AND(OR(Dashboard!$C$6="All",E2801=Dashboard!$C$6),OR(Dashboard!$F$6="All",G2801=Dashboard!$F$6),OR(Dashboard!$I$6="All",H2801=Dashboard!$I$6)),1,0)</f>
        <v/>
      </c>
    </row>
    <row r="2802">
      <c r="A2802" t="inlineStr">
        <is>
          <t>PF102793</t>
        </is>
      </c>
      <c r="B2802" s="68" t="n">
        <v>45996</v>
      </c>
      <c r="C2802" s="69" t="n">
        <v>2025</v>
      </c>
      <c r="D2802" t="inlineStr">
        <is>
          <t>Dec</t>
        </is>
      </c>
      <c r="E2802" t="inlineStr">
        <is>
          <t>Emerging markets</t>
        </is>
      </c>
      <c r="F2802" t="inlineStr">
        <is>
          <t>Brazil</t>
        </is>
      </c>
      <c r="G2802" t="inlineStr">
        <is>
          <t>Comirnaty</t>
        </is>
      </c>
      <c r="H2802" t="inlineStr">
        <is>
          <t>Hospital</t>
        </is>
      </c>
      <c r="I2802" t="inlineStr">
        <is>
          <t>Private insurer</t>
        </is>
      </c>
      <c r="J2802" t="inlineStr">
        <is>
          <t>Wei Chen</t>
        </is>
      </c>
      <c r="K2802" s="70" t="n">
        <v>310</v>
      </c>
      <c r="L2802" s="71" t="n">
        <v>100.37</v>
      </c>
      <c r="M2802" s="71" t="n">
        <v>31114.7</v>
      </c>
      <c r="N2802" s="71" t="n">
        <v>4667.2</v>
      </c>
      <c r="O2802" s="71" t="n">
        <v>26447.5</v>
      </c>
      <c r="P2802" s="71" t="n">
        <v>12089.71</v>
      </c>
      <c r="Q2802" s="71" t="n">
        <v>14357.79</v>
      </c>
      <c r="R2802" t="inlineStr">
        <is>
          <t>Vaccines</t>
        </is>
      </c>
      <c r="S2802" s="70" t="n">
        <v>202</v>
      </c>
      <c r="T2802" s="71" t="n">
        <v>5061.18</v>
      </c>
      <c r="U2802" t="inlineStr">
        <is>
          <t>Low</t>
        </is>
      </c>
      <c r="V2802">
        <f>IF(AND(OR(Dashboard!$C$6="All",E2802=Dashboard!$C$6),OR(Dashboard!$F$6="All",G2802=Dashboard!$F$6),OR(Dashboard!$I$6="All",H2802=Dashboard!$I$6)),1,0)</f>
        <v/>
      </c>
    </row>
    <row r="2803">
      <c r="A2803" t="inlineStr">
        <is>
          <t>PF102794</t>
        </is>
      </c>
      <c r="B2803" s="68" t="n">
        <v>45997</v>
      </c>
      <c r="C2803" s="69" t="n">
        <v>2025</v>
      </c>
      <c r="D2803" t="inlineStr">
        <is>
          <t>Dec</t>
        </is>
      </c>
      <c r="E2803" t="inlineStr">
        <is>
          <t>Emerging markets</t>
        </is>
      </c>
      <c r="F2803" t="inlineStr">
        <is>
          <t>India</t>
        </is>
      </c>
      <c r="G2803" t="inlineStr">
        <is>
          <t>Xeljanz</t>
        </is>
      </c>
      <c r="H2803" t="inlineStr">
        <is>
          <t>Hospital</t>
        </is>
      </c>
      <c r="I2803" t="inlineStr">
        <is>
          <t>Private insurer</t>
        </is>
      </c>
      <c r="J2803" t="inlineStr">
        <is>
          <t>Hiroshi Tanaka</t>
        </is>
      </c>
      <c r="K2803" s="70" t="n">
        <v>1440</v>
      </c>
      <c r="L2803" s="71" t="n">
        <v>1367.4</v>
      </c>
      <c r="M2803" s="71" t="n">
        <v>1969056</v>
      </c>
      <c r="N2803" s="71" t="n">
        <v>196905.6</v>
      </c>
      <c r="O2803" s="71" t="n">
        <v>1772150.4</v>
      </c>
      <c r="P2803" s="71" t="n">
        <v>371989.69</v>
      </c>
      <c r="Q2803" s="71" t="n">
        <v>1400160.71</v>
      </c>
      <c r="R2803" t="inlineStr">
        <is>
          <t>Inflammation</t>
        </is>
      </c>
      <c r="S2803" s="70" t="n">
        <v>1126</v>
      </c>
      <c r="T2803" s="71" t="n">
        <v>248917.28</v>
      </c>
      <c r="U2803" t="inlineStr">
        <is>
          <t>High</t>
        </is>
      </c>
      <c r="V2803">
        <f>IF(AND(OR(Dashboard!$C$6="All",E2803=Dashboard!$C$6),OR(Dashboard!$F$6="All",G2803=Dashboard!$F$6),OR(Dashboard!$I$6="All",H2803=Dashboard!$I$6)),1,0)</f>
        <v/>
      </c>
    </row>
    <row r="2804">
      <c r="A2804" t="inlineStr">
        <is>
          <t>PF102795</t>
        </is>
      </c>
      <c r="B2804" s="68" t="n">
        <v>45997</v>
      </c>
      <c r="C2804" s="69" t="n">
        <v>2025</v>
      </c>
      <c r="D2804" t="inlineStr">
        <is>
          <t>Dec</t>
        </is>
      </c>
      <c r="E2804" t="inlineStr">
        <is>
          <t>Europe</t>
        </is>
      </c>
      <c r="F2804" t="inlineStr">
        <is>
          <t>Spain</t>
        </is>
      </c>
      <c r="G2804" t="inlineStr">
        <is>
          <t>Ibrance</t>
        </is>
      </c>
      <c r="H2804" t="inlineStr">
        <is>
          <t>Government / tender</t>
        </is>
      </c>
      <c r="I2804" t="inlineStr">
        <is>
          <t>Public payer</t>
        </is>
      </c>
      <c r="J2804" t="inlineStr">
        <is>
          <t>Olivia Brown</t>
        </is>
      </c>
      <c r="K2804" s="70" t="n">
        <v>3405</v>
      </c>
      <c r="L2804" s="71" t="n">
        <v>2784.6</v>
      </c>
      <c r="M2804" s="71" t="n">
        <v>9481563</v>
      </c>
      <c r="N2804" s="71" t="n">
        <v>1422234.45</v>
      </c>
      <c r="O2804" s="71" t="n">
        <v>8059328.55</v>
      </c>
      <c r="P2804" s="71" t="n">
        <v>1530217.93</v>
      </c>
      <c r="Q2804" s="71" t="n">
        <v>6529110.62</v>
      </c>
      <c r="R2804" t="inlineStr">
        <is>
          <t>Oncology</t>
        </is>
      </c>
      <c r="S2804" s="70" t="n">
        <v>2729</v>
      </c>
      <c r="T2804" s="71" t="n">
        <v>1839980.38</v>
      </c>
      <c r="U2804" t="inlineStr">
        <is>
          <t>High</t>
        </is>
      </c>
      <c r="V2804">
        <f>IF(AND(OR(Dashboard!$C$6="All",E2804=Dashboard!$C$6),OR(Dashboard!$F$6="All",G2804=Dashboard!$F$6),OR(Dashboard!$I$6="All",H2804=Dashboard!$I$6)),1,0)</f>
        <v/>
      </c>
    </row>
    <row r="2805">
      <c r="A2805" t="inlineStr">
        <is>
          <t>PF102796</t>
        </is>
      </c>
      <c r="B2805" s="68" t="n">
        <v>45997</v>
      </c>
      <c r="C2805" s="69" t="n">
        <v>2025</v>
      </c>
      <c r="D2805" t="inlineStr">
        <is>
          <t>Dec</t>
        </is>
      </c>
      <c r="E2805" t="inlineStr">
        <is>
          <t>International developed</t>
        </is>
      </c>
      <c r="F2805" t="inlineStr">
        <is>
          <t>Canada</t>
        </is>
      </c>
      <c r="G2805" t="inlineStr">
        <is>
          <t>Paxlovid</t>
        </is>
      </c>
      <c r="H2805" t="inlineStr">
        <is>
          <t>Government / tender</t>
        </is>
      </c>
      <c r="I2805" t="inlineStr">
        <is>
          <t>Self-pay</t>
        </is>
      </c>
      <c r="J2805" t="inlineStr">
        <is>
          <t>Shraddha Kulkarni</t>
        </is>
      </c>
      <c r="K2805" s="70" t="n">
        <v>2626</v>
      </c>
      <c r="L2805" s="71" t="n">
        <v>1073.54</v>
      </c>
      <c r="M2805" s="71" t="n">
        <v>2819116.04</v>
      </c>
      <c r="N2805" s="71" t="n">
        <v>281911.6</v>
      </c>
      <c r="O2805" s="71" t="n">
        <v>2537204.44</v>
      </c>
      <c r="P2805" s="71" t="n">
        <v>740934.17</v>
      </c>
      <c r="Q2805" s="71" t="n">
        <v>1796270.27</v>
      </c>
      <c r="R2805" t="inlineStr">
        <is>
          <t>Antiviral</t>
        </is>
      </c>
      <c r="S2805" s="70" t="n">
        <v>1875</v>
      </c>
      <c r="T2805" s="71" t="n">
        <v>408393.34</v>
      </c>
      <c r="U2805" t="inlineStr">
        <is>
          <t>Low</t>
        </is>
      </c>
      <c r="V2805">
        <f>IF(AND(OR(Dashboard!$C$6="All",E2805=Dashboard!$C$6),OR(Dashboard!$F$6="All",G2805=Dashboard!$F$6),OR(Dashboard!$I$6="All",H2805=Dashboard!$I$6)),1,0)</f>
        <v/>
      </c>
    </row>
    <row r="2806">
      <c r="A2806" t="inlineStr">
        <is>
          <t>PF102797</t>
        </is>
      </c>
      <c r="B2806" s="68" t="n">
        <v>45997</v>
      </c>
      <c r="C2806" s="69" t="n">
        <v>2025</v>
      </c>
      <c r="D2806" t="inlineStr">
        <is>
          <t>Dec</t>
        </is>
      </c>
      <c r="E2806" t="inlineStr">
        <is>
          <t>United States</t>
        </is>
      </c>
      <c r="F2806" t="inlineStr">
        <is>
          <t>USA</t>
        </is>
      </c>
      <c r="G2806" t="inlineStr">
        <is>
          <t>Prevnar 20</t>
        </is>
      </c>
      <c r="H2806" t="inlineStr">
        <is>
          <t>Government / tender</t>
        </is>
      </c>
      <c r="I2806" t="inlineStr">
        <is>
          <t>Self-pay</t>
        </is>
      </c>
      <c r="J2806" t="inlineStr">
        <is>
          <t>Liam O'Brien</t>
        </is>
      </c>
      <c r="K2806" s="70" t="n">
        <v>1899</v>
      </c>
      <c r="L2806" s="71" t="n">
        <v>360.8</v>
      </c>
      <c r="M2806" s="71" t="n">
        <v>685159.2</v>
      </c>
      <c r="N2806" s="71" t="n">
        <v>171289.8</v>
      </c>
      <c r="O2806" s="71" t="n">
        <v>513869.4</v>
      </c>
      <c r="P2806" s="71" t="n">
        <v>131810.39</v>
      </c>
      <c r="Q2806" s="71" t="n">
        <v>382059.01</v>
      </c>
      <c r="R2806" t="inlineStr">
        <is>
          <t>Vaccines</t>
        </is>
      </c>
      <c r="S2806" s="70" t="n">
        <v>1799</v>
      </c>
      <c r="T2806" s="71" t="n">
        <v>148415.84</v>
      </c>
      <c r="U2806" t="inlineStr">
        <is>
          <t>Low</t>
        </is>
      </c>
      <c r="V2806">
        <f>IF(AND(OR(Dashboard!$C$6="All",E2806=Dashboard!$C$6),OR(Dashboard!$F$6="All",G2806=Dashboard!$F$6),OR(Dashboard!$I$6="All",H2806=Dashboard!$I$6)),1,0)</f>
        <v/>
      </c>
    </row>
    <row r="2807">
      <c r="A2807" t="inlineStr">
        <is>
          <t>PF102798</t>
        </is>
      </c>
      <c r="B2807" s="68" t="n">
        <v>45997</v>
      </c>
      <c r="C2807" s="69" t="n">
        <v>2025</v>
      </c>
      <c r="D2807" t="inlineStr">
        <is>
          <t>Dec</t>
        </is>
      </c>
      <c r="E2807" t="inlineStr">
        <is>
          <t>Europe</t>
        </is>
      </c>
      <c r="F2807" t="inlineStr">
        <is>
          <t>France</t>
        </is>
      </c>
      <c r="G2807" t="inlineStr">
        <is>
          <t>Eliquis</t>
        </is>
      </c>
      <c r="H2807" t="inlineStr">
        <is>
          <t>Retail pharmacy</t>
        </is>
      </c>
      <c r="I2807" t="inlineStr">
        <is>
          <t>Private insurer</t>
        </is>
      </c>
      <c r="J2807" t="inlineStr">
        <is>
          <t>Fatima Al-Saud</t>
        </is>
      </c>
      <c r="K2807" s="70" t="n">
        <v>1226</v>
      </c>
      <c r="L2807" s="71" t="n">
        <v>378.44</v>
      </c>
      <c r="M2807" s="71" t="n">
        <v>463967.44</v>
      </c>
      <c r="N2807" s="71" t="n">
        <v>46396.74</v>
      </c>
      <c r="O2807" s="71" t="n">
        <v>417570.7</v>
      </c>
      <c r="P2807" s="71" t="n">
        <v>93656.42</v>
      </c>
      <c r="Q2807" s="71" t="n">
        <v>323914.28</v>
      </c>
      <c r="R2807" t="inlineStr">
        <is>
          <t>Cardiology</t>
        </is>
      </c>
      <c r="S2807" s="70" t="n">
        <v>894</v>
      </c>
      <c r="T2807" s="71" t="n">
        <v>89250.52</v>
      </c>
      <c r="U2807" t="inlineStr">
        <is>
          <t>High</t>
        </is>
      </c>
      <c r="V2807">
        <f>IF(AND(OR(Dashboard!$C$6="All",E2807=Dashboard!$C$6),OR(Dashboard!$F$6="All",G2807=Dashboard!$F$6),OR(Dashboard!$I$6="All",H2807=Dashboard!$I$6)),1,0)</f>
        <v/>
      </c>
    </row>
    <row r="2808">
      <c r="A2808" t="inlineStr">
        <is>
          <t>PF102799</t>
        </is>
      </c>
      <c r="B2808" s="68" t="n">
        <v>45997</v>
      </c>
      <c r="C2808" s="69" t="n">
        <v>2025</v>
      </c>
      <c r="D2808" t="inlineStr">
        <is>
          <t>Dec</t>
        </is>
      </c>
      <c r="E2808" t="inlineStr">
        <is>
          <t>Europe</t>
        </is>
      </c>
      <c r="F2808" t="inlineStr">
        <is>
          <t>Italy</t>
        </is>
      </c>
      <c r="G2808" t="inlineStr">
        <is>
          <t>Vyndaqel</t>
        </is>
      </c>
      <c r="H2808" t="inlineStr">
        <is>
          <t>Government / tender</t>
        </is>
      </c>
      <c r="I2808" t="inlineStr">
        <is>
          <t>Self-pay</t>
        </is>
      </c>
      <c r="J2808" t="inlineStr">
        <is>
          <t>Arjun Mehta</t>
        </is>
      </c>
      <c r="K2808" s="70" t="n">
        <v>536</v>
      </c>
      <c r="L2808" s="71" t="n">
        <v>5627.38</v>
      </c>
      <c r="M2808" s="71" t="n">
        <v>3016275.68</v>
      </c>
      <c r="N2808" s="71" t="n">
        <v>603255.14</v>
      </c>
      <c r="O2808" s="71" t="n">
        <v>2413020.54</v>
      </c>
      <c r="P2808" s="71" t="n">
        <v>332639.65</v>
      </c>
      <c r="Q2808" s="71" t="n">
        <v>2080380.89</v>
      </c>
      <c r="R2808" t="inlineStr">
        <is>
          <t>Rare disease</t>
        </is>
      </c>
      <c r="S2808" s="70" t="n">
        <v>367</v>
      </c>
      <c r="T2808" s="71" t="n">
        <v>386193.71</v>
      </c>
      <c r="U2808" t="inlineStr">
        <is>
          <t>Medium</t>
        </is>
      </c>
      <c r="V2808">
        <f>IF(AND(OR(Dashboard!$C$6="All",E2808=Dashboard!$C$6),OR(Dashboard!$F$6="All",G2808=Dashboard!$F$6),OR(Dashboard!$I$6="All",H2808=Dashboard!$I$6)),1,0)</f>
        <v/>
      </c>
    </row>
    <row r="2809">
      <c r="A2809" t="inlineStr">
        <is>
          <t>PF102800</t>
        </is>
      </c>
      <c r="B2809" s="68" t="n">
        <v>45997</v>
      </c>
      <c r="C2809" s="69" t="n">
        <v>2025</v>
      </c>
      <c r="D2809" t="inlineStr">
        <is>
          <t>Dec</t>
        </is>
      </c>
      <c r="E2809" t="inlineStr">
        <is>
          <t>United States</t>
        </is>
      </c>
      <c r="F2809" t="inlineStr">
        <is>
          <t>USA</t>
        </is>
      </c>
      <c r="G2809" t="inlineStr">
        <is>
          <t>Eliquis</t>
        </is>
      </c>
      <c r="H2809" t="inlineStr">
        <is>
          <t>Retail pharmacy</t>
        </is>
      </c>
      <c r="I2809" t="inlineStr">
        <is>
          <t>Public payer</t>
        </is>
      </c>
      <c r="J2809" t="inlineStr">
        <is>
          <t>Lucas Martin</t>
        </is>
      </c>
      <c r="K2809" s="70" t="n">
        <v>1816</v>
      </c>
      <c r="L2809" s="71" t="n">
        <v>722.3</v>
      </c>
      <c r="M2809" s="71" t="n">
        <v>1311696.8</v>
      </c>
      <c r="N2809" s="71" t="n">
        <v>393509.04</v>
      </c>
      <c r="O2809" s="71" t="n">
        <v>918187.76</v>
      </c>
      <c r="P2809" s="71" t="n">
        <v>141478.89</v>
      </c>
      <c r="Q2809" s="71" t="n">
        <v>776708.87</v>
      </c>
      <c r="R2809" t="inlineStr">
        <is>
          <t>Cardiology</t>
        </is>
      </c>
      <c r="S2809" s="70" t="n">
        <v>1198</v>
      </c>
      <c r="T2809" s="71" t="n">
        <v>175814.67</v>
      </c>
      <c r="U2809" t="inlineStr">
        <is>
          <t>High</t>
        </is>
      </c>
      <c r="V2809">
        <f>IF(AND(OR(Dashboard!$C$6="All",E2809=Dashboard!$C$6),OR(Dashboard!$F$6="All",G2809=Dashboard!$F$6),OR(Dashboard!$I$6="All",H2809=Dashboard!$I$6)),1,0)</f>
        <v/>
      </c>
    </row>
    <row r="2810">
      <c r="A2810" t="inlineStr">
        <is>
          <t>PF102801</t>
        </is>
      </c>
      <c r="B2810" s="68" t="n">
        <v>45997</v>
      </c>
      <c r="C2810" s="69" t="n">
        <v>2025</v>
      </c>
      <c r="D2810" t="inlineStr">
        <is>
          <t>Dec</t>
        </is>
      </c>
      <c r="E2810" t="inlineStr">
        <is>
          <t>Europe</t>
        </is>
      </c>
      <c r="F2810" t="inlineStr">
        <is>
          <t>Italy</t>
        </is>
      </c>
      <c r="G2810" t="inlineStr">
        <is>
          <t>Comirnaty</t>
        </is>
      </c>
      <c r="H2810" t="inlineStr">
        <is>
          <t>Hospital</t>
        </is>
      </c>
      <c r="I2810" t="inlineStr">
        <is>
          <t>Public payer</t>
        </is>
      </c>
      <c r="J2810" t="inlineStr">
        <is>
          <t>Kofi Mensah</t>
        </is>
      </c>
      <c r="K2810" s="70" t="n">
        <v>3485</v>
      </c>
      <c r="L2810" s="71" t="n">
        <v>112.28</v>
      </c>
      <c r="M2810" s="71" t="n">
        <v>391295.8</v>
      </c>
      <c r="N2810" s="71" t="n">
        <v>58694.37</v>
      </c>
      <c r="O2810" s="71" t="n">
        <v>332601.43</v>
      </c>
      <c r="P2810" s="71" t="n">
        <v>135812.29</v>
      </c>
      <c r="Q2810" s="71" t="n">
        <v>196789.14</v>
      </c>
      <c r="R2810" t="inlineStr">
        <is>
          <t>Vaccines</t>
        </is>
      </c>
      <c r="S2810" s="70" t="n">
        <v>2463</v>
      </c>
      <c r="T2810" s="71" t="n">
        <v>60183.19</v>
      </c>
      <c r="U2810" t="inlineStr">
        <is>
          <t>Low</t>
        </is>
      </c>
      <c r="V2810">
        <f>IF(AND(OR(Dashboard!$C$6="All",E2810=Dashboard!$C$6),OR(Dashboard!$F$6="All",G2810=Dashboard!$F$6),OR(Dashboard!$I$6="All",H2810=Dashboard!$I$6)),1,0)</f>
        <v/>
      </c>
    </row>
    <row r="2811">
      <c r="A2811" t="inlineStr">
        <is>
          <t>PF102802</t>
        </is>
      </c>
      <c r="B2811" s="68" t="n">
        <v>45997</v>
      </c>
      <c r="C2811" s="69" t="n">
        <v>2025</v>
      </c>
      <c r="D2811" t="inlineStr">
        <is>
          <t>Dec</t>
        </is>
      </c>
      <c r="E2811" t="inlineStr">
        <is>
          <t>Europe</t>
        </is>
      </c>
      <c r="F2811" t="inlineStr">
        <is>
          <t>France</t>
        </is>
      </c>
      <c r="G2811" t="inlineStr">
        <is>
          <t>Comirnaty</t>
        </is>
      </c>
      <c r="H2811" t="inlineStr">
        <is>
          <t>Government / tender</t>
        </is>
      </c>
      <c r="I2811" t="inlineStr">
        <is>
          <t>Public payer</t>
        </is>
      </c>
      <c r="J2811" t="inlineStr">
        <is>
          <t>Lucas Martin</t>
        </is>
      </c>
      <c r="K2811" s="70" t="n">
        <v>726</v>
      </c>
      <c r="L2811" s="71" t="n">
        <v>104.68</v>
      </c>
      <c r="M2811" s="71" t="n">
        <v>75997.67999999999</v>
      </c>
      <c r="N2811" s="71" t="n">
        <v>3799.88</v>
      </c>
      <c r="O2811" s="71" t="n">
        <v>72197.8</v>
      </c>
      <c r="P2811" s="71" t="n">
        <v>28333.58</v>
      </c>
      <c r="Q2811" s="71" t="n">
        <v>43864.22</v>
      </c>
      <c r="R2811" t="inlineStr">
        <is>
          <t>Vaccines</t>
        </is>
      </c>
      <c r="S2811" s="70" t="n">
        <v>610</v>
      </c>
      <c r="T2811" s="71" t="n">
        <v>12575.64</v>
      </c>
      <c r="U2811" t="inlineStr">
        <is>
          <t>Low</t>
        </is>
      </c>
      <c r="V2811">
        <f>IF(AND(OR(Dashboard!$C$6="All",E2811=Dashboard!$C$6),OR(Dashboard!$F$6="All",G2811=Dashboard!$F$6),OR(Dashboard!$I$6="All",H2811=Dashboard!$I$6)),1,0)</f>
        <v/>
      </c>
    </row>
    <row r="2812">
      <c r="A2812" t="inlineStr">
        <is>
          <t>PF102803</t>
        </is>
      </c>
      <c r="B2812" s="68" t="n">
        <v>45997</v>
      </c>
      <c r="C2812" s="69" t="n">
        <v>2025</v>
      </c>
      <c r="D2812" t="inlineStr">
        <is>
          <t>Dec</t>
        </is>
      </c>
      <c r="E2812" t="inlineStr">
        <is>
          <t>International developed</t>
        </is>
      </c>
      <c r="F2812" t="inlineStr">
        <is>
          <t>Canada</t>
        </is>
      </c>
      <c r="G2812" t="inlineStr">
        <is>
          <t>Xeljanz</t>
        </is>
      </c>
      <c r="H2812" t="inlineStr">
        <is>
          <t>Hospital</t>
        </is>
      </c>
      <c r="I2812" t="inlineStr">
        <is>
          <t>Public payer</t>
        </is>
      </c>
      <c r="J2812" t="inlineStr">
        <is>
          <t>Zoya Ahmed</t>
        </is>
      </c>
      <c r="K2812" s="70" t="n">
        <v>2496</v>
      </c>
      <c r="L2812" s="71" t="n">
        <v>1342.64</v>
      </c>
      <c r="M2812" s="71" t="n">
        <v>3351229.44</v>
      </c>
      <c r="N2812" s="71" t="n">
        <v>167561.47</v>
      </c>
      <c r="O2812" s="71" t="n">
        <v>3183667.97</v>
      </c>
      <c r="P2812" s="71" t="n">
        <v>616438.28</v>
      </c>
      <c r="Q2812" s="71" t="n">
        <v>2567229.69</v>
      </c>
      <c r="R2812" t="inlineStr">
        <is>
          <t>Inflammation</t>
        </is>
      </c>
      <c r="S2812" s="70" t="n">
        <v>2155</v>
      </c>
      <c r="T2812" s="71" t="n">
        <v>677041.0699999999</v>
      </c>
      <c r="U2812" t="inlineStr">
        <is>
          <t>High</t>
        </is>
      </c>
      <c r="V2812">
        <f>IF(AND(OR(Dashboard!$C$6="All",E2812=Dashboard!$C$6),OR(Dashboard!$F$6="All",G2812=Dashboard!$F$6),OR(Dashboard!$I$6="All",H2812=Dashboard!$I$6)),1,0)</f>
        <v/>
      </c>
    </row>
    <row r="2813">
      <c r="A2813" t="inlineStr">
        <is>
          <t>PF102804</t>
        </is>
      </c>
      <c r="B2813" s="68" t="n">
        <v>45997</v>
      </c>
      <c r="C2813" s="69" t="n">
        <v>2025</v>
      </c>
      <c r="D2813" t="inlineStr">
        <is>
          <t>Dec</t>
        </is>
      </c>
      <c r="E2813" t="inlineStr">
        <is>
          <t>Europe</t>
        </is>
      </c>
      <c r="F2813" t="inlineStr">
        <is>
          <t>UK</t>
        </is>
      </c>
      <c r="G2813" t="inlineStr">
        <is>
          <t>Comirnaty</t>
        </is>
      </c>
      <c r="H2813" t="inlineStr">
        <is>
          <t>Hospital</t>
        </is>
      </c>
      <c r="I2813" t="inlineStr">
        <is>
          <t>Public payer</t>
        </is>
      </c>
      <c r="J2813" t="inlineStr">
        <is>
          <t>Aisha Bello</t>
        </is>
      </c>
      <c r="K2813" s="70" t="n">
        <v>2552</v>
      </c>
      <c r="L2813" s="71" t="n">
        <v>107.19</v>
      </c>
      <c r="M2813" s="71" t="n">
        <v>273548.88</v>
      </c>
      <c r="N2813" s="71" t="n">
        <v>41032.33</v>
      </c>
      <c r="O2813" s="71" t="n">
        <v>232516.55</v>
      </c>
      <c r="P2813" s="71" t="n">
        <v>98629.85000000001</v>
      </c>
      <c r="Q2813" s="71" t="n">
        <v>133886.7</v>
      </c>
      <c r="R2813" t="inlineStr">
        <is>
          <t>Vaccines</t>
        </is>
      </c>
      <c r="S2813" s="70" t="n">
        <v>2171</v>
      </c>
      <c r="T2813" s="71" t="n">
        <v>33876.34</v>
      </c>
      <c r="U2813" t="inlineStr">
        <is>
          <t>Low</t>
        </is>
      </c>
      <c r="V2813">
        <f>IF(AND(OR(Dashboard!$C$6="All",E2813=Dashboard!$C$6),OR(Dashboard!$F$6="All",G2813=Dashboard!$F$6),OR(Dashboard!$I$6="All",H2813=Dashboard!$I$6)),1,0)</f>
        <v/>
      </c>
    </row>
    <row r="2814">
      <c r="A2814" t="inlineStr">
        <is>
          <t>PF102805</t>
        </is>
      </c>
      <c r="B2814" s="68" t="n">
        <v>45997</v>
      </c>
      <c r="C2814" s="69" t="n">
        <v>2025</v>
      </c>
      <c r="D2814" t="inlineStr">
        <is>
          <t>Dec</t>
        </is>
      </c>
      <c r="E2814" t="inlineStr">
        <is>
          <t>United States</t>
        </is>
      </c>
      <c r="F2814" t="inlineStr">
        <is>
          <t>USA</t>
        </is>
      </c>
      <c r="G2814" t="inlineStr">
        <is>
          <t>Prevnar 20</t>
        </is>
      </c>
      <c r="H2814" t="inlineStr">
        <is>
          <t>Retail pharmacy</t>
        </is>
      </c>
      <c r="I2814" t="inlineStr">
        <is>
          <t>Private insurer</t>
        </is>
      </c>
      <c r="J2814" t="inlineStr">
        <is>
          <t>Priya Nair</t>
        </is>
      </c>
      <c r="K2814" s="70" t="n">
        <v>2638</v>
      </c>
      <c r="L2814" s="71" t="n">
        <v>401.63</v>
      </c>
      <c r="M2814" s="71" t="n">
        <v>1059499.94</v>
      </c>
      <c r="N2814" s="71" t="n">
        <v>211899.99</v>
      </c>
      <c r="O2814" s="71" t="n">
        <v>847599.95</v>
      </c>
      <c r="P2814" s="71" t="n">
        <v>180999.54</v>
      </c>
      <c r="Q2814" s="71" t="n">
        <v>666600.41</v>
      </c>
      <c r="R2814" t="inlineStr">
        <is>
          <t>Vaccines</t>
        </is>
      </c>
      <c r="S2814" s="70" t="n">
        <v>1829</v>
      </c>
      <c r="T2814" s="71" t="n">
        <v>158995.67</v>
      </c>
      <c r="U2814" t="inlineStr">
        <is>
          <t>Low</t>
        </is>
      </c>
      <c r="V2814">
        <f>IF(AND(OR(Dashboard!$C$6="All",E2814=Dashboard!$C$6),OR(Dashboard!$F$6="All",G2814=Dashboard!$F$6),OR(Dashboard!$I$6="All",H2814=Dashboard!$I$6)),1,0)</f>
        <v/>
      </c>
    </row>
    <row r="2815">
      <c r="A2815" t="inlineStr">
        <is>
          <t>PF102806</t>
        </is>
      </c>
      <c r="B2815" s="68" t="n">
        <v>45997</v>
      </c>
      <c r="C2815" s="69" t="n">
        <v>2025</v>
      </c>
      <c r="D2815" t="inlineStr">
        <is>
          <t>Dec</t>
        </is>
      </c>
      <c r="E2815" t="inlineStr">
        <is>
          <t>Emerging markets</t>
        </is>
      </c>
      <c r="F2815" t="inlineStr">
        <is>
          <t>Mexico</t>
        </is>
      </c>
      <c r="G2815" t="inlineStr">
        <is>
          <t>Prevnar 20</t>
        </is>
      </c>
      <c r="H2815" t="inlineStr">
        <is>
          <t>Hospital</t>
        </is>
      </c>
      <c r="I2815" t="inlineStr">
        <is>
          <t>Public payer</t>
        </is>
      </c>
      <c r="J2815" t="inlineStr">
        <is>
          <t>Wei Chen</t>
        </is>
      </c>
      <c r="K2815" s="70" t="n">
        <v>740</v>
      </c>
      <c r="L2815" s="71" t="n">
        <v>252.49</v>
      </c>
      <c r="M2815" s="71" t="n">
        <v>186842.6</v>
      </c>
      <c r="N2815" s="71" t="n">
        <v>46710.65</v>
      </c>
      <c r="O2815" s="71" t="n">
        <v>140131.95</v>
      </c>
      <c r="P2815" s="71" t="n">
        <v>50498.86</v>
      </c>
      <c r="Q2815" s="71" t="n">
        <v>89633.09</v>
      </c>
      <c r="R2815" t="inlineStr">
        <is>
          <t>Vaccines</t>
        </is>
      </c>
      <c r="S2815" s="70" t="n">
        <v>504</v>
      </c>
      <c r="T2815" s="71" t="n">
        <v>31413.04</v>
      </c>
      <c r="U2815" t="inlineStr">
        <is>
          <t>Low</t>
        </is>
      </c>
      <c r="V2815">
        <f>IF(AND(OR(Dashboard!$C$6="All",E2815=Dashboard!$C$6),OR(Dashboard!$F$6="All",G2815=Dashboard!$F$6),OR(Dashboard!$I$6="All",H2815=Dashboard!$I$6)),1,0)</f>
        <v/>
      </c>
    </row>
    <row r="2816">
      <c r="A2816" t="inlineStr">
        <is>
          <t>PF102807</t>
        </is>
      </c>
      <c r="B2816" s="68" t="n">
        <v>45997</v>
      </c>
      <c r="C2816" s="69" t="n">
        <v>2025</v>
      </c>
      <c r="D2816" t="inlineStr">
        <is>
          <t>Dec</t>
        </is>
      </c>
      <c r="E2816" t="inlineStr">
        <is>
          <t>Emerging markets</t>
        </is>
      </c>
      <c r="F2816" t="inlineStr">
        <is>
          <t>Brazil</t>
        </is>
      </c>
      <c r="G2816" t="inlineStr">
        <is>
          <t>Abrysvo</t>
        </is>
      </c>
      <c r="H2816" t="inlineStr">
        <is>
          <t>Retail pharmacy</t>
        </is>
      </c>
      <c r="I2816" t="inlineStr">
        <is>
          <t>Private insurer</t>
        </is>
      </c>
      <c r="J2816" t="inlineStr">
        <is>
          <t>Ana Costa</t>
        </is>
      </c>
      <c r="K2816" s="70" t="n">
        <v>1704</v>
      </c>
      <c r="L2816" s="71" t="n">
        <v>294</v>
      </c>
      <c r="M2816" s="71" t="n">
        <v>500976</v>
      </c>
      <c r="N2816" s="71" t="n">
        <v>125244</v>
      </c>
      <c r="O2816" s="71" t="n">
        <v>375732</v>
      </c>
      <c r="P2816" s="71" t="n">
        <v>142232.91</v>
      </c>
      <c r="Q2816" s="71" t="n">
        <v>233499.09</v>
      </c>
      <c r="R2816" t="inlineStr">
        <is>
          <t>Vaccines</t>
        </is>
      </c>
      <c r="S2816" s="70" t="n">
        <v>1306</v>
      </c>
      <c r="T2816" s="71" t="n">
        <v>106840.69</v>
      </c>
      <c r="U2816" t="inlineStr">
        <is>
          <t>Low</t>
        </is>
      </c>
      <c r="V2816">
        <f>IF(AND(OR(Dashboard!$C$6="All",E2816=Dashboard!$C$6),OR(Dashboard!$F$6="All",G2816=Dashboard!$F$6),OR(Dashboard!$I$6="All",H2816=Dashboard!$I$6)),1,0)</f>
        <v/>
      </c>
    </row>
    <row r="2817">
      <c r="A2817" t="inlineStr">
        <is>
          <t>PF102808</t>
        </is>
      </c>
      <c r="B2817" s="68" t="n">
        <v>45998</v>
      </c>
      <c r="C2817" s="69" t="n">
        <v>2025</v>
      </c>
      <c r="D2817" t="inlineStr">
        <is>
          <t>Dec</t>
        </is>
      </c>
      <c r="E2817" t="inlineStr">
        <is>
          <t>Europe</t>
        </is>
      </c>
      <c r="F2817" t="inlineStr">
        <is>
          <t>Italy</t>
        </is>
      </c>
      <c r="G2817" t="inlineStr">
        <is>
          <t>Prevnar 20</t>
        </is>
      </c>
      <c r="H2817" t="inlineStr">
        <is>
          <t>Government / tender</t>
        </is>
      </c>
      <c r="I2817" t="inlineStr">
        <is>
          <t>Public payer</t>
        </is>
      </c>
      <c r="J2817" t="inlineStr">
        <is>
          <t>Aisha Bello</t>
        </is>
      </c>
      <c r="K2817" s="70" t="n">
        <v>2562</v>
      </c>
      <c r="L2817" s="71" t="n">
        <v>233.74</v>
      </c>
      <c r="M2817" s="71" t="n">
        <v>598841.88</v>
      </c>
      <c r="N2817" s="71" t="n">
        <v>59884.19</v>
      </c>
      <c r="O2817" s="71" t="n">
        <v>538957.6899999999</v>
      </c>
      <c r="P2817" s="71" t="n">
        <v>179297.12</v>
      </c>
      <c r="Q2817" s="71" t="n">
        <v>359660.57</v>
      </c>
      <c r="R2817" t="inlineStr">
        <is>
          <t>Vaccines</t>
        </is>
      </c>
      <c r="S2817" s="70" t="n">
        <v>2195</v>
      </c>
      <c r="T2817" s="71" t="n">
        <v>85682.34</v>
      </c>
      <c r="U2817" t="inlineStr">
        <is>
          <t>Low</t>
        </is>
      </c>
      <c r="V2817">
        <f>IF(AND(OR(Dashboard!$C$6="All",E2817=Dashboard!$C$6),OR(Dashboard!$F$6="All",G2817=Dashboard!$F$6),OR(Dashboard!$I$6="All",H2817=Dashboard!$I$6)),1,0)</f>
        <v/>
      </c>
    </row>
    <row r="2818">
      <c r="A2818" t="inlineStr">
        <is>
          <t>PF102809</t>
        </is>
      </c>
      <c r="B2818" s="68" t="n">
        <v>45998</v>
      </c>
      <c r="C2818" s="69" t="n">
        <v>2025</v>
      </c>
      <c r="D2818" t="inlineStr">
        <is>
          <t>Dec</t>
        </is>
      </c>
      <c r="E2818" t="inlineStr">
        <is>
          <t>United States</t>
        </is>
      </c>
      <c r="F2818" t="inlineStr">
        <is>
          <t>USA</t>
        </is>
      </c>
      <c r="G2818" t="inlineStr">
        <is>
          <t>Prevnar 20</t>
        </is>
      </c>
      <c r="H2818" t="inlineStr">
        <is>
          <t>Retail pharmacy</t>
        </is>
      </c>
      <c r="I2818" t="inlineStr">
        <is>
          <t>Private insurer</t>
        </is>
      </c>
      <c r="J2818" t="inlineStr">
        <is>
          <t>Lucas Martin</t>
        </is>
      </c>
      <c r="K2818" s="70" t="n">
        <v>2436</v>
      </c>
      <c r="L2818" s="71" t="n">
        <v>379.7</v>
      </c>
      <c r="M2818" s="71" t="n">
        <v>924949.2</v>
      </c>
      <c r="N2818" s="71" t="n">
        <v>323732.22</v>
      </c>
      <c r="O2818" s="71" t="n">
        <v>601216.98</v>
      </c>
      <c r="P2818" s="71" t="n">
        <v>168604.97</v>
      </c>
      <c r="Q2818" s="71" t="n">
        <v>432612.01</v>
      </c>
      <c r="R2818" t="inlineStr">
        <is>
          <t>Vaccines</t>
        </is>
      </c>
      <c r="S2818" s="70" t="n">
        <v>2286</v>
      </c>
      <c r="T2818" s="71" t="n">
        <v>155105.51</v>
      </c>
      <c r="U2818" t="inlineStr">
        <is>
          <t>Low</t>
        </is>
      </c>
      <c r="V2818">
        <f>IF(AND(OR(Dashboard!$C$6="All",E2818=Dashboard!$C$6),OR(Dashboard!$F$6="All",G2818=Dashboard!$F$6),OR(Dashboard!$I$6="All",H2818=Dashboard!$I$6)),1,0)</f>
        <v/>
      </c>
    </row>
    <row r="2819">
      <c r="A2819" t="inlineStr">
        <is>
          <t>PF102810</t>
        </is>
      </c>
      <c r="B2819" s="68" t="n">
        <v>45998</v>
      </c>
      <c r="C2819" s="69" t="n">
        <v>2025</v>
      </c>
      <c r="D2819" t="inlineStr">
        <is>
          <t>Dec</t>
        </is>
      </c>
      <c r="E2819" t="inlineStr">
        <is>
          <t>United States</t>
        </is>
      </c>
      <c r="F2819" t="inlineStr">
        <is>
          <t>USA</t>
        </is>
      </c>
      <c r="G2819" t="inlineStr">
        <is>
          <t>Eliquis</t>
        </is>
      </c>
      <c r="H2819" t="inlineStr">
        <is>
          <t>Retail pharmacy</t>
        </is>
      </c>
      <c r="I2819" t="inlineStr">
        <is>
          <t>Private insurer</t>
        </is>
      </c>
      <c r="J2819" t="inlineStr">
        <is>
          <t>Zoya Ahmed</t>
        </is>
      </c>
      <c r="K2819" s="70" t="n">
        <v>975</v>
      </c>
      <c r="L2819" s="71" t="n">
        <v>680.03</v>
      </c>
      <c r="M2819" s="71" t="n">
        <v>663029.25</v>
      </c>
      <c r="N2819" s="71" t="n">
        <v>165757.31</v>
      </c>
      <c r="O2819" s="71" t="n">
        <v>497271.94</v>
      </c>
      <c r="P2819" s="71" t="n">
        <v>73561.37</v>
      </c>
      <c r="Q2819" s="71" t="n">
        <v>423710.57</v>
      </c>
      <c r="R2819" t="inlineStr">
        <is>
          <t>Cardiology</t>
        </is>
      </c>
      <c r="S2819" s="70" t="n">
        <v>750</v>
      </c>
      <c r="T2819" s="71" t="n">
        <v>130617.62</v>
      </c>
      <c r="U2819" t="inlineStr">
        <is>
          <t>High</t>
        </is>
      </c>
      <c r="V2819">
        <f>IF(AND(OR(Dashboard!$C$6="All",E2819=Dashboard!$C$6),OR(Dashboard!$F$6="All",G2819=Dashboard!$F$6),OR(Dashboard!$I$6="All",H2819=Dashboard!$I$6)),1,0)</f>
        <v/>
      </c>
    </row>
    <row r="2820">
      <c r="A2820" t="inlineStr">
        <is>
          <t>PF102811</t>
        </is>
      </c>
      <c r="B2820" s="68" t="n">
        <v>45998</v>
      </c>
      <c r="C2820" s="69" t="n">
        <v>2025</v>
      </c>
      <c r="D2820" t="inlineStr">
        <is>
          <t>Dec</t>
        </is>
      </c>
      <c r="E2820" t="inlineStr">
        <is>
          <t>United States</t>
        </is>
      </c>
      <c r="F2820" t="inlineStr">
        <is>
          <t>USA</t>
        </is>
      </c>
      <c r="G2820" t="inlineStr">
        <is>
          <t>Ibrance</t>
        </is>
      </c>
      <c r="H2820" t="inlineStr">
        <is>
          <t>Retail pharmacy</t>
        </is>
      </c>
      <c r="I2820" t="inlineStr">
        <is>
          <t>Public payer</t>
        </is>
      </c>
      <c r="J2820" t="inlineStr">
        <is>
          <t>Amir Khan</t>
        </is>
      </c>
      <c r="K2820" s="70" t="n">
        <v>300</v>
      </c>
      <c r="L2820" s="71" t="n">
        <v>4636.67</v>
      </c>
      <c r="M2820" s="71" t="n">
        <v>1391001</v>
      </c>
      <c r="N2820" s="71" t="n">
        <v>208650.15</v>
      </c>
      <c r="O2820" s="71" t="n">
        <v>1182350.85</v>
      </c>
      <c r="P2820" s="71" t="n">
        <v>131450.84</v>
      </c>
      <c r="Q2820" s="71" t="n">
        <v>1050900.01</v>
      </c>
      <c r="R2820" t="inlineStr">
        <is>
          <t>Oncology</t>
        </is>
      </c>
      <c r="S2820" s="70" t="n">
        <v>228</v>
      </c>
      <c r="T2820" s="71" t="n">
        <v>277768.72</v>
      </c>
      <c r="U2820" t="inlineStr">
        <is>
          <t>High</t>
        </is>
      </c>
      <c r="V2820">
        <f>IF(AND(OR(Dashboard!$C$6="All",E2820=Dashboard!$C$6),OR(Dashboard!$F$6="All",G2820=Dashboard!$F$6),OR(Dashboard!$I$6="All",H2820=Dashboard!$I$6)),1,0)</f>
        <v/>
      </c>
    </row>
    <row r="2821">
      <c r="A2821" t="inlineStr">
        <is>
          <t>PF102812</t>
        </is>
      </c>
      <c r="B2821" s="68" t="n">
        <v>45998</v>
      </c>
      <c r="C2821" s="69" t="n">
        <v>2025</v>
      </c>
      <c r="D2821" t="inlineStr">
        <is>
          <t>Dec</t>
        </is>
      </c>
      <c r="E2821" t="inlineStr">
        <is>
          <t>United States</t>
        </is>
      </c>
      <c r="F2821" t="inlineStr">
        <is>
          <t>USA</t>
        </is>
      </c>
      <c r="G2821" t="inlineStr">
        <is>
          <t>Vyndaqel</t>
        </is>
      </c>
      <c r="H2821" t="inlineStr">
        <is>
          <t>Government / tender</t>
        </is>
      </c>
      <c r="I2821" t="inlineStr">
        <is>
          <t>Private insurer</t>
        </is>
      </c>
      <c r="J2821" t="inlineStr">
        <is>
          <t>Aisha Bello</t>
        </is>
      </c>
      <c r="K2821" s="70" t="n">
        <v>2233</v>
      </c>
      <c r="L2821" s="71" t="n">
        <v>7564.16</v>
      </c>
      <c r="M2821" s="71" t="n">
        <v>16890769.28</v>
      </c>
      <c r="N2821" s="71" t="n">
        <v>2533615.39</v>
      </c>
      <c r="O2821" s="71" t="n">
        <v>14357153.89</v>
      </c>
      <c r="P2821" s="71" t="n">
        <v>1441595.96</v>
      </c>
      <c r="Q2821" s="71" t="n">
        <v>12915557.93</v>
      </c>
      <c r="R2821" t="inlineStr">
        <is>
          <t>Rare disease</t>
        </is>
      </c>
      <c r="S2821" s="70" t="n">
        <v>1669</v>
      </c>
      <c r="T2821" s="71" t="n">
        <v>2213929.27</v>
      </c>
      <c r="U2821" t="inlineStr">
        <is>
          <t>Medium</t>
        </is>
      </c>
      <c r="V2821">
        <f>IF(AND(OR(Dashboard!$C$6="All",E2821=Dashboard!$C$6),OR(Dashboard!$F$6="All",G2821=Dashboard!$F$6),OR(Dashboard!$I$6="All",H2821=Dashboard!$I$6)),1,0)</f>
        <v/>
      </c>
    </row>
    <row r="2822">
      <c r="A2822" t="inlineStr">
        <is>
          <t>PF102813</t>
        </is>
      </c>
      <c r="B2822" s="68" t="n">
        <v>45998</v>
      </c>
      <c r="C2822" s="69" t="n">
        <v>2025</v>
      </c>
      <c r="D2822" t="inlineStr">
        <is>
          <t>Dec</t>
        </is>
      </c>
      <c r="E2822" t="inlineStr">
        <is>
          <t>Europe</t>
        </is>
      </c>
      <c r="F2822" t="inlineStr">
        <is>
          <t>France</t>
        </is>
      </c>
      <c r="G2822" t="inlineStr">
        <is>
          <t>Eliquis</t>
        </is>
      </c>
      <c r="H2822" t="inlineStr">
        <is>
          <t>Government / tender</t>
        </is>
      </c>
      <c r="I2822" t="inlineStr">
        <is>
          <t>Public payer</t>
        </is>
      </c>
      <c r="J2822" t="inlineStr">
        <is>
          <t>Sophie Müller</t>
        </is>
      </c>
      <c r="K2822" s="70" t="n">
        <v>3285</v>
      </c>
      <c r="L2822" s="71" t="n">
        <v>427.97</v>
      </c>
      <c r="M2822" s="71" t="n">
        <v>1405881.45</v>
      </c>
      <c r="N2822" s="71" t="n">
        <v>351470.36</v>
      </c>
      <c r="O2822" s="71" t="n">
        <v>1054411.09</v>
      </c>
      <c r="P2822" s="71" t="n">
        <v>256616.7</v>
      </c>
      <c r="Q2822" s="71" t="n">
        <v>797794.39</v>
      </c>
      <c r="R2822" t="inlineStr">
        <is>
          <t>Cardiology</t>
        </is>
      </c>
      <c r="S2822" s="70" t="n">
        <v>2138</v>
      </c>
      <c r="T2822" s="71" t="n">
        <v>284320.7</v>
      </c>
      <c r="U2822" t="inlineStr">
        <is>
          <t>High</t>
        </is>
      </c>
      <c r="V2822">
        <f>IF(AND(OR(Dashboard!$C$6="All",E2822=Dashboard!$C$6),OR(Dashboard!$F$6="All",G2822=Dashboard!$F$6),OR(Dashboard!$I$6="All",H2822=Dashboard!$I$6)),1,0)</f>
        <v/>
      </c>
    </row>
    <row r="2823">
      <c r="A2823" t="inlineStr">
        <is>
          <t>PF102814</t>
        </is>
      </c>
      <c r="B2823" s="68" t="n">
        <v>45999</v>
      </c>
      <c r="C2823" s="69" t="n">
        <v>2025</v>
      </c>
      <c r="D2823" t="inlineStr">
        <is>
          <t>Dec</t>
        </is>
      </c>
      <c r="E2823" t="inlineStr">
        <is>
          <t>International developed</t>
        </is>
      </c>
      <c r="F2823" t="inlineStr">
        <is>
          <t>Australia</t>
        </is>
      </c>
      <c r="G2823" t="inlineStr">
        <is>
          <t>Xeljanz</t>
        </is>
      </c>
      <c r="H2823" t="inlineStr">
        <is>
          <t>Government / tender</t>
        </is>
      </c>
      <c r="I2823" t="inlineStr">
        <is>
          <t>Public payer</t>
        </is>
      </c>
      <c r="J2823" t="inlineStr">
        <is>
          <t>Aisha Bello</t>
        </is>
      </c>
      <c r="K2823" s="70" t="n">
        <v>2028</v>
      </c>
      <c r="L2823" s="71" t="n">
        <v>1326.56</v>
      </c>
      <c r="M2823" s="71" t="n">
        <v>2690263.68</v>
      </c>
      <c r="N2823" s="71" t="n">
        <v>269026.37</v>
      </c>
      <c r="O2823" s="71" t="n">
        <v>2421237.31</v>
      </c>
      <c r="P2823" s="71" t="n">
        <v>493630.6</v>
      </c>
      <c r="Q2823" s="71" t="n">
        <v>1927606.71</v>
      </c>
      <c r="R2823" t="inlineStr">
        <is>
          <t>Inflammation</t>
        </is>
      </c>
      <c r="S2823" s="70" t="n">
        <v>1332</v>
      </c>
      <c r="T2823" s="71" t="n">
        <v>438334.99</v>
      </c>
      <c r="U2823" t="inlineStr">
        <is>
          <t>High</t>
        </is>
      </c>
      <c r="V2823">
        <f>IF(AND(OR(Dashboard!$C$6="All",E2823=Dashboard!$C$6),OR(Dashboard!$F$6="All",G2823=Dashboard!$F$6),OR(Dashboard!$I$6="All",H2823=Dashboard!$I$6)),1,0)</f>
        <v/>
      </c>
    </row>
    <row r="2824">
      <c r="A2824" t="inlineStr">
        <is>
          <t>PF102815</t>
        </is>
      </c>
      <c r="B2824" s="68" t="n">
        <v>45999</v>
      </c>
      <c r="C2824" s="69" t="n">
        <v>2025</v>
      </c>
      <c r="D2824" t="inlineStr">
        <is>
          <t>Dec</t>
        </is>
      </c>
      <c r="E2824" t="inlineStr">
        <is>
          <t>Emerging markets</t>
        </is>
      </c>
      <c r="F2824" t="inlineStr">
        <is>
          <t>Mexico</t>
        </is>
      </c>
      <c r="G2824" t="inlineStr">
        <is>
          <t>Eliquis</t>
        </is>
      </c>
      <c r="H2824" t="inlineStr">
        <is>
          <t>Hospital</t>
        </is>
      </c>
      <c r="I2824" t="inlineStr">
        <is>
          <t>Self-pay</t>
        </is>
      </c>
      <c r="J2824" t="inlineStr">
        <is>
          <t>Zoya Ahmed</t>
        </is>
      </c>
      <c r="K2824" s="70" t="n">
        <v>3528</v>
      </c>
      <c r="L2824" s="71" t="n">
        <v>386.95</v>
      </c>
      <c r="M2824" s="71" t="n">
        <v>1365159.6</v>
      </c>
      <c r="N2824" s="71" t="n">
        <v>341289.9</v>
      </c>
      <c r="O2824" s="71" t="n">
        <v>1023869.7</v>
      </c>
      <c r="P2824" s="71" t="n">
        <v>267706.38</v>
      </c>
      <c r="Q2824" s="71" t="n">
        <v>756163.3199999999</v>
      </c>
      <c r="R2824" t="inlineStr">
        <is>
          <t>Cardiology</t>
        </is>
      </c>
      <c r="S2824" s="70" t="n">
        <v>2412</v>
      </c>
      <c r="T2824" s="71" t="n">
        <v>237783</v>
      </c>
      <c r="U2824" t="inlineStr">
        <is>
          <t>High</t>
        </is>
      </c>
      <c r="V2824">
        <f>IF(AND(OR(Dashboard!$C$6="All",E2824=Dashboard!$C$6),OR(Dashboard!$F$6="All",G2824=Dashboard!$F$6),OR(Dashboard!$I$6="All",H2824=Dashboard!$I$6)),1,0)</f>
        <v/>
      </c>
    </row>
    <row r="2825">
      <c r="A2825" t="inlineStr">
        <is>
          <t>PF102816</t>
        </is>
      </c>
      <c r="B2825" s="68" t="n">
        <v>45999</v>
      </c>
      <c r="C2825" s="69" t="n">
        <v>2025</v>
      </c>
      <c r="D2825" t="inlineStr">
        <is>
          <t>Dec</t>
        </is>
      </c>
      <c r="E2825" t="inlineStr">
        <is>
          <t>United States</t>
        </is>
      </c>
      <c r="F2825" t="inlineStr">
        <is>
          <t>USA</t>
        </is>
      </c>
      <c r="G2825" t="inlineStr">
        <is>
          <t>Eliquis</t>
        </is>
      </c>
      <c r="H2825" t="inlineStr">
        <is>
          <t>Government / tender</t>
        </is>
      </c>
      <c r="I2825" t="inlineStr">
        <is>
          <t>Private insurer</t>
        </is>
      </c>
      <c r="J2825" t="inlineStr">
        <is>
          <t>Carlos Silva</t>
        </is>
      </c>
      <c r="K2825" s="70" t="n">
        <v>3467</v>
      </c>
      <c r="L2825" s="71" t="n">
        <v>616.05</v>
      </c>
      <c r="M2825" s="71" t="n">
        <v>2135845.35</v>
      </c>
      <c r="N2825" s="71" t="n">
        <v>533961.34</v>
      </c>
      <c r="O2825" s="71" t="n">
        <v>1601884.01</v>
      </c>
      <c r="P2825" s="71" t="n">
        <v>271475.54</v>
      </c>
      <c r="Q2825" s="71" t="n">
        <v>1330408.47</v>
      </c>
      <c r="R2825" t="inlineStr">
        <is>
          <t>Cardiology</t>
        </is>
      </c>
      <c r="S2825" s="70" t="n">
        <v>2314</v>
      </c>
      <c r="T2825" s="71" t="n">
        <v>407701.46</v>
      </c>
      <c r="U2825" t="inlineStr">
        <is>
          <t>High</t>
        </is>
      </c>
      <c r="V2825">
        <f>IF(AND(OR(Dashboard!$C$6="All",E2825=Dashboard!$C$6),OR(Dashboard!$F$6="All",G2825=Dashboard!$F$6),OR(Dashboard!$I$6="All",H2825=Dashboard!$I$6)),1,0)</f>
        <v/>
      </c>
    </row>
    <row r="2826">
      <c r="A2826" t="inlineStr">
        <is>
          <t>PF102817</t>
        </is>
      </c>
      <c r="B2826" s="68" t="n">
        <v>45999</v>
      </c>
      <c r="C2826" s="69" t="n">
        <v>2025</v>
      </c>
      <c r="D2826" t="inlineStr">
        <is>
          <t>Dec</t>
        </is>
      </c>
      <c r="E2826" t="inlineStr">
        <is>
          <t>International developed</t>
        </is>
      </c>
      <c r="F2826" t="inlineStr">
        <is>
          <t>Japan</t>
        </is>
      </c>
      <c r="G2826" t="inlineStr">
        <is>
          <t>Xeljanz</t>
        </is>
      </c>
      <c r="H2826" t="inlineStr">
        <is>
          <t>Retail pharmacy</t>
        </is>
      </c>
      <c r="I2826" t="inlineStr">
        <is>
          <t>Public payer</t>
        </is>
      </c>
      <c r="J2826" t="inlineStr">
        <is>
          <t>Ana Costa</t>
        </is>
      </c>
      <c r="K2826" s="70" t="n">
        <v>1117</v>
      </c>
      <c r="L2826" s="71" t="n">
        <v>1520.3</v>
      </c>
      <c r="M2826" s="71" t="n">
        <v>1698175.1</v>
      </c>
      <c r="N2826" s="71" t="n">
        <v>84908.75999999999</v>
      </c>
      <c r="O2826" s="71" t="n">
        <v>1613266.34</v>
      </c>
      <c r="P2826" s="71" t="n">
        <v>278662.49</v>
      </c>
      <c r="Q2826" s="71" t="n">
        <v>1334603.85</v>
      </c>
      <c r="R2826" t="inlineStr">
        <is>
          <t>Inflammation</t>
        </is>
      </c>
      <c r="S2826" s="70" t="n">
        <v>953</v>
      </c>
      <c r="T2826" s="71" t="n">
        <v>368960.28</v>
      </c>
      <c r="U2826" t="inlineStr">
        <is>
          <t>High</t>
        </is>
      </c>
      <c r="V2826">
        <f>IF(AND(OR(Dashboard!$C$6="All",E2826=Dashboard!$C$6),OR(Dashboard!$F$6="All",G2826=Dashboard!$F$6),OR(Dashboard!$I$6="All",H2826=Dashboard!$I$6)),1,0)</f>
        <v/>
      </c>
    </row>
    <row r="2827">
      <c r="A2827" t="inlineStr">
        <is>
          <t>PF102818</t>
        </is>
      </c>
      <c r="B2827" s="68" t="n">
        <v>45999</v>
      </c>
      <c r="C2827" s="69" t="n">
        <v>2025</v>
      </c>
      <c r="D2827" t="inlineStr">
        <is>
          <t>Dec</t>
        </is>
      </c>
      <c r="E2827" t="inlineStr">
        <is>
          <t>Europe</t>
        </is>
      </c>
      <c r="F2827" t="inlineStr">
        <is>
          <t>Spain</t>
        </is>
      </c>
      <c r="G2827" t="inlineStr">
        <is>
          <t>Xeljanz</t>
        </is>
      </c>
      <c r="H2827" t="inlineStr">
        <is>
          <t>Government / tender</t>
        </is>
      </c>
      <c r="I2827" t="inlineStr">
        <is>
          <t>Private insurer</t>
        </is>
      </c>
      <c r="J2827" t="inlineStr">
        <is>
          <t>Shraddha Kulkarni</t>
        </is>
      </c>
      <c r="K2827" s="70" t="n">
        <v>1881</v>
      </c>
      <c r="L2827" s="71" t="n">
        <v>1293.42</v>
      </c>
      <c r="M2827" s="71" t="n">
        <v>2432923.02</v>
      </c>
      <c r="N2827" s="71" t="n">
        <v>243292.3</v>
      </c>
      <c r="O2827" s="71" t="n">
        <v>2189630.72</v>
      </c>
      <c r="P2827" s="71" t="n">
        <v>484097.22</v>
      </c>
      <c r="Q2827" s="71" t="n">
        <v>1705533.5</v>
      </c>
      <c r="R2827" t="inlineStr">
        <is>
          <t>Inflammation</t>
        </is>
      </c>
      <c r="S2827" s="70" t="n">
        <v>1545</v>
      </c>
      <c r="T2827" s="71" t="n">
        <v>383194.63</v>
      </c>
      <c r="U2827" t="inlineStr">
        <is>
          <t>High</t>
        </is>
      </c>
      <c r="V2827">
        <f>IF(AND(OR(Dashboard!$C$6="All",E2827=Dashboard!$C$6),OR(Dashboard!$F$6="All",G2827=Dashboard!$F$6),OR(Dashboard!$I$6="All",H2827=Dashboard!$I$6)),1,0)</f>
        <v/>
      </c>
    </row>
    <row r="2828">
      <c r="A2828" t="inlineStr">
        <is>
          <t>PF102819</t>
        </is>
      </c>
      <c r="B2828" s="68" t="n">
        <v>45999</v>
      </c>
      <c r="C2828" s="69" t="n">
        <v>2025</v>
      </c>
      <c r="D2828" t="inlineStr">
        <is>
          <t>Dec</t>
        </is>
      </c>
      <c r="E2828" t="inlineStr">
        <is>
          <t>Emerging markets</t>
        </is>
      </c>
      <c r="F2828" t="inlineStr">
        <is>
          <t>China</t>
        </is>
      </c>
      <c r="G2828" t="inlineStr">
        <is>
          <t>Eliquis</t>
        </is>
      </c>
      <c r="H2828" t="inlineStr">
        <is>
          <t>Hospital</t>
        </is>
      </c>
      <c r="I2828" t="inlineStr">
        <is>
          <t>Private insurer</t>
        </is>
      </c>
      <c r="J2828" t="inlineStr">
        <is>
          <t>Yuki Sato</t>
        </is>
      </c>
      <c r="K2828" s="70" t="n">
        <v>255</v>
      </c>
      <c r="L2828" s="71" t="n">
        <v>407.55</v>
      </c>
      <c r="M2828" s="71" t="n">
        <v>103925.25</v>
      </c>
      <c r="N2828" s="71" t="n">
        <v>5196.26</v>
      </c>
      <c r="O2828" s="71" t="n">
        <v>98728.99000000001</v>
      </c>
      <c r="P2828" s="71" t="n">
        <v>18980.9</v>
      </c>
      <c r="Q2828" s="71" t="n">
        <v>79748.09</v>
      </c>
      <c r="R2828" t="inlineStr">
        <is>
          <t>Cardiology</t>
        </is>
      </c>
      <c r="S2828" s="70" t="n">
        <v>188</v>
      </c>
      <c r="T2828" s="71" t="n">
        <v>12522.81</v>
      </c>
      <c r="U2828" t="inlineStr">
        <is>
          <t>High</t>
        </is>
      </c>
      <c r="V2828">
        <f>IF(AND(OR(Dashboard!$C$6="All",E2828=Dashboard!$C$6),OR(Dashboard!$F$6="All",G2828=Dashboard!$F$6),OR(Dashboard!$I$6="All",H2828=Dashboard!$I$6)),1,0)</f>
        <v/>
      </c>
    </row>
    <row r="2829">
      <c r="A2829" t="inlineStr">
        <is>
          <t>PF102820</t>
        </is>
      </c>
      <c r="B2829" s="68" t="n">
        <v>45999</v>
      </c>
      <c r="C2829" s="69" t="n">
        <v>2025</v>
      </c>
      <c r="D2829" t="inlineStr">
        <is>
          <t>Dec</t>
        </is>
      </c>
      <c r="E2829" t="inlineStr">
        <is>
          <t>Europe</t>
        </is>
      </c>
      <c r="F2829" t="inlineStr">
        <is>
          <t>Germany</t>
        </is>
      </c>
      <c r="G2829" t="inlineStr">
        <is>
          <t>Comirnaty</t>
        </is>
      </c>
      <c r="H2829" t="inlineStr">
        <is>
          <t>Government / tender</t>
        </is>
      </c>
      <c r="I2829" t="inlineStr">
        <is>
          <t>Self-pay</t>
        </is>
      </c>
      <c r="J2829" t="inlineStr">
        <is>
          <t>Ruhi Shaikh</t>
        </is>
      </c>
      <c r="K2829" s="70" t="n">
        <v>2709</v>
      </c>
      <c r="L2829" s="71" t="n">
        <v>113.28</v>
      </c>
      <c r="M2829" s="71" t="n">
        <v>306875.52</v>
      </c>
      <c r="N2829" s="71" t="n">
        <v>76718.88</v>
      </c>
      <c r="O2829" s="71" t="n">
        <v>230156.64</v>
      </c>
      <c r="P2829" s="71" t="n">
        <v>106925.31</v>
      </c>
      <c r="Q2829" s="71" t="n">
        <v>123231.33</v>
      </c>
      <c r="R2829" t="inlineStr">
        <is>
          <t>Vaccines</t>
        </is>
      </c>
      <c r="S2829" s="70" t="n">
        <v>2467</v>
      </c>
      <c r="T2829" s="71" t="n">
        <v>48622.47</v>
      </c>
      <c r="U2829" t="inlineStr">
        <is>
          <t>Low</t>
        </is>
      </c>
      <c r="V2829">
        <f>IF(AND(OR(Dashboard!$C$6="All",E2829=Dashboard!$C$6),OR(Dashboard!$F$6="All",G2829=Dashboard!$F$6),OR(Dashboard!$I$6="All",H2829=Dashboard!$I$6)),1,0)</f>
        <v/>
      </c>
    </row>
    <row r="2830">
      <c r="A2830" t="inlineStr">
        <is>
          <t>PF102821</t>
        </is>
      </c>
      <c r="B2830" s="68" t="n">
        <v>45999</v>
      </c>
      <c r="C2830" s="69" t="n">
        <v>2025</v>
      </c>
      <c r="D2830" t="inlineStr">
        <is>
          <t>Dec</t>
        </is>
      </c>
      <c r="E2830" t="inlineStr">
        <is>
          <t>International developed</t>
        </is>
      </c>
      <c r="F2830" t="inlineStr">
        <is>
          <t>Japan</t>
        </is>
      </c>
      <c r="G2830" t="inlineStr">
        <is>
          <t>Comirnaty</t>
        </is>
      </c>
      <c r="H2830" t="inlineStr">
        <is>
          <t>Retail pharmacy</t>
        </is>
      </c>
      <c r="I2830" t="inlineStr">
        <is>
          <t>Private insurer</t>
        </is>
      </c>
      <c r="J2830" t="inlineStr">
        <is>
          <t>Priya Nair</t>
        </is>
      </c>
      <c r="K2830" s="70" t="n">
        <v>2002</v>
      </c>
      <c r="L2830" s="71" t="n">
        <v>106.79</v>
      </c>
      <c r="M2830" s="71" t="n">
        <v>213793.58</v>
      </c>
      <c r="N2830" s="71" t="n">
        <v>21379.36</v>
      </c>
      <c r="O2830" s="71" t="n">
        <v>192414.22</v>
      </c>
      <c r="P2830" s="71" t="n">
        <v>79495.39</v>
      </c>
      <c r="Q2830" s="71" t="n">
        <v>112918.83</v>
      </c>
      <c r="R2830" t="inlineStr">
        <is>
          <t>Vaccines</t>
        </is>
      </c>
      <c r="S2830" s="70" t="n">
        <v>1440</v>
      </c>
      <c r="T2830" s="71" t="n">
        <v>44013.2</v>
      </c>
      <c r="U2830" t="inlineStr">
        <is>
          <t>Low</t>
        </is>
      </c>
      <c r="V2830">
        <f>IF(AND(OR(Dashboard!$C$6="All",E2830=Dashboard!$C$6),OR(Dashboard!$F$6="All",G2830=Dashboard!$F$6),OR(Dashboard!$I$6="All",H2830=Dashboard!$I$6)),1,0)</f>
        <v/>
      </c>
    </row>
    <row r="2831">
      <c r="A2831" t="inlineStr">
        <is>
          <t>PF102822</t>
        </is>
      </c>
      <c r="B2831" s="68" t="n">
        <v>45999</v>
      </c>
      <c r="C2831" s="69" t="n">
        <v>2025</v>
      </c>
      <c r="D2831" t="inlineStr">
        <is>
          <t>Dec</t>
        </is>
      </c>
      <c r="E2831" t="inlineStr">
        <is>
          <t>Europe</t>
        </is>
      </c>
      <c r="F2831" t="inlineStr">
        <is>
          <t>Italy</t>
        </is>
      </c>
      <c r="G2831" t="inlineStr">
        <is>
          <t>Eliquis</t>
        </is>
      </c>
      <c r="H2831" t="inlineStr">
        <is>
          <t>Retail pharmacy</t>
        </is>
      </c>
      <c r="I2831" t="inlineStr">
        <is>
          <t>Self-pay</t>
        </is>
      </c>
      <c r="J2831" t="inlineStr">
        <is>
          <t>Emma Clarke</t>
        </is>
      </c>
      <c r="K2831" s="70" t="n">
        <v>628</v>
      </c>
      <c r="L2831" s="71" t="n">
        <v>434.61</v>
      </c>
      <c r="M2831" s="71" t="n">
        <v>272935.08</v>
      </c>
      <c r="N2831" s="71" t="n">
        <v>13646.75</v>
      </c>
      <c r="O2831" s="71" t="n">
        <v>259288.33</v>
      </c>
      <c r="P2831" s="71" t="n">
        <v>46055.78</v>
      </c>
      <c r="Q2831" s="71" t="n">
        <v>213232.55</v>
      </c>
      <c r="R2831" t="inlineStr">
        <is>
          <t>Cardiology</t>
        </is>
      </c>
      <c r="S2831" s="70" t="n">
        <v>492</v>
      </c>
      <c r="T2831" s="71" t="n">
        <v>53589.84</v>
      </c>
      <c r="U2831" t="inlineStr">
        <is>
          <t>High</t>
        </is>
      </c>
      <c r="V2831">
        <f>IF(AND(OR(Dashboard!$C$6="All",E2831=Dashboard!$C$6),OR(Dashboard!$F$6="All",G2831=Dashboard!$F$6),OR(Dashboard!$I$6="All",H2831=Dashboard!$I$6)),1,0)</f>
        <v/>
      </c>
    </row>
    <row r="2832">
      <c r="A2832" t="inlineStr">
        <is>
          <t>PF102823</t>
        </is>
      </c>
      <c r="B2832" s="68" t="n">
        <v>45999</v>
      </c>
      <c r="C2832" s="69" t="n">
        <v>2025</v>
      </c>
      <c r="D2832" t="inlineStr">
        <is>
          <t>Dec</t>
        </is>
      </c>
      <c r="E2832" t="inlineStr">
        <is>
          <t>Europe</t>
        </is>
      </c>
      <c r="F2832" t="inlineStr">
        <is>
          <t>Germany</t>
        </is>
      </c>
      <c r="G2832" t="inlineStr">
        <is>
          <t>Eliquis</t>
        </is>
      </c>
      <c r="H2832" t="inlineStr">
        <is>
          <t>Retail pharmacy</t>
        </is>
      </c>
      <c r="I2832" t="inlineStr">
        <is>
          <t>Private insurer</t>
        </is>
      </c>
      <c r="J2832" t="inlineStr">
        <is>
          <t>Omar Haddad</t>
        </is>
      </c>
      <c r="K2832" s="70" t="n">
        <v>1281</v>
      </c>
      <c r="L2832" s="71" t="n">
        <v>434.47</v>
      </c>
      <c r="M2832" s="71" t="n">
        <v>556556.0699999999</v>
      </c>
      <c r="N2832" s="71" t="n">
        <v>27827.8</v>
      </c>
      <c r="O2832" s="71" t="n">
        <v>528728.27</v>
      </c>
      <c r="P2832" s="71" t="n">
        <v>93972.5</v>
      </c>
      <c r="Q2832" s="71" t="n">
        <v>434755.77</v>
      </c>
      <c r="R2832" t="inlineStr">
        <is>
          <t>Cardiology</t>
        </is>
      </c>
      <c r="S2832" s="70" t="n">
        <v>1104</v>
      </c>
      <c r="T2832" s="71" t="n">
        <v>87430.87</v>
      </c>
      <c r="U2832" t="inlineStr">
        <is>
          <t>High</t>
        </is>
      </c>
      <c r="V2832">
        <f>IF(AND(OR(Dashboard!$C$6="All",E2832=Dashboard!$C$6),OR(Dashboard!$F$6="All",G2832=Dashboard!$F$6),OR(Dashboard!$I$6="All",H2832=Dashboard!$I$6)),1,0)</f>
        <v/>
      </c>
    </row>
    <row r="2833">
      <c r="A2833" t="inlineStr">
        <is>
          <t>PF102824</t>
        </is>
      </c>
      <c r="B2833" s="68" t="n">
        <v>45999</v>
      </c>
      <c r="C2833" s="69" t="n">
        <v>2025</v>
      </c>
      <c r="D2833" t="inlineStr">
        <is>
          <t>Dec</t>
        </is>
      </c>
      <c r="E2833" t="inlineStr">
        <is>
          <t>United States</t>
        </is>
      </c>
      <c r="F2833" t="inlineStr">
        <is>
          <t>USA</t>
        </is>
      </c>
      <c r="G2833" t="inlineStr">
        <is>
          <t>Xeljanz</t>
        </is>
      </c>
      <c r="H2833" t="inlineStr">
        <is>
          <t>Hospital</t>
        </is>
      </c>
      <c r="I2833" t="inlineStr">
        <is>
          <t>Public payer</t>
        </is>
      </c>
      <c r="J2833" t="inlineStr">
        <is>
          <t>Carlos Silva</t>
        </is>
      </c>
      <c r="K2833" s="70" t="n">
        <v>3460</v>
      </c>
      <c r="L2833" s="71" t="n">
        <v>2217.5</v>
      </c>
      <c r="M2833" s="71" t="n">
        <v>7672550</v>
      </c>
      <c r="N2833" s="71" t="n">
        <v>1534510</v>
      </c>
      <c r="O2833" s="71" t="n">
        <v>6138040</v>
      </c>
      <c r="P2833" s="71" t="n">
        <v>877123.53</v>
      </c>
      <c r="Q2833" s="71" t="n">
        <v>5260916.47</v>
      </c>
      <c r="R2833" t="inlineStr">
        <is>
          <t>Inflammation</t>
        </is>
      </c>
      <c r="S2833" s="70" t="n">
        <v>2957</v>
      </c>
      <c r="T2833" s="71" t="n">
        <v>1023444.43</v>
      </c>
      <c r="U2833" t="inlineStr">
        <is>
          <t>High</t>
        </is>
      </c>
      <c r="V2833">
        <f>IF(AND(OR(Dashboard!$C$6="All",E2833=Dashboard!$C$6),OR(Dashboard!$F$6="All",G2833=Dashboard!$F$6),OR(Dashboard!$I$6="All",H2833=Dashboard!$I$6)),1,0)</f>
        <v/>
      </c>
    </row>
    <row r="2834">
      <c r="A2834" t="inlineStr">
        <is>
          <t>PF102825</t>
        </is>
      </c>
      <c r="B2834" s="68" t="n">
        <v>45999</v>
      </c>
      <c r="C2834" s="69" t="n">
        <v>2025</v>
      </c>
      <c r="D2834" t="inlineStr">
        <is>
          <t>Dec</t>
        </is>
      </c>
      <c r="E2834" t="inlineStr">
        <is>
          <t>Europe</t>
        </is>
      </c>
      <c r="F2834" t="inlineStr">
        <is>
          <t>Germany</t>
        </is>
      </c>
      <c r="G2834" t="inlineStr">
        <is>
          <t>Eliquis</t>
        </is>
      </c>
      <c r="H2834" t="inlineStr">
        <is>
          <t>Retail pharmacy</t>
        </is>
      </c>
      <c r="I2834" t="inlineStr">
        <is>
          <t>Public payer</t>
        </is>
      </c>
      <c r="J2834" t="inlineStr">
        <is>
          <t>Sara Rossi</t>
        </is>
      </c>
      <c r="K2834" s="70" t="n">
        <v>2956</v>
      </c>
      <c r="L2834" s="71" t="n">
        <v>441.71</v>
      </c>
      <c r="M2834" s="71" t="n">
        <v>1305694.76</v>
      </c>
      <c r="N2834" s="71" t="n">
        <v>65284.74</v>
      </c>
      <c r="O2834" s="71" t="n">
        <v>1240410.02</v>
      </c>
      <c r="P2834" s="71" t="n">
        <v>222464.08</v>
      </c>
      <c r="Q2834" s="71" t="n">
        <v>1017945.94</v>
      </c>
      <c r="R2834" t="inlineStr">
        <is>
          <t>Cardiology</t>
        </is>
      </c>
      <c r="S2834" s="70" t="n">
        <v>2490</v>
      </c>
      <c r="T2834" s="71" t="n">
        <v>191373.43</v>
      </c>
      <c r="U2834" t="inlineStr">
        <is>
          <t>High</t>
        </is>
      </c>
      <c r="V2834">
        <f>IF(AND(OR(Dashboard!$C$6="All",E2834=Dashboard!$C$6),OR(Dashboard!$F$6="All",G2834=Dashboard!$F$6),OR(Dashboard!$I$6="All",H2834=Dashboard!$I$6)),1,0)</f>
        <v/>
      </c>
    </row>
    <row r="2835">
      <c r="A2835" t="inlineStr">
        <is>
          <t>PF102826</t>
        </is>
      </c>
      <c r="B2835" s="68" t="n">
        <v>45999</v>
      </c>
      <c r="C2835" s="69" t="n">
        <v>2025</v>
      </c>
      <c r="D2835" t="inlineStr">
        <is>
          <t>Dec</t>
        </is>
      </c>
      <c r="E2835" t="inlineStr">
        <is>
          <t>United States</t>
        </is>
      </c>
      <c r="F2835" t="inlineStr">
        <is>
          <t>USA</t>
        </is>
      </c>
      <c r="G2835" t="inlineStr">
        <is>
          <t>Eliquis</t>
        </is>
      </c>
      <c r="H2835" t="inlineStr">
        <is>
          <t>Retail pharmacy</t>
        </is>
      </c>
      <c r="I2835" t="inlineStr">
        <is>
          <t>Public payer</t>
        </is>
      </c>
      <c r="J2835" t="inlineStr">
        <is>
          <t>Omar Haddad</t>
        </is>
      </c>
      <c r="K2835" s="70" t="n">
        <v>3378</v>
      </c>
      <c r="L2835" s="71" t="n">
        <v>727.26</v>
      </c>
      <c r="M2835" s="71" t="n">
        <v>2456684.28</v>
      </c>
      <c r="N2835" s="71" t="n">
        <v>614171.0699999999</v>
      </c>
      <c r="O2835" s="71" t="n">
        <v>1842513.21</v>
      </c>
      <c r="P2835" s="71" t="n">
        <v>261333.08</v>
      </c>
      <c r="Q2835" s="71" t="n">
        <v>1581180.13</v>
      </c>
      <c r="R2835" t="inlineStr">
        <is>
          <t>Cardiology</t>
        </is>
      </c>
      <c r="S2835" s="70" t="n">
        <v>2518</v>
      </c>
      <c r="T2835" s="71" t="n">
        <v>429488.47</v>
      </c>
      <c r="U2835" t="inlineStr">
        <is>
          <t>High</t>
        </is>
      </c>
      <c r="V2835">
        <f>IF(AND(OR(Dashboard!$C$6="All",E2835=Dashboard!$C$6),OR(Dashboard!$F$6="All",G2835=Dashboard!$F$6),OR(Dashboard!$I$6="All",H2835=Dashboard!$I$6)),1,0)</f>
        <v/>
      </c>
    </row>
    <row r="2836">
      <c r="A2836" t="inlineStr">
        <is>
          <t>PF102827</t>
        </is>
      </c>
      <c r="B2836" s="68" t="n">
        <v>45999</v>
      </c>
      <c r="C2836" s="69" t="n">
        <v>2025</v>
      </c>
      <c r="D2836" t="inlineStr">
        <is>
          <t>Dec</t>
        </is>
      </c>
      <c r="E2836" t="inlineStr">
        <is>
          <t>Emerging markets</t>
        </is>
      </c>
      <c r="F2836" t="inlineStr">
        <is>
          <t>Brazil</t>
        </is>
      </c>
      <c r="G2836" t="inlineStr">
        <is>
          <t>Ibrance</t>
        </is>
      </c>
      <c r="H2836" t="inlineStr">
        <is>
          <t>Hospital</t>
        </is>
      </c>
      <c r="I2836" t="inlineStr">
        <is>
          <t>Private insurer</t>
        </is>
      </c>
      <c r="J2836" t="inlineStr">
        <is>
          <t>Fatima Al-Saud</t>
        </is>
      </c>
      <c r="K2836" s="70" t="n">
        <v>1555</v>
      </c>
      <c r="L2836" s="71" t="n">
        <v>2804.54</v>
      </c>
      <c r="M2836" s="71" t="n">
        <v>4361059.7</v>
      </c>
      <c r="N2836" s="71" t="n">
        <v>1090264.93</v>
      </c>
      <c r="O2836" s="71" t="n">
        <v>3270794.77</v>
      </c>
      <c r="P2836" s="71" t="n">
        <v>701831.48</v>
      </c>
      <c r="Q2836" s="71" t="n">
        <v>2568963.29</v>
      </c>
      <c r="R2836" t="inlineStr">
        <is>
          <t>Oncology</t>
        </is>
      </c>
      <c r="S2836" s="70" t="n">
        <v>1179</v>
      </c>
      <c r="T2836" s="71" t="n">
        <v>665333.1899999999</v>
      </c>
      <c r="U2836" t="inlineStr">
        <is>
          <t>High</t>
        </is>
      </c>
      <c r="V2836">
        <f>IF(AND(OR(Dashboard!$C$6="All",E2836=Dashboard!$C$6),OR(Dashboard!$F$6="All",G2836=Dashboard!$F$6),OR(Dashboard!$I$6="All",H2836=Dashboard!$I$6)),1,0)</f>
        <v/>
      </c>
    </row>
    <row r="2837">
      <c r="A2837" t="inlineStr">
        <is>
          <t>PF102828</t>
        </is>
      </c>
      <c r="B2837" s="68" t="n">
        <v>45999</v>
      </c>
      <c r="C2837" s="69" t="n">
        <v>2025</v>
      </c>
      <c r="D2837" t="inlineStr">
        <is>
          <t>Dec</t>
        </is>
      </c>
      <c r="E2837" t="inlineStr">
        <is>
          <t>Europe</t>
        </is>
      </c>
      <c r="F2837" t="inlineStr">
        <is>
          <t>France</t>
        </is>
      </c>
      <c r="G2837" t="inlineStr">
        <is>
          <t>Ibrance</t>
        </is>
      </c>
      <c r="H2837" t="inlineStr">
        <is>
          <t>Retail pharmacy</t>
        </is>
      </c>
      <c r="I2837" t="inlineStr">
        <is>
          <t>Public payer</t>
        </is>
      </c>
      <c r="J2837" t="inlineStr">
        <is>
          <t>Ana Costa</t>
        </is>
      </c>
      <c r="K2837" s="70" t="n">
        <v>3167</v>
      </c>
      <c r="L2837" s="71" t="n">
        <v>3060.4</v>
      </c>
      <c r="M2837" s="71" t="n">
        <v>9692286.800000001</v>
      </c>
      <c r="N2837" s="71" t="n">
        <v>2423071.7</v>
      </c>
      <c r="O2837" s="71" t="n">
        <v>7269215.1</v>
      </c>
      <c r="P2837" s="71" t="n">
        <v>1373277.56</v>
      </c>
      <c r="Q2837" s="71" t="n">
        <v>5895937.54</v>
      </c>
      <c r="R2837" t="inlineStr">
        <is>
          <t>Oncology</t>
        </is>
      </c>
      <c r="S2837" s="70" t="n">
        <v>3139</v>
      </c>
      <c r="T2837" s="71" t="n">
        <v>1401617.88</v>
      </c>
      <c r="U2837" t="inlineStr">
        <is>
          <t>High</t>
        </is>
      </c>
      <c r="V2837">
        <f>IF(AND(OR(Dashboard!$C$6="All",E2837=Dashboard!$C$6),OR(Dashboard!$F$6="All",G2837=Dashboard!$F$6),OR(Dashboard!$I$6="All",H2837=Dashboard!$I$6)),1,0)</f>
        <v/>
      </c>
    </row>
    <row r="2838">
      <c r="A2838" t="inlineStr">
        <is>
          <t>PF102829</t>
        </is>
      </c>
      <c r="B2838" s="68" t="n">
        <v>46000</v>
      </c>
      <c r="C2838" s="69" t="n">
        <v>2025</v>
      </c>
      <c r="D2838" t="inlineStr">
        <is>
          <t>Dec</t>
        </is>
      </c>
      <c r="E2838" t="inlineStr">
        <is>
          <t>International developed</t>
        </is>
      </c>
      <c r="F2838" t="inlineStr">
        <is>
          <t>Canada</t>
        </is>
      </c>
      <c r="G2838" t="inlineStr">
        <is>
          <t>Comirnaty</t>
        </is>
      </c>
      <c r="H2838" t="inlineStr">
        <is>
          <t>Hospital</t>
        </is>
      </c>
      <c r="I2838" t="inlineStr">
        <is>
          <t>Self-pay</t>
        </is>
      </c>
      <c r="J2838" t="inlineStr">
        <is>
          <t>Fatima Al-Saud</t>
        </is>
      </c>
      <c r="K2838" s="70" t="n">
        <v>3402</v>
      </c>
      <c r="L2838" s="71" t="n">
        <v>116.3</v>
      </c>
      <c r="M2838" s="71" t="n">
        <v>395652.6</v>
      </c>
      <c r="N2838" s="71" t="n">
        <v>79130.52</v>
      </c>
      <c r="O2838" s="71" t="n">
        <v>316522.08</v>
      </c>
      <c r="P2838" s="71" t="n">
        <v>132221.62</v>
      </c>
      <c r="Q2838" s="71" t="n">
        <v>184300.46</v>
      </c>
      <c r="R2838" t="inlineStr">
        <is>
          <t>Vaccines</t>
        </is>
      </c>
      <c r="S2838" s="70" t="n">
        <v>3374</v>
      </c>
      <c r="T2838" s="71" t="n">
        <v>80215.21000000001</v>
      </c>
      <c r="U2838" t="inlineStr">
        <is>
          <t>Low</t>
        </is>
      </c>
      <c r="V2838">
        <f>IF(AND(OR(Dashboard!$C$6="All",E2838=Dashboard!$C$6),OR(Dashboard!$F$6="All",G2838=Dashboard!$F$6),OR(Dashboard!$I$6="All",H2838=Dashboard!$I$6)),1,0)</f>
        <v/>
      </c>
    </row>
    <row r="2839">
      <c r="A2839" t="inlineStr">
        <is>
          <t>PF102830</t>
        </is>
      </c>
      <c r="B2839" s="68" t="n">
        <v>46000</v>
      </c>
      <c r="C2839" s="69" t="n">
        <v>2025</v>
      </c>
      <c r="D2839" t="inlineStr">
        <is>
          <t>Dec</t>
        </is>
      </c>
      <c r="E2839" t="inlineStr">
        <is>
          <t>United States</t>
        </is>
      </c>
      <c r="F2839" t="inlineStr">
        <is>
          <t>USA</t>
        </is>
      </c>
      <c r="G2839" t="inlineStr">
        <is>
          <t>Eliquis</t>
        </is>
      </c>
      <c r="H2839" t="inlineStr">
        <is>
          <t>Hospital</t>
        </is>
      </c>
      <c r="I2839" t="inlineStr">
        <is>
          <t>Public payer</t>
        </is>
      </c>
      <c r="J2839" t="inlineStr">
        <is>
          <t>Olivia Brown</t>
        </is>
      </c>
      <c r="K2839" s="70" t="n">
        <v>2563</v>
      </c>
      <c r="L2839" s="71" t="n">
        <v>681.39</v>
      </c>
      <c r="M2839" s="71" t="n">
        <v>1746402.57</v>
      </c>
      <c r="N2839" s="71" t="n">
        <v>436600.64</v>
      </c>
      <c r="O2839" s="71" t="n">
        <v>1309801.93</v>
      </c>
      <c r="P2839" s="71" t="n">
        <v>199981.76</v>
      </c>
      <c r="Q2839" s="71" t="n">
        <v>1109820.17</v>
      </c>
      <c r="R2839" t="inlineStr">
        <is>
          <t>Cardiology</t>
        </is>
      </c>
      <c r="S2839" s="70" t="n">
        <v>2007</v>
      </c>
      <c r="T2839" s="71" t="n">
        <v>226207.49</v>
      </c>
      <c r="U2839" t="inlineStr">
        <is>
          <t>High</t>
        </is>
      </c>
      <c r="V2839">
        <f>IF(AND(OR(Dashboard!$C$6="All",E2839=Dashboard!$C$6),OR(Dashboard!$F$6="All",G2839=Dashboard!$F$6),OR(Dashboard!$I$6="All",H2839=Dashboard!$I$6)),1,0)</f>
        <v/>
      </c>
    </row>
    <row r="2840">
      <c r="A2840" t="inlineStr">
        <is>
          <t>PF102831</t>
        </is>
      </c>
      <c r="B2840" s="68" t="n">
        <v>46000</v>
      </c>
      <c r="C2840" s="69" t="n">
        <v>2025</v>
      </c>
      <c r="D2840" t="inlineStr">
        <is>
          <t>Dec</t>
        </is>
      </c>
      <c r="E2840" t="inlineStr">
        <is>
          <t>Europe</t>
        </is>
      </c>
      <c r="F2840" t="inlineStr">
        <is>
          <t>Italy</t>
        </is>
      </c>
      <c r="G2840" t="inlineStr">
        <is>
          <t>Comirnaty</t>
        </is>
      </c>
      <c r="H2840" t="inlineStr">
        <is>
          <t>Hospital</t>
        </is>
      </c>
      <c r="I2840" t="inlineStr">
        <is>
          <t>Private insurer</t>
        </is>
      </c>
      <c r="J2840" t="inlineStr">
        <is>
          <t>Aisha Bello</t>
        </is>
      </c>
      <c r="K2840" s="70" t="n">
        <v>2884</v>
      </c>
      <c r="L2840" s="71" t="n">
        <v>117.19</v>
      </c>
      <c r="M2840" s="71" t="n">
        <v>337975.96</v>
      </c>
      <c r="N2840" s="71" t="n">
        <v>16898.8</v>
      </c>
      <c r="O2840" s="71" t="n">
        <v>321077.16</v>
      </c>
      <c r="P2840" s="71" t="n">
        <v>113448.87</v>
      </c>
      <c r="Q2840" s="71" t="n">
        <v>207628.29</v>
      </c>
      <c r="R2840" t="inlineStr">
        <is>
          <t>Vaccines</t>
        </is>
      </c>
      <c r="S2840" s="70" t="n">
        <v>1899</v>
      </c>
      <c r="T2840" s="71" t="n">
        <v>50481.67</v>
      </c>
      <c r="U2840" t="inlineStr">
        <is>
          <t>Low</t>
        </is>
      </c>
      <c r="V2840">
        <f>IF(AND(OR(Dashboard!$C$6="All",E2840=Dashboard!$C$6),OR(Dashboard!$F$6="All",G2840=Dashboard!$F$6),OR(Dashboard!$I$6="All",H2840=Dashboard!$I$6)),1,0)</f>
        <v/>
      </c>
    </row>
    <row r="2841">
      <c r="A2841" t="inlineStr">
        <is>
          <t>PF102832</t>
        </is>
      </c>
      <c r="B2841" s="68" t="n">
        <v>46000</v>
      </c>
      <c r="C2841" s="69" t="n">
        <v>2025</v>
      </c>
      <c r="D2841" t="inlineStr">
        <is>
          <t>Dec</t>
        </is>
      </c>
      <c r="E2841" t="inlineStr">
        <is>
          <t>United States</t>
        </is>
      </c>
      <c r="F2841" t="inlineStr">
        <is>
          <t>USA</t>
        </is>
      </c>
      <c r="G2841" t="inlineStr">
        <is>
          <t>Paxlovid</t>
        </is>
      </c>
      <c r="H2841" t="inlineStr">
        <is>
          <t>Government / tender</t>
        </is>
      </c>
      <c r="I2841" t="inlineStr">
        <is>
          <t>Public payer</t>
        </is>
      </c>
      <c r="J2841" t="inlineStr">
        <is>
          <t>Lucas Martin</t>
        </is>
      </c>
      <c r="K2841" s="70" t="n">
        <v>143</v>
      </c>
      <c r="L2841" s="71" t="n">
        <v>1700.43</v>
      </c>
      <c r="M2841" s="71" t="n">
        <v>243161.49</v>
      </c>
      <c r="N2841" s="71" t="n">
        <v>85106.52</v>
      </c>
      <c r="O2841" s="71" t="n">
        <v>158054.97</v>
      </c>
      <c r="P2841" s="71" t="n">
        <v>38012.36</v>
      </c>
      <c r="Q2841" s="71" t="n">
        <v>120042.61</v>
      </c>
      <c r="R2841" t="inlineStr">
        <is>
          <t>Antiviral</t>
        </is>
      </c>
      <c r="S2841" s="70" t="n">
        <v>137</v>
      </c>
      <c r="T2841" s="71" t="n">
        <v>37304.19</v>
      </c>
      <c r="U2841" t="inlineStr">
        <is>
          <t>Low</t>
        </is>
      </c>
      <c r="V2841">
        <f>IF(AND(OR(Dashboard!$C$6="All",E2841=Dashboard!$C$6),OR(Dashboard!$F$6="All",G2841=Dashboard!$F$6),OR(Dashboard!$I$6="All",H2841=Dashboard!$I$6)),1,0)</f>
        <v/>
      </c>
    </row>
    <row r="2842">
      <c r="A2842" t="inlineStr">
        <is>
          <t>PF102833</t>
        </is>
      </c>
      <c r="B2842" s="68" t="n">
        <v>46000</v>
      </c>
      <c r="C2842" s="69" t="n">
        <v>2025</v>
      </c>
      <c r="D2842" t="inlineStr">
        <is>
          <t>Dec</t>
        </is>
      </c>
      <c r="E2842" t="inlineStr">
        <is>
          <t>Emerging markets</t>
        </is>
      </c>
      <c r="F2842" t="inlineStr">
        <is>
          <t>India</t>
        </is>
      </c>
      <c r="G2842" t="inlineStr">
        <is>
          <t>Comirnaty</t>
        </is>
      </c>
      <c r="H2842" t="inlineStr">
        <is>
          <t>Retail pharmacy</t>
        </is>
      </c>
      <c r="I2842" t="inlineStr">
        <is>
          <t>Public payer</t>
        </is>
      </c>
      <c r="J2842" t="inlineStr">
        <is>
          <t>Hiroshi Tanaka</t>
        </is>
      </c>
      <c r="K2842" s="70" t="n">
        <v>858</v>
      </c>
      <c r="L2842" s="71" t="n">
        <v>100.3</v>
      </c>
      <c r="M2842" s="71" t="n">
        <v>86057.39999999999</v>
      </c>
      <c r="N2842" s="71" t="n">
        <v>8605.74</v>
      </c>
      <c r="O2842" s="71" t="n">
        <v>77451.66</v>
      </c>
      <c r="P2842" s="71" t="n">
        <v>33493.17</v>
      </c>
      <c r="Q2842" s="71" t="n">
        <v>43958.49</v>
      </c>
      <c r="R2842" t="inlineStr">
        <is>
          <t>Vaccines</t>
        </is>
      </c>
      <c r="S2842" s="70" t="n">
        <v>749</v>
      </c>
      <c r="T2842" s="71" t="n">
        <v>14302.23</v>
      </c>
      <c r="U2842" t="inlineStr">
        <is>
          <t>Low</t>
        </is>
      </c>
      <c r="V2842">
        <f>IF(AND(OR(Dashboard!$C$6="All",E2842=Dashboard!$C$6),OR(Dashboard!$F$6="All",G2842=Dashboard!$F$6),OR(Dashboard!$I$6="All",H2842=Dashboard!$I$6)),1,0)</f>
        <v/>
      </c>
    </row>
    <row r="2843">
      <c r="A2843" t="inlineStr">
        <is>
          <t>PF102834</t>
        </is>
      </c>
      <c r="B2843" s="68" t="n">
        <v>46000</v>
      </c>
      <c r="C2843" s="69" t="n">
        <v>2025</v>
      </c>
      <c r="D2843" t="inlineStr">
        <is>
          <t>Dec</t>
        </is>
      </c>
      <c r="E2843" t="inlineStr">
        <is>
          <t>Europe</t>
        </is>
      </c>
      <c r="F2843" t="inlineStr">
        <is>
          <t>Spain</t>
        </is>
      </c>
      <c r="G2843" t="inlineStr">
        <is>
          <t>Prevnar 20</t>
        </is>
      </c>
      <c r="H2843" t="inlineStr">
        <is>
          <t>Retail pharmacy</t>
        </is>
      </c>
      <c r="I2843" t="inlineStr">
        <is>
          <t>Private insurer</t>
        </is>
      </c>
      <c r="J2843" t="inlineStr">
        <is>
          <t>Liam O'Brien</t>
        </is>
      </c>
      <c r="K2843" s="70" t="n">
        <v>68</v>
      </c>
      <c r="L2843" s="71" t="n">
        <v>208.43</v>
      </c>
      <c r="M2843" s="71" t="n">
        <v>14173.24</v>
      </c>
      <c r="N2843" s="71" t="n">
        <v>3543.31</v>
      </c>
      <c r="O2843" s="71" t="n">
        <v>10629.93</v>
      </c>
      <c r="P2843" s="71" t="n">
        <v>4809.31</v>
      </c>
      <c r="Q2843" s="71" t="n">
        <v>5820.62</v>
      </c>
      <c r="R2843" t="inlineStr">
        <is>
          <t>Vaccines</t>
        </is>
      </c>
      <c r="S2843" s="70" t="n">
        <v>68</v>
      </c>
      <c r="T2843" s="71" t="n">
        <v>2777.4</v>
      </c>
      <c r="U2843" t="inlineStr">
        <is>
          <t>Low</t>
        </is>
      </c>
      <c r="V2843">
        <f>IF(AND(OR(Dashboard!$C$6="All",E2843=Dashboard!$C$6),OR(Dashboard!$F$6="All",G2843=Dashboard!$F$6),OR(Dashboard!$I$6="All",H2843=Dashboard!$I$6)),1,0)</f>
        <v/>
      </c>
    </row>
    <row r="2844">
      <c r="A2844" t="inlineStr">
        <is>
          <t>PF102835</t>
        </is>
      </c>
      <c r="B2844" s="68" t="n">
        <v>46000</v>
      </c>
      <c r="C2844" s="69" t="n">
        <v>2025</v>
      </c>
      <c r="D2844" t="inlineStr">
        <is>
          <t>Dec</t>
        </is>
      </c>
      <c r="E2844" t="inlineStr">
        <is>
          <t>United States</t>
        </is>
      </c>
      <c r="F2844" t="inlineStr">
        <is>
          <t>USA</t>
        </is>
      </c>
      <c r="G2844" t="inlineStr">
        <is>
          <t>Eliquis</t>
        </is>
      </c>
      <c r="H2844" t="inlineStr">
        <is>
          <t>Hospital</t>
        </is>
      </c>
      <c r="I2844" t="inlineStr">
        <is>
          <t>Private insurer</t>
        </is>
      </c>
      <c r="J2844" t="inlineStr">
        <is>
          <t>Liam O'Brien</t>
        </is>
      </c>
      <c r="K2844" s="70" t="n">
        <v>100</v>
      </c>
      <c r="L2844" s="71" t="n">
        <v>729.5</v>
      </c>
      <c r="M2844" s="71" t="n">
        <v>72950</v>
      </c>
      <c r="N2844" s="71" t="n">
        <v>18237.5</v>
      </c>
      <c r="O2844" s="71" t="n">
        <v>54712.5</v>
      </c>
      <c r="P2844" s="71" t="n">
        <v>7336.67</v>
      </c>
      <c r="Q2844" s="71" t="n">
        <v>47375.83</v>
      </c>
      <c r="R2844" t="inlineStr">
        <is>
          <t>Cardiology</t>
        </is>
      </c>
      <c r="S2844" s="70" t="n">
        <v>87</v>
      </c>
      <c r="T2844" s="71" t="n">
        <v>12708.42</v>
      </c>
      <c r="U2844" t="inlineStr">
        <is>
          <t>High</t>
        </is>
      </c>
      <c r="V2844">
        <f>IF(AND(OR(Dashboard!$C$6="All",E2844=Dashboard!$C$6),OR(Dashboard!$F$6="All",G2844=Dashboard!$F$6),OR(Dashboard!$I$6="All",H2844=Dashboard!$I$6)),1,0)</f>
        <v/>
      </c>
    </row>
    <row r="2845">
      <c r="A2845" t="inlineStr">
        <is>
          <t>PF102836</t>
        </is>
      </c>
      <c r="B2845" s="68" t="n">
        <v>46000</v>
      </c>
      <c r="C2845" s="69" t="n">
        <v>2025</v>
      </c>
      <c r="D2845" t="inlineStr">
        <is>
          <t>Dec</t>
        </is>
      </c>
      <c r="E2845" t="inlineStr">
        <is>
          <t>International developed</t>
        </is>
      </c>
      <c r="F2845" t="inlineStr">
        <is>
          <t>Canada</t>
        </is>
      </c>
      <c r="G2845" t="inlineStr">
        <is>
          <t>Prevnar 20</t>
        </is>
      </c>
      <c r="H2845" t="inlineStr">
        <is>
          <t>Hospital</t>
        </is>
      </c>
      <c r="I2845" t="inlineStr">
        <is>
          <t>Private insurer</t>
        </is>
      </c>
      <c r="J2845" t="inlineStr">
        <is>
          <t>Emma Clarke</t>
        </is>
      </c>
      <c r="K2845" s="70" t="n">
        <v>2857</v>
      </c>
      <c r="L2845" s="71" t="n">
        <v>224.25</v>
      </c>
      <c r="M2845" s="71" t="n">
        <v>640682.25</v>
      </c>
      <c r="N2845" s="71" t="n">
        <v>64068.23</v>
      </c>
      <c r="O2845" s="71" t="n">
        <v>576614.02</v>
      </c>
      <c r="P2845" s="71" t="n">
        <v>204799.64</v>
      </c>
      <c r="Q2845" s="71" t="n">
        <v>371814.38</v>
      </c>
      <c r="R2845" t="inlineStr">
        <is>
          <t>Vaccines</t>
        </is>
      </c>
      <c r="S2845" s="70" t="n">
        <v>1808</v>
      </c>
      <c r="T2845" s="71" t="n">
        <v>137987.74</v>
      </c>
      <c r="U2845" t="inlineStr">
        <is>
          <t>Low</t>
        </is>
      </c>
      <c r="V2845">
        <f>IF(AND(OR(Dashboard!$C$6="All",E2845=Dashboard!$C$6),OR(Dashboard!$F$6="All",G2845=Dashboard!$F$6),OR(Dashboard!$I$6="All",H2845=Dashboard!$I$6)),1,0)</f>
        <v/>
      </c>
    </row>
    <row r="2846">
      <c r="A2846" t="inlineStr">
        <is>
          <t>PF102837</t>
        </is>
      </c>
      <c r="B2846" s="68" t="n">
        <v>46001</v>
      </c>
      <c r="C2846" s="69" t="n">
        <v>2025</v>
      </c>
      <c r="D2846" t="inlineStr">
        <is>
          <t>Dec</t>
        </is>
      </c>
      <c r="E2846" t="inlineStr">
        <is>
          <t>Europe</t>
        </is>
      </c>
      <c r="F2846" t="inlineStr">
        <is>
          <t>France</t>
        </is>
      </c>
      <c r="G2846" t="inlineStr">
        <is>
          <t>Eliquis</t>
        </is>
      </c>
      <c r="H2846" t="inlineStr">
        <is>
          <t>Retail pharmacy</t>
        </is>
      </c>
      <c r="I2846" t="inlineStr">
        <is>
          <t>Public payer</t>
        </is>
      </c>
      <c r="J2846" t="inlineStr">
        <is>
          <t>Emma Clarke</t>
        </is>
      </c>
      <c r="K2846" s="70" t="n">
        <v>3224</v>
      </c>
      <c r="L2846" s="71" t="n">
        <v>428.99</v>
      </c>
      <c r="M2846" s="71" t="n">
        <v>1383063.76</v>
      </c>
      <c r="N2846" s="71" t="n">
        <v>345765.94</v>
      </c>
      <c r="O2846" s="71" t="n">
        <v>1037297.82</v>
      </c>
      <c r="P2846" s="71" t="n">
        <v>238574.76</v>
      </c>
      <c r="Q2846" s="71" t="n">
        <v>798723.0600000001</v>
      </c>
      <c r="R2846" t="inlineStr">
        <is>
          <t>Cardiology</t>
        </is>
      </c>
      <c r="S2846" s="70" t="n">
        <v>2541</v>
      </c>
      <c r="T2846" s="71" t="n">
        <v>222696.28</v>
      </c>
      <c r="U2846" t="inlineStr">
        <is>
          <t>High</t>
        </is>
      </c>
      <c r="V2846">
        <f>IF(AND(OR(Dashboard!$C$6="All",E2846=Dashboard!$C$6),OR(Dashboard!$F$6="All",G2846=Dashboard!$F$6),OR(Dashboard!$I$6="All",H2846=Dashboard!$I$6)),1,0)</f>
        <v/>
      </c>
    </row>
    <row r="2847">
      <c r="A2847" t="inlineStr">
        <is>
          <t>PF102838</t>
        </is>
      </c>
      <c r="B2847" s="68" t="n">
        <v>46001</v>
      </c>
      <c r="C2847" s="69" t="n">
        <v>2025</v>
      </c>
      <c r="D2847" t="inlineStr">
        <is>
          <t>Dec</t>
        </is>
      </c>
      <c r="E2847" t="inlineStr">
        <is>
          <t>United States</t>
        </is>
      </c>
      <c r="F2847" t="inlineStr">
        <is>
          <t>USA</t>
        </is>
      </c>
      <c r="G2847" t="inlineStr">
        <is>
          <t>Vyndaqel</t>
        </is>
      </c>
      <c r="H2847" t="inlineStr">
        <is>
          <t>Hospital</t>
        </is>
      </c>
      <c r="I2847" t="inlineStr">
        <is>
          <t>Private insurer</t>
        </is>
      </c>
      <c r="J2847" t="inlineStr">
        <is>
          <t>Lucas Martin</t>
        </is>
      </c>
      <c r="K2847" s="70" t="n">
        <v>1328</v>
      </c>
      <c r="L2847" s="71" t="n">
        <v>8037.95</v>
      </c>
      <c r="M2847" s="71" t="n">
        <v>10674397.6</v>
      </c>
      <c r="N2847" s="71" t="n">
        <v>1601159.64</v>
      </c>
      <c r="O2847" s="71" t="n">
        <v>9073237.960000001</v>
      </c>
      <c r="P2847" s="71" t="n">
        <v>806460.64</v>
      </c>
      <c r="Q2847" s="71" t="n">
        <v>8266777.32</v>
      </c>
      <c r="R2847" t="inlineStr">
        <is>
          <t>Rare disease</t>
        </is>
      </c>
      <c r="S2847" s="70" t="n">
        <v>864</v>
      </c>
      <c r="T2847" s="71" t="n">
        <v>2131045.55</v>
      </c>
      <c r="U2847" t="inlineStr">
        <is>
          <t>Medium</t>
        </is>
      </c>
      <c r="V2847">
        <f>IF(AND(OR(Dashboard!$C$6="All",E2847=Dashboard!$C$6),OR(Dashboard!$F$6="All",G2847=Dashboard!$F$6),OR(Dashboard!$I$6="All",H2847=Dashboard!$I$6)),1,0)</f>
        <v/>
      </c>
    </row>
    <row r="2848">
      <c r="A2848" t="inlineStr">
        <is>
          <t>PF102839</t>
        </is>
      </c>
      <c r="B2848" s="68" t="n">
        <v>46001</v>
      </c>
      <c r="C2848" s="69" t="n">
        <v>2025</v>
      </c>
      <c r="D2848" t="inlineStr">
        <is>
          <t>Dec</t>
        </is>
      </c>
      <c r="E2848" t="inlineStr">
        <is>
          <t>Europe</t>
        </is>
      </c>
      <c r="F2848" t="inlineStr">
        <is>
          <t>UK</t>
        </is>
      </c>
      <c r="G2848" t="inlineStr">
        <is>
          <t>Prevnar 20</t>
        </is>
      </c>
      <c r="H2848" t="inlineStr">
        <is>
          <t>Retail pharmacy</t>
        </is>
      </c>
      <c r="I2848" t="inlineStr">
        <is>
          <t>Public payer</t>
        </is>
      </c>
      <c r="J2848" t="inlineStr">
        <is>
          <t>Sara Rossi</t>
        </is>
      </c>
      <c r="K2848" s="70" t="n">
        <v>1994</v>
      </c>
      <c r="L2848" s="71" t="n">
        <v>229.57</v>
      </c>
      <c r="M2848" s="71" t="n">
        <v>457762.58</v>
      </c>
      <c r="N2848" s="71" t="n">
        <v>91552.52</v>
      </c>
      <c r="O2848" s="71" t="n">
        <v>366210.06</v>
      </c>
      <c r="P2848" s="71" t="n">
        <v>140664.67</v>
      </c>
      <c r="Q2848" s="71" t="n">
        <v>225545.39</v>
      </c>
      <c r="R2848" t="inlineStr">
        <is>
          <t>Vaccines</t>
        </is>
      </c>
      <c r="S2848" s="70" t="n">
        <v>1325</v>
      </c>
      <c r="T2848" s="71" t="n">
        <v>87006.36</v>
      </c>
      <c r="U2848" t="inlineStr">
        <is>
          <t>Low</t>
        </is>
      </c>
      <c r="V2848">
        <f>IF(AND(OR(Dashboard!$C$6="All",E2848=Dashboard!$C$6),OR(Dashboard!$F$6="All",G2848=Dashboard!$F$6),OR(Dashboard!$I$6="All",H2848=Dashboard!$I$6)),1,0)</f>
        <v/>
      </c>
    </row>
    <row r="2849">
      <c r="A2849" t="inlineStr">
        <is>
          <t>PF102840</t>
        </is>
      </c>
      <c r="B2849" s="68" t="n">
        <v>46001</v>
      </c>
      <c r="C2849" s="69" t="n">
        <v>2025</v>
      </c>
      <c r="D2849" t="inlineStr">
        <is>
          <t>Dec</t>
        </is>
      </c>
      <c r="E2849" t="inlineStr">
        <is>
          <t>Europe</t>
        </is>
      </c>
      <c r="F2849" t="inlineStr">
        <is>
          <t>Germany</t>
        </is>
      </c>
      <c r="G2849" t="inlineStr">
        <is>
          <t>Paxlovid</t>
        </is>
      </c>
      <c r="H2849" t="inlineStr">
        <is>
          <t>Retail pharmacy</t>
        </is>
      </c>
      <c r="I2849" t="inlineStr">
        <is>
          <t>Private insurer</t>
        </is>
      </c>
      <c r="J2849" t="inlineStr">
        <is>
          <t>Priya Nair</t>
        </is>
      </c>
      <c r="K2849" s="70" t="n">
        <v>1416</v>
      </c>
      <c r="L2849" s="71" t="n">
        <v>1188.68</v>
      </c>
      <c r="M2849" s="71" t="n">
        <v>1683170.88</v>
      </c>
      <c r="N2849" s="71" t="n">
        <v>420792.72</v>
      </c>
      <c r="O2849" s="71" t="n">
        <v>1262378.16</v>
      </c>
      <c r="P2849" s="71" t="n">
        <v>381968.3</v>
      </c>
      <c r="Q2849" s="71" t="n">
        <v>880409.86</v>
      </c>
      <c r="R2849" t="inlineStr">
        <is>
          <t>Antiviral</t>
        </is>
      </c>
      <c r="S2849" s="70" t="n">
        <v>1054</v>
      </c>
      <c r="T2849" s="71" t="n">
        <v>341771.52</v>
      </c>
      <c r="U2849" t="inlineStr">
        <is>
          <t>Low</t>
        </is>
      </c>
      <c r="V2849">
        <f>IF(AND(OR(Dashboard!$C$6="All",E2849=Dashboard!$C$6),OR(Dashboard!$F$6="All",G2849=Dashboard!$F$6),OR(Dashboard!$I$6="All",H2849=Dashboard!$I$6)),1,0)</f>
        <v/>
      </c>
    </row>
    <row r="2850">
      <c r="A2850" t="inlineStr">
        <is>
          <t>PF102841</t>
        </is>
      </c>
      <c r="B2850" s="68" t="n">
        <v>46001</v>
      </c>
      <c r="C2850" s="69" t="n">
        <v>2025</v>
      </c>
      <c r="D2850" t="inlineStr">
        <is>
          <t>Dec</t>
        </is>
      </c>
      <c r="E2850" t="inlineStr">
        <is>
          <t>United States</t>
        </is>
      </c>
      <c r="F2850" t="inlineStr">
        <is>
          <t>USA</t>
        </is>
      </c>
      <c r="G2850" t="inlineStr">
        <is>
          <t>Prevnar 20</t>
        </is>
      </c>
      <c r="H2850" t="inlineStr">
        <is>
          <t>Retail pharmacy</t>
        </is>
      </c>
      <c r="I2850" t="inlineStr">
        <is>
          <t>Public payer</t>
        </is>
      </c>
      <c r="J2850" t="inlineStr">
        <is>
          <t>Aisha Bello</t>
        </is>
      </c>
      <c r="K2850" s="70" t="n">
        <v>3182</v>
      </c>
      <c r="L2850" s="71" t="n">
        <v>369.09</v>
      </c>
      <c r="M2850" s="71" t="n">
        <v>1174444.38</v>
      </c>
      <c r="N2850" s="71" t="n">
        <v>293611.09</v>
      </c>
      <c r="O2850" s="71" t="n">
        <v>880833.29</v>
      </c>
      <c r="P2850" s="71" t="n">
        <v>218823.5</v>
      </c>
      <c r="Q2850" s="71" t="n">
        <v>662009.79</v>
      </c>
      <c r="R2850" t="inlineStr">
        <is>
          <t>Vaccines</t>
        </is>
      </c>
      <c r="S2850" s="70" t="n">
        <v>2121</v>
      </c>
      <c r="T2850" s="71" t="n">
        <v>242604.62</v>
      </c>
      <c r="U2850" t="inlineStr">
        <is>
          <t>Low</t>
        </is>
      </c>
      <c r="V2850">
        <f>IF(AND(OR(Dashboard!$C$6="All",E2850=Dashboard!$C$6),OR(Dashboard!$F$6="All",G2850=Dashboard!$F$6),OR(Dashboard!$I$6="All",H2850=Dashboard!$I$6)),1,0)</f>
        <v/>
      </c>
    </row>
    <row r="2851">
      <c r="A2851" t="inlineStr">
        <is>
          <t>PF102842</t>
        </is>
      </c>
      <c r="B2851" s="68" t="n">
        <v>46001</v>
      </c>
      <c r="C2851" s="69" t="n">
        <v>2025</v>
      </c>
      <c r="D2851" t="inlineStr">
        <is>
          <t>Dec</t>
        </is>
      </c>
      <c r="E2851" t="inlineStr">
        <is>
          <t>United States</t>
        </is>
      </c>
      <c r="F2851" t="inlineStr">
        <is>
          <t>USA</t>
        </is>
      </c>
      <c r="G2851" t="inlineStr">
        <is>
          <t>Eliquis</t>
        </is>
      </c>
      <c r="H2851" t="inlineStr">
        <is>
          <t>Retail pharmacy</t>
        </is>
      </c>
      <c r="I2851" t="inlineStr">
        <is>
          <t>Private insurer</t>
        </is>
      </c>
      <c r="J2851" t="inlineStr">
        <is>
          <t>Mei Lin</t>
        </is>
      </c>
      <c r="K2851" s="70" t="n">
        <v>859</v>
      </c>
      <c r="L2851" s="71" t="n">
        <v>642.0599999999999</v>
      </c>
      <c r="M2851" s="71" t="n">
        <v>551529.54</v>
      </c>
      <c r="N2851" s="71" t="n">
        <v>110305.91</v>
      </c>
      <c r="O2851" s="71" t="n">
        <v>441223.63</v>
      </c>
      <c r="P2851" s="71" t="n">
        <v>62631.38</v>
      </c>
      <c r="Q2851" s="71" t="n">
        <v>378592.25</v>
      </c>
      <c r="R2851" t="inlineStr">
        <is>
          <t>Cardiology</t>
        </is>
      </c>
      <c r="S2851" s="70" t="n">
        <v>547</v>
      </c>
      <c r="T2851" s="71" t="n">
        <v>78743</v>
      </c>
      <c r="U2851" t="inlineStr">
        <is>
          <t>High</t>
        </is>
      </c>
      <c r="V2851">
        <f>IF(AND(OR(Dashboard!$C$6="All",E2851=Dashboard!$C$6),OR(Dashboard!$F$6="All",G2851=Dashboard!$F$6),OR(Dashboard!$I$6="All",H2851=Dashboard!$I$6)),1,0)</f>
        <v/>
      </c>
    </row>
    <row r="2852">
      <c r="A2852" t="inlineStr">
        <is>
          <t>PF102843</t>
        </is>
      </c>
      <c r="B2852" s="68" t="n">
        <v>46001</v>
      </c>
      <c r="C2852" s="69" t="n">
        <v>2025</v>
      </c>
      <c r="D2852" t="inlineStr">
        <is>
          <t>Dec</t>
        </is>
      </c>
      <c r="E2852" t="inlineStr">
        <is>
          <t>Emerging markets</t>
        </is>
      </c>
      <c r="F2852" t="inlineStr">
        <is>
          <t>China</t>
        </is>
      </c>
      <c r="G2852" t="inlineStr">
        <is>
          <t>Prevnar 20</t>
        </is>
      </c>
      <c r="H2852" t="inlineStr">
        <is>
          <t>Retail pharmacy</t>
        </is>
      </c>
      <c r="I2852" t="inlineStr">
        <is>
          <t>Public payer</t>
        </is>
      </c>
      <c r="J2852" t="inlineStr">
        <is>
          <t>Amir Khan</t>
        </is>
      </c>
      <c r="K2852" s="70" t="n">
        <v>3357</v>
      </c>
      <c r="L2852" s="71" t="n">
        <v>232.38</v>
      </c>
      <c r="M2852" s="71" t="n">
        <v>780099.66</v>
      </c>
      <c r="N2852" s="71" t="n">
        <v>195024.92</v>
      </c>
      <c r="O2852" s="71" t="n">
        <v>585074.74</v>
      </c>
      <c r="P2852" s="71" t="n">
        <v>228430.36</v>
      </c>
      <c r="Q2852" s="71" t="n">
        <v>356644.38</v>
      </c>
      <c r="R2852" t="inlineStr">
        <is>
          <t>Vaccines</t>
        </is>
      </c>
      <c r="S2852" s="70" t="n">
        <v>3057</v>
      </c>
      <c r="T2852" s="71" t="n">
        <v>108656.92</v>
      </c>
      <c r="U2852" t="inlineStr">
        <is>
          <t>Low</t>
        </is>
      </c>
      <c r="V2852">
        <f>IF(AND(OR(Dashboard!$C$6="All",E2852=Dashboard!$C$6),OR(Dashboard!$F$6="All",G2852=Dashboard!$F$6),OR(Dashboard!$I$6="All",H2852=Dashboard!$I$6)),1,0)</f>
        <v/>
      </c>
    </row>
    <row r="2853">
      <c r="A2853" t="inlineStr">
        <is>
          <t>PF102844</t>
        </is>
      </c>
      <c r="B2853" s="68" t="n">
        <v>46001</v>
      </c>
      <c r="C2853" s="69" t="n">
        <v>2025</v>
      </c>
      <c r="D2853" t="inlineStr">
        <is>
          <t>Dec</t>
        </is>
      </c>
      <c r="E2853" t="inlineStr">
        <is>
          <t>Europe</t>
        </is>
      </c>
      <c r="F2853" t="inlineStr">
        <is>
          <t>Italy</t>
        </is>
      </c>
      <c r="G2853" t="inlineStr">
        <is>
          <t>Eliquis</t>
        </is>
      </c>
      <c r="H2853" t="inlineStr">
        <is>
          <t>Government / tender</t>
        </is>
      </c>
      <c r="I2853" t="inlineStr">
        <is>
          <t>Public payer</t>
        </is>
      </c>
      <c r="J2853" t="inlineStr">
        <is>
          <t>Noah Smith</t>
        </is>
      </c>
      <c r="K2853" s="70" t="n">
        <v>1785</v>
      </c>
      <c r="L2853" s="71" t="n">
        <v>461.01</v>
      </c>
      <c r="M2853" s="71" t="n">
        <v>822902.85</v>
      </c>
      <c r="N2853" s="71" t="n">
        <v>205725.71</v>
      </c>
      <c r="O2853" s="71" t="n">
        <v>617177.14</v>
      </c>
      <c r="P2853" s="71" t="n">
        <v>135270.05</v>
      </c>
      <c r="Q2853" s="71" t="n">
        <v>481907.09</v>
      </c>
      <c r="R2853" t="inlineStr">
        <is>
          <t>Cardiology</t>
        </is>
      </c>
      <c r="S2853" s="70" t="n">
        <v>1691</v>
      </c>
      <c r="T2853" s="71" t="n">
        <v>141525.98</v>
      </c>
      <c r="U2853" t="inlineStr">
        <is>
          <t>High</t>
        </is>
      </c>
      <c r="V2853">
        <f>IF(AND(OR(Dashboard!$C$6="All",E2853=Dashboard!$C$6),OR(Dashboard!$F$6="All",G2853=Dashboard!$F$6),OR(Dashboard!$I$6="All",H2853=Dashboard!$I$6)),1,0)</f>
        <v/>
      </c>
    </row>
    <row r="2854">
      <c r="A2854" t="inlineStr">
        <is>
          <t>PF102845</t>
        </is>
      </c>
      <c r="B2854" s="68" t="n">
        <v>46002</v>
      </c>
      <c r="C2854" s="69" t="n">
        <v>2025</v>
      </c>
      <c r="D2854" t="inlineStr">
        <is>
          <t>Dec</t>
        </is>
      </c>
      <c r="E2854" t="inlineStr">
        <is>
          <t>Europe</t>
        </is>
      </c>
      <c r="F2854" t="inlineStr">
        <is>
          <t>France</t>
        </is>
      </c>
      <c r="G2854" t="inlineStr">
        <is>
          <t>Xeljanz</t>
        </is>
      </c>
      <c r="H2854" t="inlineStr">
        <is>
          <t>Retail pharmacy</t>
        </is>
      </c>
      <c r="I2854" t="inlineStr">
        <is>
          <t>Public payer</t>
        </is>
      </c>
      <c r="J2854" t="inlineStr">
        <is>
          <t>Fatima Al-Saud</t>
        </is>
      </c>
      <c r="K2854" s="70" t="n">
        <v>348</v>
      </c>
      <c r="L2854" s="71" t="n">
        <v>1492.83</v>
      </c>
      <c r="M2854" s="71" t="n">
        <v>519504.84</v>
      </c>
      <c r="N2854" s="71" t="n">
        <v>51950.48</v>
      </c>
      <c r="O2854" s="71" t="n">
        <v>467554.36</v>
      </c>
      <c r="P2854" s="71" t="n">
        <v>85080.2</v>
      </c>
      <c r="Q2854" s="71" t="n">
        <v>382474.16</v>
      </c>
      <c r="R2854" t="inlineStr">
        <is>
          <t>Inflammation</t>
        </is>
      </c>
      <c r="S2854" s="70" t="n">
        <v>288</v>
      </c>
      <c r="T2854" s="71" t="n">
        <v>92077.50999999999</v>
      </c>
      <c r="U2854" t="inlineStr">
        <is>
          <t>High</t>
        </is>
      </c>
      <c r="V2854">
        <f>IF(AND(OR(Dashboard!$C$6="All",E2854=Dashboard!$C$6),OR(Dashboard!$F$6="All",G2854=Dashboard!$F$6),OR(Dashboard!$I$6="All",H2854=Dashboard!$I$6)),1,0)</f>
        <v/>
      </c>
    </row>
    <row r="2855">
      <c r="A2855" t="inlineStr">
        <is>
          <t>PF102846</t>
        </is>
      </c>
      <c r="B2855" s="68" t="n">
        <v>46002</v>
      </c>
      <c r="C2855" s="69" t="n">
        <v>2025</v>
      </c>
      <c r="D2855" t="inlineStr">
        <is>
          <t>Dec</t>
        </is>
      </c>
      <c r="E2855" t="inlineStr">
        <is>
          <t>United States</t>
        </is>
      </c>
      <c r="F2855" t="inlineStr">
        <is>
          <t>USA</t>
        </is>
      </c>
      <c r="G2855" t="inlineStr">
        <is>
          <t>Paxlovid</t>
        </is>
      </c>
      <c r="H2855" t="inlineStr">
        <is>
          <t>Government / tender</t>
        </is>
      </c>
      <c r="I2855" t="inlineStr">
        <is>
          <t>Private insurer</t>
        </is>
      </c>
      <c r="J2855" t="inlineStr">
        <is>
          <t>Wei Chen</t>
        </is>
      </c>
      <c r="K2855" s="70" t="n">
        <v>2735</v>
      </c>
      <c r="L2855" s="71" t="n">
        <v>1824.19</v>
      </c>
      <c r="M2855" s="71" t="n">
        <v>4989159.65</v>
      </c>
      <c r="N2855" s="71" t="n">
        <v>997831.9300000001</v>
      </c>
      <c r="O2855" s="71" t="n">
        <v>3991327.72</v>
      </c>
      <c r="P2855" s="71" t="n">
        <v>736589.33</v>
      </c>
      <c r="Q2855" s="71" t="n">
        <v>3254738.39</v>
      </c>
      <c r="R2855" t="inlineStr">
        <is>
          <t>Antiviral</t>
        </is>
      </c>
      <c r="S2855" s="70" t="n">
        <v>1843</v>
      </c>
      <c r="T2855" s="71" t="n">
        <v>938217.11</v>
      </c>
      <c r="U2855" t="inlineStr">
        <is>
          <t>Low</t>
        </is>
      </c>
      <c r="V2855">
        <f>IF(AND(OR(Dashboard!$C$6="All",E2855=Dashboard!$C$6),OR(Dashboard!$F$6="All",G2855=Dashboard!$F$6),OR(Dashboard!$I$6="All",H2855=Dashboard!$I$6)),1,0)</f>
        <v/>
      </c>
    </row>
    <row r="2856">
      <c r="A2856" t="inlineStr">
        <is>
          <t>PF102847</t>
        </is>
      </c>
      <c r="B2856" s="68" t="n">
        <v>46002</v>
      </c>
      <c r="C2856" s="69" t="n">
        <v>2025</v>
      </c>
      <c r="D2856" t="inlineStr">
        <is>
          <t>Dec</t>
        </is>
      </c>
      <c r="E2856" t="inlineStr">
        <is>
          <t>Europe</t>
        </is>
      </c>
      <c r="F2856" t="inlineStr">
        <is>
          <t>Germany</t>
        </is>
      </c>
      <c r="G2856" t="inlineStr">
        <is>
          <t>Prevnar 20</t>
        </is>
      </c>
      <c r="H2856" t="inlineStr">
        <is>
          <t>Retail pharmacy</t>
        </is>
      </c>
      <c r="I2856" t="inlineStr">
        <is>
          <t>Public payer</t>
        </is>
      </c>
      <c r="J2856" t="inlineStr">
        <is>
          <t>Sophie Müller</t>
        </is>
      </c>
      <c r="K2856" s="70" t="n">
        <v>3343</v>
      </c>
      <c r="L2856" s="71" t="n">
        <v>232.58</v>
      </c>
      <c r="M2856" s="71" t="n">
        <v>777514.9399999999</v>
      </c>
      <c r="N2856" s="71" t="n">
        <v>155502.99</v>
      </c>
      <c r="O2856" s="71" t="n">
        <v>622011.95</v>
      </c>
      <c r="P2856" s="71" t="n">
        <v>235473.38</v>
      </c>
      <c r="Q2856" s="71" t="n">
        <v>386538.57</v>
      </c>
      <c r="R2856" t="inlineStr">
        <is>
          <t>Vaccines</t>
        </is>
      </c>
      <c r="S2856" s="70" t="n">
        <v>2257</v>
      </c>
      <c r="T2856" s="71" t="n">
        <v>167779.02</v>
      </c>
      <c r="U2856" t="inlineStr">
        <is>
          <t>Low</t>
        </is>
      </c>
      <c r="V2856">
        <f>IF(AND(OR(Dashboard!$C$6="All",E2856=Dashboard!$C$6),OR(Dashboard!$F$6="All",G2856=Dashboard!$F$6),OR(Dashboard!$I$6="All",H2856=Dashboard!$I$6)),1,0)</f>
        <v/>
      </c>
    </row>
    <row r="2857">
      <c r="A2857" t="inlineStr">
        <is>
          <t>PF102848</t>
        </is>
      </c>
      <c r="B2857" s="68" t="n">
        <v>46002</v>
      </c>
      <c r="C2857" s="69" t="n">
        <v>2025</v>
      </c>
      <c r="D2857" t="inlineStr">
        <is>
          <t>Dec</t>
        </is>
      </c>
      <c r="E2857" t="inlineStr">
        <is>
          <t>United States</t>
        </is>
      </c>
      <c r="F2857" t="inlineStr">
        <is>
          <t>USA</t>
        </is>
      </c>
      <c r="G2857" t="inlineStr">
        <is>
          <t>Xeljanz</t>
        </is>
      </c>
      <c r="H2857" t="inlineStr">
        <is>
          <t>Hospital</t>
        </is>
      </c>
      <c r="I2857" t="inlineStr">
        <is>
          <t>Public payer</t>
        </is>
      </c>
      <c r="J2857" t="inlineStr">
        <is>
          <t>Amir Khan</t>
        </is>
      </c>
      <c r="K2857" s="70" t="n">
        <v>2954</v>
      </c>
      <c r="L2857" s="71" t="n">
        <v>2450.13</v>
      </c>
      <c r="M2857" s="71" t="n">
        <v>7237684.02</v>
      </c>
      <c r="N2857" s="71" t="n">
        <v>1447536.8</v>
      </c>
      <c r="O2857" s="71" t="n">
        <v>5790147.22</v>
      </c>
      <c r="P2857" s="71" t="n">
        <v>733921.0600000001</v>
      </c>
      <c r="Q2857" s="71" t="n">
        <v>5056226.16</v>
      </c>
      <c r="R2857" t="inlineStr">
        <is>
          <t>Inflammation</t>
        </is>
      </c>
      <c r="S2857" s="70" t="n">
        <v>2209</v>
      </c>
      <c r="T2857" s="71" t="n">
        <v>1233634.34</v>
      </c>
      <c r="U2857" t="inlineStr">
        <is>
          <t>High</t>
        </is>
      </c>
      <c r="V2857">
        <f>IF(AND(OR(Dashboard!$C$6="All",E2857=Dashboard!$C$6),OR(Dashboard!$F$6="All",G2857=Dashboard!$F$6),OR(Dashboard!$I$6="All",H2857=Dashboard!$I$6)),1,0)</f>
        <v/>
      </c>
    </row>
    <row r="2858">
      <c r="A2858" t="inlineStr">
        <is>
          <t>PF102849</t>
        </is>
      </c>
      <c r="B2858" s="68" t="n">
        <v>46002</v>
      </c>
      <c r="C2858" s="69" t="n">
        <v>2025</v>
      </c>
      <c r="D2858" t="inlineStr">
        <is>
          <t>Dec</t>
        </is>
      </c>
      <c r="E2858" t="inlineStr">
        <is>
          <t>United States</t>
        </is>
      </c>
      <c r="F2858" t="inlineStr">
        <is>
          <t>USA</t>
        </is>
      </c>
      <c r="G2858" t="inlineStr">
        <is>
          <t>Xeljanz</t>
        </is>
      </c>
      <c r="H2858" t="inlineStr">
        <is>
          <t>Hospital</t>
        </is>
      </c>
      <c r="I2858" t="inlineStr">
        <is>
          <t>Public payer</t>
        </is>
      </c>
      <c r="J2858" t="inlineStr">
        <is>
          <t>Liam O'Brien</t>
        </is>
      </c>
      <c r="K2858" s="70" t="n">
        <v>2922</v>
      </c>
      <c r="L2858" s="71" t="n">
        <v>2294.26</v>
      </c>
      <c r="M2858" s="71" t="n">
        <v>6703827.72</v>
      </c>
      <c r="N2858" s="71" t="n">
        <v>2011148.32</v>
      </c>
      <c r="O2858" s="71" t="n">
        <v>4692679.4</v>
      </c>
      <c r="P2858" s="71" t="n">
        <v>740376.49</v>
      </c>
      <c r="Q2858" s="71" t="n">
        <v>3952302.91</v>
      </c>
      <c r="R2858" t="inlineStr">
        <is>
          <t>Inflammation</t>
        </is>
      </c>
      <c r="S2858" s="70" t="n">
        <v>2753</v>
      </c>
      <c r="T2858" s="71" t="n">
        <v>1079227.07</v>
      </c>
      <c r="U2858" t="inlineStr">
        <is>
          <t>High</t>
        </is>
      </c>
      <c r="V2858">
        <f>IF(AND(OR(Dashboard!$C$6="All",E2858=Dashboard!$C$6),OR(Dashboard!$F$6="All",G2858=Dashboard!$F$6),OR(Dashboard!$I$6="All",H2858=Dashboard!$I$6)),1,0)</f>
        <v/>
      </c>
    </row>
    <row r="2859">
      <c r="A2859" t="inlineStr">
        <is>
          <t>PF102850</t>
        </is>
      </c>
      <c r="B2859" s="68" t="n">
        <v>46002</v>
      </c>
      <c r="C2859" s="69" t="n">
        <v>2025</v>
      </c>
      <c r="D2859" t="inlineStr">
        <is>
          <t>Dec</t>
        </is>
      </c>
      <c r="E2859" t="inlineStr">
        <is>
          <t>Europe</t>
        </is>
      </c>
      <c r="F2859" t="inlineStr">
        <is>
          <t>Italy</t>
        </is>
      </c>
      <c r="G2859" t="inlineStr">
        <is>
          <t>Eliquis</t>
        </is>
      </c>
      <c r="H2859" t="inlineStr">
        <is>
          <t>Hospital</t>
        </is>
      </c>
      <c r="I2859" t="inlineStr">
        <is>
          <t>Self-pay</t>
        </is>
      </c>
      <c r="J2859" t="inlineStr">
        <is>
          <t>Omar Haddad</t>
        </is>
      </c>
      <c r="K2859" s="70" t="n">
        <v>3283</v>
      </c>
      <c r="L2859" s="71" t="n">
        <v>403.89</v>
      </c>
      <c r="M2859" s="71" t="n">
        <v>1325970.87</v>
      </c>
      <c r="N2859" s="71" t="n">
        <v>265194.17</v>
      </c>
      <c r="O2859" s="71" t="n">
        <v>1060776.7</v>
      </c>
      <c r="P2859" s="71" t="n">
        <v>239416.49</v>
      </c>
      <c r="Q2859" s="71" t="n">
        <v>821360.21</v>
      </c>
      <c r="R2859" t="inlineStr">
        <is>
          <t>Cardiology</t>
        </is>
      </c>
      <c r="S2859" s="70" t="n">
        <v>2354</v>
      </c>
      <c r="T2859" s="71" t="n">
        <v>189331.87</v>
      </c>
      <c r="U2859" t="inlineStr">
        <is>
          <t>High</t>
        </is>
      </c>
      <c r="V2859">
        <f>IF(AND(OR(Dashboard!$C$6="All",E2859=Dashboard!$C$6),OR(Dashboard!$F$6="All",G2859=Dashboard!$F$6),OR(Dashboard!$I$6="All",H2859=Dashboard!$I$6)),1,0)</f>
        <v/>
      </c>
    </row>
    <row r="2860">
      <c r="A2860" t="inlineStr">
        <is>
          <t>PF102851</t>
        </is>
      </c>
      <c r="B2860" s="68" t="n">
        <v>46002</v>
      </c>
      <c r="C2860" s="69" t="n">
        <v>2025</v>
      </c>
      <c r="D2860" t="inlineStr">
        <is>
          <t>Dec</t>
        </is>
      </c>
      <c r="E2860" t="inlineStr">
        <is>
          <t>United States</t>
        </is>
      </c>
      <c r="F2860" t="inlineStr">
        <is>
          <t>USA</t>
        </is>
      </c>
      <c r="G2860" t="inlineStr">
        <is>
          <t>Eliquis</t>
        </is>
      </c>
      <c r="H2860" t="inlineStr">
        <is>
          <t>Retail pharmacy</t>
        </is>
      </c>
      <c r="I2860" t="inlineStr">
        <is>
          <t>Private insurer</t>
        </is>
      </c>
      <c r="J2860" t="inlineStr">
        <is>
          <t>Zoya Ahmed</t>
        </is>
      </c>
      <c r="K2860" s="70" t="n">
        <v>3334</v>
      </c>
      <c r="L2860" s="71" t="n">
        <v>621.5</v>
      </c>
      <c r="M2860" s="71" t="n">
        <v>2072081</v>
      </c>
      <c r="N2860" s="71" t="n">
        <v>310812.15</v>
      </c>
      <c r="O2860" s="71" t="n">
        <v>1761268.85</v>
      </c>
      <c r="P2860" s="71" t="n">
        <v>250132.73</v>
      </c>
      <c r="Q2860" s="71" t="n">
        <v>1511136.12</v>
      </c>
      <c r="R2860" t="inlineStr">
        <is>
          <t>Cardiology</t>
        </is>
      </c>
      <c r="S2860" s="70" t="n">
        <v>2840</v>
      </c>
      <c r="T2860" s="71" t="n">
        <v>333590.36</v>
      </c>
      <c r="U2860" t="inlineStr">
        <is>
          <t>High</t>
        </is>
      </c>
      <c r="V2860">
        <f>IF(AND(OR(Dashboard!$C$6="All",E2860=Dashboard!$C$6),OR(Dashboard!$F$6="All",G2860=Dashboard!$F$6),OR(Dashboard!$I$6="All",H2860=Dashboard!$I$6)),1,0)</f>
        <v/>
      </c>
    </row>
    <row r="2861">
      <c r="A2861" t="inlineStr">
        <is>
          <t>PF102852</t>
        </is>
      </c>
      <c r="B2861" s="68" t="n">
        <v>46002</v>
      </c>
      <c r="C2861" s="69" t="n">
        <v>2025</v>
      </c>
      <c r="D2861" t="inlineStr">
        <is>
          <t>Dec</t>
        </is>
      </c>
      <c r="E2861" t="inlineStr">
        <is>
          <t>United States</t>
        </is>
      </c>
      <c r="F2861" t="inlineStr">
        <is>
          <t>USA</t>
        </is>
      </c>
      <c r="G2861" t="inlineStr">
        <is>
          <t>Abrysvo</t>
        </is>
      </c>
      <c r="H2861" t="inlineStr">
        <is>
          <t>Government / tender</t>
        </is>
      </c>
      <c r="I2861" t="inlineStr">
        <is>
          <t>Private insurer</t>
        </is>
      </c>
      <c r="J2861" t="inlineStr">
        <is>
          <t>Carlos Silva</t>
        </is>
      </c>
      <c r="K2861" s="70" t="n">
        <v>3494</v>
      </c>
      <c r="L2861" s="71" t="n">
        <v>407.74</v>
      </c>
      <c r="M2861" s="71" t="n">
        <v>1424643.56</v>
      </c>
      <c r="N2861" s="71" t="n">
        <v>356160.89</v>
      </c>
      <c r="O2861" s="71" t="n">
        <v>1068482.67</v>
      </c>
      <c r="P2861" s="71" t="n">
        <v>293998.12</v>
      </c>
      <c r="Q2861" s="71" t="n">
        <v>774484.55</v>
      </c>
      <c r="R2861" t="inlineStr">
        <is>
          <t>Vaccines</t>
        </is>
      </c>
      <c r="S2861" s="70" t="n">
        <v>3267</v>
      </c>
      <c r="T2861" s="71" t="n">
        <v>293817.87</v>
      </c>
      <c r="U2861" t="inlineStr">
        <is>
          <t>Low</t>
        </is>
      </c>
      <c r="V2861">
        <f>IF(AND(OR(Dashboard!$C$6="All",E2861=Dashboard!$C$6),OR(Dashboard!$F$6="All",G2861=Dashboard!$F$6),OR(Dashboard!$I$6="All",H2861=Dashboard!$I$6)),1,0)</f>
        <v/>
      </c>
    </row>
    <row r="2862">
      <c r="A2862" t="inlineStr">
        <is>
          <t>PF102853</t>
        </is>
      </c>
      <c r="B2862" s="68" t="n">
        <v>46002</v>
      </c>
      <c r="C2862" s="69" t="n">
        <v>2025</v>
      </c>
      <c r="D2862" t="inlineStr">
        <is>
          <t>Dec</t>
        </is>
      </c>
      <c r="E2862" t="inlineStr">
        <is>
          <t>United States</t>
        </is>
      </c>
      <c r="F2862" t="inlineStr">
        <is>
          <t>USA</t>
        </is>
      </c>
      <c r="G2862" t="inlineStr">
        <is>
          <t>Paxlovid</t>
        </is>
      </c>
      <c r="H2862" t="inlineStr">
        <is>
          <t>Hospital</t>
        </is>
      </c>
      <c r="I2862" t="inlineStr">
        <is>
          <t>Public payer</t>
        </is>
      </c>
      <c r="J2862" t="inlineStr">
        <is>
          <t>Shraddha Kulkarni</t>
        </is>
      </c>
      <c r="K2862" s="70" t="n">
        <v>1365</v>
      </c>
      <c r="L2862" s="71" t="n">
        <v>1678.19</v>
      </c>
      <c r="M2862" s="71" t="n">
        <v>2290729.35</v>
      </c>
      <c r="N2862" s="71" t="n">
        <v>801755.27</v>
      </c>
      <c r="O2862" s="71" t="n">
        <v>1488974.08</v>
      </c>
      <c r="P2862" s="71" t="n">
        <v>375185.44</v>
      </c>
      <c r="Q2862" s="71" t="n">
        <v>1113788.64</v>
      </c>
      <c r="R2862" t="inlineStr">
        <is>
          <t>Antiviral</t>
        </is>
      </c>
      <c r="S2862" s="70" t="n">
        <v>1015</v>
      </c>
      <c r="T2862" s="71" t="n">
        <v>427821.7</v>
      </c>
      <c r="U2862" t="inlineStr">
        <is>
          <t>Low</t>
        </is>
      </c>
      <c r="V2862">
        <f>IF(AND(OR(Dashboard!$C$6="All",E2862=Dashboard!$C$6),OR(Dashboard!$F$6="All",G2862=Dashboard!$F$6),OR(Dashboard!$I$6="All",H2862=Dashboard!$I$6)),1,0)</f>
        <v/>
      </c>
    </row>
    <row r="2863">
      <c r="A2863" t="inlineStr">
        <is>
          <t>PF102854</t>
        </is>
      </c>
      <c r="B2863" s="68" t="n">
        <v>46002</v>
      </c>
      <c r="C2863" s="69" t="n">
        <v>2025</v>
      </c>
      <c r="D2863" t="inlineStr">
        <is>
          <t>Dec</t>
        </is>
      </c>
      <c r="E2863" t="inlineStr">
        <is>
          <t>Europe</t>
        </is>
      </c>
      <c r="F2863" t="inlineStr">
        <is>
          <t>UK</t>
        </is>
      </c>
      <c r="G2863" t="inlineStr">
        <is>
          <t>Xeljanz</t>
        </is>
      </c>
      <c r="H2863" t="inlineStr">
        <is>
          <t>Government / tender</t>
        </is>
      </c>
      <c r="I2863" t="inlineStr">
        <is>
          <t>Public payer</t>
        </is>
      </c>
      <c r="J2863" t="inlineStr">
        <is>
          <t>Fatima Al-Saud</t>
        </is>
      </c>
      <c r="K2863" s="70" t="n">
        <v>1077</v>
      </c>
      <c r="L2863" s="71" t="n">
        <v>1487.72</v>
      </c>
      <c r="M2863" s="71" t="n">
        <v>1602274.44</v>
      </c>
      <c r="N2863" s="71" t="n">
        <v>320454.89</v>
      </c>
      <c r="O2863" s="71" t="n">
        <v>1281819.55</v>
      </c>
      <c r="P2863" s="71" t="n">
        <v>266785.35</v>
      </c>
      <c r="Q2863" s="71" t="n">
        <v>1015034.2</v>
      </c>
      <c r="R2863" t="inlineStr">
        <is>
          <t>Inflammation</t>
        </is>
      </c>
      <c r="S2863" s="70" t="n">
        <v>1053</v>
      </c>
      <c r="T2863" s="71" t="n">
        <v>195107.15</v>
      </c>
      <c r="U2863" t="inlineStr">
        <is>
          <t>High</t>
        </is>
      </c>
      <c r="V2863">
        <f>IF(AND(OR(Dashboard!$C$6="All",E2863=Dashboard!$C$6),OR(Dashboard!$F$6="All",G2863=Dashboard!$F$6),OR(Dashboard!$I$6="All",H2863=Dashboard!$I$6)),1,0)</f>
        <v/>
      </c>
    </row>
    <row r="2864">
      <c r="A2864" t="inlineStr">
        <is>
          <t>PF102855</t>
        </is>
      </c>
      <c r="B2864" s="68" t="n">
        <v>46002</v>
      </c>
      <c r="C2864" s="69" t="n">
        <v>2025</v>
      </c>
      <c r="D2864" t="inlineStr">
        <is>
          <t>Dec</t>
        </is>
      </c>
      <c r="E2864" t="inlineStr">
        <is>
          <t>United States</t>
        </is>
      </c>
      <c r="F2864" t="inlineStr">
        <is>
          <t>USA</t>
        </is>
      </c>
      <c r="G2864" t="inlineStr">
        <is>
          <t>Comirnaty</t>
        </is>
      </c>
      <c r="H2864" t="inlineStr">
        <is>
          <t>Retail pharmacy</t>
        </is>
      </c>
      <c r="I2864" t="inlineStr">
        <is>
          <t>Private insurer</t>
        </is>
      </c>
      <c r="J2864" t="inlineStr">
        <is>
          <t>Noah Smith</t>
        </is>
      </c>
      <c r="K2864" s="70" t="n">
        <v>3119</v>
      </c>
      <c r="L2864" s="71" t="n">
        <v>189.86</v>
      </c>
      <c r="M2864" s="71" t="n">
        <v>592173.34</v>
      </c>
      <c r="N2864" s="71" t="n">
        <v>177652</v>
      </c>
      <c r="O2864" s="71" t="n">
        <v>414521.34</v>
      </c>
      <c r="P2864" s="71" t="n">
        <v>116246.97</v>
      </c>
      <c r="Q2864" s="71" t="n">
        <v>298274.37</v>
      </c>
      <c r="R2864" t="inlineStr">
        <is>
          <t>Vaccines</t>
        </is>
      </c>
      <c r="S2864" s="70" t="n">
        <v>2025</v>
      </c>
      <c r="T2864" s="71" t="n">
        <v>120257.91</v>
      </c>
      <c r="U2864" t="inlineStr">
        <is>
          <t>Low</t>
        </is>
      </c>
      <c r="V2864">
        <f>IF(AND(OR(Dashboard!$C$6="All",E2864=Dashboard!$C$6),OR(Dashboard!$F$6="All",G2864=Dashboard!$F$6),OR(Dashboard!$I$6="All",H2864=Dashboard!$I$6)),1,0)</f>
        <v/>
      </c>
    </row>
    <row r="2865">
      <c r="A2865" t="inlineStr">
        <is>
          <t>PF102856</t>
        </is>
      </c>
      <c r="B2865" s="68" t="n">
        <v>46002</v>
      </c>
      <c r="C2865" s="69" t="n">
        <v>2025</v>
      </c>
      <c r="D2865" t="inlineStr">
        <is>
          <t>Dec</t>
        </is>
      </c>
      <c r="E2865" t="inlineStr">
        <is>
          <t>United States</t>
        </is>
      </c>
      <c r="F2865" t="inlineStr">
        <is>
          <t>USA</t>
        </is>
      </c>
      <c r="G2865" t="inlineStr">
        <is>
          <t>Eliquis</t>
        </is>
      </c>
      <c r="H2865" t="inlineStr">
        <is>
          <t>Government / tender</t>
        </is>
      </c>
      <c r="I2865" t="inlineStr">
        <is>
          <t>Self-pay</t>
        </is>
      </c>
      <c r="J2865" t="inlineStr">
        <is>
          <t>Sophie Müller</t>
        </is>
      </c>
      <c r="K2865" s="70" t="n">
        <v>1525</v>
      </c>
      <c r="L2865" s="71" t="n">
        <v>681.4400000000001</v>
      </c>
      <c r="M2865" s="71" t="n">
        <v>1039196</v>
      </c>
      <c r="N2865" s="71" t="n">
        <v>207839.2</v>
      </c>
      <c r="O2865" s="71" t="n">
        <v>831356.8</v>
      </c>
      <c r="P2865" s="71" t="n">
        <v>113861.48</v>
      </c>
      <c r="Q2865" s="71" t="n">
        <v>717495.3199999999</v>
      </c>
      <c r="R2865" t="inlineStr">
        <is>
          <t>Cardiology</t>
        </is>
      </c>
      <c r="S2865" s="70" t="n">
        <v>1012</v>
      </c>
      <c r="T2865" s="71" t="n">
        <v>140525.81</v>
      </c>
      <c r="U2865" t="inlineStr">
        <is>
          <t>High</t>
        </is>
      </c>
      <c r="V2865">
        <f>IF(AND(OR(Dashboard!$C$6="All",E2865=Dashboard!$C$6),OR(Dashboard!$F$6="All",G2865=Dashboard!$F$6),OR(Dashboard!$I$6="All",H2865=Dashboard!$I$6)),1,0)</f>
        <v/>
      </c>
    </row>
    <row r="2866">
      <c r="A2866" t="inlineStr">
        <is>
          <t>PF102857</t>
        </is>
      </c>
      <c r="B2866" s="68" t="n">
        <v>46002</v>
      </c>
      <c r="C2866" s="69" t="n">
        <v>2025</v>
      </c>
      <c r="D2866" t="inlineStr">
        <is>
          <t>Dec</t>
        </is>
      </c>
      <c r="E2866" t="inlineStr">
        <is>
          <t>Emerging markets</t>
        </is>
      </c>
      <c r="F2866" t="inlineStr">
        <is>
          <t>China</t>
        </is>
      </c>
      <c r="G2866" t="inlineStr">
        <is>
          <t>Ibrance</t>
        </is>
      </c>
      <c r="H2866" t="inlineStr">
        <is>
          <t>Retail pharmacy</t>
        </is>
      </c>
      <c r="I2866" t="inlineStr">
        <is>
          <t>Public payer</t>
        </is>
      </c>
      <c r="J2866" t="inlineStr">
        <is>
          <t>Olivia Brown</t>
        </is>
      </c>
      <c r="K2866" s="70" t="n">
        <v>2641</v>
      </c>
      <c r="L2866" s="71" t="n">
        <v>2993.89</v>
      </c>
      <c r="M2866" s="71" t="n">
        <v>7906863.49</v>
      </c>
      <c r="N2866" s="71" t="n">
        <v>790686.35</v>
      </c>
      <c r="O2866" s="71" t="n">
        <v>7116177.14</v>
      </c>
      <c r="P2866" s="71" t="n">
        <v>1134053.46</v>
      </c>
      <c r="Q2866" s="71" t="n">
        <v>5982123.68</v>
      </c>
      <c r="R2866" t="inlineStr">
        <is>
          <t>Oncology</t>
        </is>
      </c>
      <c r="S2866" s="70" t="n">
        <v>2135</v>
      </c>
      <c r="T2866" s="71" t="n">
        <v>1693835.52</v>
      </c>
      <c r="U2866" t="inlineStr">
        <is>
          <t>High</t>
        </is>
      </c>
      <c r="V2866">
        <f>IF(AND(OR(Dashboard!$C$6="All",E2866=Dashboard!$C$6),OR(Dashboard!$F$6="All",G2866=Dashboard!$F$6),OR(Dashboard!$I$6="All",H2866=Dashboard!$I$6)),1,0)</f>
        <v/>
      </c>
    </row>
    <row r="2867">
      <c r="A2867" t="inlineStr">
        <is>
          <t>PF102858</t>
        </is>
      </c>
      <c r="B2867" s="68" t="n">
        <v>46003</v>
      </c>
      <c r="C2867" s="69" t="n">
        <v>2025</v>
      </c>
      <c r="D2867" t="inlineStr">
        <is>
          <t>Dec</t>
        </is>
      </c>
      <c r="E2867" t="inlineStr">
        <is>
          <t>Emerging markets</t>
        </is>
      </c>
      <c r="F2867" t="inlineStr">
        <is>
          <t>Mexico</t>
        </is>
      </c>
      <c r="G2867" t="inlineStr">
        <is>
          <t>Eliquis</t>
        </is>
      </c>
      <c r="H2867" t="inlineStr">
        <is>
          <t>Hospital</t>
        </is>
      </c>
      <c r="I2867" t="inlineStr">
        <is>
          <t>Public payer</t>
        </is>
      </c>
      <c r="J2867" t="inlineStr">
        <is>
          <t>Shraddha Kulkarni</t>
        </is>
      </c>
      <c r="K2867" s="70" t="n">
        <v>369</v>
      </c>
      <c r="L2867" s="71" t="n">
        <v>446.26</v>
      </c>
      <c r="M2867" s="71" t="n">
        <v>164669.94</v>
      </c>
      <c r="N2867" s="71" t="n">
        <v>41167.49</v>
      </c>
      <c r="O2867" s="71" t="n">
        <v>123502.45</v>
      </c>
      <c r="P2867" s="71" t="n">
        <v>26935.21</v>
      </c>
      <c r="Q2867" s="71" t="n">
        <v>96567.24000000001</v>
      </c>
      <c r="R2867" t="inlineStr">
        <is>
          <t>Cardiology</t>
        </is>
      </c>
      <c r="S2867" s="70" t="n">
        <v>231</v>
      </c>
      <c r="T2867" s="71" t="n">
        <v>28180.51</v>
      </c>
      <c r="U2867" t="inlineStr">
        <is>
          <t>High</t>
        </is>
      </c>
      <c r="V2867">
        <f>IF(AND(OR(Dashboard!$C$6="All",E2867=Dashboard!$C$6),OR(Dashboard!$F$6="All",G2867=Dashboard!$F$6),OR(Dashboard!$I$6="All",H2867=Dashboard!$I$6)),1,0)</f>
        <v/>
      </c>
    </row>
    <row r="2868">
      <c r="A2868" t="inlineStr">
        <is>
          <t>PF102859</t>
        </is>
      </c>
      <c r="B2868" s="68" t="n">
        <v>46003</v>
      </c>
      <c r="C2868" s="69" t="n">
        <v>2025</v>
      </c>
      <c r="D2868" t="inlineStr">
        <is>
          <t>Dec</t>
        </is>
      </c>
      <c r="E2868" t="inlineStr">
        <is>
          <t>Emerging markets</t>
        </is>
      </c>
      <c r="F2868" t="inlineStr">
        <is>
          <t>Brazil</t>
        </is>
      </c>
      <c r="G2868" t="inlineStr">
        <is>
          <t>Paxlovid</t>
        </is>
      </c>
      <c r="H2868" t="inlineStr">
        <is>
          <t>Hospital</t>
        </is>
      </c>
      <c r="I2868" t="inlineStr">
        <is>
          <t>Public payer</t>
        </is>
      </c>
      <c r="J2868" t="inlineStr">
        <is>
          <t>Lucas Martin</t>
        </is>
      </c>
      <c r="K2868" s="70" t="n">
        <v>2168</v>
      </c>
      <c r="L2868" s="71" t="n">
        <v>1044.38</v>
      </c>
      <c r="M2868" s="71" t="n">
        <v>2264215.84</v>
      </c>
      <c r="N2868" s="71" t="n">
        <v>452843.17</v>
      </c>
      <c r="O2868" s="71" t="n">
        <v>1811372.67</v>
      </c>
      <c r="P2868" s="71" t="n">
        <v>605335.5699999999</v>
      </c>
      <c r="Q2868" s="71" t="n">
        <v>1206037.1</v>
      </c>
      <c r="R2868" t="inlineStr">
        <is>
          <t>Antiviral</t>
        </is>
      </c>
      <c r="S2868" s="70" t="n">
        <v>1873</v>
      </c>
      <c r="T2868" s="71" t="n">
        <v>289549.98</v>
      </c>
      <c r="U2868" t="inlineStr">
        <is>
          <t>Low</t>
        </is>
      </c>
      <c r="V2868">
        <f>IF(AND(OR(Dashboard!$C$6="All",E2868=Dashboard!$C$6),OR(Dashboard!$F$6="All",G2868=Dashboard!$F$6),OR(Dashboard!$I$6="All",H2868=Dashboard!$I$6)),1,0)</f>
        <v/>
      </c>
    </row>
    <row r="2869">
      <c r="A2869" t="inlineStr">
        <is>
          <t>PF102860</t>
        </is>
      </c>
      <c r="B2869" s="68" t="n">
        <v>46003</v>
      </c>
      <c r="C2869" s="69" t="n">
        <v>2025</v>
      </c>
      <c r="D2869" t="inlineStr">
        <is>
          <t>Dec</t>
        </is>
      </c>
      <c r="E2869" t="inlineStr">
        <is>
          <t>United States</t>
        </is>
      </c>
      <c r="F2869" t="inlineStr">
        <is>
          <t>USA</t>
        </is>
      </c>
      <c r="G2869" t="inlineStr">
        <is>
          <t>Paxlovid</t>
        </is>
      </c>
      <c r="H2869" t="inlineStr">
        <is>
          <t>Retail pharmacy</t>
        </is>
      </c>
      <c r="I2869" t="inlineStr">
        <is>
          <t>Private insurer</t>
        </is>
      </c>
      <c r="J2869" t="inlineStr">
        <is>
          <t>Priya Nair</t>
        </is>
      </c>
      <c r="K2869" s="70" t="n">
        <v>2132</v>
      </c>
      <c r="L2869" s="71" t="n">
        <v>1907.25</v>
      </c>
      <c r="M2869" s="71" t="n">
        <v>4066257</v>
      </c>
      <c r="N2869" s="71" t="n">
        <v>813251.4</v>
      </c>
      <c r="O2869" s="71" t="n">
        <v>3253005.6</v>
      </c>
      <c r="P2869" s="71" t="n">
        <v>591106.38</v>
      </c>
      <c r="Q2869" s="71" t="n">
        <v>2661899.22</v>
      </c>
      <c r="R2869" t="inlineStr">
        <is>
          <t>Antiviral</t>
        </is>
      </c>
      <c r="S2869" s="70" t="n">
        <v>1970</v>
      </c>
      <c r="T2869" s="71" t="n">
        <v>766328</v>
      </c>
      <c r="U2869" t="inlineStr">
        <is>
          <t>Low</t>
        </is>
      </c>
      <c r="V2869">
        <f>IF(AND(OR(Dashboard!$C$6="All",E2869=Dashboard!$C$6),OR(Dashboard!$F$6="All",G2869=Dashboard!$F$6),OR(Dashboard!$I$6="All",H2869=Dashboard!$I$6)),1,0)</f>
        <v/>
      </c>
    </row>
    <row r="2870">
      <c r="A2870" t="inlineStr">
        <is>
          <t>PF102861</t>
        </is>
      </c>
      <c r="B2870" s="68" t="n">
        <v>46003</v>
      </c>
      <c r="C2870" s="69" t="n">
        <v>2025</v>
      </c>
      <c r="D2870" t="inlineStr">
        <is>
          <t>Dec</t>
        </is>
      </c>
      <c r="E2870" t="inlineStr">
        <is>
          <t>Emerging markets</t>
        </is>
      </c>
      <c r="F2870" t="inlineStr">
        <is>
          <t>Mexico</t>
        </is>
      </c>
      <c r="G2870" t="inlineStr">
        <is>
          <t>Comirnaty</t>
        </is>
      </c>
      <c r="H2870" t="inlineStr">
        <is>
          <t>Retail pharmacy</t>
        </is>
      </c>
      <c r="I2870" t="inlineStr">
        <is>
          <t>Private insurer</t>
        </is>
      </c>
      <c r="J2870" t="inlineStr">
        <is>
          <t>Noah Smith</t>
        </is>
      </c>
      <c r="K2870" s="70" t="n">
        <v>497</v>
      </c>
      <c r="L2870" s="71" t="n">
        <v>99.47</v>
      </c>
      <c r="M2870" s="71" t="n">
        <v>49436.59</v>
      </c>
      <c r="N2870" s="71" t="n">
        <v>7415.49</v>
      </c>
      <c r="O2870" s="71" t="n">
        <v>42021.1</v>
      </c>
      <c r="P2870" s="71" t="n">
        <v>18714.54</v>
      </c>
      <c r="Q2870" s="71" t="n">
        <v>23306.56</v>
      </c>
      <c r="R2870" t="inlineStr">
        <is>
          <t>Vaccines</t>
        </is>
      </c>
      <c r="S2870" s="70" t="n">
        <v>404</v>
      </c>
      <c r="T2870" s="71" t="n">
        <v>8708.879999999999</v>
      </c>
      <c r="U2870" t="inlineStr">
        <is>
          <t>Low</t>
        </is>
      </c>
      <c r="V2870">
        <f>IF(AND(OR(Dashboard!$C$6="All",E2870=Dashboard!$C$6),OR(Dashboard!$F$6="All",G2870=Dashboard!$F$6),OR(Dashboard!$I$6="All",H2870=Dashboard!$I$6)),1,0)</f>
        <v/>
      </c>
    </row>
    <row r="2871">
      <c r="A2871" t="inlineStr">
        <is>
          <t>PF102862</t>
        </is>
      </c>
      <c r="B2871" s="68" t="n">
        <v>46004</v>
      </c>
      <c r="C2871" s="69" t="n">
        <v>2025</v>
      </c>
      <c r="D2871" t="inlineStr">
        <is>
          <t>Dec</t>
        </is>
      </c>
      <c r="E2871" t="inlineStr">
        <is>
          <t>United States</t>
        </is>
      </c>
      <c r="F2871" t="inlineStr">
        <is>
          <t>USA</t>
        </is>
      </c>
      <c r="G2871" t="inlineStr">
        <is>
          <t>Xeljanz</t>
        </is>
      </c>
      <c r="H2871" t="inlineStr">
        <is>
          <t>Retail pharmacy</t>
        </is>
      </c>
      <c r="I2871" t="inlineStr">
        <is>
          <t>Private insurer</t>
        </is>
      </c>
      <c r="J2871" t="inlineStr">
        <is>
          <t>Aisha Bello</t>
        </is>
      </c>
      <c r="K2871" s="70" t="n">
        <v>1253</v>
      </c>
      <c r="L2871" s="71" t="n">
        <v>2152.27</v>
      </c>
      <c r="M2871" s="71" t="n">
        <v>2696794.31</v>
      </c>
      <c r="N2871" s="71" t="n">
        <v>404519.15</v>
      </c>
      <c r="O2871" s="71" t="n">
        <v>2292275.16</v>
      </c>
      <c r="P2871" s="71" t="n">
        <v>323512.2</v>
      </c>
      <c r="Q2871" s="71" t="n">
        <v>1968762.96</v>
      </c>
      <c r="R2871" t="inlineStr">
        <is>
          <t>Inflammation</t>
        </is>
      </c>
      <c r="S2871" s="70" t="n">
        <v>1149</v>
      </c>
      <c r="T2871" s="71" t="n">
        <v>530811.84</v>
      </c>
      <c r="U2871" t="inlineStr">
        <is>
          <t>High</t>
        </is>
      </c>
      <c r="V2871">
        <f>IF(AND(OR(Dashboard!$C$6="All",E2871=Dashboard!$C$6),OR(Dashboard!$F$6="All",G2871=Dashboard!$F$6),OR(Dashboard!$I$6="All",H2871=Dashboard!$I$6)),1,0)</f>
        <v/>
      </c>
    </row>
    <row r="2872">
      <c r="A2872" t="inlineStr">
        <is>
          <t>PF102863</t>
        </is>
      </c>
      <c r="B2872" s="68" t="n">
        <v>46004</v>
      </c>
      <c r="C2872" s="69" t="n">
        <v>2025</v>
      </c>
      <c r="D2872" t="inlineStr">
        <is>
          <t>Dec</t>
        </is>
      </c>
      <c r="E2872" t="inlineStr">
        <is>
          <t>United States</t>
        </is>
      </c>
      <c r="F2872" t="inlineStr">
        <is>
          <t>USA</t>
        </is>
      </c>
      <c r="G2872" t="inlineStr">
        <is>
          <t>Prevnar 20</t>
        </is>
      </c>
      <c r="H2872" t="inlineStr">
        <is>
          <t>Retail pharmacy</t>
        </is>
      </c>
      <c r="I2872" t="inlineStr">
        <is>
          <t>Self-pay</t>
        </is>
      </c>
      <c r="J2872" t="inlineStr">
        <is>
          <t>Liam O'Brien</t>
        </is>
      </c>
      <c r="K2872" s="70" t="n">
        <v>387</v>
      </c>
      <c r="L2872" s="71" t="n">
        <v>370.78</v>
      </c>
      <c r="M2872" s="71" t="n">
        <v>143491.86</v>
      </c>
      <c r="N2872" s="71" t="n">
        <v>43047.56</v>
      </c>
      <c r="O2872" s="71" t="n">
        <v>100444.3</v>
      </c>
      <c r="P2872" s="71" t="n">
        <v>27589.3</v>
      </c>
      <c r="Q2872" s="71" t="n">
        <v>72855</v>
      </c>
      <c r="R2872" t="inlineStr">
        <is>
          <t>Vaccines</t>
        </is>
      </c>
      <c r="S2872" s="70" t="n">
        <v>381</v>
      </c>
      <c r="T2872" s="71" t="n">
        <v>20203.19</v>
      </c>
      <c r="U2872" t="inlineStr">
        <is>
          <t>Low</t>
        </is>
      </c>
      <c r="V2872">
        <f>IF(AND(OR(Dashboard!$C$6="All",E2872=Dashboard!$C$6),OR(Dashboard!$F$6="All",G2872=Dashboard!$F$6),OR(Dashboard!$I$6="All",H2872=Dashboard!$I$6)),1,0)</f>
        <v/>
      </c>
    </row>
    <row r="2873">
      <c r="A2873" t="inlineStr">
        <is>
          <t>PF102864</t>
        </is>
      </c>
      <c r="B2873" s="68" t="n">
        <v>46004</v>
      </c>
      <c r="C2873" s="69" t="n">
        <v>2025</v>
      </c>
      <c r="D2873" t="inlineStr">
        <is>
          <t>Dec</t>
        </is>
      </c>
      <c r="E2873" t="inlineStr">
        <is>
          <t>International developed</t>
        </is>
      </c>
      <c r="F2873" t="inlineStr">
        <is>
          <t>Canada</t>
        </is>
      </c>
      <c r="G2873" t="inlineStr">
        <is>
          <t>Eliquis</t>
        </is>
      </c>
      <c r="H2873" t="inlineStr">
        <is>
          <t>Retail pharmacy</t>
        </is>
      </c>
      <c r="I2873" t="inlineStr">
        <is>
          <t>Public payer</t>
        </is>
      </c>
      <c r="J2873" t="inlineStr">
        <is>
          <t>Wei Chen</t>
        </is>
      </c>
      <c r="K2873" s="70" t="n">
        <v>2102</v>
      </c>
      <c r="L2873" s="71" t="n">
        <v>447.85</v>
      </c>
      <c r="M2873" s="71" t="n">
        <v>941380.7</v>
      </c>
      <c r="N2873" s="71" t="n">
        <v>188276.14</v>
      </c>
      <c r="O2873" s="71" t="n">
        <v>753104.5600000001</v>
      </c>
      <c r="P2873" s="71" t="n">
        <v>158254.73</v>
      </c>
      <c r="Q2873" s="71" t="n">
        <v>594849.83</v>
      </c>
      <c r="R2873" t="inlineStr">
        <is>
          <t>Cardiology</t>
        </is>
      </c>
      <c r="S2873" s="70" t="n">
        <v>1514</v>
      </c>
      <c r="T2873" s="71" t="n">
        <v>190343.08</v>
      </c>
      <c r="U2873" t="inlineStr">
        <is>
          <t>High</t>
        </is>
      </c>
      <c r="V2873">
        <f>IF(AND(OR(Dashboard!$C$6="All",E2873=Dashboard!$C$6),OR(Dashboard!$F$6="All",G2873=Dashboard!$F$6),OR(Dashboard!$I$6="All",H2873=Dashboard!$I$6)),1,0)</f>
        <v/>
      </c>
    </row>
    <row r="2874">
      <c r="A2874" t="inlineStr">
        <is>
          <t>PF102865</t>
        </is>
      </c>
      <c r="B2874" s="68" t="n">
        <v>46004</v>
      </c>
      <c r="C2874" s="69" t="n">
        <v>2025</v>
      </c>
      <c r="D2874" t="inlineStr">
        <is>
          <t>Dec</t>
        </is>
      </c>
      <c r="E2874" t="inlineStr">
        <is>
          <t>Emerging markets</t>
        </is>
      </c>
      <c r="F2874" t="inlineStr">
        <is>
          <t>Brazil</t>
        </is>
      </c>
      <c r="G2874" t="inlineStr">
        <is>
          <t>Vyndaqel</t>
        </is>
      </c>
      <c r="H2874" t="inlineStr">
        <is>
          <t>Retail pharmacy</t>
        </is>
      </c>
      <c r="I2874" t="inlineStr">
        <is>
          <t>Private insurer</t>
        </is>
      </c>
      <c r="J2874" t="inlineStr">
        <is>
          <t>Arjun Mehta</t>
        </is>
      </c>
      <c r="K2874" s="70" t="n">
        <v>3155</v>
      </c>
      <c r="L2874" s="71" t="n">
        <v>5225.24</v>
      </c>
      <c r="M2874" s="71" t="n">
        <v>16485632.2</v>
      </c>
      <c r="N2874" s="71" t="n">
        <v>824281.61</v>
      </c>
      <c r="O2874" s="71" t="n">
        <v>15661350.59</v>
      </c>
      <c r="P2874" s="71" t="n">
        <v>1935858.27</v>
      </c>
      <c r="Q2874" s="71" t="n">
        <v>13725492.32</v>
      </c>
      <c r="R2874" t="inlineStr">
        <is>
          <t>Rare disease</t>
        </is>
      </c>
      <c r="S2874" s="70" t="n">
        <v>2308</v>
      </c>
      <c r="T2874" s="71" t="n">
        <v>2090367.81</v>
      </c>
      <c r="U2874" t="inlineStr">
        <is>
          <t>Medium</t>
        </is>
      </c>
      <c r="V2874">
        <f>IF(AND(OR(Dashboard!$C$6="All",E2874=Dashboard!$C$6),OR(Dashboard!$F$6="All",G2874=Dashboard!$F$6),OR(Dashboard!$I$6="All",H2874=Dashboard!$I$6)),1,0)</f>
        <v/>
      </c>
    </row>
    <row r="2875">
      <c r="A2875" t="inlineStr">
        <is>
          <t>PF102866</t>
        </is>
      </c>
      <c r="B2875" s="68" t="n">
        <v>46004</v>
      </c>
      <c r="C2875" s="69" t="n">
        <v>2025</v>
      </c>
      <c r="D2875" t="inlineStr">
        <is>
          <t>Dec</t>
        </is>
      </c>
      <c r="E2875" t="inlineStr">
        <is>
          <t>Emerging markets</t>
        </is>
      </c>
      <c r="F2875" t="inlineStr">
        <is>
          <t>Brazil</t>
        </is>
      </c>
      <c r="G2875" t="inlineStr">
        <is>
          <t>Paxlovid</t>
        </is>
      </c>
      <c r="H2875" t="inlineStr">
        <is>
          <t>Government / tender</t>
        </is>
      </c>
      <c r="I2875" t="inlineStr">
        <is>
          <t>Public payer</t>
        </is>
      </c>
      <c r="J2875" t="inlineStr">
        <is>
          <t>Fatima Al-Saud</t>
        </is>
      </c>
      <c r="K2875" s="70" t="n">
        <v>2747</v>
      </c>
      <c r="L2875" s="71" t="n">
        <v>1069.8</v>
      </c>
      <c r="M2875" s="71" t="n">
        <v>2938740.6</v>
      </c>
      <c r="N2875" s="71" t="n">
        <v>587748.12</v>
      </c>
      <c r="O2875" s="71" t="n">
        <v>2350992.48</v>
      </c>
      <c r="P2875" s="71" t="n">
        <v>778876.73</v>
      </c>
      <c r="Q2875" s="71" t="n">
        <v>1572115.75</v>
      </c>
      <c r="R2875" t="inlineStr">
        <is>
          <t>Antiviral</t>
        </is>
      </c>
      <c r="S2875" s="70" t="n">
        <v>2117</v>
      </c>
      <c r="T2875" s="71" t="n">
        <v>594674.8100000001</v>
      </c>
      <c r="U2875" t="inlineStr">
        <is>
          <t>Low</t>
        </is>
      </c>
      <c r="V2875">
        <f>IF(AND(OR(Dashboard!$C$6="All",E2875=Dashboard!$C$6),OR(Dashboard!$F$6="All",G2875=Dashboard!$F$6),OR(Dashboard!$I$6="All",H2875=Dashboard!$I$6)),1,0)</f>
        <v/>
      </c>
    </row>
    <row r="2876">
      <c r="A2876" t="inlineStr">
        <is>
          <t>PF102867</t>
        </is>
      </c>
      <c r="B2876" s="68" t="n">
        <v>46004</v>
      </c>
      <c r="C2876" s="69" t="n">
        <v>2025</v>
      </c>
      <c r="D2876" t="inlineStr">
        <is>
          <t>Dec</t>
        </is>
      </c>
      <c r="E2876" t="inlineStr">
        <is>
          <t>United States</t>
        </is>
      </c>
      <c r="F2876" t="inlineStr">
        <is>
          <t>USA</t>
        </is>
      </c>
      <c r="G2876" t="inlineStr">
        <is>
          <t>Eliquis</t>
        </is>
      </c>
      <c r="H2876" t="inlineStr">
        <is>
          <t>Retail pharmacy</t>
        </is>
      </c>
      <c r="I2876" t="inlineStr">
        <is>
          <t>Self-pay</t>
        </is>
      </c>
      <c r="J2876" t="inlineStr">
        <is>
          <t>Zoya Ahmed</t>
        </is>
      </c>
      <c r="K2876" s="70" t="n">
        <v>802</v>
      </c>
      <c r="L2876" s="71" t="n">
        <v>716.98</v>
      </c>
      <c r="M2876" s="71" t="n">
        <v>575017.96</v>
      </c>
      <c r="N2876" s="71" t="n">
        <v>115003.59</v>
      </c>
      <c r="O2876" s="71" t="n">
        <v>460014.37</v>
      </c>
      <c r="P2876" s="71" t="n">
        <v>60173.36</v>
      </c>
      <c r="Q2876" s="71" t="n">
        <v>399841.01</v>
      </c>
      <c r="R2876" t="inlineStr">
        <is>
          <t>Cardiology</t>
        </is>
      </c>
      <c r="S2876" s="70" t="n">
        <v>617</v>
      </c>
      <c r="T2876" s="71" t="n">
        <v>99706.19</v>
      </c>
      <c r="U2876" t="inlineStr">
        <is>
          <t>High</t>
        </is>
      </c>
      <c r="V2876">
        <f>IF(AND(OR(Dashboard!$C$6="All",E2876=Dashboard!$C$6),OR(Dashboard!$F$6="All",G2876=Dashboard!$F$6),OR(Dashboard!$I$6="All",H2876=Dashboard!$I$6)),1,0)</f>
        <v/>
      </c>
    </row>
    <row r="2877">
      <c r="A2877" t="inlineStr">
        <is>
          <t>PF102868</t>
        </is>
      </c>
      <c r="B2877" s="68" t="n">
        <v>46004</v>
      </c>
      <c r="C2877" s="69" t="n">
        <v>2025</v>
      </c>
      <c r="D2877" t="inlineStr">
        <is>
          <t>Dec</t>
        </is>
      </c>
      <c r="E2877" t="inlineStr">
        <is>
          <t>Europe</t>
        </is>
      </c>
      <c r="F2877" t="inlineStr">
        <is>
          <t>Germany</t>
        </is>
      </c>
      <c r="G2877" t="inlineStr">
        <is>
          <t>Eliquis</t>
        </is>
      </c>
      <c r="H2877" t="inlineStr">
        <is>
          <t>Retail pharmacy</t>
        </is>
      </c>
      <c r="I2877" t="inlineStr">
        <is>
          <t>Public payer</t>
        </is>
      </c>
      <c r="J2877" t="inlineStr">
        <is>
          <t>Sara Rossi</t>
        </is>
      </c>
      <c r="K2877" s="70" t="n">
        <v>1339</v>
      </c>
      <c r="L2877" s="71" t="n">
        <v>415.9</v>
      </c>
      <c r="M2877" s="71" t="n">
        <v>556890.1</v>
      </c>
      <c r="N2877" s="71" t="n">
        <v>27844.51</v>
      </c>
      <c r="O2877" s="71" t="n">
        <v>529045.59</v>
      </c>
      <c r="P2877" s="71" t="n">
        <v>101154.53</v>
      </c>
      <c r="Q2877" s="71" t="n">
        <v>427891.06</v>
      </c>
      <c r="R2877" t="inlineStr">
        <is>
          <t>Cardiology</t>
        </is>
      </c>
      <c r="S2877" s="70" t="n">
        <v>880</v>
      </c>
      <c r="T2877" s="71" t="n">
        <v>73457.02</v>
      </c>
      <c r="U2877" t="inlineStr">
        <is>
          <t>High</t>
        </is>
      </c>
      <c r="V2877">
        <f>IF(AND(OR(Dashboard!$C$6="All",E2877=Dashboard!$C$6),OR(Dashboard!$F$6="All",G2877=Dashboard!$F$6),OR(Dashboard!$I$6="All",H2877=Dashboard!$I$6)),1,0)</f>
        <v/>
      </c>
    </row>
    <row r="2878">
      <c r="A2878" t="inlineStr">
        <is>
          <t>PF102869</t>
        </is>
      </c>
      <c r="B2878" s="68" t="n">
        <v>46004</v>
      </c>
      <c r="C2878" s="69" t="n">
        <v>2025</v>
      </c>
      <c r="D2878" t="inlineStr">
        <is>
          <t>Dec</t>
        </is>
      </c>
      <c r="E2878" t="inlineStr">
        <is>
          <t>Europe</t>
        </is>
      </c>
      <c r="F2878" t="inlineStr">
        <is>
          <t>France</t>
        </is>
      </c>
      <c r="G2878" t="inlineStr">
        <is>
          <t>Xeljanz</t>
        </is>
      </c>
      <c r="H2878" t="inlineStr">
        <is>
          <t>Government / tender</t>
        </is>
      </c>
      <c r="I2878" t="inlineStr">
        <is>
          <t>Private insurer</t>
        </is>
      </c>
      <c r="J2878" t="inlineStr">
        <is>
          <t>Wei Chen</t>
        </is>
      </c>
      <c r="K2878" s="70" t="n">
        <v>3531</v>
      </c>
      <c r="L2878" s="71" t="n">
        <v>1526.69</v>
      </c>
      <c r="M2878" s="71" t="n">
        <v>5390742.39</v>
      </c>
      <c r="N2878" s="71" t="n">
        <v>808611.36</v>
      </c>
      <c r="O2878" s="71" t="n">
        <v>4582131.03</v>
      </c>
      <c r="P2878" s="71" t="n">
        <v>874159.86</v>
      </c>
      <c r="Q2878" s="71" t="n">
        <v>3707971.17</v>
      </c>
      <c r="R2878" t="inlineStr">
        <is>
          <t>Inflammation</t>
        </is>
      </c>
      <c r="S2878" s="70" t="n">
        <v>2903</v>
      </c>
      <c r="T2878" s="71" t="n">
        <v>1029243.65</v>
      </c>
      <c r="U2878" t="inlineStr">
        <is>
          <t>High</t>
        </is>
      </c>
      <c r="V2878">
        <f>IF(AND(OR(Dashboard!$C$6="All",E2878=Dashboard!$C$6),OR(Dashboard!$F$6="All",G2878=Dashboard!$F$6),OR(Dashboard!$I$6="All",H2878=Dashboard!$I$6)),1,0)</f>
        <v/>
      </c>
    </row>
    <row r="2879">
      <c r="A2879" t="inlineStr">
        <is>
          <t>PF102870</t>
        </is>
      </c>
      <c r="B2879" s="68" t="n">
        <v>46004</v>
      </c>
      <c r="C2879" s="69" t="n">
        <v>2025</v>
      </c>
      <c r="D2879" t="inlineStr">
        <is>
          <t>Dec</t>
        </is>
      </c>
      <c r="E2879" t="inlineStr">
        <is>
          <t>United States</t>
        </is>
      </c>
      <c r="F2879" t="inlineStr">
        <is>
          <t>USA</t>
        </is>
      </c>
      <c r="G2879" t="inlineStr">
        <is>
          <t>Comirnaty</t>
        </is>
      </c>
      <c r="H2879" t="inlineStr">
        <is>
          <t>Retail pharmacy</t>
        </is>
      </c>
      <c r="I2879" t="inlineStr">
        <is>
          <t>Public payer</t>
        </is>
      </c>
      <c r="J2879" t="inlineStr">
        <is>
          <t>Shraddha Kulkarni</t>
        </is>
      </c>
      <c r="K2879" s="70" t="n">
        <v>2106</v>
      </c>
      <c r="L2879" s="71" t="n">
        <v>192</v>
      </c>
      <c r="M2879" s="71" t="n">
        <v>404352</v>
      </c>
      <c r="N2879" s="71" t="n">
        <v>60652.8</v>
      </c>
      <c r="O2879" s="71" t="n">
        <v>343699.2</v>
      </c>
      <c r="P2879" s="71" t="n">
        <v>79911.86</v>
      </c>
      <c r="Q2879" s="71" t="n">
        <v>263787.34</v>
      </c>
      <c r="R2879" t="inlineStr">
        <is>
          <t>Vaccines</t>
        </is>
      </c>
      <c r="S2879" s="70" t="n">
        <v>1356</v>
      </c>
      <c r="T2879" s="71" t="n">
        <v>51529.62</v>
      </c>
      <c r="U2879" t="inlineStr">
        <is>
          <t>Low</t>
        </is>
      </c>
      <c r="V2879">
        <f>IF(AND(OR(Dashboard!$C$6="All",E2879=Dashboard!$C$6),OR(Dashboard!$F$6="All",G2879=Dashboard!$F$6),OR(Dashboard!$I$6="All",H2879=Dashboard!$I$6)),1,0)</f>
        <v/>
      </c>
    </row>
    <row r="2880">
      <c r="A2880" t="inlineStr">
        <is>
          <t>PF102871</t>
        </is>
      </c>
      <c r="B2880" s="68" t="n">
        <v>46004</v>
      </c>
      <c r="C2880" s="69" t="n">
        <v>2025</v>
      </c>
      <c r="D2880" t="inlineStr">
        <is>
          <t>Dec</t>
        </is>
      </c>
      <c r="E2880" t="inlineStr">
        <is>
          <t>United States</t>
        </is>
      </c>
      <c r="F2880" t="inlineStr">
        <is>
          <t>USA</t>
        </is>
      </c>
      <c r="G2880" t="inlineStr">
        <is>
          <t>Comirnaty</t>
        </is>
      </c>
      <c r="H2880" t="inlineStr">
        <is>
          <t>Government / tender</t>
        </is>
      </c>
      <c r="I2880" t="inlineStr">
        <is>
          <t>Private insurer</t>
        </is>
      </c>
      <c r="J2880" t="inlineStr">
        <is>
          <t>Noah Smith</t>
        </is>
      </c>
      <c r="K2880" s="70" t="n">
        <v>2262</v>
      </c>
      <c r="L2880" s="71" t="n">
        <v>190.99</v>
      </c>
      <c r="M2880" s="71" t="n">
        <v>432019.38</v>
      </c>
      <c r="N2880" s="71" t="n">
        <v>129605.81</v>
      </c>
      <c r="O2880" s="71" t="n">
        <v>302413.57</v>
      </c>
      <c r="P2880" s="71" t="n">
        <v>84072.17999999999</v>
      </c>
      <c r="Q2880" s="71" t="n">
        <v>218341.39</v>
      </c>
      <c r="R2880" t="inlineStr">
        <is>
          <t>Vaccines</t>
        </is>
      </c>
      <c r="S2880" s="70" t="n">
        <v>2033</v>
      </c>
      <c r="T2880" s="71" t="n">
        <v>57831.65</v>
      </c>
      <c r="U2880" t="inlineStr">
        <is>
          <t>Low</t>
        </is>
      </c>
      <c r="V2880">
        <f>IF(AND(OR(Dashboard!$C$6="All",E2880=Dashboard!$C$6),OR(Dashboard!$F$6="All",G2880=Dashboard!$F$6),OR(Dashboard!$I$6="All",H2880=Dashboard!$I$6)),1,0)</f>
        <v/>
      </c>
    </row>
    <row r="2881">
      <c r="A2881" t="inlineStr">
        <is>
          <t>PF102872</t>
        </is>
      </c>
      <c r="B2881" s="68" t="n">
        <v>46004</v>
      </c>
      <c r="C2881" s="69" t="n">
        <v>2025</v>
      </c>
      <c r="D2881" t="inlineStr">
        <is>
          <t>Dec</t>
        </is>
      </c>
      <c r="E2881" t="inlineStr">
        <is>
          <t>United States</t>
        </is>
      </c>
      <c r="F2881" t="inlineStr">
        <is>
          <t>USA</t>
        </is>
      </c>
      <c r="G2881" t="inlineStr">
        <is>
          <t>Prevnar 20</t>
        </is>
      </c>
      <c r="H2881" t="inlineStr">
        <is>
          <t>Hospital</t>
        </is>
      </c>
      <c r="I2881" t="inlineStr">
        <is>
          <t>Private insurer</t>
        </is>
      </c>
      <c r="J2881" t="inlineStr">
        <is>
          <t>Emma Clarke</t>
        </is>
      </c>
      <c r="K2881" s="70" t="n">
        <v>2635</v>
      </c>
      <c r="L2881" s="71" t="n">
        <v>373.84</v>
      </c>
      <c r="M2881" s="71" t="n">
        <v>985068.4</v>
      </c>
      <c r="N2881" s="71" t="n">
        <v>344773.94</v>
      </c>
      <c r="O2881" s="71" t="n">
        <v>640294.46</v>
      </c>
      <c r="P2881" s="71" t="n">
        <v>182440.92</v>
      </c>
      <c r="Q2881" s="71" t="n">
        <v>457853.54</v>
      </c>
      <c r="R2881" t="inlineStr">
        <is>
          <t>Vaccines</t>
        </is>
      </c>
      <c r="S2881" s="70" t="n">
        <v>1813</v>
      </c>
      <c r="T2881" s="71" t="n">
        <v>184918.27</v>
      </c>
      <c r="U2881" t="inlineStr">
        <is>
          <t>Low</t>
        </is>
      </c>
      <c r="V2881">
        <f>IF(AND(OR(Dashboard!$C$6="All",E2881=Dashboard!$C$6),OR(Dashboard!$F$6="All",G2881=Dashboard!$F$6),OR(Dashboard!$I$6="All",H2881=Dashboard!$I$6)),1,0)</f>
        <v/>
      </c>
    </row>
    <row r="2882">
      <c r="A2882" t="inlineStr">
        <is>
          <t>PF102873</t>
        </is>
      </c>
      <c r="B2882" s="68" t="n">
        <v>46005</v>
      </c>
      <c r="C2882" s="69" t="n">
        <v>2025</v>
      </c>
      <c r="D2882" t="inlineStr">
        <is>
          <t>Dec</t>
        </is>
      </c>
      <c r="E2882" t="inlineStr">
        <is>
          <t>International developed</t>
        </is>
      </c>
      <c r="F2882" t="inlineStr">
        <is>
          <t>Japan</t>
        </is>
      </c>
      <c r="G2882" t="inlineStr">
        <is>
          <t>Eliquis</t>
        </is>
      </c>
      <c r="H2882" t="inlineStr">
        <is>
          <t>Retail pharmacy</t>
        </is>
      </c>
      <c r="I2882" t="inlineStr">
        <is>
          <t>Public payer</t>
        </is>
      </c>
      <c r="J2882" t="inlineStr">
        <is>
          <t>Aisha Bello</t>
        </is>
      </c>
      <c r="K2882" s="70" t="n">
        <v>2891</v>
      </c>
      <c r="L2882" s="71" t="n">
        <v>427.39</v>
      </c>
      <c r="M2882" s="71" t="n">
        <v>1235584.49</v>
      </c>
      <c r="N2882" s="71" t="n">
        <v>247116.9</v>
      </c>
      <c r="O2882" s="71" t="n">
        <v>988467.59</v>
      </c>
      <c r="P2882" s="71" t="n">
        <v>213643.94</v>
      </c>
      <c r="Q2882" s="71" t="n">
        <v>774823.65</v>
      </c>
      <c r="R2882" t="inlineStr">
        <is>
          <t>Cardiology</t>
        </is>
      </c>
      <c r="S2882" s="70" t="n">
        <v>1844</v>
      </c>
      <c r="T2882" s="71" t="n">
        <v>231221.25</v>
      </c>
      <c r="U2882" t="inlineStr">
        <is>
          <t>High</t>
        </is>
      </c>
      <c r="V2882">
        <f>IF(AND(OR(Dashboard!$C$6="All",E2882=Dashboard!$C$6),OR(Dashboard!$F$6="All",G2882=Dashboard!$F$6),OR(Dashboard!$I$6="All",H2882=Dashboard!$I$6)),1,0)</f>
        <v/>
      </c>
    </row>
    <row r="2883">
      <c r="A2883" t="inlineStr">
        <is>
          <t>PF102874</t>
        </is>
      </c>
      <c r="B2883" s="68" t="n">
        <v>46005</v>
      </c>
      <c r="C2883" s="69" t="n">
        <v>2025</v>
      </c>
      <c r="D2883" t="inlineStr">
        <is>
          <t>Dec</t>
        </is>
      </c>
      <c r="E2883" t="inlineStr">
        <is>
          <t>United States</t>
        </is>
      </c>
      <c r="F2883" t="inlineStr">
        <is>
          <t>USA</t>
        </is>
      </c>
      <c r="G2883" t="inlineStr">
        <is>
          <t>Prevnar 20</t>
        </is>
      </c>
      <c r="H2883" t="inlineStr">
        <is>
          <t>Retail pharmacy</t>
        </is>
      </c>
      <c r="I2883" t="inlineStr">
        <is>
          <t>Public payer</t>
        </is>
      </c>
      <c r="J2883" t="inlineStr">
        <is>
          <t>Olivia Brown</t>
        </is>
      </c>
      <c r="K2883" s="70" t="n">
        <v>1840</v>
      </c>
      <c r="L2883" s="71" t="n">
        <v>402.13</v>
      </c>
      <c r="M2883" s="71" t="n">
        <v>739919.2</v>
      </c>
      <c r="N2883" s="71" t="n">
        <v>184979.8</v>
      </c>
      <c r="O2883" s="71" t="n">
        <v>554939.4</v>
      </c>
      <c r="P2883" s="71" t="n">
        <v>124120.49</v>
      </c>
      <c r="Q2883" s="71" t="n">
        <v>430818.91</v>
      </c>
      <c r="R2883" t="inlineStr">
        <is>
          <t>Vaccines</t>
        </is>
      </c>
      <c r="S2883" s="70" t="n">
        <v>1493</v>
      </c>
      <c r="T2883" s="71" t="n">
        <v>105917.12</v>
      </c>
      <c r="U2883" t="inlineStr">
        <is>
          <t>Low</t>
        </is>
      </c>
      <c r="V2883">
        <f>IF(AND(OR(Dashboard!$C$6="All",E2883=Dashboard!$C$6),OR(Dashboard!$F$6="All",G2883=Dashboard!$F$6),OR(Dashboard!$I$6="All",H2883=Dashboard!$I$6)),1,0)</f>
        <v/>
      </c>
    </row>
    <row r="2884">
      <c r="A2884" t="inlineStr">
        <is>
          <t>PF102875</t>
        </is>
      </c>
      <c r="B2884" s="68" t="n">
        <v>46005</v>
      </c>
      <c r="C2884" s="69" t="n">
        <v>2025</v>
      </c>
      <c r="D2884" t="inlineStr">
        <is>
          <t>Dec</t>
        </is>
      </c>
      <c r="E2884" t="inlineStr">
        <is>
          <t>Europe</t>
        </is>
      </c>
      <c r="F2884" t="inlineStr">
        <is>
          <t>Italy</t>
        </is>
      </c>
      <c r="G2884" t="inlineStr">
        <is>
          <t>Prevnar 20</t>
        </is>
      </c>
      <c r="H2884" t="inlineStr">
        <is>
          <t>Government / tender</t>
        </is>
      </c>
      <c r="I2884" t="inlineStr">
        <is>
          <t>Private insurer</t>
        </is>
      </c>
      <c r="J2884" t="inlineStr">
        <is>
          <t>Shraddha Kulkarni</t>
        </is>
      </c>
      <c r="K2884" s="70" t="n">
        <v>2444</v>
      </c>
      <c r="L2884" s="71" t="n">
        <v>230.04</v>
      </c>
      <c r="M2884" s="71" t="n">
        <v>562217.76</v>
      </c>
      <c r="N2884" s="71" t="n">
        <v>112443.55</v>
      </c>
      <c r="O2884" s="71" t="n">
        <v>449774.21</v>
      </c>
      <c r="P2884" s="71" t="n">
        <v>165199.7</v>
      </c>
      <c r="Q2884" s="71" t="n">
        <v>284574.51</v>
      </c>
      <c r="R2884" t="inlineStr">
        <is>
          <t>Vaccines</t>
        </is>
      </c>
      <c r="S2884" s="70" t="n">
        <v>1528</v>
      </c>
      <c r="T2884" s="71" t="n">
        <v>98597.91</v>
      </c>
      <c r="U2884" t="inlineStr">
        <is>
          <t>Low</t>
        </is>
      </c>
      <c r="V2884">
        <f>IF(AND(OR(Dashboard!$C$6="All",E2884=Dashboard!$C$6),OR(Dashboard!$F$6="All",G2884=Dashboard!$F$6),OR(Dashboard!$I$6="All",H2884=Dashboard!$I$6)),1,0)</f>
        <v/>
      </c>
    </row>
    <row r="2885">
      <c r="A2885" t="inlineStr">
        <is>
          <t>PF102876</t>
        </is>
      </c>
      <c r="B2885" s="68" t="n">
        <v>46005</v>
      </c>
      <c r="C2885" s="69" t="n">
        <v>2025</v>
      </c>
      <c r="D2885" t="inlineStr">
        <is>
          <t>Dec</t>
        </is>
      </c>
      <c r="E2885" t="inlineStr">
        <is>
          <t>Emerging markets</t>
        </is>
      </c>
      <c r="F2885" t="inlineStr">
        <is>
          <t>Mexico</t>
        </is>
      </c>
      <c r="G2885" t="inlineStr">
        <is>
          <t>Eliquis</t>
        </is>
      </c>
      <c r="H2885" t="inlineStr">
        <is>
          <t>Retail pharmacy</t>
        </is>
      </c>
      <c r="I2885" t="inlineStr">
        <is>
          <t>Private insurer</t>
        </is>
      </c>
      <c r="J2885" t="inlineStr">
        <is>
          <t>Kofi Mensah</t>
        </is>
      </c>
      <c r="K2885" s="70" t="n">
        <v>2561</v>
      </c>
      <c r="L2885" s="71" t="n">
        <v>433.22</v>
      </c>
      <c r="M2885" s="71" t="n">
        <v>1109476.42</v>
      </c>
      <c r="N2885" s="71" t="n">
        <v>277369.1</v>
      </c>
      <c r="O2885" s="71" t="n">
        <v>832107.3199999999</v>
      </c>
      <c r="P2885" s="71" t="n">
        <v>190515.07</v>
      </c>
      <c r="Q2885" s="71" t="n">
        <v>641592.25</v>
      </c>
      <c r="R2885" t="inlineStr">
        <is>
          <t>Cardiology</t>
        </is>
      </c>
      <c r="S2885" s="70" t="n">
        <v>1846</v>
      </c>
      <c r="T2885" s="71" t="n">
        <v>220757.21</v>
      </c>
      <c r="U2885" t="inlineStr">
        <is>
          <t>High</t>
        </is>
      </c>
      <c r="V2885">
        <f>IF(AND(OR(Dashboard!$C$6="All",E2885=Dashboard!$C$6),OR(Dashboard!$F$6="All",G2885=Dashboard!$F$6),OR(Dashboard!$I$6="All",H2885=Dashboard!$I$6)),1,0)</f>
        <v/>
      </c>
    </row>
    <row r="2886">
      <c r="A2886" t="inlineStr">
        <is>
          <t>PF102877</t>
        </is>
      </c>
      <c r="B2886" s="68" t="n">
        <v>46005</v>
      </c>
      <c r="C2886" s="69" t="n">
        <v>2025</v>
      </c>
      <c r="D2886" t="inlineStr">
        <is>
          <t>Dec</t>
        </is>
      </c>
      <c r="E2886" t="inlineStr">
        <is>
          <t>United States</t>
        </is>
      </c>
      <c r="F2886" t="inlineStr">
        <is>
          <t>USA</t>
        </is>
      </c>
      <c r="G2886" t="inlineStr">
        <is>
          <t>Abrysvo</t>
        </is>
      </c>
      <c r="H2886" t="inlineStr">
        <is>
          <t>Government / tender</t>
        </is>
      </c>
      <c r="I2886" t="inlineStr">
        <is>
          <t>Private insurer</t>
        </is>
      </c>
      <c r="J2886" t="inlineStr">
        <is>
          <t>Wei Chen</t>
        </is>
      </c>
      <c r="K2886" s="70" t="n">
        <v>723</v>
      </c>
      <c r="L2886" s="71" t="n">
        <v>482.8</v>
      </c>
      <c r="M2886" s="71" t="n">
        <v>349064.4</v>
      </c>
      <c r="N2886" s="71" t="n">
        <v>69812.88</v>
      </c>
      <c r="O2886" s="71" t="n">
        <v>279251.52</v>
      </c>
      <c r="P2886" s="71" t="n">
        <v>59279.12</v>
      </c>
      <c r="Q2886" s="71" t="n">
        <v>219972.4</v>
      </c>
      <c r="R2886" t="inlineStr">
        <is>
          <t>Vaccines</t>
        </is>
      </c>
      <c r="S2886" s="70" t="n">
        <v>600</v>
      </c>
      <c r="T2886" s="71" t="n">
        <v>62115.42</v>
      </c>
      <c r="U2886" t="inlineStr">
        <is>
          <t>Low</t>
        </is>
      </c>
      <c r="V2886">
        <f>IF(AND(OR(Dashboard!$C$6="All",E2886=Dashboard!$C$6),OR(Dashboard!$F$6="All",G2886=Dashboard!$F$6),OR(Dashboard!$I$6="All",H2886=Dashboard!$I$6)),1,0)</f>
        <v/>
      </c>
    </row>
    <row r="2887">
      <c r="A2887" t="inlineStr">
        <is>
          <t>PF102878</t>
        </is>
      </c>
      <c r="B2887" s="68" t="n">
        <v>46005</v>
      </c>
      <c r="C2887" s="69" t="n">
        <v>2025</v>
      </c>
      <c r="D2887" t="inlineStr">
        <is>
          <t>Dec</t>
        </is>
      </c>
      <c r="E2887" t="inlineStr">
        <is>
          <t>International developed</t>
        </is>
      </c>
      <c r="F2887" t="inlineStr">
        <is>
          <t>Australia</t>
        </is>
      </c>
      <c r="G2887" t="inlineStr">
        <is>
          <t>Vyndaqel</t>
        </is>
      </c>
      <c r="H2887" t="inlineStr">
        <is>
          <t>Hospital</t>
        </is>
      </c>
      <c r="I2887" t="inlineStr">
        <is>
          <t>Public payer</t>
        </is>
      </c>
      <c r="J2887" t="inlineStr">
        <is>
          <t>Emma Clarke</t>
        </is>
      </c>
      <c r="K2887" s="70" t="n">
        <v>70</v>
      </c>
      <c r="L2887" s="71" t="n">
        <v>5550.77</v>
      </c>
      <c r="M2887" s="71" t="n">
        <v>388553.9</v>
      </c>
      <c r="N2887" s="71" t="n">
        <v>97138.48</v>
      </c>
      <c r="O2887" s="71" t="n">
        <v>291415.42</v>
      </c>
      <c r="P2887" s="71" t="n">
        <v>42179.79</v>
      </c>
      <c r="Q2887" s="71" t="n">
        <v>249235.63</v>
      </c>
      <c r="R2887" t="inlineStr">
        <is>
          <t>Rare disease</t>
        </is>
      </c>
      <c r="S2887" s="70" t="n">
        <v>51</v>
      </c>
      <c r="T2887" s="71" t="n">
        <v>58228.43</v>
      </c>
      <c r="U2887" t="inlineStr">
        <is>
          <t>Medium</t>
        </is>
      </c>
      <c r="V2887">
        <f>IF(AND(OR(Dashboard!$C$6="All",E2887=Dashboard!$C$6),OR(Dashboard!$F$6="All",G2887=Dashboard!$F$6),OR(Dashboard!$I$6="All",H2887=Dashboard!$I$6)),1,0)</f>
        <v/>
      </c>
    </row>
    <row r="2888">
      <c r="A2888" t="inlineStr">
        <is>
          <t>PF102879</t>
        </is>
      </c>
      <c r="B2888" s="68" t="n">
        <v>46005</v>
      </c>
      <c r="C2888" s="69" t="n">
        <v>2025</v>
      </c>
      <c r="D2888" t="inlineStr">
        <is>
          <t>Dec</t>
        </is>
      </c>
      <c r="E2888" t="inlineStr">
        <is>
          <t>United States</t>
        </is>
      </c>
      <c r="F2888" t="inlineStr">
        <is>
          <t>USA</t>
        </is>
      </c>
      <c r="G2888" t="inlineStr">
        <is>
          <t>Paxlovid</t>
        </is>
      </c>
      <c r="H2888" t="inlineStr">
        <is>
          <t>Hospital</t>
        </is>
      </c>
      <c r="I2888" t="inlineStr">
        <is>
          <t>Public payer</t>
        </is>
      </c>
      <c r="J2888" t="inlineStr">
        <is>
          <t>Mei Lin</t>
        </is>
      </c>
      <c r="K2888" s="70" t="n">
        <v>2464</v>
      </c>
      <c r="L2888" s="71" t="n">
        <v>1748.93</v>
      </c>
      <c r="M2888" s="71" t="n">
        <v>4309363.52</v>
      </c>
      <c r="N2888" s="71" t="n">
        <v>646404.53</v>
      </c>
      <c r="O2888" s="71" t="n">
        <v>3662958.99</v>
      </c>
      <c r="P2888" s="71" t="n">
        <v>679253.58</v>
      </c>
      <c r="Q2888" s="71" t="n">
        <v>2983705.41</v>
      </c>
      <c r="R2888" t="inlineStr">
        <is>
          <t>Antiviral</t>
        </is>
      </c>
      <c r="S2888" s="70" t="n">
        <v>2223</v>
      </c>
      <c r="T2888" s="71" t="n">
        <v>881620.11</v>
      </c>
      <c r="U2888" t="inlineStr">
        <is>
          <t>Low</t>
        </is>
      </c>
      <c r="V2888">
        <f>IF(AND(OR(Dashboard!$C$6="All",E2888=Dashboard!$C$6),OR(Dashboard!$F$6="All",G2888=Dashboard!$F$6),OR(Dashboard!$I$6="All",H2888=Dashboard!$I$6)),1,0)</f>
        <v/>
      </c>
    </row>
    <row r="2889">
      <c r="A2889" t="inlineStr">
        <is>
          <t>PF102880</t>
        </is>
      </c>
      <c r="B2889" s="68" t="n">
        <v>46005</v>
      </c>
      <c r="C2889" s="69" t="n">
        <v>2025</v>
      </c>
      <c r="D2889" t="inlineStr">
        <is>
          <t>Dec</t>
        </is>
      </c>
      <c r="E2889" t="inlineStr">
        <is>
          <t>United States</t>
        </is>
      </c>
      <c r="F2889" t="inlineStr">
        <is>
          <t>USA</t>
        </is>
      </c>
      <c r="G2889" t="inlineStr">
        <is>
          <t>Prevnar 20</t>
        </is>
      </c>
      <c r="H2889" t="inlineStr">
        <is>
          <t>Government / tender</t>
        </is>
      </c>
      <c r="I2889" t="inlineStr">
        <is>
          <t>Private insurer</t>
        </is>
      </c>
      <c r="J2889" t="inlineStr">
        <is>
          <t>Kofi Mensah</t>
        </is>
      </c>
      <c r="K2889" s="70" t="n">
        <v>2071</v>
      </c>
      <c r="L2889" s="71" t="n">
        <v>364.53</v>
      </c>
      <c r="M2889" s="71" t="n">
        <v>754941.63</v>
      </c>
      <c r="N2889" s="71" t="n">
        <v>113241.24</v>
      </c>
      <c r="O2889" s="71" t="n">
        <v>641700.39</v>
      </c>
      <c r="P2889" s="71" t="n">
        <v>145834.36</v>
      </c>
      <c r="Q2889" s="71" t="n">
        <v>495866.03</v>
      </c>
      <c r="R2889" t="inlineStr">
        <is>
          <t>Vaccines</t>
        </is>
      </c>
      <c r="S2889" s="70" t="n">
        <v>1357</v>
      </c>
      <c r="T2889" s="71" t="n">
        <v>91133.3</v>
      </c>
      <c r="U2889" t="inlineStr">
        <is>
          <t>Low</t>
        </is>
      </c>
      <c r="V2889">
        <f>IF(AND(OR(Dashboard!$C$6="All",E2889=Dashboard!$C$6),OR(Dashboard!$F$6="All",G2889=Dashboard!$F$6),OR(Dashboard!$I$6="All",H2889=Dashboard!$I$6)),1,0)</f>
        <v/>
      </c>
    </row>
    <row r="2890">
      <c r="A2890" t="inlineStr">
        <is>
          <t>PF102881</t>
        </is>
      </c>
      <c r="B2890" s="68" t="n">
        <v>46005</v>
      </c>
      <c r="C2890" s="69" t="n">
        <v>2025</v>
      </c>
      <c r="D2890" t="inlineStr">
        <is>
          <t>Dec</t>
        </is>
      </c>
      <c r="E2890" t="inlineStr">
        <is>
          <t>United States</t>
        </is>
      </c>
      <c r="F2890" t="inlineStr">
        <is>
          <t>USA</t>
        </is>
      </c>
      <c r="G2890" t="inlineStr">
        <is>
          <t>Abrysvo</t>
        </is>
      </c>
      <c r="H2890" t="inlineStr">
        <is>
          <t>Hospital</t>
        </is>
      </c>
      <c r="I2890" t="inlineStr">
        <is>
          <t>Private insurer</t>
        </is>
      </c>
      <c r="J2890" t="inlineStr">
        <is>
          <t>Ana Costa</t>
        </is>
      </c>
      <c r="K2890" s="70" t="n">
        <v>1167</v>
      </c>
      <c r="L2890" s="71" t="n">
        <v>462.08</v>
      </c>
      <c r="M2890" s="71" t="n">
        <v>539247.36</v>
      </c>
      <c r="N2890" s="71" t="n">
        <v>161774.21</v>
      </c>
      <c r="O2890" s="71" t="n">
        <v>377473.15</v>
      </c>
      <c r="P2890" s="71" t="n">
        <v>98345.36</v>
      </c>
      <c r="Q2890" s="71" t="n">
        <v>279127.79</v>
      </c>
      <c r="R2890" t="inlineStr">
        <is>
          <t>Vaccines</t>
        </is>
      </c>
      <c r="S2890" s="70" t="n">
        <v>945</v>
      </c>
      <c r="T2890" s="71" t="n">
        <v>90225.14</v>
      </c>
      <c r="U2890" t="inlineStr">
        <is>
          <t>Low</t>
        </is>
      </c>
      <c r="V2890">
        <f>IF(AND(OR(Dashboard!$C$6="All",E2890=Dashboard!$C$6),OR(Dashboard!$F$6="All",G2890=Dashboard!$F$6),OR(Dashboard!$I$6="All",H2890=Dashboard!$I$6)),1,0)</f>
        <v/>
      </c>
    </row>
    <row r="2891">
      <c r="A2891" t="inlineStr">
        <is>
          <t>PF102882</t>
        </is>
      </c>
      <c r="B2891" s="68" t="n">
        <v>46005</v>
      </c>
      <c r="C2891" s="69" t="n">
        <v>2025</v>
      </c>
      <c r="D2891" t="inlineStr">
        <is>
          <t>Dec</t>
        </is>
      </c>
      <c r="E2891" t="inlineStr">
        <is>
          <t>United States</t>
        </is>
      </c>
      <c r="F2891" t="inlineStr">
        <is>
          <t>USA</t>
        </is>
      </c>
      <c r="G2891" t="inlineStr">
        <is>
          <t>Eliquis</t>
        </is>
      </c>
      <c r="H2891" t="inlineStr">
        <is>
          <t>Retail pharmacy</t>
        </is>
      </c>
      <c r="I2891" t="inlineStr">
        <is>
          <t>Self-pay</t>
        </is>
      </c>
      <c r="J2891" t="inlineStr">
        <is>
          <t>Shraddha Kulkarni</t>
        </is>
      </c>
      <c r="K2891" s="70" t="n">
        <v>1294</v>
      </c>
      <c r="L2891" s="71" t="n">
        <v>643.26</v>
      </c>
      <c r="M2891" s="71" t="n">
        <v>832378.4399999999</v>
      </c>
      <c r="N2891" s="71" t="n">
        <v>249713.53</v>
      </c>
      <c r="O2891" s="71" t="n">
        <v>582664.91</v>
      </c>
      <c r="P2891" s="71" t="n">
        <v>94834.53</v>
      </c>
      <c r="Q2891" s="71" t="n">
        <v>487830.38</v>
      </c>
      <c r="R2891" t="inlineStr">
        <is>
          <t>Cardiology</t>
        </is>
      </c>
      <c r="S2891" s="70" t="n">
        <v>1049</v>
      </c>
      <c r="T2891" s="71" t="n">
        <v>106496.92</v>
      </c>
      <c r="U2891" t="inlineStr">
        <is>
          <t>High</t>
        </is>
      </c>
      <c r="V2891">
        <f>IF(AND(OR(Dashboard!$C$6="All",E2891=Dashboard!$C$6),OR(Dashboard!$F$6="All",G2891=Dashboard!$F$6),OR(Dashboard!$I$6="All",H2891=Dashboard!$I$6)),1,0)</f>
        <v/>
      </c>
    </row>
    <row r="2892">
      <c r="A2892" t="inlineStr">
        <is>
          <t>PF102883</t>
        </is>
      </c>
      <c r="B2892" s="68" t="n">
        <v>46006</v>
      </c>
      <c r="C2892" s="69" t="n">
        <v>2025</v>
      </c>
      <c r="D2892" t="inlineStr">
        <is>
          <t>Dec</t>
        </is>
      </c>
      <c r="E2892" t="inlineStr">
        <is>
          <t>United States</t>
        </is>
      </c>
      <c r="F2892" t="inlineStr">
        <is>
          <t>USA</t>
        </is>
      </c>
      <c r="G2892" t="inlineStr">
        <is>
          <t>Paxlovid</t>
        </is>
      </c>
      <c r="H2892" t="inlineStr">
        <is>
          <t>Hospital</t>
        </is>
      </c>
      <c r="I2892" t="inlineStr">
        <is>
          <t>Private insurer</t>
        </is>
      </c>
      <c r="J2892" t="inlineStr">
        <is>
          <t>Noah Smith</t>
        </is>
      </c>
      <c r="K2892" s="70" t="n">
        <v>1923</v>
      </c>
      <c r="L2892" s="71" t="n">
        <v>1752.7</v>
      </c>
      <c r="M2892" s="71" t="n">
        <v>3370442.1</v>
      </c>
      <c r="N2892" s="71" t="n">
        <v>505566.32</v>
      </c>
      <c r="O2892" s="71" t="n">
        <v>2864875.78</v>
      </c>
      <c r="P2892" s="71" t="n">
        <v>508042.39</v>
      </c>
      <c r="Q2892" s="71" t="n">
        <v>2356833.39</v>
      </c>
      <c r="R2892" t="inlineStr">
        <is>
          <t>Antiviral</t>
        </is>
      </c>
      <c r="S2892" s="70" t="n">
        <v>1503</v>
      </c>
      <c r="T2892" s="71" t="n">
        <v>442046.35</v>
      </c>
      <c r="U2892" t="inlineStr">
        <is>
          <t>Low</t>
        </is>
      </c>
      <c r="V2892">
        <f>IF(AND(OR(Dashboard!$C$6="All",E2892=Dashboard!$C$6),OR(Dashboard!$F$6="All",G2892=Dashboard!$F$6),OR(Dashboard!$I$6="All",H2892=Dashboard!$I$6)),1,0)</f>
        <v/>
      </c>
    </row>
    <row r="2893">
      <c r="A2893" t="inlineStr">
        <is>
          <t>PF102884</t>
        </is>
      </c>
      <c r="B2893" s="68" t="n">
        <v>46006</v>
      </c>
      <c r="C2893" s="69" t="n">
        <v>2025</v>
      </c>
      <c r="D2893" t="inlineStr">
        <is>
          <t>Dec</t>
        </is>
      </c>
      <c r="E2893" t="inlineStr">
        <is>
          <t>Europe</t>
        </is>
      </c>
      <c r="F2893" t="inlineStr">
        <is>
          <t>Italy</t>
        </is>
      </c>
      <c r="G2893" t="inlineStr">
        <is>
          <t>Xeljanz</t>
        </is>
      </c>
      <c r="H2893" t="inlineStr">
        <is>
          <t>Government / tender</t>
        </is>
      </c>
      <c r="I2893" t="inlineStr">
        <is>
          <t>Private insurer</t>
        </is>
      </c>
      <c r="J2893" t="inlineStr">
        <is>
          <t>Kofi Mensah</t>
        </is>
      </c>
      <c r="K2893" s="70" t="n">
        <v>592</v>
      </c>
      <c r="L2893" s="71" t="n">
        <v>1368.98</v>
      </c>
      <c r="M2893" s="71" t="n">
        <v>810436.16</v>
      </c>
      <c r="N2893" s="71" t="n">
        <v>202609.04</v>
      </c>
      <c r="O2893" s="71" t="n">
        <v>607827.12</v>
      </c>
      <c r="P2893" s="71" t="n">
        <v>149239.83</v>
      </c>
      <c r="Q2893" s="71" t="n">
        <v>458587.29</v>
      </c>
      <c r="R2893" t="inlineStr">
        <is>
          <t>Inflammation</t>
        </is>
      </c>
      <c r="S2893" s="70" t="n">
        <v>521</v>
      </c>
      <c r="T2893" s="71" t="n">
        <v>99046.27</v>
      </c>
      <c r="U2893" t="inlineStr">
        <is>
          <t>High</t>
        </is>
      </c>
      <c r="V2893">
        <f>IF(AND(OR(Dashboard!$C$6="All",E2893=Dashboard!$C$6),OR(Dashboard!$F$6="All",G2893=Dashboard!$F$6),OR(Dashboard!$I$6="All",H2893=Dashboard!$I$6)),1,0)</f>
        <v/>
      </c>
    </row>
    <row r="2894">
      <c r="A2894" t="inlineStr">
        <is>
          <t>PF102885</t>
        </is>
      </c>
      <c r="B2894" s="68" t="n">
        <v>46006</v>
      </c>
      <c r="C2894" s="69" t="n">
        <v>2025</v>
      </c>
      <c r="D2894" t="inlineStr">
        <is>
          <t>Dec</t>
        </is>
      </c>
      <c r="E2894" t="inlineStr">
        <is>
          <t>Emerging markets</t>
        </is>
      </c>
      <c r="F2894" t="inlineStr">
        <is>
          <t>Brazil</t>
        </is>
      </c>
      <c r="G2894" t="inlineStr">
        <is>
          <t>Paxlovid</t>
        </is>
      </c>
      <c r="H2894" t="inlineStr">
        <is>
          <t>Hospital</t>
        </is>
      </c>
      <c r="I2894" t="inlineStr">
        <is>
          <t>Private insurer</t>
        </is>
      </c>
      <c r="J2894" t="inlineStr">
        <is>
          <t>Ravindra Patil</t>
        </is>
      </c>
      <c r="K2894" s="70" t="n">
        <v>2100</v>
      </c>
      <c r="L2894" s="71" t="n">
        <v>1090.19</v>
      </c>
      <c r="M2894" s="71" t="n">
        <v>2289399</v>
      </c>
      <c r="N2894" s="71" t="n">
        <v>114469.95</v>
      </c>
      <c r="O2894" s="71" t="n">
        <v>2174929.05</v>
      </c>
      <c r="P2894" s="71" t="n">
        <v>558003.9399999999</v>
      </c>
      <c r="Q2894" s="71" t="n">
        <v>1616925.11</v>
      </c>
      <c r="R2894" t="inlineStr">
        <is>
          <t>Antiviral</t>
        </is>
      </c>
      <c r="S2894" s="70" t="n">
        <v>1676</v>
      </c>
      <c r="T2894" s="71" t="n">
        <v>463891.07</v>
      </c>
      <c r="U2894" t="inlineStr">
        <is>
          <t>Low</t>
        </is>
      </c>
      <c r="V2894">
        <f>IF(AND(OR(Dashboard!$C$6="All",E2894=Dashboard!$C$6),OR(Dashboard!$F$6="All",G2894=Dashboard!$F$6),OR(Dashboard!$I$6="All",H2894=Dashboard!$I$6)),1,0)</f>
        <v/>
      </c>
    </row>
    <row r="2895">
      <c r="A2895" t="inlineStr">
        <is>
          <t>PF102886</t>
        </is>
      </c>
      <c r="B2895" s="68" t="n">
        <v>46006</v>
      </c>
      <c r="C2895" s="69" t="n">
        <v>2025</v>
      </c>
      <c r="D2895" t="inlineStr">
        <is>
          <t>Dec</t>
        </is>
      </c>
      <c r="E2895" t="inlineStr">
        <is>
          <t>International developed</t>
        </is>
      </c>
      <c r="F2895" t="inlineStr">
        <is>
          <t>Canada</t>
        </is>
      </c>
      <c r="G2895" t="inlineStr">
        <is>
          <t>Paxlovid</t>
        </is>
      </c>
      <c r="H2895" t="inlineStr">
        <is>
          <t>Hospital</t>
        </is>
      </c>
      <c r="I2895" t="inlineStr">
        <is>
          <t>Public payer</t>
        </is>
      </c>
      <c r="J2895" t="inlineStr">
        <is>
          <t>Aisha Bello</t>
        </is>
      </c>
      <c r="K2895" s="70" t="n">
        <v>709</v>
      </c>
      <c r="L2895" s="71" t="n">
        <v>1105.42</v>
      </c>
      <c r="M2895" s="71" t="n">
        <v>783742.78</v>
      </c>
      <c r="N2895" s="71" t="n">
        <v>195935.7</v>
      </c>
      <c r="O2895" s="71" t="n">
        <v>587807.08</v>
      </c>
      <c r="P2895" s="71" t="n">
        <v>194811.39</v>
      </c>
      <c r="Q2895" s="71" t="n">
        <v>392995.69</v>
      </c>
      <c r="R2895" t="inlineStr">
        <is>
          <t>Antiviral</t>
        </is>
      </c>
      <c r="S2895" s="70" t="n">
        <v>481</v>
      </c>
      <c r="T2895" s="71" t="n">
        <v>138136.17</v>
      </c>
      <c r="U2895" t="inlineStr">
        <is>
          <t>Low</t>
        </is>
      </c>
      <c r="V2895">
        <f>IF(AND(OR(Dashboard!$C$6="All",E2895=Dashboard!$C$6),OR(Dashboard!$F$6="All",G2895=Dashboard!$F$6),OR(Dashboard!$I$6="All",H2895=Dashboard!$I$6)),1,0)</f>
        <v/>
      </c>
    </row>
    <row r="2896">
      <c r="A2896" t="inlineStr">
        <is>
          <t>PF102887</t>
        </is>
      </c>
      <c r="B2896" s="68" t="n">
        <v>46006</v>
      </c>
      <c r="C2896" s="69" t="n">
        <v>2025</v>
      </c>
      <c r="D2896" t="inlineStr">
        <is>
          <t>Dec</t>
        </is>
      </c>
      <c r="E2896" t="inlineStr">
        <is>
          <t>United States</t>
        </is>
      </c>
      <c r="F2896" t="inlineStr">
        <is>
          <t>USA</t>
        </is>
      </c>
      <c r="G2896" t="inlineStr">
        <is>
          <t>Xeljanz</t>
        </is>
      </c>
      <c r="H2896" t="inlineStr">
        <is>
          <t>Hospital</t>
        </is>
      </c>
      <c r="I2896" t="inlineStr">
        <is>
          <t>Public payer</t>
        </is>
      </c>
      <c r="J2896" t="inlineStr">
        <is>
          <t>Wei Chen</t>
        </is>
      </c>
      <c r="K2896" s="70" t="n">
        <v>3470</v>
      </c>
      <c r="L2896" s="71" t="n">
        <v>2071.46</v>
      </c>
      <c r="M2896" s="71" t="n">
        <v>7187966.2</v>
      </c>
      <c r="N2896" s="71" t="n">
        <v>1437593.24</v>
      </c>
      <c r="O2896" s="71" t="n">
        <v>5750372.96</v>
      </c>
      <c r="P2896" s="71" t="n">
        <v>909336.87</v>
      </c>
      <c r="Q2896" s="71" t="n">
        <v>4841036.09</v>
      </c>
      <c r="R2896" t="inlineStr">
        <is>
          <t>Inflammation</t>
        </is>
      </c>
      <c r="S2896" s="70" t="n">
        <v>2508</v>
      </c>
      <c r="T2896" s="71" t="n">
        <v>1285570.23</v>
      </c>
      <c r="U2896" t="inlineStr">
        <is>
          <t>High</t>
        </is>
      </c>
      <c r="V2896">
        <f>IF(AND(OR(Dashboard!$C$6="All",E2896=Dashboard!$C$6),OR(Dashboard!$F$6="All",G2896=Dashboard!$F$6),OR(Dashboard!$I$6="All",H2896=Dashboard!$I$6)),1,0)</f>
        <v/>
      </c>
    </row>
    <row r="2897">
      <c r="A2897" t="inlineStr">
        <is>
          <t>PF102888</t>
        </is>
      </c>
      <c r="B2897" s="68" t="n">
        <v>46006</v>
      </c>
      <c r="C2897" s="69" t="n">
        <v>2025</v>
      </c>
      <c r="D2897" t="inlineStr">
        <is>
          <t>Dec</t>
        </is>
      </c>
      <c r="E2897" t="inlineStr">
        <is>
          <t>Emerging markets</t>
        </is>
      </c>
      <c r="F2897" t="inlineStr">
        <is>
          <t>Brazil</t>
        </is>
      </c>
      <c r="G2897" t="inlineStr">
        <is>
          <t>Eliquis</t>
        </is>
      </c>
      <c r="H2897" t="inlineStr">
        <is>
          <t>Hospital</t>
        </is>
      </c>
      <c r="I2897" t="inlineStr">
        <is>
          <t>Public payer</t>
        </is>
      </c>
      <c r="J2897" t="inlineStr">
        <is>
          <t>Ravindra Patil</t>
        </is>
      </c>
      <c r="K2897" s="70" t="n">
        <v>535</v>
      </c>
      <c r="L2897" s="71" t="n">
        <v>450.72</v>
      </c>
      <c r="M2897" s="71" t="n">
        <v>241135.2</v>
      </c>
      <c r="N2897" s="71" t="n">
        <v>60283.8</v>
      </c>
      <c r="O2897" s="71" t="n">
        <v>180851.4</v>
      </c>
      <c r="P2897" s="71" t="n">
        <v>40053.56</v>
      </c>
      <c r="Q2897" s="71" t="n">
        <v>140797.84</v>
      </c>
      <c r="R2897" t="inlineStr">
        <is>
          <t>Cardiology</t>
        </is>
      </c>
      <c r="S2897" s="70" t="n">
        <v>418</v>
      </c>
      <c r="T2897" s="71" t="n">
        <v>42440.92</v>
      </c>
      <c r="U2897" t="inlineStr">
        <is>
          <t>High</t>
        </is>
      </c>
      <c r="V2897">
        <f>IF(AND(OR(Dashboard!$C$6="All",E2897=Dashboard!$C$6),OR(Dashboard!$F$6="All",G2897=Dashboard!$F$6),OR(Dashboard!$I$6="All",H2897=Dashboard!$I$6)),1,0)</f>
        <v/>
      </c>
    </row>
    <row r="2898">
      <c r="A2898" t="inlineStr">
        <is>
          <t>PF102889</t>
        </is>
      </c>
      <c r="B2898" s="68" t="n">
        <v>46006</v>
      </c>
      <c r="C2898" s="69" t="n">
        <v>2025</v>
      </c>
      <c r="D2898" t="inlineStr">
        <is>
          <t>Dec</t>
        </is>
      </c>
      <c r="E2898" t="inlineStr">
        <is>
          <t>United States</t>
        </is>
      </c>
      <c r="F2898" t="inlineStr">
        <is>
          <t>USA</t>
        </is>
      </c>
      <c r="G2898" t="inlineStr">
        <is>
          <t>Prevnar 20</t>
        </is>
      </c>
      <c r="H2898" t="inlineStr">
        <is>
          <t>Hospital</t>
        </is>
      </c>
      <c r="I2898" t="inlineStr">
        <is>
          <t>Private insurer</t>
        </is>
      </c>
      <c r="J2898" t="inlineStr">
        <is>
          <t>Yuki Sato</t>
        </is>
      </c>
      <c r="K2898" s="70" t="n">
        <v>1987</v>
      </c>
      <c r="L2898" s="71" t="n">
        <v>368.93</v>
      </c>
      <c r="M2898" s="71" t="n">
        <v>733063.91</v>
      </c>
      <c r="N2898" s="71" t="n">
        <v>109959.59</v>
      </c>
      <c r="O2898" s="71" t="n">
        <v>623104.3199999999</v>
      </c>
      <c r="P2898" s="71" t="n">
        <v>132718.57</v>
      </c>
      <c r="Q2898" s="71" t="n">
        <v>490385.75</v>
      </c>
      <c r="R2898" t="inlineStr">
        <is>
          <t>Vaccines</t>
        </is>
      </c>
      <c r="S2898" s="70" t="n">
        <v>1568</v>
      </c>
      <c r="T2898" s="71" t="n">
        <v>125666.42</v>
      </c>
      <c r="U2898" t="inlineStr">
        <is>
          <t>Low</t>
        </is>
      </c>
      <c r="V2898">
        <f>IF(AND(OR(Dashboard!$C$6="All",E2898=Dashboard!$C$6),OR(Dashboard!$F$6="All",G2898=Dashboard!$F$6),OR(Dashboard!$I$6="All",H2898=Dashboard!$I$6)),1,0)</f>
        <v/>
      </c>
    </row>
    <row r="2899">
      <c r="A2899" t="inlineStr">
        <is>
          <t>PF102890</t>
        </is>
      </c>
      <c r="B2899" s="68" t="n">
        <v>46006</v>
      </c>
      <c r="C2899" s="69" t="n">
        <v>2025</v>
      </c>
      <c r="D2899" t="inlineStr">
        <is>
          <t>Dec</t>
        </is>
      </c>
      <c r="E2899" t="inlineStr">
        <is>
          <t>Emerging markets</t>
        </is>
      </c>
      <c r="F2899" t="inlineStr">
        <is>
          <t>Mexico</t>
        </is>
      </c>
      <c r="G2899" t="inlineStr">
        <is>
          <t>Eliquis</t>
        </is>
      </c>
      <c r="H2899" t="inlineStr">
        <is>
          <t>Government / tender</t>
        </is>
      </c>
      <c r="I2899" t="inlineStr">
        <is>
          <t>Private insurer</t>
        </is>
      </c>
      <c r="J2899" t="inlineStr">
        <is>
          <t>Emma Clarke</t>
        </is>
      </c>
      <c r="K2899" s="70" t="n">
        <v>3470</v>
      </c>
      <c r="L2899" s="71" t="n">
        <v>397.56</v>
      </c>
      <c r="M2899" s="71" t="n">
        <v>1379533.2</v>
      </c>
      <c r="N2899" s="71" t="n">
        <v>206929.98</v>
      </c>
      <c r="O2899" s="71" t="n">
        <v>1172603.22</v>
      </c>
      <c r="P2899" s="71" t="n">
        <v>262251.19</v>
      </c>
      <c r="Q2899" s="71" t="n">
        <v>910352.03</v>
      </c>
      <c r="R2899" t="inlineStr">
        <is>
          <t>Cardiology</t>
        </is>
      </c>
      <c r="S2899" s="70" t="n">
        <v>2651</v>
      </c>
      <c r="T2899" s="71" t="n">
        <v>262568.92</v>
      </c>
      <c r="U2899" t="inlineStr">
        <is>
          <t>High</t>
        </is>
      </c>
      <c r="V2899">
        <f>IF(AND(OR(Dashboard!$C$6="All",E2899=Dashboard!$C$6),OR(Dashboard!$F$6="All",G2899=Dashboard!$F$6),OR(Dashboard!$I$6="All",H2899=Dashboard!$I$6)),1,0)</f>
        <v/>
      </c>
    </row>
    <row r="2900">
      <c r="A2900" t="inlineStr">
        <is>
          <t>PF102891</t>
        </is>
      </c>
      <c r="B2900" s="68" t="n">
        <v>46006</v>
      </c>
      <c r="C2900" s="69" t="n">
        <v>2025</v>
      </c>
      <c r="D2900" t="inlineStr">
        <is>
          <t>Dec</t>
        </is>
      </c>
      <c r="E2900" t="inlineStr">
        <is>
          <t>United States</t>
        </is>
      </c>
      <c r="F2900" t="inlineStr">
        <is>
          <t>USA</t>
        </is>
      </c>
      <c r="G2900" t="inlineStr">
        <is>
          <t>Comirnaty</t>
        </is>
      </c>
      <c r="H2900" t="inlineStr">
        <is>
          <t>Hospital</t>
        </is>
      </c>
      <c r="I2900" t="inlineStr">
        <is>
          <t>Public payer</t>
        </is>
      </c>
      <c r="J2900" t="inlineStr">
        <is>
          <t>Ruhi Shaikh</t>
        </is>
      </c>
      <c r="K2900" s="70" t="n">
        <v>1475</v>
      </c>
      <c r="L2900" s="71" t="n">
        <v>175.97</v>
      </c>
      <c r="M2900" s="71" t="n">
        <v>259555.75</v>
      </c>
      <c r="N2900" s="71" t="n">
        <v>64888.94</v>
      </c>
      <c r="O2900" s="71" t="n">
        <v>194666.81</v>
      </c>
      <c r="P2900" s="71" t="n">
        <v>56983.82</v>
      </c>
      <c r="Q2900" s="71" t="n">
        <v>137682.99</v>
      </c>
      <c r="R2900" t="inlineStr">
        <is>
          <t>Vaccines</t>
        </is>
      </c>
      <c r="S2900" s="70" t="n">
        <v>956</v>
      </c>
      <c r="T2900" s="71" t="n">
        <v>43295.78</v>
      </c>
      <c r="U2900" t="inlineStr">
        <is>
          <t>Low</t>
        </is>
      </c>
      <c r="V2900">
        <f>IF(AND(OR(Dashboard!$C$6="All",E2900=Dashboard!$C$6),OR(Dashboard!$F$6="All",G2900=Dashboard!$F$6),OR(Dashboard!$I$6="All",H2900=Dashboard!$I$6)),1,0)</f>
        <v/>
      </c>
    </row>
    <row r="2901">
      <c r="A2901" t="inlineStr">
        <is>
          <t>PF102892</t>
        </is>
      </c>
      <c r="B2901" s="68" t="n">
        <v>46007</v>
      </c>
      <c r="C2901" s="69" t="n">
        <v>2025</v>
      </c>
      <c r="D2901" t="inlineStr">
        <is>
          <t>Dec</t>
        </is>
      </c>
      <c r="E2901" t="inlineStr">
        <is>
          <t>United States</t>
        </is>
      </c>
      <c r="F2901" t="inlineStr">
        <is>
          <t>USA</t>
        </is>
      </c>
      <c r="G2901" t="inlineStr">
        <is>
          <t>Vyndaqel</t>
        </is>
      </c>
      <c r="H2901" t="inlineStr">
        <is>
          <t>Government / tender</t>
        </is>
      </c>
      <c r="I2901" t="inlineStr">
        <is>
          <t>Public payer</t>
        </is>
      </c>
      <c r="J2901" t="inlineStr">
        <is>
          <t>Ana Costa</t>
        </is>
      </c>
      <c r="K2901" s="70" t="n">
        <v>1725</v>
      </c>
      <c r="L2901" s="71" t="n">
        <v>8214.67</v>
      </c>
      <c r="M2901" s="71" t="n">
        <v>14170305.75</v>
      </c>
      <c r="N2901" s="71" t="n">
        <v>4251091.73</v>
      </c>
      <c r="O2901" s="71" t="n">
        <v>9919214.02</v>
      </c>
      <c r="P2901" s="71" t="n">
        <v>1083479.61</v>
      </c>
      <c r="Q2901" s="71" t="n">
        <v>8835734.41</v>
      </c>
      <c r="R2901" t="inlineStr">
        <is>
          <t>Rare disease</t>
        </is>
      </c>
      <c r="S2901" s="70" t="n">
        <v>1206</v>
      </c>
      <c r="T2901" s="71" t="n">
        <v>2940419.19</v>
      </c>
      <c r="U2901" t="inlineStr">
        <is>
          <t>Medium</t>
        </is>
      </c>
      <c r="V2901">
        <f>IF(AND(OR(Dashboard!$C$6="All",E2901=Dashboard!$C$6),OR(Dashboard!$F$6="All",G2901=Dashboard!$F$6),OR(Dashboard!$I$6="All",H2901=Dashboard!$I$6)),1,0)</f>
        <v/>
      </c>
    </row>
    <row r="2902">
      <c r="A2902" t="inlineStr">
        <is>
          <t>PF102893</t>
        </is>
      </c>
      <c r="B2902" s="68" t="n">
        <v>46007</v>
      </c>
      <c r="C2902" s="69" t="n">
        <v>2025</v>
      </c>
      <c r="D2902" t="inlineStr">
        <is>
          <t>Dec</t>
        </is>
      </c>
      <c r="E2902" t="inlineStr">
        <is>
          <t>United States</t>
        </is>
      </c>
      <c r="F2902" t="inlineStr">
        <is>
          <t>USA</t>
        </is>
      </c>
      <c r="G2902" t="inlineStr">
        <is>
          <t>Ibrance</t>
        </is>
      </c>
      <c r="H2902" t="inlineStr">
        <is>
          <t>Retail pharmacy</t>
        </is>
      </c>
      <c r="I2902" t="inlineStr">
        <is>
          <t>Private insurer</t>
        </is>
      </c>
      <c r="J2902" t="inlineStr">
        <is>
          <t>Sara Rossi</t>
        </is>
      </c>
      <c r="K2902" s="70" t="n">
        <v>730</v>
      </c>
      <c r="L2902" s="71" t="n">
        <v>4926.75</v>
      </c>
      <c r="M2902" s="71" t="n">
        <v>3596527.5</v>
      </c>
      <c r="N2902" s="71" t="n">
        <v>1258784.62</v>
      </c>
      <c r="O2902" s="71" t="n">
        <v>2337742.88</v>
      </c>
      <c r="P2902" s="71" t="n">
        <v>329727.28</v>
      </c>
      <c r="Q2902" s="71" t="n">
        <v>2008015.6</v>
      </c>
      <c r="R2902" t="inlineStr">
        <is>
          <t>Oncology</t>
        </is>
      </c>
      <c r="S2902" s="70" t="n">
        <v>557</v>
      </c>
      <c r="T2902" s="71" t="n">
        <v>672281.9</v>
      </c>
      <c r="U2902" t="inlineStr">
        <is>
          <t>High</t>
        </is>
      </c>
      <c r="V2902">
        <f>IF(AND(OR(Dashboard!$C$6="All",E2902=Dashboard!$C$6),OR(Dashboard!$F$6="All",G2902=Dashboard!$F$6),OR(Dashboard!$I$6="All",H2902=Dashboard!$I$6)),1,0)</f>
        <v/>
      </c>
    </row>
    <row r="2903">
      <c r="A2903" t="inlineStr">
        <is>
          <t>PF102894</t>
        </is>
      </c>
      <c r="B2903" s="68" t="n">
        <v>46007</v>
      </c>
      <c r="C2903" s="69" t="n">
        <v>2025</v>
      </c>
      <c r="D2903" t="inlineStr">
        <is>
          <t>Dec</t>
        </is>
      </c>
      <c r="E2903" t="inlineStr">
        <is>
          <t>United States</t>
        </is>
      </c>
      <c r="F2903" t="inlineStr">
        <is>
          <t>USA</t>
        </is>
      </c>
      <c r="G2903" t="inlineStr">
        <is>
          <t>Prevnar 20</t>
        </is>
      </c>
      <c r="H2903" t="inlineStr">
        <is>
          <t>Government / tender</t>
        </is>
      </c>
      <c r="I2903" t="inlineStr">
        <is>
          <t>Private insurer</t>
        </is>
      </c>
      <c r="J2903" t="inlineStr">
        <is>
          <t>Olivia Brown</t>
        </is>
      </c>
      <c r="K2903" s="70" t="n">
        <v>59</v>
      </c>
      <c r="L2903" s="71" t="n">
        <v>380.94</v>
      </c>
      <c r="M2903" s="71" t="n">
        <v>22475.46</v>
      </c>
      <c r="N2903" s="71" t="n">
        <v>5618.86</v>
      </c>
      <c r="O2903" s="71" t="n">
        <v>16856.6</v>
      </c>
      <c r="P2903" s="71" t="n">
        <v>4196.88</v>
      </c>
      <c r="Q2903" s="71" t="n">
        <v>12659.72</v>
      </c>
      <c r="R2903" t="inlineStr">
        <is>
          <t>Vaccines</t>
        </is>
      </c>
      <c r="S2903" s="70" t="n">
        <v>58</v>
      </c>
      <c r="T2903" s="71" t="n">
        <v>3474.19</v>
      </c>
      <c r="U2903" t="inlineStr">
        <is>
          <t>Low</t>
        </is>
      </c>
      <c r="V2903">
        <f>IF(AND(OR(Dashboard!$C$6="All",E2903=Dashboard!$C$6),OR(Dashboard!$F$6="All",G2903=Dashboard!$F$6),OR(Dashboard!$I$6="All",H2903=Dashboard!$I$6)),1,0)</f>
        <v/>
      </c>
    </row>
    <row r="2904">
      <c r="A2904" t="inlineStr">
        <is>
          <t>PF102895</t>
        </is>
      </c>
      <c r="B2904" s="68" t="n">
        <v>46007</v>
      </c>
      <c r="C2904" s="69" t="n">
        <v>2025</v>
      </c>
      <c r="D2904" t="inlineStr">
        <is>
          <t>Dec</t>
        </is>
      </c>
      <c r="E2904" t="inlineStr">
        <is>
          <t>International developed</t>
        </is>
      </c>
      <c r="F2904" t="inlineStr">
        <is>
          <t>Canada</t>
        </is>
      </c>
      <c r="G2904" t="inlineStr">
        <is>
          <t>Eliquis</t>
        </is>
      </c>
      <c r="H2904" t="inlineStr">
        <is>
          <t>Hospital</t>
        </is>
      </c>
      <c r="I2904" t="inlineStr">
        <is>
          <t>Private insurer</t>
        </is>
      </c>
      <c r="J2904" t="inlineStr">
        <is>
          <t>Ravindra Patil</t>
        </is>
      </c>
      <c r="K2904" s="70" t="n">
        <v>3483</v>
      </c>
      <c r="L2904" s="71" t="n">
        <v>427.14</v>
      </c>
      <c r="M2904" s="71" t="n">
        <v>1487728.62</v>
      </c>
      <c r="N2904" s="71" t="n">
        <v>371932.16</v>
      </c>
      <c r="O2904" s="71" t="n">
        <v>1115796.46</v>
      </c>
      <c r="P2904" s="71" t="n">
        <v>256495</v>
      </c>
      <c r="Q2904" s="71" t="n">
        <v>859301.46</v>
      </c>
      <c r="R2904" t="inlineStr">
        <is>
          <t>Cardiology</t>
        </is>
      </c>
      <c r="S2904" s="70" t="n">
        <v>2458</v>
      </c>
      <c r="T2904" s="71" t="n">
        <v>244421.39</v>
      </c>
      <c r="U2904" t="inlineStr">
        <is>
          <t>High</t>
        </is>
      </c>
      <c r="V2904">
        <f>IF(AND(OR(Dashboard!$C$6="All",E2904=Dashboard!$C$6),OR(Dashboard!$F$6="All",G2904=Dashboard!$F$6),OR(Dashboard!$I$6="All",H2904=Dashboard!$I$6)),1,0)</f>
        <v/>
      </c>
    </row>
    <row r="2905">
      <c r="A2905" t="inlineStr">
        <is>
          <t>PF102896</t>
        </is>
      </c>
      <c r="B2905" s="68" t="n">
        <v>46007</v>
      </c>
      <c r="C2905" s="69" t="n">
        <v>2025</v>
      </c>
      <c r="D2905" t="inlineStr">
        <is>
          <t>Dec</t>
        </is>
      </c>
      <c r="E2905" t="inlineStr">
        <is>
          <t>United States</t>
        </is>
      </c>
      <c r="F2905" t="inlineStr">
        <is>
          <t>USA</t>
        </is>
      </c>
      <c r="G2905" t="inlineStr">
        <is>
          <t>Ibrance</t>
        </is>
      </c>
      <c r="H2905" t="inlineStr">
        <is>
          <t>Hospital</t>
        </is>
      </c>
      <c r="I2905" t="inlineStr">
        <is>
          <t>Public payer</t>
        </is>
      </c>
      <c r="J2905" t="inlineStr">
        <is>
          <t>Fatima Al-Saud</t>
        </is>
      </c>
      <c r="K2905" s="70" t="n">
        <v>1551</v>
      </c>
      <c r="L2905" s="71" t="n">
        <v>4944.64</v>
      </c>
      <c r="M2905" s="71" t="n">
        <v>7669136.64</v>
      </c>
      <c r="N2905" s="71" t="n">
        <v>1533827.33</v>
      </c>
      <c r="O2905" s="71" t="n">
        <v>6135309.31</v>
      </c>
      <c r="P2905" s="71" t="n">
        <v>690512.71</v>
      </c>
      <c r="Q2905" s="71" t="n">
        <v>5444796.6</v>
      </c>
      <c r="R2905" t="inlineStr">
        <is>
          <t>Oncology</t>
        </is>
      </c>
      <c r="S2905" s="70" t="n">
        <v>1309</v>
      </c>
      <c r="T2905" s="71" t="n">
        <v>1235220.67</v>
      </c>
      <c r="U2905" t="inlineStr">
        <is>
          <t>High</t>
        </is>
      </c>
      <c r="V2905">
        <f>IF(AND(OR(Dashboard!$C$6="All",E2905=Dashboard!$C$6),OR(Dashboard!$F$6="All",G2905=Dashboard!$F$6),OR(Dashboard!$I$6="All",H2905=Dashboard!$I$6)),1,0)</f>
        <v/>
      </c>
    </row>
    <row r="2906">
      <c r="A2906" t="inlineStr">
        <is>
          <t>PF102897</t>
        </is>
      </c>
      <c r="B2906" s="68" t="n">
        <v>46007</v>
      </c>
      <c r="C2906" s="69" t="n">
        <v>2025</v>
      </c>
      <c r="D2906" t="inlineStr">
        <is>
          <t>Dec</t>
        </is>
      </c>
      <c r="E2906" t="inlineStr">
        <is>
          <t>International developed</t>
        </is>
      </c>
      <c r="F2906" t="inlineStr">
        <is>
          <t>Canada</t>
        </is>
      </c>
      <c r="G2906" t="inlineStr">
        <is>
          <t>Eliquis</t>
        </is>
      </c>
      <c r="H2906" t="inlineStr">
        <is>
          <t>Hospital</t>
        </is>
      </c>
      <c r="I2906" t="inlineStr">
        <is>
          <t>Private insurer</t>
        </is>
      </c>
      <c r="J2906" t="inlineStr">
        <is>
          <t>Aisha Bello</t>
        </is>
      </c>
      <c r="K2906" s="70" t="n">
        <v>3269</v>
      </c>
      <c r="L2906" s="71" t="n">
        <v>405.32</v>
      </c>
      <c r="M2906" s="71" t="n">
        <v>1324991.08</v>
      </c>
      <c r="N2906" s="71" t="n">
        <v>264998.22</v>
      </c>
      <c r="O2906" s="71" t="n">
        <v>1059992.86</v>
      </c>
      <c r="P2906" s="71" t="n">
        <v>253883.25</v>
      </c>
      <c r="Q2906" s="71" t="n">
        <v>806109.61</v>
      </c>
      <c r="R2906" t="inlineStr">
        <is>
          <t>Cardiology</t>
        </is>
      </c>
      <c r="S2906" s="70" t="n">
        <v>2366</v>
      </c>
      <c r="T2906" s="71" t="n">
        <v>257532.14</v>
      </c>
      <c r="U2906" t="inlineStr">
        <is>
          <t>High</t>
        </is>
      </c>
      <c r="V2906">
        <f>IF(AND(OR(Dashboard!$C$6="All",E2906=Dashboard!$C$6),OR(Dashboard!$F$6="All",G2906=Dashboard!$F$6),OR(Dashboard!$I$6="All",H2906=Dashboard!$I$6)),1,0)</f>
        <v/>
      </c>
    </row>
    <row r="2907">
      <c r="A2907" t="inlineStr">
        <is>
          <t>PF102898</t>
        </is>
      </c>
      <c r="B2907" s="68" t="n">
        <v>46007</v>
      </c>
      <c r="C2907" s="69" t="n">
        <v>2025</v>
      </c>
      <c r="D2907" t="inlineStr">
        <is>
          <t>Dec</t>
        </is>
      </c>
      <c r="E2907" t="inlineStr">
        <is>
          <t>United States</t>
        </is>
      </c>
      <c r="F2907" t="inlineStr">
        <is>
          <t>USA</t>
        </is>
      </c>
      <c r="G2907" t="inlineStr">
        <is>
          <t>Abrysvo</t>
        </is>
      </c>
      <c r="H2907" t="inlineStr">
        <is>
          <t>Government / tender</t>
        </is>
      </c>
      <c r="I2907" t="inlineStr">
        <is>
          <t>Public payer</t>
        </is>
      </c>
      <c r="J2907" t="inlineStr">
        <is>
          <t>Sara Rossi</t>
        </is>
      </c>
      <c r="K2907" s="70" t="n">
        <v>378</v>
      </c>
      <c r="L2907" s="71" t="n">
        <v>426.08</v>
      </c>
      <c r="M2907" s="71" t="n">
        <v>161058.24</v>
      </c>
      <c r="N2907" s="71" t="n">
        <v>56370.38</v>
      </c>
      <c r="O2907" s="71" t="n">
        <v>104687.86</v>
      </c>
      <c r="P2907" s="71" t="n">
        <v>32481.66</v>
      </c>
      <c r="Q2907" s="71" t="n">
        <v>72206.2</v>
      </c>
      <c r="R2907" t="inlineStr">
        <is>
          <t>Vaccines</t>
        </is>
      </c>
      <c r="S2907" s="70" t="n">
        <v>245</v>
      </c>
      <c r="T2907" s="71" t="n">
        <v>24868.56</v>
      </c>
      <c r="U2907" t="inlineStr">
        <is>
          <t>Low</t>
        </is>
      </c>
      <c r="V2907">
        <f>IF(AND(OR(Dashboard!$C$6="All",E2907=Dashboard!$C$6),OR(Dashboard!$F$6="All",G2907=Dashboard!$F$6),OR(Dashboard!$I$6="All",H2907=Dashboard!$I$6)),1,0)</f>
        <v/>
      </c>
    </row>
    <row r="2908">
      <c r="A2908" t="inlineStr">
        <is>
          <t>PF102899</t>
        </is>
      </c>
      <c r="B2908" s="68" t="n">
        <v>46007</v>
      </c>
      <c r="C2908" s="69" t="n">
        <v>2025</v>
      </c>
      <c r="D2908" t="inlineStr">
        <is>
          <t>Dec</t>
        </is>
      </c>
      <c r="E2908" t="inlineStr">
        <is>
          <t>Europe</t>
        </is>
      </c>
      <c r="F2908" t="inlineStr">
        <is>
          <t>Italy</t>
        </is>
      </c>
      <c r="G2908" t="inlineStr">
        <is>
          <t>Abrysvo</t>
        </is>
      </c>
      <c r="H2908" t="inlineStr">
        <is>
          <t>Retail pharmacy</t>
        </is>
      </c>
      <c r="I2908" t="inlineStr">
        <is>
          <t>Private insurer</t>
        </is>
      </c>
      <c r="J2908" t="inlineStr">
        <is>
          <t>Omar Haddad</t>
        </is>
      </c>
      <c r="K2908" s="70" t="n">
        <v>3466</v>
      </c>
      <c r="L2908" s="71" t="n">
        <v>271.62</v>
      </c>
      <c r="M2908" s="71" t="n">
        <v>941434.92</v>
      </c>
      <c r="N2908" s="71" t="n">
        <v>235358.73</v>
      </c>
      <c r="O2908" s="71" t="n">
        <v>706076.1899999999</v>
      </c>
      <c r="P2908" s="71" t="n">
        <v>302655.02</v>
      </c>
      <c r="Q2908" s="71" t="n">
        <v>403421.17</v>
      </c>
      <c r="R2908" t="inlineStr">
        <is>
          <t>Vaccines</t>
        </is>
      </c>
      <c r="S2908" s="70" t="n">
        <v>2210</v>
      </c>
      <c r="T2908" s="71" t="n">
        <v>155067.87</v>
      </c>
      <c r="U2908" t="inlineStr">
        <is>
          <t>Low</t>
        </is>
      </c>
      <c r="V2908">
        <f>IF(AND(OR(Dashboard!$C$6="All",E2908=Dashboard!$C$6),OR(Dashboard!$F$6="All",G2908=Dashboard!$F$6),OR(Dashboard!$I$6="All",H2908=Dashboard!$I$6)),1,0)</f>
        <v/>
      </c>
    </row>
    <row r="2909">
      <c r="A2909" t="inlineStr">
        <is>
          <t>PF102900</t>
        </is>
      </c>
      <c r="B2909" s="68" t="n">
        <v>46007</v>
      </c>
      <c r="C2909" s="69" t="n">
        <v>2025</v>
      </c>
      <c r="D2909" t="inlineStr">
        <is>
          <t>Dec</t>
        </is>
      </c>
      <c r="E2909" t="inlineStr">
        <is>
          <t>Emerging markets</t>
        </is>
      </c>
      <c r="F2909" t="inlineStr">
        <is>
          <t>India</t>
        </is>
      </c>
      <c r="G2909" t="inlineStr">
        <is>
          <t>Comirnaty</t>
        </is>
      </c>
      <c r="H2909" t="inlineStr">
        <is>
          <t>Retail pharmacy</t>
        </is>
      </c>
      <c r="I2909" t="inlineStr">
        <is>
          <t>Private insurer</t>
        </is>
      </c>
      <c r="J2909" t="inlineStr">
        <is>
          <t>Sophie Müller</t>
        </is>
      </c>
      <c r="K2909" s="70" t="n">
        <v>148</v>
      </c>
      <c r="L2909" s="71" t="n">
        <v>102.15</v>
      </c>
      <c r="M2909" s="71" t="n">
        <v>15118.2</v>
      </c>
      <c r="N2909" s="71" t="n">
        <v>2267.73</v>
      </c>
      <c r="O2909" s="71" t="n">
        <v>12850.47</v>
      </c>
      <c r="P2909" s="71" t="n">
        <v>5829.96</v>
      </c>
      <c r="Q2909" s="71" t="n">
        <v>7020.51</v>
      </c>
      <c r="R2909" t="inlineStr">
        <is>
          <t>Vaccines</t>
        </is>
      </c>
      <c r="S2909" s="70" t="n">
        <v>121</v>
      </c>
      <c r="T2909" s="71" t="n">
        <v>2741.48</v>
      </c>
      <c r="U2909" t="inlineStr">
        <is>
          <t>Low</t>
        </is>
      </c>
      <c r="V2909">
        <f>IF(AND(OR(Dashboard!$C$6="All",E2909=Dashboard!$C$6),OR(Dashboard!$F$6="All",G2909=Dashboard!$F$6),OR(Dashboard!$I$6="All",H2909=Dashboard!$I$6)),1,0)</f>
        <v/>
      </c>
    </row>
    <row r="2910">
      <c r="A2910" t="inlineStr">
        <is>
          <t>PF102901</t>
        </is>
      </c>
      <c r="B2910" s="68" t="n">
        <v>46007</v>
      </c>
      <c r="C2910" s="69" t="n">
        <v>2025</v>
      </c>
      <c r="D2910" t="inlineStr">
        <is>
          <t>Dec</t>
        </is>
      </c>
      <c r="E2910" t="inlineStr">
        <is>
          <t>United States</t>
        </is>
      </c>
      <c r="F2910" t="inlineStr">
        <is>
          <t>USA</t>
        </is>
      </c>
      <c r="G2910" t="inlineStr">
        <is>
          <t>Comirnaty</t>
        </is>
      </c>
      <c r="H2910" t="inlineStr">
        <is>
          <t>Hospital</t>
        </is>
      </c>
      <c r="I2910" t="inlineStr">
        <is>
          <t>Private insurer</t>
        </is>
      </c>
      <c r="J2910" t="inlineStr">
        <is>
          <t>Ana Costa</t>
        </is>
      </c>
      <c r="K2910" s="70" t="n">
        <v>676</v>
      </c>
      <c r="L2910" s="71" t="n">
        <v>173.74</v>
      </c>
      <c r="M2910" s="71" t="n">
        <v>117448.24</v>
      </c>
      <c r="N2910" s="71" t="n">
        <v>29362.06</v>
      </c>
      <c r="O2910" s="71" t="n">
        <v>88086.17999999999</v>
      </c>
      <c r="P2910" s="71" t="n">
        <v>25604.63</v>
      </c>
      <c r="Q2910" s="71" t="n">
        <v>62481.55</v>
      </c>
      <c r="R2910" t="inlineStr">
        <is>
          <t>Vaccines</t>
        </is>
      </c>
      <c r="S2910" s="70" t="n">
        <v>616</v>
      </c>
      <c r="T2910" s="71" t="n">
        <v>17004.84</v>
      </c>
      <c r="U2910" t="inlineStr">
        <is>
          <t>Low</t>
        </is>
      </c>
      <c r="V2910">
        <f>IF(AND(OR(Dashboard!$C$6="All",E2910=Dashboard!$C$6),OR(Dashboard!$F$6="All",G2910=Dashboard!$F$6),OR(Dashboard!$I$6="All",H2910=Dashboard!$I$6)),1,0)</f>
        <v/>
      </c>
    </row>
    <row r="2911">
      <c r="A2911" t="inlineStr">
        <is>
          <t>PF102902</t>
        </is>
      </c>
      <c r="B2911" s="68" t="n">
        <v>46008</v>
      </c>
      <c r="C2911" s="69" t="n">
        <v>2025</v>
      </c>
      <c r="D2911" t="inlineStr">
        <is>
          <t>Dec</t>
        </is>
      </c>
      <c r="E2911" t="inlineStr">
        <is>
          <t>United States</t>
        </is>
      </c>
      <c r="F2911" t="inlineStr">
        <is>
          <t>USA</t>
        </is>
      </c>
      <c r="G2911" t="inlineStr">
        <is>
          <t>Comirnaty</t>
        </is>
      </c>
      <c r="H2911" t="inlineStr">
        <is>
          <t>Hospital</t>
        </is>
      </c>
      <c r="I2911" t="inlineStr">
        <is>
          <t>Public payer</t>
        </is>
      </c>
      <c r="J2911" t="inlineStr">
        <is>
          <t>Arjun Mehta</t>
        </is>
      </c>
      <c r="K2911" s="70" t="n">
        <v>1940</v>
      </c>
      <c r="L2911" s="71" t="n">
        <v>165.98</v>
      </c>
      <c r="M2911" s="71" t="n">
        <v>322001.2</v>
      </c>
      <c r="N2911" s="71" t="n">
        <v>112700.42</v>
      </c>
      <c r="O2911" s="71" t="n">
        <v>209300.78</v>
      </c>
      <c r="P2911" s="71" t="n">
        <v>77503.62</v>
      </c>
      <c r="Q2911" s="71" t="n">
        <v>131797.16</v>
      </c>
      <c r="R2911" t="inlineStr">
        <is>
          <t>Vaccines</t>
        </is>
      </c>
      <c r="S2911" s="70" t="n">
        <v>1867</v>
      </c>
      <c r="T2911" s="71" t="n">
        <v>43883.02</v>
      </c>
      <c r="U2911" t="inlineStr">
        <is>
          <t>Low</t>
        </is>
      </c>
      <c r="V2911">
        <f>IF(AND(OR(Dashboard!$C$6="All",E2911=Dashboard!$C$6),OR(Dashboard!$F$6="All",G2911=Dashboard!$F$6),OR(Dashboard!$I$6="All",H2911=Dashboard!$I$6)),1,0)</f>
        <v/>
      </c>
    </row>
    <row r="2912">
      <c r="A2912" t="inlineStr">
        <is>
          <t>PF102903</t>
        </is>
      </c>
      <c r="B2912" s="68" t="n">
        <v>46008</v>
      </c>
      <c r="C2912" s="69" t="n">
        <v>2025</v>
      </c>
      <c r="D2912" t="inlineStr">
        <is>
          <t>Dec</t>
        </is>
      </c>
      <c r="E2912" t="inlineStr">
        <is>
          <t>United States</t>
        </is>
      </c>
      <c r="F2912" t="inlineStr">
        <is>
          <t>USA</t>
        </is>
      </c>
      <c r="G2912" t="inlineStr">
        <is>
          <t>Comirnaty</t>
        </is>
      </c>
      <c r="H2912" t="inlineStr">
        <is>
          <t>Hospital</t>
        </is>
      </c>
      <c r="I2912" t="inlineStr">
        <is>
          <t>Private insurer</t>
        </is>
      </c>
      <c r="J2912" t="inlineStr">
        <is>
          <t>Sara Rossi</t>
        </is>
      </c>
      <c r="K2912" s="70" t="n">
        <v>297</v>
      </c>
      <c r="L2912" s="71" t="n">
        <v>182.38</v>
      </c>
      <c r="M2912" s="71" t="n">
        <v>54166.86</v>
      </c>
      <c r="N2912" s="71" t="n">
        <v>13541.72</v>
      </c>
      <c r="O2912" s="71" t="n">
        <v>40625.14</v>
      </c>
      <c r="P2912" s="71" t="n">
        <v>11403.91</v>
      </c>
      <c r="Q2912" s="71" t="n">
        <v>29221.23</v>
      </c>
      <c r="R2912" t="inlineStr">
        <is>
          <t>Vaccines</t>
        </is>
      </c>
      <c r="S2912" s="70" t="n">
        <v>214</v>
      </c>
      <c r="T2912" s="71" t="n">
        <v>11300.23</v>
      </c>
      <c r="U2912" t="inlineStr">
        <is>
          <t>Low</t>
        </is>
      </c>
      <c r="V2912">
        <f>IF(AND(OR(Dashboard!$C$6="All",E2912=Dashboard!$C$6),OR(Dashboard!$F$6="All",G2912=Dashboard!$F$6),OR(Dashboard!$I$6="All",H2912=Dashboard!$I$6)),1,0)</f>
        <v/>
      </c>
    </row>
    <row r="2913">
      <c r="A2913" t="inlineStr">
        <is>
          <t>PF102904</t>
        </is>
      </c>
      <c r="B2913" s="68" t="n">
        <v>46008</v>
      </c>
      <c r="C2913" s="69" t="n">
        <v>2025</v>
      </c>
      <c r="D2913" t="inlineStr">
        <is>
          <t>Dec</t>
        </is>
      </c>
      <c r="E2913" t="inlineStr">
        <is>
          <t>Europe</t>
        </is>
      </c>
      <c r="F2913" t="inlineStr">
        <is>
          <t>Spain</t>
        </is>
      </c>
      <c r="G2913" t="inlineStr">
        <is>
          <t>Prevnar 20</t>
        </is>
      </c>
      <c r="H2913" t="inlineStr">
        <is>
          <t>Hospital</t>
        </is>
      </c>
      <c r="I2913" t="inlineStr">
        <is>
          <t>Private insurer</t>
        </is>
      </c>
      <c r="J2913" t="inlineStr">
        <is>
          <t>Wei Chen</t>
        </is>
      </c>
      <c r="K2913" s="70" t="n">
        <v>1782</v>
      </c>
      <c r="L2913" s="71" t="n">
        <v>225.99</v>
      </c>
      <c r="M2913" s="71" t="n">
        <v>402714.18</v>
      </c>
      <c r="N2913" s="71" t="n">
        <v>20135.71</v>
      </c>
      <c r="O2913" s="71" t="n">
        <v>382578.47</v>
      </c>
      <c r="P2913" s="71" t="n">
        <v>127620.82</v>
      </c>
      <c r="Q2913" s="71" t="n">
        <v>254957.65</v>
      </c>
      <c r="R2913" t="inlineStr">
        <is>
          <t>Vaccines</t>
        </is>
      </c>
      <c r="S2913" s="70" t="n">
        <v>1676</v>
      </c>
      <c r="T2913" s="71" t="n">
        <v>66675.62</v>
      </c>
      <c r="U2913" t="inlineStr">
        <is>
          <t>Low</t>
        </is>
      </c>
      <c r="V2913">
        <f>IF(AND(OR(Dashboard!$C$6="All",E2913=Dashboard!$C$6),OR(Dashboard!$F$6="All",G2913=Dashboard!$F$6),OR(Dashboard!$I$6="All",H2913=Dashboard!$I$6)),1,0)</f>
        <v/>
      </c>
    </row>
    <row r="2914">
      <c r="A2914" t="inlineStr">
        <is>
          <t>PF102905</t>
        </is>
      </c>
      <c r="B2914" s="68" t="n">
        <v>46008</v>
      </c>
      <c r="C2914" s="69" t="n">
        <v>2025</v>
      </c>
      <c r="D2914" t="inlineStr">
        <is>
          <t>Dec</t>
        </is>
      </c>
      <c r="E2914" t="inlineStr">
        <is>
          <t>Emerging markets</t>
        </is>
      </c>
      <c r="F2914" t="inlineStr">
        <is>
          <t>Mexico</t>
        </is>
      </c>
      <c r="G2914" t="inlineStr">
        <is>
          <t>Prevnar 20</t>
        </is>
      </c>
      <c r="H2914" t="inlineStr">
        <is>
          <t>Retail pharmacy</t>
        </is>
      </c>
      <c r="I2914" t="inlineStr">
        <is>
          <t>Public payer</t>
        </is>
      </c>
      <c r="J2914" t="inlineStr">
        <is>
          <t>Hiroshi Tanaka</t>
        </is>
      </c>
      <c r="K2914" s="70" t="n">
        <v>3365</v>
      </c>
      <c r="L2914" s="71" t="n">
        <v>237.53</v>
      </c>
      <c r="M2914" s="71" t="n">
        <v>799288.45</v>
      </c>
      <c r="N2914" s="71" t="n">
        <v>199822.11</v>
      </c>
      <c r="O2914" s="71" t="n">
        <v>599466.34</v>
      </c>
      <c r="P2914" s="71" t="n">
        <v>225384.21</v>
      </c>
      <c r="Q2914" s="71" t="n">
        <v>374082.13</v>
      </c>
      <c r="R2914" t="inlineStr">
        <is>
          <t>Vaccines</t>
        </is>
      </c>
      <c r="S2914" s="70" t="n">
        <v>3017</v>
      </c>
      <c r="T2914" s="71" t="n">
        <v>116060.29</v>
      </c>
      <c r="U2914" t="inlineStr">
        <is>
          <t>Low</t>
        </is>
      </c>
      <c r="V2914">
        <f>IF(AND(OR(Dashboard!$C$6="All",E2914=Dashboard!$C$6),OR(Dashboard!$F$6="All",G2914=Dashboard!$F$6),OR(Dashboard!$I$6="All",H2914=Dashboard!$I$6)),1,0)</f>
        <v/>
      </c>
    </row>
    <row r="2915">
      <c r="A2915" t="inlineStr">
        <is>
          <t>PF102906</t>
        </is>
      </c>
      <c r="B2915" s="68" t="n">
        <v>46008</v>
      </c>
      <c r="C2915" s="69" t="n">
        <v>2025</v>
      </c>
      <c r="D2915" t="inlineStr">
        <is>
          <t>Dec</t>
        </is>
      </c>
      <c r="E2915" t="inlineStr">
        <is>
          <t>Europe</t>
        </is>
      </c>
      <c r="F2915" t="inlineStr">
        <is>
          <t>France</t>
        </is>
      </c>
      <c r="G2915" t="inlineStr">
        <is>
          <t>Abrysvo</t>
        </is>
      </c>
      <c r="H2915" t="inlineStr">
        <is>
          <t>Retail pharmacy</t>
        </is>
      </c>
      <c r="I2915" t="inlineStr">
        <is>
          <t>Private insurer</t>
        </is>
      </c>
      <c r="J2915" t="inlineStr">
        <is>
          <t>Omar Haddad</t>
        </is>
      </c>
      <c r="K2915" s="70" t="n">
        <v>2919</v>
      </c>
      <c r="L2915" s="71" t="n">
        <v>277.09</v>
      </c>
      <c r="M2915" s="71" t="n">
        <v>808825.71</v>
      </c>
      <c r="N2915" s="71" t="n">
        <v>40441.29</v>
      </c>
      <c r="O2915" s="71" t="n">
        <v>768384.42</v>
      </c>
      <c r="P2915" s="71" t="n">
        <v>245075.69</v>
      </c>
      <c r="Q2915" s="71" t="n">
        <v>523308.73</v>
      </c>
      <c r="R2915" t="inlineStr">
        <is>
          <t>Vaccines</t>
        </is>
      </c>
      <c r="S2915" s="70" t="n">
        <v>2414</v>
      </c>
      <c r="T2915" s="71" t="n">
        <v>111959.57</v>
      </c>
      <c r="U2915" t="inlineStr">
        <is>
          <t>Low</t>
        </is>
      </c>
      <c r="V2915">
        <f>IF(AND(OR(Dashboard!$C$6="All",E2915=Dashboard!$C$6),OR(Dashboard!$F$6="All",G2915=Dashboard!$F$6),OR(Dashboard!$I$6="All",H2915=Dashboard!$I$6)),1,0)</f>
        <v/>
      </c>
    </row>
    <row r="2916">
      <c r="A2916" t="inlineStr">
        <is>
          <t>PF102907</t>
        </is>
      </c>
      <c r="B2916" s="68" t="n">
        <v>46008</v>
      </c>
      <c r="C2916" s="69" t="n">
        <v>2025</v>
      </c>
      <c r="D2916" t="inlineStr">
        <is>
          <t>Dec</t>
        </is>
      </c>
      <c r="E2916" t="inlineStr">
        <is>
          <t>United States</t>
        </is>
      </c>
      <c r="F2916" t="inlineStr">
        <is>
          <t>USA</t>
        </is>
      </c>
      <c r="G2916" t="inlineStr">
        <is>
          <t>Eliquis</t>
        </is>
      </c>
      <c r="H2916" t="inlineStr">
        <is>
          <t>Hospital</t>
        </is>
      </c>
      <c r="I2916" t="inlineStr">
        <is>
          <t>Public payer</t>
        </is>
      </c>
      <c r="J2916" t="inlineStr">
        <is>
          <t>Kofi Mensah</t>
        </is>
      </c>
      <c r="K2916" s="70" t="n">
        <v>2246</v>
      </c>
      <c r="L2916" s="71" t="n">
        <v>633.09</v>
      </c>
      <c r="M2916" s="71" t="n">
        <v>1421920.14</v>
      </c>
      <c r="N2916" s="71" t="n">
        <v>284384.03</v>
      </c>
      <c r="O2916" s="71" t="n">
        <v>1137536.11</v>
      </c>
      <c r="P2916" s="71" t="n">
        <v>171767.85</v>
      </c>
      <c r="Q2916" s="71" t="n">
        <v>965768.26</v>
      </c>
      <c r="R2916" t="inlineStr">
        <is>
          <t>Cardiology</t>
        </is>
      </c>
      <c r="S2916" s="70" t="n">
        <v>1937</v>
      </c>
      <c r="T2916" s="71" t="n">
        <v>200794.62</v>
      </c>
      <c r="U2916" t="inlineStr">
        <is>
          <t>High</t>
        </is>
      </c>
      <c r="V2916">
        <f>IF(AND(OR(Dashboard!$C$6="All",E2916=Dashboard!$C$6),OR(Dashboard!$F$6="All",G2916=Dashboard!$F$6),OR(Dashboard!$I$6="All",H2916=Dashboard!$I$6)),1,0)</f>
        <v/>
      </c>
    </row>
    <row r="2917">
      <c r="A2917" t="inlineStr">
        <is>
          <t>PF102908</t>
        </is>
      </c>
      <c r="B2917" s="68" t="n">
        <v>46008</v>
      </c>
      <c r="C2917" s="69" t="n">
        <v>2025</v>
      </c>
      <c r="D2917" t="inlineStr">
        <is>
          <t>Dec</t>
        </is>
      </c>
      <c r="E2917" t="inlineStr">
        <is>
          <t>Emerging markets</t>
        </is>
      </c>
      <c r="F2917" t="inlineStr">
        <is>
          <t>India</t>
        </is>
      </c>
      <c r="G2917" t="inlineStr">
        <is>
          <t>Vyndaqel</t>
        </is>
      </c>
      <c r="H2917" t="inlineStr">
        <is>
          <t>Retail pharmacy</t>
        </is>
      </c>
      <c r="I2917" t="inlineStr">
        <is>
          <t>Public payer</t>
        </is>
      </c>
      <c r="J2917" t="inlineStr">
        <is>
          <t>Hiroshi Tanaka</t>
        </is>
      </c>
      <c r="K2917" s="70" t="n">
        <v>608</v>
      </c>
      <c r="L2917" s="71" t="n">
        <v>4830.1</v>
      </c>
      <c r="M2917" s="71" t="n">
        <v>2936700.8</v>
      </c>
      <c r="N2917" s="71" t="n">
        <v>587340.16</v>
      </c>
      <c r="O2917" s="71" t="n">
        <v>2349360.64</v>
      </c>
      <c r="P2917" s="71" t="n">
        <v>364266.62</v>
      </c>
      <c r="Q2917" s="71" t="n">
        <v>1985094.02</v>
      </c>
      <c r="R2917" t="inlineStr">
        <is>
          <t>Rare disease</t>
        </is>
      </c>
      <c r="S2917" s="70" t="n">
        <v>465</v>
      </c>
      <c r="T2917" s="71" t="n">
        <v>378871.48</v>
      </c>
      <c r="U2917" t="inlineStr">
        <is>
          <t>Medium</t>
        </is>
      </c>
      <c r="V2917">
        <f>IF(AND(OR(Dashboard!$C$6="All",E2917=Dashboard!$C$6),OR(Dashboard!$F$6="All",G2917=Dashboard!$F$6),OR(Dashboard!$I$6="All",H2917=Dashboard!$I$6)),1,0)</f>
        <v/>
      </c>
    </row>
    <row r="2918">
      <c r="A2918" t="inlineStr">
        <is>
          <t>PF102909</t>
        </is>
      </c>
      <c r="B2918" s="68" t="n">
        <v>46008</v>
      </c>
      <c r="C2918" s="69" t="n">
        <v>2025</v>
      </c>
      <c r="D2918" t="inlineStr">
        <is>
          <t>Dec</t>
        </is>
      </c>
      <c r="E2918" t="inlineStr">
        <is>
          <t>Europe</t>
        </is>
      </c>
      <c r="F2918" t="inlineStr">
        <is>
          <t>UK</t>
        </is>
      </c>
      <c r="G2918" t="inlineStr">
        <is>
          <t>Comirnaty</t>
        </is>
      </c>
      <c r="H2918" t="inlineStr">
        <is>
          <t>Retail pharmacy</t>
        </is>
      </c>
      <c r="I2918" t="inlineStr">
        <is>
          <t>Private insurer</t>
        </is>
      </c>
      <c r="J2918" t="inlineStr">
        <is>
          <t>Fatima Al-Saud</t>
        </is>
      </c>
      <c r="K2918" s="70" t="n">
        <v>1513</v>
      </c>
      <c r="L2918" s="71" t="n">
        <v>118.55</v>
      </c>
      <c r="M2918" s="71" t="n">
        <v>179366.15</v>
      </c>
      <c r="N2918" s="71" t="n">
        <v>26904.92</v>
      </c>
      <c r="O2918" s="71" t="n">
        <v>152461.23</v>
      </c>
      <c r="P2918" s="71" t="n">
        <v>59929.82</v>
      </c>
      <c r="Q2918" s="71" t="n">
        <v>92531.41</v>
      </c>
      <c r="R2918" t="inlineStr">
        <is>
          <t>Vaccines</t>
        </is>
      </c>
      <c r="S2918" s="70" t="n">
        <v>1046</v>
      </c>
      <c r="T2918" s="71" t="n">
        <v>30727.94</v>
      </c>
      <c r="U2918" t="inlineStr">
        <is>
          <t>Low</t>
        </is>
      </c>
      <c r="V2918">
        <f>IF(AND(OR(Dashboard!$C$6="All",E2918=Dashboard!$C$6),OR(Dashboard!$F$6="All",G2918=Dashboard!$F$6),OR(Dashboard!$I$6="All",H2918=Dashboard!$I$6)),1,0)</f>
        <v/>
      </c>
    </row>
    <row r="2919">
      <c r="A2919" t="inlineStr">
        <is>
          <t>PF102910</t>
        </is>
      </c>
      <c r="B2919" s="68" t="n">
        <v>46009</v>
      </c>
      <c r="C2919" s="69" t="n">
        <v>2025</v>
      </c>
      <c r="D2919" t="inlineStr">
        <is>
          <t>Dec</t>
        </is>
      </c>
      <c r="E2919" t="inlineStr">
        <is>
          <t>Emerging markets</t>
        </is>
      </c>
      <c r="F2919" t="inlineStr">
        <is>
          <t>China</t>
        </is>
      </c>
      <c r="G2919" t="inlineStr">
        <is>
          <t>Abrysvo</t>
        </is>
      </c>
      <c r="H2919" t="inlineStr">
        <is>
          <t>Retail pharmacy</t>
        </is>
      </c>
      <c r="I2919" t="inlineStr">
        <is>
          <t>Public payer</t>
        </is>
      </c>
      <c r="J2919" t="inlineStr">
        <is>
          <t>Shraddha Kulkarni</t>
        </is>
      </c>
      <c r="K2919" s="70" t="n">
        <v>1621</v>
      </c>
      <c r="L2919" s="71" t="n">
        <v>290.83</v>
      </c>
      <c r="M2919" s="71" t="n">
        <v>471435.43</v>
      </c>
      <c r="N2919" s="71" t="n">
        <v>94287.09</v>
      </c>
      <c r="O2919" s="71" t="n">
        <v>377148.34</v>
      </c>
      <c r="P2919" s="71" t="n">
        <v>136760.6</v>
      </c>
      <c r="Q2919" s="71" t="n">
        <v>240387.74</v>
      </c>
      <c r="R2919" t="inlineStr">
        <is>
          <t>Vaccines</t>
        </is>
      </c>
      <c r="S2919" s="70" t="n">
        <v>1017</v>
      </c>
      <c r="T2919" s="71" t="n">
        <v>83358.36</v>
      </c>
      <c r="U2919" t="inlineStr">
        <is>
          <t>Low</t>
        </is>
      </c>
      <c r="V2919">
        <f>IF(AND(OR(Dashboard!$C$6="All",E2919=Dashboard!$C$6),OR(Dashboard!$F$6="All",G2919=Dashboard!$F$6),OR(Dashboard!$I$6="All",H2919=Dashboard!$I$6)),1,0)</f>
        <v/>
      </c>
    </row>
    <row r="2920">
      <c r="A2920" t="inlineStr">
        <is>
          <t>PF102911</t>
        </is>
      </c>
      <c r="B2920" s="68" t="n">
        <v>46009</v>
      </c>
      <c r="C2920" s="69" t="n">
        <v>2025</v>
      </c>
      <c r="D2920" t="inlineStr">
        <is>
          <t>Dec</t>
        </is>
      </c>
      <c r="E2920" t="inlineStr">
        <is>
          <t>Europe</t>
        </is>
      </c>
      <c r="F2920" t="inlineStr">
        <is>
          <t>UK</t>
        </is>
      </c>
      <c r="G2920" t="inlineStr">
        <is>
          <t>Comirnaty</t>
        </is>
      </c>
      <c r="H2920" t="inlineStr">
        <is>
          <t>Government / tender</t>
        </is>
      </c>
      <c r="I2920" t="inlineStr">
        <is>
          <t>Private insurer</t>
        </is>
      </c>
      <c r="J2920" t="inlineStr">
        <is>
          <t>Ruhi Shaikh</t>
        </is>
      </c>
      <c r="K2920" s="70" t="n">
        <v>1298</v>
      </c>
      <c r="L2920" s="71" t="n">
        <v>105.36</v>
      </c>
      <c r="M2920" s="71" t="n">
        <v>136757.28</v>
      </c>
      <c r="N2920" s="71" t="n">
        <v>20513.59</v>
      </c>
      <c r="O2920" s="71" t="n">
        <v>116243.69</v>
      </c>
      <c r="P2920" s="71" t="n">
        <v>49542.01</v>
      </c>
      <c r="Q2920" s="71" t="n">
        <v>66701.67999999999</v>
      </c>
      <c r="R2920" t="inlineStr">
        <is>
          <t>Vaccines</t>
        </is>
      </c>
      <c r="S2920" s="70" t="n">
        <v>1175</v>
      </c>
      <c r="T2920" s="71" t="n">
        <v>28199.77</v>
      </c>
      <c r="U2920" t="inlineStr">
        <is>
          <t>Low</t>
        </is>
      </c>
      <c r="V2920">
        <f>IF(AND(OR(Dashboard!$C$6="All",E2920=Dashboard!$C$6),OR(Dashboard!$F$6="All",G2920=Dashboard!$F$6),OR(Dashboard!$I$6="All",H2920=Dashboard!$I$6)),1,0)</f>
        <v/>
      </c>
    </row>
    <row r="2921">
      <c r="A2921" t="inlineStr">
        <is>
          <t>PF102912</t>
        </is>
      </c>
      <c r="B2921" s="68" t="n">
        <v>46009</v>
      </c>
      <c r="C2921" s="69" t="n">
        <v>2025</v>
      </c>
      <c r="D2921" t="inlineStr">
        <is>
          <t>Dec</t>
        </is>
      </c>
      <c r="E2921" t="inlineStr">
        <is>
          <t>Europe</t>
        </is>
      </c>
      <c r="F2921" t="inlineStr">
        <is>
          <t>Germany</t>
        </is>
      </c>
      <c r="G2921" t="inlineStr">
        <is>
          <t>Eliquis</t>
        </is>
      </c>
      <c r="H2921" t="inlineStr">
        <is>
          <t>Retail pharmacy</t>
        </is>
      </c>
      <c r="I2921" t="inlineStr">
        <is>
          <t>Private insurer</t>
        </is>
      </c>
      <c r="J2921" t="inlineStr">
        <is>
          <t>Kofi Mensah</t>
        </is>
      </c>
      <c r="K2921" s="70" t="n">
        <v>1225</v>
      </c>
      <c r="L2921" s="71" t="n">
        <v>382.5</v>
      </c>
      <c r="M2921" s="71" t="n">
        <v>468562.5</v>
      </c>
      <c r="N2921" s="71" t="n">
        <v>46856.25</v>
      </c>
      <c r="O2921" s="71" t="n">
        <v>421706.25</v>
      </c>
      <c r="P2921" s="71" t="n">
        <v>92229.99000000001</v>
      </c>
      <c r="Q2921" s="71" t="n">
        <v>329476.26</v>
      </c>
      <c r="R2921" t="inlineStr">
        <is>
          <t>Cardiology</t>
        </is>
      </c>
      <c r="S2921" s="70" t="n">
        <v>1046</v>
      </c>
      <c r="T2921" s="71" t="n">
        <v>93575.67999999999</v>
      </c>
      <c r="U2921" t="inlineStr">
        <is>
          <t>High</t>
        </is>
      </c>
      <c r="V2921">
        <f>IF(AND(OR(Dashboard!$C$6="All",E2921=Dashboard!$C$6),OR(Dashboard!$F$6="All",G2921=Dashboard!$F$6),OR(Dashboard!$I$6="All",H2921=Dashboard!$I$6)),1,0)</f>
        <v/>
      </c>
    </row>
    <row r="2922">
      <c r="A2922" t="inlineStr">
        <is>
          <t>PF102913</t>
        </is>
      </c>
      <c r="B2922" s="68" t="n">
        <v>46009</v>
      </c>
      <c r="C2922" s="69" t="n">
        <v>2025</v>
      </c>
      <c r="D2922" t="inlineStr">
        <is>
          <t>Dec</t>
        </is>
      </c>
      <c r="E2922" t="inlineStr">
        <is>
          <t>United States</t>
        </is>
      </c>
      <c r="F2922" t="inlineStr">
        <is>
          <t>USA</t>
        </is>
      </c>
      <c r="G2922" t="inlineStr">
        <is>
          <t>Comirnaty</t>
        </is>
      </c>
      <c r="H2922" t="inlineStr">
        <is>
          <t>Hospital</t>
        </is>
      </c>
      <c r="I2922" t="inlineStr">
        <is>
          <t>Public payer</t>
        </is>
      </c>
      <c r="J2922" t="inlineStr">
        <is>
          <t>Sophie Müller</t>
        </is>
      </c>
      <c r="K2922" s="70" t="n">
        <v>1371</v>
      </c>
      <c r="L2922" s="71" t="n">
        <v>164.11</v>
      </c>
      <c r="M2922" s="71" t="n">
        <v>224994.81</v>
      </c>
      <c r="N2922" s="71" t="n">
        <v>33749.22</v>
      </c>
      <c r="O2922" s="71" t="n">
        <v>191245.59</v>
      </c>
      <c r="P2922" s="71" t="n">
        <v>51190.7</v>
      </c>
      <c r="Q2922" s="71" t="n">
        <v>140054.89</v>
      </c>
      <c r="R2922" t="inlineStr">
        <is>
          <t>Vaccines</t>
        </is>
      </c>
      <c r="S2922" s="70" t="n">
        <v>1192</v>
      </c>
      <c r="T2922" s="71" t="n">
        <v>27456.17</v>
      </c>
      <c r="U2922" t="inlineStr">
        <is>
          <t>Low</t>
        </is>
      </c>
      <c r="V2922">
        <f>IF(AND(OR(Dashboard!$C$6="All",E2922=Dashboard!$C$6),OR(Dashboard!$F$6="All",G2922=Dashboard!$F$6),OR(Dashboard!$I$6="All",H2922=Dashboard!$I$6)),1,0)</f>
        <v/>
      </c>
    </row>
    <row r="2923">
      <c r="A2923" t="inlineStr">
        <is>
          <t>PF102914</t>
        </is>
      </c>
      <c r="B2923" s="68" t="n">
        <v>46009</v>
      </c>
      <c r="C2923" s="69" t="n">
        <v>2025</v>
      </c>
      <c r="D2923" t="inlineStr">
        <is>
          <t>Dec</t>
        </is>
      </c>
      <c r="E2923" t="inlineStr">
        <is>
          <t>International developed</t>
        </is>
      </c>
      <c r="F2923" t="inlineStr">
        <is>
          <t>Australia</t>
        </is>
      </c>
      <c r="G2923" t="inlineStr">
        <is>
          <t>Prevnar 20</t>
        </is>
      </c>
      <c r="H2923" t="inlineStr">
        <is>
          <t>Government / tender</t>
        </is>
      </c>
      <c r="I2923" t="inlineStr">
        <is>
          <t>Private insurer</t>
        </is>
      </c>
      <c r="J2923" t="inlineStr">
        <is>
          <t>Wei Chen</t>
        </is>
      </c>
      <c r="K2923" s="70" t="n">
        <v>1540</v>
      </c>
      <c r="L2923" s="71" t="n">
        <v>233.26</v>
      </c>
      <c r="M2923" s="71" t="n">
        <v>359220.4</v>
      </c>
      <c r="N2923" s="71" t="n">
        <v>71844.08</v>
      </c>
      <c r="O2923" s="71" t="n">
        <v>287376.32</v>
      </c>
      <c r="P2923" s="71" t="n">
        <v>109320.63</v>
      </c>
      <c r="Q2923" s="71" t="n">
        <v>178055.69</v>
      </c>
      <c r="R2923" t="inlineStr">
        <is>
          <t>Vaccines</t>
        </is>
      </c>
      <c r="S2923" s="70" t="n">
        <v>1075</v>
      </c>
      <c r="T2923" s="71" t="n">
        <v>67384.72</v>
      </c>
      <c r="U2923" t="inlineStr">
        <is>
          <t>Low</t>
        </is>
      </c>
      <c r="V2923">
        <f>IF(AND(OR(Dashboard!$C$6="All",E2923=Dashboard!$C$6),OR(Dashboard!$F$6="All",G2923=Dashboard!$F$6),OR(Dashboard!$I$6="All",H2923=Dashboard!$I$6)),1,0)</f>
        <v/>
      </c>
    </row>
    <row r="2924">
      <c r="A2924" t="inlineStr">
        <is>
          <t>PF102915</t>
        </is>
      </c>
      <c r="B2924" s="68" t="n">
        <v>46009</v>
      </c>
      <c r="C2924" s="69" t="n">
        <v>2025</v>
      </c>
      <c r="D2924" t="inlineStr">
        <is>
          <t>Dec</t>
        </is>
      </c>
      <c r="E2924" t="inlineStr">
        <is>
          <t>Europe</t>
        </is>
      </c>
      <c r="F2924" t="inlineStr">
        <is>
          <t>Italy</t>
        </is>
      </c>
      <c r="G2924" t="inlineStr">
        <is>
          <t>Ibrance</t>
        </is>
      </c>
      <c r="H2924" t="inlineStr">
        <is>
          <t>Hospital</t>
        </is>
      </c>
      <c r="I2924" t="inlineStr">
        <is>
          <t>Private insurer</t>
        </is>
      </c>
      <c r="J2924" t="inlineStr">
        <is>
          <t>Noah Smith</t>
        </is>
      </c>
      <c r="K2924" s="70" t="n">
        <v>1399</v>
      </c>
      <c r="L2924" s="71" t="n">
        <v>2883.38</v>
      </c>
      <c r="M2924" s="71" t="n">
        <v>4033848.62</v>
      </c>
      <c r="N2924" s="71" t="n">
        <v>1008462.16</v>
      </c>
      <c r="O2924" s="71" t="n">
        <v>3025386.46</v>
      </c>
      <c r="P2924" s="71" t="n">
        <v>604417.45</v>
      </c>
      <c r="Q2924" s="71" t="n">
        <v>2420969.01</v>
      </c>
      <c r="R2924" t="inlineStr">
        <is>
          <t>Oncology</t>
        </is>
      </c>
      <c r="S2924" s="70" t="n">
        <v>1306</v>
      </c>
      <c r="T2924" s="71" t="n">
        <v>521691.97</v>
      </c>
      <c r="U2924" t="inlineStr">
        <is>
          <t>High</t>
        </is>
      </c>
      <c r="V2924">
        <f>IF(AND(OR(Dashboard!$C$6="All",E2924=Dashboard!$C$6),OR(Dashboard!$F$6="All",G2924=Dashboard!$F$6),OR(Dashboard!$I$6="All",H2924=Dashboard!$I$6)),1,0)</f>
        <v/>
      </c>
    </row>
    <row r="2925">
      <c r="A2925" t="inlineStr">
        <is>
          <t>PF102916</t>
        </is>
      </c>
      <c r="B2925" s="68" t="n">
        <v>46010</v>
      </c>
      <c r="C2925" s="69" t="n">
        <v>2025</v>
      </c>
      <c r="D2925" t="inlineStr">
        <is>
          <t>Dec</t>
        </is>
      </c>
      <c r="E2925" t="inlineStr">
        <is>
          <t>United States</t>
        </is>
      </c>
      <c r="F2925" t="inlineStr">
        <is>
          <t>USA</t>
        </is>
      </c>
      <c r="G2925" t="inlineStr">
        <is>
          <t>Abrysvo</t>
        </is>
      </c>
      <c r="H2925" t="inlineStr">
        <is>
          <t>Hospital</t>
        </is>
      </c>
      <c r="I2925" t="inlineStr">
        <is>
          <t>Private insurer</t>
        </is>
      </c>
      <c r="J2925" t="inlineStr">
        <is>
          <t>Ana Costa</t>
        </is>
      </c>
      <c r="K2925" s="70" t="n">
        <v>3470</v>
      </c>
      <c r="L2925" s="71" t="n">
        <v>482.03</v>
      </c>
      <c r="M2925" s="71" t="n">
        <v>1672644.1</v>
      </c>
      <c r="N2925" s="71" t="n">
        <v>418161.03</v>
      </c>
      <c r="O2925" s="71" t="n">
        <v>1254483.07</v>
      </c>
      <c r="P2925" s="71" t="n">
        <v>291090.47</v>
      </c>
      <c r="Q2925" s="71" t="n">
        <v>963392.6</v>
      </c>
      <c r="R2925" t="inlineStr">
        <is>
          <t>Vaccines</t>
        </is>
      </c>
      <c r="S2925" s="70" t="n">
        <v>2656</v>
      </c>
      <c r="T2925" s="71" t="n">
        <v>301375.62</v>
      </c>
      <c r="U2925" t="inlineStr">
        <is>
          <t>Low</t>
        </is>
      </c>
      <c r="V2925">
        <f>IF(AND(OR(Dashboard!$C$6="All",E2925=Dashboard!$C$6),OR(Dashboard!$F$6="All",G2925=Dashboard!$F$6),OR(Dashboard!$I$6="All",H2925=Dashboard!$I$6)),1,0)</f>
        <v/>
      </c>
    </row>
    <row r="2926">
      <c r="A2926" t="inlineStr">
        <is>
          <t>PF102917</t>
        </is>
      </c>
      <c r="B2926" s="68" t="n">
        <v>46010</v>
      </c>
      <c r="C2926" s="69" t="n">
        <v>2025</v>
      </c>
      <c r="D2926" t="inlineStr">
        <is>
          <t>Dec</t>
        </is>
      </c>
      <c r="E2926" t="inlineStr">
        <is>
          <t>Emerging markets</t>
        </is>
      </c>
      <c r="F2926" t="inlineStr">
        <is>
          <t>China</t>
        </is>
      </c>
      <c r="G2926" t="inlineStr">
        <is>
          <t>Prevnar 20</t>
        </is>
      </c>
      <c r="H2926" t="inlineStr">
        <is>
          <t>Retail pharmacy</t>
        </is>
      </c>
      <c r="I2926" t="inlineStr">
        <is>
          <t>Private insurer</t>
        </is>
      </c>
      <c r="J2926" t="inlineStr">
        <is>
          <t>Carlos Silva</t>
        </is>
      </c>
      <c r="K2926" s="70" t="n">
        <v>1762</v>
      </c>
      <c r="L2926" s="71" t="n">
        <v>213.47</v>
      </c>
      <c r="M2926" s="71" t="n">
        <v>376134.14</v>
      </c>
      <c r="N2926" s="71" t="n">
        <v>37613.41</v>
      </c>
      <c r="O2926" s="71" t="n">
        <v>338520.73</v>
      </c>
      <c r="P2926" s="71" t="n">
        <v>117512.78</v>
      </c>
      <c r="Q2926" s="71" t="n">
        <v>221007.95</v>
      </c>
      <c r="R2926" t="inlineStr">
        <is>
          <t>Vaccines</t>
        </is>
      </c>
      <c r="S2926" s="70" t="n">
        <v>1407</v>
      </c>
      <c r="T2926" s="71" t="n">
        <v>70865.83</v>
      </c>
      <c r="U2926" t="inlineStr">
        <is>
          <t>Low</t>
        </is>
      </c>
      <c r="V2926">
        <f>IF(AND(OR(Dashboard!$C$6="All",E2926=Dashboard!$C$6),OR(Dashboard!$F$6="All",G2926=Dashboard!$F$6),OR(Dashboard!$I$6="All",H2926=Dashboard!$I$6)),1,0)</f>
        <v/>
      </c>
    </row>
    <row r="2927">
      <c r="A2927" t="inlineStr">
        <is>
          <t>PF102918</t>
        </is>
      </c>
      <c r="B2927" s="68" t="n">
        <v>46010</v>
      </c>
      <c r="C2927" s="69" t="n">
        <v>2025</v>
      </c>
      <c r="D2927" t="inlineStr">
        <is>
          <t>Dec</t>
        </is>
      </c>
      <c r="E2927" t="inlineStr">
        <is>
          <t>Europe</t>
        </is>
      </c>
      <c r="F2927" t="inlineStr">
        <is>
          <t>Germany</t>
        </is>
      </c>
      <c r="G2927" t="inlineStr">
        <is>
          <t>Prevnar 20</t>
        </is>
      </c>
      <c r="H2927" t="inlineStr">
        <is>
          <t>Retail pharmacy</t>
        </is>
      </c>
      <c r="I2927" t="inlineStr">
        <is>
          <t>Private insurer</t>
        </is>
      </c>
      <c r="J2927" t="inlineStr">
        <is>
          <t>Emma Clarke</t>
        </is>
      </c>
      <c r="K2927" s="70" t="n">
        <v>2518</v>
      </c>
      <c r="L2927" s="71" t="n">
        <v>223.7</v>
      </c>
      <c r="M2927" s="71" t="n">
        <v>563276.6</v>
      </c>
      <c r="N2927" s="71" t="n">
        <v>28163.83</v>
      </c>
      <c r="O2927" s="71" t="n">
        <v>535112.77</v>
      </c>
      <c r="P2927" s="71" t="n">
        <v>173866.27</v>
      </c>
      <c r="Q2927" s="71" t="n">
        <v>361246.5</v>
      </c>
      <c r="R2927" t="inlineStr">
        <is>
          <t>Vaccines</t>
        </is>
      </c>
      <c r="S2927" s="70" t="n">
        <v>2038</v>
      </c>
      <c r="T2927" s="71" t="n">
        <v>77110.75</v>
      </c>
      <c r="U2927" t="inlineStr">
        <is>
          <t>Low</t>
        </is>
      </c>
      <c r="V2927">
        <f>IF(AND(OR(Dashboard!$C$6="All",E2927=Dashboard!$C$6),OR(Dashboard!$F$6="All",G2927=Dashboard!$F$6),OR(Dashboard!$I$6="All",H2927=Dashboard!$I$6)),1,0)</f>
        <v/>
      </c>
    </row>
    <row r="2928">
      <c r="A2928" t="inlineStr">
        <is>
          <t>PF102919</t>
        </is>
      </c>
      <c r="B2928" s="68" t="n">
        <v>46010</v>
      </c>
      <c r="C2928" s="69" t="n">
        <v>2025</v>
      </c>
      <c r="D2928" t="inlineStr">
        <is>
          <t>Dec</t>
        </is>
      </c>
      <c r="E2928" t="inlineStr">
        <is>
          <t>United States</t>
        </is>
      </c>
      <c r="F2928" t="inlineStr">
        <is>
          <t>USA</t>
        </is>
      </c>
      <c r="G2928" t="inlineStr">
        <is>
          <t>Ibrance</t>
        </is>
      </c>
      <c r="H2928" t="inlineStr">
        <is>
          <t>Hospital</t>
        </is>
      </c>
      <c r="I2928" t="inlineStr">
        <is>
          <t>Public payer</t>
        </is>
      </c>
      <c r="J2928" t="inlineStr">
        <is>
          <t>Hiroshi Tanaka</t>
        </is>
      </c>
      <c r="K2928" s="70" t="n">
        <v>991</v>
      </c>
      <c r="L2928" s="71" t="n">
        <v>4881.04</v>
      </c>
      <c r="M2928" s="71" t="n">
        <v>4837110.64</v>
      </c>
      <c r="N2928" s="71" t="n">
        <v>967422.13</v>
      </c>
      <c r="O2928" s="71" t="n">
        <v>3869688.51</v>
      </c>
      <c r="P2928" s="71" t="n">
        <v>436654.93</v>
      </c>
      <c r="Q2928" s="71" t="n">
        <v>3433033.58</v>
      </c>
      <c r="R2928" t="inlineStr">
        <is>
          <t>Oncology</t>
        </is>
      </c>
      <c r="S2928" s="70" t="n">
        <v>984</v>
      </c>
      <c r="T2928" s="71" t="n">
        <v>1030837.43</v>
      </c>
      <c r="U2928" t="inlineStr">
        <is>
          <t>High</t>
        </is>
      </c>
      <c r="V2928">
        <f>IF(AND(OR(Dashboard!$C$6="All",E2928=Dashboard!$C$6),OR(Dashboard!$F$6="All",G2928=Dashboard!$F$6),OR(Dashboard!$I$6="All",H2928=Dashboard!$I$6)),1,0)</f>
        <v/>
      </c>
    </row>
    <row r="2929">
      <c r="A2929" t="inlineStr">
        <is>
          <t>PF102920</t>
        </is>
      </c>
      <c r="B2929" s="68" t="n">
        <v>46010</v>
      </c>
      <c r="C2929" s="69" t="n">
        <v>2025</v>
      </c>
      <c r="D2929" t="inlineStr">
        <is>
          <t>Dec</t>
        </is>
      </c>
      <c r="E2929" t="inlineStr">
        <is>
          <t>United States</t>
        </is>
      </c>
      <c r="F2929" t="inlineStr">
        <is>
          <t>USA</t>
        </is>
      </c>
      <c r="G2929" t="inlineStr">
        <is>
          <t>Prevnar 20</t>
        </is>
      </c>
      <c r="H2929" t="inlineStr">
        <is>
          <t>Retail pharmacy</t>
        </is>
      </c>
      <c r="I2929" t="inlineStr">
        <is>
          <t>Private insurer</t>
        </is>
      </c>
      <c r="J2929" t="inlineStr">
        <is>
          <t>Omar Haddad</t>
        </is>
      </c>
      <c r="K2929" s="70" t="n">
        <v>300</v>
      </c>
      <c r="L2929" s="71" t="n">
        <v>354.66</v>
      </c>
      <c r="M2929" s="71" t="n">
        <v>106398</v>
      </c>
      <c r="N2929" s="71" t="n">
        <v>15959.7</v>
      </c>
      <c r="O2929" s="71" t="n">
        <v>90438.3</v>
      </c>
      <c r="P2929" s="71" t="n">
        <v>20279.21</v>
      </c>
      <c r="Q2929" s="71" t="n">
        <v>70159.09</v>
      </c>
      <c r="R2929" t="inlineStr">
        <is>
          <t>Vaccines</t>
        </is>
      </c>
      <c r="S2929" s="70" t="n">
        <v>243</v>
      </c>
      <c r="T2929" s="71" t="n">
        <v>13887</v>
      </c>
      <c r="U2929" t="inlineStr">
        <is>
          <t>Low</t>
        </is>
      </c>
      <c r="V2929">
        <f>IF(AND(OR(Dashboard!$C$6="All",E2929=Dashboard!$C$6),OR(Dashboard!$F$6="All",G2929=Dashboard!$F$6),OR(Dashboard!$I$6="All",H2929=Dashboard!$I$6)),1,0)</f>
        <v/>
      </c>
    </row>
    <row r="2930">
      <c r="A2930" t="inlineStr">
        <is>
          <t>PF102921</t>
        </is>
      </c>
      <c r="B2930" s="68" t="n">
        <v>46010</v>
      </c>
      <c r="C2930" s="69" t="n">
        <v>2025</v>
      </c>
      <c r="D2930" t="inlineStr">
        <is>
          <t>Dec</t>
        </is>
      </c>
      <c r="E2930" t="inlineStr">
        <is>
          <t>United States</t>
        </is>
      </c>
      <c r="F2930" t="inlineStr">
        <is>
          <t>USA</t>
        </is>
      </c>
      <c r="G2930" t="inlineStr">
        <is>
          <t>Prevnar 20</t>
        </is>
      </c>
      <c r="H2930" t="inlineStr">
        <is>
          <t>Government / tender</t>
        </is>
      </c>
      <c r="I2930" t="inlineStr">
        <is>
          <t>Public payer</t>
        </is>
      </c>
      <c r="J2930" t="inlineStr">
        <is>
          <t>Olivia Brown</t>
        </is>
      </c>
      <c r="K2930" s="70" t="n">
        <v>1108</v>
      </c>
      <c r="L2930" s="71" t="n">
        <v>401.63</v>
      </c>
      <c r="M2930" s="71" t="n">
        <v>445006.04</v>
      </c>
      <c r="N2930" s="71" t="n">
        <v>111251.51</v>
      </c>
      <c r="O2930" s="71" t="n">
        <v>333754.53</v>
      </c>
      <c r="P2930" s="71" t="n">
        <v>78501.85000000001</v>
      </c>
      <c r="Q2930" s="71" t="n">
        <v>255252.68</v>
      </c>
      <c r="R2930" t="inlineStr">
        <is>
          <t>Vaccines</t>
        </is>
      </c>
      <c r="S2930" s="70" t="n">
        <v>707</v>
      </c>
      <c r="T2930" s="71" t="n">
        <v>93420.86</v>
      </c>
      <c r="U2930" t="inlineStr">
        <is>
          <t>Low</t>
        </is>
      </c>
      <c r="V2930">
        <f>IF(AND(OR(Dashboard!$C$6="All",E2930=Dashboard!$C$6),OR(Dashboard!$F$6="All",G2930=Dashboard!$F$6),OR(Dashboard!$I$6="All",H2930=Dashboard!$I$6)),1,0)</f>
        <v/>
      </c>
    </row>
    <row r="2931">
      <c r="A2931" t="inlineStr">
        <is>
          <t>PF102922</t>
        </is>
      </c>
      <c r="B2931" s="68" t="n">
        <v>46010</v>
      </c>
      <c r="C2931" s="69" t="n">
        <v>2025</v>
      </c>
      <c r="D2931" t="inlineStr">
        <is>
          <t>Dec</t>
        </is>
      </c>
      <c r="E2931" t="inlineStr">
        <is>
          <t>United States</t>
        </is>
      </c>
      <c r="F2931" t="inlineStr">
        <is>
          <t>USA</t>
        </is>
      </c>
      <c r="G2931" t="inlineStr">
        <is>
          <t>Paxlovid</t>
        </is>
      </c>
      <c r="H2931" t="inlineStr">
        <is>
          <t>Retail pharmacy</t>
        </is>
      </c>
      <c r="I2931" t="inlineStr">
        <is>
          <t>Public payer</t>
        </is>
      </c>
      <c r="J2931" t="inlineStr">
        <is>
          <t>Carlos Silva</t>
        </is>
      </c>
      <c r="K2931" s="70" t="n">
        <v>1346</v>
      </c>
      <c r="L2931" s="71" t="n">
        <v>1592.27</v>
      </c>
      <c r="M2931" s="71" t="n">
        <v>2143195.42</v>
      </c>
      <c r="N2931" s="71" t="n">
        <v>428639.08</v>
      </c>
      <c r="O2931" s="71" t="n">
        <v>1714556.34</v>
      </c>
      <c r="P2931" s="71" t="n">
        <v>370573.11</v>
      </c>
      <c r="Q2931" s="71" t="n">
        <v>1343983.23</v>
      </c>
      <c r="R2931" t="inlineStr">
        <is>
          <t>Antiviral</t>
        </is>
      </c>
      <c r="S2931" s="70" t="n">
        <v>1189</v>
      </c>
      <c r="T2931" s="71" t="n">
        <v>259924.74</v>
      </c>
      <c r="U2931" t="inlineStr">
        <is>
          <t>Low</t>
        </is>
      </c>
      <c r="V2931">
        <f>IF(AND(OR(Dashboard!$C$6="All",E2931=Dashboard!$C$6),OR(Dashboard!$F$6="All",G2931=Dashboard!$F$6),OR(Dashboard!$I$6="All",H2931=Dashboard!$I$6)),1,0)</f>
        <v/>
      </c>
    </row>
    <row r="2932">
      <c r="A2932" t="inlineStr">
        <is>
          <t>PF102923</t>
        </is>
      </c>
      <c r="B2932" s="68" t="n">
        <v>46011</v>
      </c>
      <c r="C2932" s="69" t="n">
        <v>2025</v>
      </c>
      <c r="D2932" t="inlineStr">
        <is>
          <t>Dec</t>
        </is>
      </c>
      <c r="E2932" t="inlineStr">
        <is>
          <t>Europe</t>
        </is>
      </c>
      <c r="F2932" t="inlineStr">
        <is>
          <t>UK</t>
        </is>
      </c>
      <c r="G2932" t="inlineStr">
        <is>
          <t>Prevnar 20</t>
        </is>
      </c>
      <c r="H2932" t="inlineStr">
        <is>
          <t>Hospital</t>
        </is>
      </c>
      <c r="I2932" t="inlineStr">
        <is>
          <t>Private insurer</t>
        </is>
      </c>
      <c r="J2932" t="inlineStr">
        <is>
          <t>Hiroshi Tanaka</t>
        </is>
      </c>
      <c r="K2932" s="70" t="n">
        <v>3384</v>
      </c>
      <c r="L2932" s="71" t="n">
        <v>246.81</v>
      </c>
      <c r="M2932" s="71" t="n">
        <v>835205.04</v>
      </c>
      <c r="N2932" s="71" t="n">
        <v>41760.25</v>
      </c>
      <c r="O2932" s="71" t="n">
        <v>793444.79</v>
      </c>
      <c r="P2932" s="71" t="n">
        <v>233305.09</v>
      </c>
      <c r="Q2932" s="71" t="n">
        <v>560139.7</v>
      </c>
      <c r="R2932" t="inlineStr">
        <is>
          <t>Vaccines</t>
        </is>
      </c>
      <c r="S2932" s="70" t="n">
        <v>2304</v>
      </c>
      <c r="T2932" s="71" t="n">
        <v>112464.95</v>
      </c>
      <c r="U2932" t="inlineStr">
        <is>
          <t>Low</t>
        </is>
      </c>
      <c r="V2932">
        <f>IF(AND(OR(Dashboard!$C$6="All",E2932=Dashboard!$C$6),OR(Dashboard!$F$6="All",G2932=Dashboard!$F$6),OR(Dashboard!$I$6="All",H2932=Dashboard!$I$6)),1,0)</f>
        <v/>
      </c>
    </row>
    <row r="2933">
      <c r="A2933" t="inlineStr">
        <is>
          <t>PF102924</t>
        </is>
      </c>
      <c r="B2933" s="68" t="n">
        <v>46011</v>
      </c>
      <c r="C2933" s="69" t="n">
        <v>2025</v>
      </c>
      <c r="D2933" t="inlineStr">
        <is>
          <t>Dec</t>
        </is>
      </c>
      <c r="E2933" t="inlineStr">
        <is>
          <t>International developed</t>
        </is>
      </c>
      <c r="F2933" t="inlineStr">
        <is>
          <t>Canada</t>
        </is>
      </c>
      <c r="G2933" t="inlineStr">
        <is>
          <t>Comirnaty</t>
        </is>
      </c>
      <c r="H2933" t="inlineStr">
        <is>
          <t>Hospital</t>
        </is>
      </c>
      <c r="I2933" t="inlineStr">
        <is>
          <t>Private insurer</t>
        </is>
      </c>
      <c r="J2933" t="inlineStr">
        <is>
          <t>Lucas Martin</t>
        </is>
      </c>
      <c r="K2933" s="70" t="n">
        <v>244</v>
      </c>
      <c r="L2933" s="71" t="n">
        <v>100.82</v>
      </c>
      <c r="M2933" s="71" t="n">
        <v>24600.08</v>
      </c>
      <c r="N2933" s="71" t="n">
        <v>2460.01</v>
      </c>
      <c r="O2933" s="71" t="n">
        <v>22140.07</v>
      </c>
      <c r="P2933" s="71" t="n">
        <v>9368.389999999999</v>
      </c>
      <c r="Q2933" s="71" t="n">
        <v>12771.68</v>
      </c>
      <c r="R2933" t="inlineStr">
        <is>
          <t>Vaccines</t>
        </is>
      </c>
      <c r="S2933" s="70" t="n">
        <v>203</v>
      </c>
      <c r="T2933" s="71" t="n">
        <v>3855.33</v>
      </c>
      <c r="U2933" t="inlineStr">
        <is>
          <t>Low</t>
        </is>
      </c>
      <c r="V2933">
        <f>IF(AND(OR(Dashboard!$C$6="All",E2933=Dashboard!$C$6),OR(Dashboard!$F$6="All",G2933=Dashboard!$F$6),OR(Dashboard!$I$6="All",H2933=Dashboard!$I$6)),1,0)</f>
        <v/>
      </c>
    </row>
    <row r="2934">
      <c r="A2934" t="inlineStr">
        <is>
          <t>PF102925</t>
        </is>
      </c>
      <c r="B2934" s="68" t="n">
        <v>46011</v>
      </c>
      <c r="C2934" s="69" t="n">
        <v>2025</v>
      </c>
      <c r="D2934" t="inlineStr">
        <is>
          <t>Dec</t>
        </is>
      </c>
      <c r="E2934" t="inlineStr">
        <is>
          <t>United States</t>
        </is>
      </c>
      <c r="F2934" t="inlineStr">
        <is>
          <t>USA</t>
        </is>
      </c>
      <c r="G2934" t="inlineStr">
        <is>
          <t>Xeljanz</t>
        </is>
      </c>
      <c r="H2934" t="inlineStr">
        <is>
          <t>Hospital</t>
        </is>
      </c>
      <c r="I2934" t="inlineStr">
        <is>
          <t>Public payer</t>
        </is>
      </c>
      <c r="J2934" t="inlineStr">
        <is>
          <t>Shraddha Kulkarni</t>
        </is>
      </c>
      <c r="K2934" s="70" t="n">
        <v>395</v>
      </c>
      <c r="L2934" s="71" t="n">
        <v>2271.09</v>
      </c>
      <c r="M2934" s="71" t="n">
        <v>897080.55</v>
      </c>
      <c r="N2934" s="71" t="n">
        <v>269124.17</v>
      </c>
      <c r="O2934" s="71" t="n">
        <v>627956.38</v>
      </c>
      <c r="P2934" s="71" t="n">
        <v>100549.14</v>
      </c>
      <c r="Q2934" s="71" t="n">
        <v>527407.24</v>
      </c>
      <c r="R2934" t="inlineStr">
        <is>
          <t>Inflammation</t>
        </is>
      </c>
      <c r="S2934" s="70" t="n">
        <v>285</v>
      </c>
      <c r="T2934" s="71" t="n">
        <v>134593.3</v>
      </c>
      <c r="U2934" t="inlineStr">
        <is>
          <t>High</t>
        </is>
      </c>
      <c r="V2934">
        <f>IF(AND(OR(Dashboard!$C$6="All",E2934=Dashboard!$C$6),OR(Dashboard!$F$6="All",G2934=Dashboard!$F$6),OR(Dashboard!$I$6="All",H2934=Dashboard!$I$6)),1,0)</f>
        <v/>
      </c>
    </row>
    <row r="2935">
      <c r="A2935" t="inlineStr">
        <is>
          <t>PF102926</t>
        </is>
      </c>
      <c r="B2935" s="68" t="n">
        <v>46011</v>
      </c>
      <c r="C2935" s="69" t="n">
        <v>2025</v>
      </c>
      <c r="D2935" t="inlineStr">
        <is>
          <t>Dec</t>
        </is>
      </c>
      <c r="E2935" t="inlineStr">
        <is>
          <t>United States</t>
        </is>
      </c>
      <c r="F2935" t="inlineStr">
        <is>
          <t>USA</t>
        </is>
      </c>
      <c r="G2935" t="inlineStr">
        <is>
          <t>Abrysvo</t>
        </is>
      </c>
      <c r="H2935" t="inlineStr">
        <is>
          <t>Hospital</t>
        </is>
      </c>
      <c r="I2935" t="inlineStr">
        <is>
          <t>Private insurer</t>
        </is>
      </c>
      <c r="J2935" t="inlineStr">
        <is>
          <t>Wei Chen</t>
        </is>
      </c>
      <c r="K2935" s="70" t="n">
        <v>3085</v>
      </c>
      <c r="L2935" s="71" t="n">
        <v>460.37</v>
      </c>
      <c r="M2935" s="71" t="n">
        <v>1420241.45</v>
      </c>
      <c r="N2935" s="71" t="n">
        <v>213036.22</v>
      </c>
      <c r="O2935" s="71" t="n">
        <v>1207205.23</v>
      </c>
      <c r="P2935" s="71" t="n">
        <v>259823.68</v>
      </c>
      <c r="Q2935" s="71" t="n">
        <v>947381.55</v>
      </c>
      <c r="R2935" t="inlineStr">
        <is>
          <t>Vaccines</t>
        </is>
      </c>
      <c r="S2935" s="70" t="n">
        <v>2312</v>
      </c>
      <c r="T2935" s="71" t="n">
        <v>225398.27</v>
      </c>
      <c r="U2935" t="inlineStr">
        <is>
          <t>Low</t>
        </is>
      </c>
      <c r="V2935">
        <f>IF(AND(OR(Dashboard!$C$6="All",E2935=Dashboard!$C$6),OR(Dashboard!$F$6="All",G2935=Dashboard!$F$6),OR(Dashboard!$I$6="All",H2935=Dashboard!$I$6)),1,0)</f>
        <v/>
      </c>
    </row>
    <row r="2936">
      <c r="A2936" t="inlineStr">
        <is>
          <t>PF102927</t>
        </is>
      </c>
      <c r="B2936" s="68" t="n">
        <v>46011</v>
      </c>
      <c r="C2936" s="69" t="n">
        <v>2025</v>
      </c>
      <c r="D2936" t="inlineStr">
        <is>
          <t>Dec</t>
        </is>
      </c>
      <c r="E2936" t="inlineStr">
        <is>
          <t>Emerging markets</t>
        </is>
      </c>
      <c r="F2936" t="inlineStr">
        <is>
          <t>India</t>
        </is>
      </c>
      <c r="G2936" t="inlineStr">
        <is>
          <t>Prevnar 20</t>
        </is>
      </c>
      <c r="H2936" t="inlineStr">
        <is>
          <t>Hospital</t>
        </is>
      </c>
      <c r="I2936" t="inlineStr">
        <is>
          <t>Private insurer</t>
        </is>
      </c>
      <c r="J2936" t="inlineStr">
        <is>
          <t>Wei Chen</t>
        </is>
      </c>
      <c r="K2936" s="70" t="n">
        <v>382</v>
      </c>
      <c r="L2936" s="71" t="n">
        <v>244.83</v>
      </c>
      <c r="M2936" s="71" t="n">
        <v>93525.06</v>
      </c>
      <c r="N2936" s="71" t="n">
        <v>14028.76</v>
      </c>
      <c r="O2936" s="71" t="n">
        <v>79496.3</v>
      </c>
      <c r="P2936" s="71" t="n">
        <v>26564.52</v>
      </c>
      <c r="Q2936" s="71" t="n">
        <v>52931.78</v>
      </c>
      <c r="R2936" t="inlineStr">
        <is>
          <t>Vaccines</t>
        </is>
      </c>
      <c r="S2936" s="70" t="n">
        <v>257</v>
      </c>
      <c r="T2936" s="71" t="n">
        <v>18007.54</v>
      </c>
      <c r="U2936" t="inlineStr">
        <is>
          <t>Low</t>
        </is>
      </c>
      <c r="V2936">
        <f>IF(AND(OR(Dashboard!$C$6="All",E2936=Dashboard!$C$6),OR(Dashboard!$F$6="All",G2936=Dashboard!$F$6),OR(Dashboard!$I$6="All",H2936=Dashboard!$I$6)),1,0)</f>
        <v/>
      </c>
    </row>
    <row r="2937">
      <c r="A2937" t="inlineStr">
        <is>
          <t>PF102928</t>
        </is>
      </c>
      <c r="B2937" s="68" t="n">
        <v>46011</v>
      </c>
      <c r="C2937" s="69" t="n">
        <v>2025</v>
      </c>
      <c r="D2937" t="inlineStr">
        <is>
          <t>Dec</t>
        </is>
      </c>
      <c r="E2937" t="inlineStr">
        <is>
          <t>United States</t>
        </is>
      </c>
      <c r="F2937" t="inlineStr">
        <is>
          <t>USA</t>
        </is>
      </c>
      <c r="G2937" t="inlineStr">
        <is>
          <t>Vyndaqel</t>
        </is>
      </c>
      <c r="H2937" t="inlineStr">
        <is>
          <t>Hospital</t>
        </is>
      </c>
      <c r="I2937" t="inlineStr">
        <is>
          <t>Public payer</t>
        </is>
      </c>
      <c r="J2937" t="inlineStr">
        <is>
          <t>Sara Rossi</t>
        </is>
      </c>
      <c r="K2937" s="70" t="n">
        <v>1136</v>
      </c>
      <c r="L2937" s="71" t="n">
        <v>8839.41</v>
      </c>
      <c r="M2937" s="71" t="n">
        <v>10041569.76</v>
      </c>
      <c r="N2937" s="71" t="n">
        <v>2510392.44</v>
      </c>
      <c r="O2937" s="71" t="n">
        <v>7531177.32</v>
      </c>
      <c r="P2937" s="71" t="n">
        <v>703758.46</v>
      </c>
      <c r="Q2937" s="71" t="n">
        <v>6827418.86</v>
      </c>
      <c r="R2937" t="inlineStr">
        <is>
          <t>Rare disease</t>
        </is>
      </c>
      <c r="S2937" s="70" t="n">
        <v>799</v>
      </c>
      <c r="T2937" s="71" t="n">
        <v>1717323.51</v>
      </c>
      <c r="U2937" t="inlineStr">
        <is>
          <t>Medium</t>
        </is>
      </c>
      <c r="V2937">
        <f>IF(AND(OR(Dashboard!$C$6="All",E2937=Dashboard!$C$6),OR(Dashboard!$F$6="All",G2937=Dashboard!$F$6),OR(Dashboard!$I$6="All",H2937=Dashboard!$I$6)),1,0)</f>
        <v/>
      </c>
    </row>
    <row r="2938">
      <c r="A2938" t="inlineStr">
        <is>
          <t>PF102929</t>
        </is>
      </c>
      <c r="B2938" s="68" t="n">
        <v>46011</v>
      </c>
      <c r="C2938" s="69" t="n">
        <v>2025</v>
      </c>
      <c r="D2938" t="inlineStr">
        <is>
          <t>Dec</t>
        </is>
      </c>
      <c r="E2938" t="inlineStr">
        <is>
          <t>United States</t>
        </is>
      </c>
      <c r="F2938" t="inlineStr">
        <is>
          <t>USA</t>
        </is>
      </c>
      <c r="G2938" t="inlineStr">
        <is>
          <t>Comirnaty</t>
        </is>
      </c>
      <c r="H2938" t="inlineStr">
        <is>
          <t>Hospital</t>
        </is>
      </c>
      <c r="I2938" t="inlineStr">
        <is>
          <t>Private insurer</t>
        </is>
      </c>
      <c r="J2938" t="inlineStr">
        <is>
          <t>Ruhi Shaikh</t>
        </is>
      </c>
      <c r="K2938" s="70" t="n">
        <v>2895</v>
      </c>
      <c r="L2938" s="71" t="n">
        <v>189.78</v>
      </c>
      <c r="M2938" s="71" t="n">
        <v>549413.1</v>
      </c>
      <c r="N2938" s="71" t="n">
        <v>192294.58</v>
      </c>
      <c r="O2938" s="71" t="n">
        <v>357118.52</v>
      </c>
      <c r="P2938" s="71" t="n">
        <v>114420.33</v>
      </c>
      <c r="Q2938" s="71" t="n">
        <v>242698.19</v>
      </c>
      <c r="R2938" t="inlineStr">
        <is>
          <t>Vaccines</t>
        </is>
      </c>
      <c r="S2938" s="70" t="n">
        <v>2461</v>
      </c>
      <c r="T2938" s="71" t="n">
        <v>111364.6</v>
      </c>
      <c r="U2938" t="inlineStr">
        <is>
          <t>Low</t>
        </is>
      </c>
      <c r="V2938">
        <f>IF(AND(OR(Dashboard!$C$6="All",E2938=Dashboard!$C$6),OR(Dashboard!$F$6="All",G2938=Dashboard!$F$6),OR(Dashboard!$I$6="All",H2938=Dashboard!$I$6)),1,0)</f>
        <v/>
      </c>
    </row>
    <row r="2939">
      <c r="A2939" t="inlineStr">
        <is>
          <t>PF102930</t>
        </is>
      </c>
      <c r="B2939" s="68" t="n">
        <v>46011</v>
      </c>
      <c r="C2939" s="69" t="n">
        <v>2025</v>
      </c>
      <c r="D2939" t="inlineStr">
        <is>
          <t>Dec</t>
        </is>
      </c>
      <c r="E2939" t="inlineStr">
        <is>
          <t>International developed</t>
        </is>
      </c>
      <c r="F2939" t="inlineStr">
        <is>
          <t>Japan</t>
        </is>
      </c>
      <c r="G2939" t="inlineStr">
        <is>
          <t>Ibrance</t>
        </is>
      </c>
      <c r="H2939" t="inlineStr">
        <is>
          <t>Retail pharmacy</t>
        </is>
      </c>
      <c r="I2939" t="inlineStr">
        <is>
          <t>Public payer</t>
        </is>
      </c>
      <c r="J2939" t="inlineStr">
        <is>
          <t>Sara Rossi</t>
        </is>
      </c>
      <c r="K2939" s="70" t="n">
        <v>241</v>
      </c>
      <c r="L2939" s="71" t="n">
        <v>2668.29</v>
      </c>
      <c r="M2939" s="71" t="n">
        <v>643057.89</v>
      </c>
      <c r="N2939" s="71" t="n">
        <v>128611.58</v>
      </c>
      <c r="O2939" s="71" t="n">
        <v>514446.31</v>
      </c>
      <c r="P2939" s="71" t="n">
        <v>100889.46</v>
      </c>
      <c r="Q2939" s="71" t="n">
        <v>413556.85</v>
      </c>
      <c r="R2939" t="inlineStr">
        <is>
          <t>Oncology</t>
        </is>
      </c>
      <c r="S2939" s="70" t="n">
        <v>193</v>
      </c>
      <c r="T2939" s="71" t="n">
        <v>138152.38</v>
      </c>
      <c r="U2939" t="inlineStr">
        <is>
          <t>High</t>
        </is>
      </c>
      <c r="V2939">
        <f>IF(AND(OR(Dashboard!$C$6="All",E2939=Dashboard!$C$6),OR(Dashboard!$F$6="All",G2939=Dashboard!$F$6),OR(Dashboard!$I$6="All",H2939=Dashboard!$I$6)),1,0)</f>
        <v/>
      </c>
    </row>
    <row r="2940">
      <c r="A2940" t="inlineStr">
        <is>
          <t>PF102931</t>
        </is>
      </c>
      <c r="B2940" s="68" t="n">
        <v>46011</v>
      </c>
      <c r="C2940" s="69" t="n">
        <v>2025</v>
      </c>
      <c r="D2940" t="inlineStr">
        <is>
          <t>Dec</t>
        </is>
      </c>
      <c r="E2940" t="inlineStr">
        <is>
          <t>United States</t>
        </is>
      </c>
      <c r="F2940" t="inlineStr">
        <is>
          <t>USA</t>
        </is>
      </c>
      <c r="G2940" t="inlineStr">
        <is>
          <t>Comirnaty</t>
        </is>
      </c>
      <c r="H2940" t="inlineStr">
        <is>
          <t>Government / tender</t>
        </is>
      </c>
      <c r="I2940" t="inlineStr">
        <is>
          <t>Public payer</t>
        </is>
      </c>
      <c r="J2940" t="inlineStr">
        <is>
          <t>Noah Smith</t>
        </is>
      </c>
      <c r="K2940" s="70" t="n">
        <v>1698</v>
      </c>
      <c r="L2940" s="71" t="n">
        <v>191.46</v>
      </c>
      <c r="M2940" s="71" t="n">
        <v>325099.08</v>
      </c>
      <c r="N2940" s="71" t="n">
        <v>81274.77</v>
      </c>
      <c r="O2940" s="71" t="n">
        <v>243824.31</v>
      </c>
      <c r="P2940" s="71" t="n">
        <v>65325.22</v>
      </c>
      <c r="Q2940" s="71" t="n">
        <v>178499.09</v>
      </c>
      <c r="R2940" t="inlineStr">
        <is>
          <t>Vaccines</t>
        </is>
      </c>
      <c r="S2940" s="70" t="n">
        <v>1526</v>
      </c>
      <c r="T2940" s="71" t="n">
        <v>57486.72</v>
      </c>
      <c r="U2940" t="inlineStr">
        <is>
          <t>Low</t>
        </is>
      </c>
      <c r="V2940">
        <f>IF(AND(OR(Dashboard!$C$6="All",E2940=Dashboard!$C$6),OR(Dashboard!$F$6="All",G2940=Dashboard!$F$6),OR(Dashboard!$I$6="All",H2940=Dashboard!$I$6)),1,0)</f>
        <v/>
      </c>
    </row>
    <row r="2941">
      <c r="A2941" t="inlineStr">
        <is>
          <t>PF102932</t>
        </is>
      </c>
      <c r="B2941" s="68" t="n">
        <v>46011</v>
      </c>
      <c r="C2941" s="69" t="n">
        <v>2025</v>
      </c>
      <c r="D2941" t="inlineStr">
        <is>
          <t>Dec</t>
        </is>
      </c>
      <c r="E2941" t="inlineStr">
        <is>
          <t>Europe</t>
        </is>
      </c>
      <c r="F2941" t="inlineStr">
        <is>
          <t>Germany</t>
        </is>
      </c>
      <c r="G2941" t="inlineStr">
        <is>
          <t>Prevnar 20</t>
        </is>
      </c>
      <c r="H2941" t="inlineStr">
        <is>
          <t>Hospital</t>
        </is>
      </c>
      <c r="I2941" t="inlineStr">
        <is>
          <t>Private insurer</t>
        </is>
      </c>
      <c r="J2941" t="inlineStr">
        <is>
          <t>Yuki Sato</t>
        </is>
      </c>
      <c r="K2941" s="70" t="n">
        <v>2242</v>
      </c>
      <c r="L2941" s="71" t="n">
        <v>233.43</v>
      </c>
      <c r="M2941" s="71" t="n">
        <v>523350.06</v>
      </c>
      <c r="N2941" s="71" t="n">
        <v>26167.5</v>
      </c>
      <c r="O2941" s="71" t="n">
        <v>497182.56</v>
      </c>
      <c r="P2941" s="71" t="n">
        <v>152357.43</v>
      </c>
      <c r="Q2941" s="71" t="n">
        <v>344825.13</v>
      </c>
      <c r="R2941" t="inlineStr">
        <is>
          <t>Vaccines</t>
        </is>
      </c>
      <c r="S2941" s="70" t="n">
        <v>2002</v>
      </c>
      <c r="T2941" s="71" t="n">
        <v>71716.98</v>
      </c>
      <c r="U2941" t="inlineStr">
        <is>
          <t>Low</t>
        </is>
      </c>
      <c r="V2941">
        <f>IF(AND(OR(Dashboard!$C$6="All",E2941=Dashboard!$C$6),OR(Dashboard!$F$6="All",G2941=Dashboard!$F$6),OR(Dashboard!$I$6="All",H2941=Dashboard!$I$6)),1,0)</f>
        <v/>
      </c>
    </row>
    <row r="2942">
      <c r="A2942" t="inlineStr">
        <is>
          <t>PF102933</t>
        </is>
      </c>
      <c r="B2942" s="68" t="n">
        <v>46011</v>
      </c>
      <c r="C2942" s="69" t="n">
        <v>2025</v>
      </c>
      <c r="D2942" t="inlineStr">
        <is>
          <t>Dec</t>
        </is>
      </c>
      <c r="E2942" t="inlineStr">
        <is>
          <t>United States</t>
        </is>
      </c>
      <c r="F2942" t="inlineStr">
        <is>
          <t>USA</t>
        </is>
      </c>
      <c r="G2942" t="inlineStr">
        <is>
          <t>Paxlovid</t>
        </is>
      </c>
      <c r="H2942" t="inlineStr">
        <is>
          <t>Government / tender</t>
        </is>
      </c>
      <c r="I2942" t="inlineStr">
        <is>
          <t>Self-pay</t>
        </is>
      </c>
      <c r="J2942" t="inlineStr">
        <is>
          <t>Olivia Brown</t>
        </is>
      </c>
      <c r="K2942" s="70" t="n">
        <v>3024</v>
      </c>
      <c r="L2942" s="71" t="n">
        <v>1678.67</v>
      </c>
      <c r="M2942" s="71" t="n">
        <v>5076298.08</v>
      </c>
      <c r="N2942" s="71" t="n">
        <v>761444.71</v>
      </c>
      <c r="O2942" s="71" t="n">
        <v>4314853.37</v>
      </c>
      <c r="P2942" s="71" t="n">
        <v>817320.25</v>
      </c>
      <c r="Q2942" s="71" t="n">
        <v>3497533.12</v>
      </c>
      <c r="R2942" t="inlineStr">
        <is>
          <t>Antiviral</t>
        </is>
      </c>
      <c r="S2942" s="70" t="n">
        <v>2648</v>
      </c>
      <c r="T2942" s="71" t="n">
        <v>707370.73</v>
      </c>
      <c r="U2942" t="inlineStr">
        <is>
          <t>Low</t>
        </is>
      </c>
      <c r="V2942">
        <f>IF(AND(OR(Dashboard!$C$6="All",E2942=Dashboard!$C$6),OR(Dashboard!$F$6="All",G2942=Dashboard!$F$6),OR(Dashboard!$I$6="All",H2942=Dashboard!$I$6)),1,0)</f>
        <v/>
      </c>
    </row>
    <row r="2943">
      <c r="A2943" t="inlineStr">
        <is>
          <t>PF102934</t>
        </is>
      </c>
      <c r="B2943" s="68" t="n">
        <v>46011</v>
      </c>
      <c r="C2943" s="69" t="n">
        <v>2025</v>
      </c>
      <c r="D2943" t="inlineStr">
        <is>
          <t>Dec</t>
        </is>
      </c>
      <c r="E2943" t="inlineStr">
        <is>
          <t>Europe</t>
        </is>
      </c>
      <c r="F2943" t="inlineStr">
        <is>
          <t>Germany</t>
        </is>
      </c>
      <c r="G2943" t="inlineStr">
        <is>
          <t>Xeljanz</t>
        </is>
      </c>
      <c r="H2943" t="inlineStr">
        <is>
          <t>Hospital</t>
        </is>
      </c>
      <c r="I2943" t="inlineStr">
        <is>
          <t>Public payer</t>
        </is>
      </c>
      <c r="J2943" t="inlineStr">
        <is>
          <t>Liam O'Brien</t>
        </is>
      </c>
      <c r="K2943" s="70" t="n">
        <v>477</v>
      </c>
      <c r="L2943" s="71" t="n">
        <v>1402.75</v>
      </c>
      <c r="M2943" s="71" t="n">
        <v>669111.75</v>
      </c>
      <c r="N2943" s="71" t="n">
        <v>167277.94</v>
      </c>
      <c r="O2943" s="71" t="n">
        <v>501833.81</v>
      </c>
      <c r="P2943" s="71" t="n">
        <v>121442.27</v>
      </c>
      <c r="Q2943" s="71" t="n">
        <v>380391.54</v>
      </c>
      <c r="R2943" t="inlineStr">
        <is>
          <t>Inflammation</t>
        </is>
      </c>
      <c r="S2943" s="70" t="n">
        <v>383</v>
      </c>
      <c r="T2943" s="71" t="n">
        <v>145505.34</v>
      </c>
      <c r="U2943" t="inlineStr">
        <is>
          <t>High</t>
        </is>
      </c>
      <c r="V2943">
        <f>IF(AND(OR(Dashboard!$C$6="All",E2943=Dashboard!$C$6),OR(Dashboard!$F$6="All",G2943=Dashboard!$F$6),OR(Dashboard!$I$6="All",H2943=Dashboard!$I$6)),1,0)</f>
        <v/>
      </c>
    </row>
    <row r="2944">
      <c r="A2944" t="inlineStr">
        <is>
          <t>PF102935</t>
        </is>
      </c>
      <c r="B2944" s="68" t="n">
        <v>46011</v>
      </c>
      <c r="C2944" s="69" t="n">
        <v>2025</v>
      </c>
      <c r="D2944" t="inlineStr">
        <is>
          <t>Dec</t>
        </is>
      </c>
      <c r="E2944" t="inlineStr">
        <is>
          <t>United States</t>
        </is>
      </c>
      <c r="F2944" t="inlineStr">
        <is>
          <t>USA</t>
        </is>
      </c>
      <c r="G2944" t="inlineStr">
        <is>
          <t>Xeljanz</t>
        </is>
      </c>
      <c r="H2944" t="inlineStr">
        <is>
          <t>Retail pharmacy</t>
        </is>
      </c>
      <c r="I2944" t="inlineStr">
        <is>
          <t>Public payer</t>
        </is>
      </c>
      <c r="J2944" t="inlineStr">
        <is>
          <t>Amir Khan</t>
        </is>
      </c>
      <c r="K2944" s="70" t="n">
        <v>3139</v>
      </c>
      <c r="L2944" s="71" t="n">
        <v>2160.82</v>
      </c>
      <c r="M2944" s="71" t="n">
        <v>6782813.98</v>
      </c>
      <c r="N2944" s="71" t="n">
        <v>2373984.89</v>
      </c>
      <c r="O2944" s="71" t="n">
        <v>4408829.09</v>
      </c>
      <c r="P2944" s="71" t="n">
        <v>781033.67</v>
      </c>
      <c r="Q2944" s="71" t="n">
        <v>3627795.42</v>
      </c>
      <c r="R2944" t="inlineStr">
        <is>
          <t>Inflammation</t>
        </is>
      </c>
      <c r="S2944" s="70" t="n">
        <v>2253</v>
      </c>
      <c r="T2944" s="71" t="n">
        <v>1081711.4</v>
      </c>
      <c r="U2944" t="inlineStr">
        <is>
          <t>High</t>
        </is>
      </c>
      <c r="V2944">
        <f>IF(AND(OR(Dashboard!$C$6="All",E2944=Dashboard!$C$6),OR(Dashboard!$F$6="All",G2944=Dashboard!$F$6),OR(Dashboard!$I$6="All",H2944=Dashboard!$I$6)),1,0)</f>
        <v/>
      </c>
    </row>
    <row r="2945">
      <c r="A2945" t="inlineStr">
        <is>
          <t>PF102936</t>
        </is>
      </c>
      <c r="B2945" s="68" t="n">
        <v>46011</v>
      </c>
      <c r="C2945" s="69" t="n">
        <v>2025</v>
      </c>
      <c r="D2945" t="inlineStr">
        <is>
          <t>Dec</t>
        </is>
      </c>
      <c r="E2945" t="inlineStr">
        <is>
          <t>United States</t>
        </is>
      </c>
      <c r="F2945" t="inlineStr">
        <is>
          <t>USA</t>
        </is>
      </c>
      <c r="G2945" t="inlineStr">
        <is>
          <t>Prevnar 20</t>
        </is>
      </c>
      <c r="H2945" t="inlineStr">
        <is>
          <t>Retail pharmacy</t>
        </is>
      </c>
      <c r="I2945" t="inlineStr">
        <is>
          <t>Self-pay</t>
        </is>
      </c>
      <c r="J2945" t="inlineStr">
        <is>
          <t>Emma Clarke</t>
        </is>
      </c>
      <c r="K2945" s="70" t="n">
        <v>3518</v>
      </c>
      <c r="L2945" s="71" t="n">
        <v>396.16</v>
      </c>
      <c r="M2945" s="71" t="n">
        <v>1393690.88</v>
      </c>
      <c r="N2945" s="71" t="n">
        <v>487791.81</v>
      </c>
      <c r="O2945" s="71" t="n">
        <v>905899.0699999999</v>
      </c>
      <c r="P2945" s="71" t="n">
        <v>238457.08</v>
      </c>
      <c r="Q2945" s="71" t="n">
        <v>667441.99</v>
      </c>
      <c r="R2945" t="inlineStr">
        <is>
          <t>Vaccines</t>
        </is>
      </c>
      <c r="S2945" s="70" t="n">
        <v>2707</v>
      </c>
      <c r="T2945" s="71" t="n">
        <v>305142.48</v>
      </c>
      <c r="U2945" t="inlineStr">
        <is>
          <t>Low</t>
        </is>
      </c>
      <c r="V2945">
        <f>IF(AND(OR(Dashboard!$C$6="All",E2945=Dashboard!$C$6),OR(Dashboard!$F$6="All",G2945=Dashboard!$F$6),OR(Dashboard!$I$6="All",H2945=Dashboard!$I$6)),1,0)</f>
        <v/>
      </c>
    </row>
    <row r="2946">
      <c r="A2946" t="inlineStr">
        <is>
          <t>PF102937</t>
        </is>
      </c>
      <c r="B2946" s="68" t="n">
        <v>46011</v>
      </c>
      <c r="C2946" s="69" t="n">
        <v>2025</v>
      </c>
      <c r="D2946" t="inlineStr">
        <is>
          <t>Dec</t>
        </is>
      </c>
      <c r="E2946" t="inlineStr">
        <is>
          <t>Europe</t>
        </is>
      </c>
      <c r="F2946" t="inlineStr">
        <is>
          <t>Germany</t>
        </is>
      </c>
      <c r="G2946" t="inlineStr">
        <is>
          <t>Paxlovid</t>
        </is>
      </c>
      <c r="H2946" t="inlineStr">
        <is>
          <t>Retail pharmacy</t>
        </is>
      </c>
      <c r="I2946" t="inlineStr">
        <is>
          <t>Private insurer</t>
        </is>
      </c>
      <c r="J2946" t="inlineStr">
        <is>
          <t>Omar Haddad</t>
        </is>
      </c>
      <c r="K2946" s="70" t="n">
        <v>1310</v>
      </c>
      <c r="L2946" s="71" t="n">
        <v>1171.43</v>
      </c>
      <c r="M2946" s="71" t="n">
        <v>1534573.3</v>
      </c>
      <c r="N2946" s="71" t="n">
        <v>383643.33</v>
      </c>
      <c r="O2946" s="71" t="n">
        <v>1150929.97</v>
      </c>
      <c r="P2946" s="71" t="n">
        <v>358409.5</v>
      </c>
      <c r="Q2946" s="71" t="n">
        <v>792520.47</v>
      </c>
      <c r="R2946" t="inlineStr">
        <is>
          <t>Antiviral</t>
        </is>
      </c>
      <c r="S2946" s="70" t="n">
        <v>1078</v>
      </c>
      <c r="T2946" s="71" t="n">
        <v>320693.54</v>
      </c>
      <c r="U2946" t="inlineStr">
        <is>
          <t>Low</t>
        </is>
      </c>
      <c r="V2946">
        <f>IF(AND(OR(Dashboard!$C$6="All",E2946=Dashboard!$C$6),OR(Dashboard!$F$6="All",G2946=Dashboard!$F$6),OR(Dashboard!$I$6="All",H2946=Dashboard!$I$6)),1,0)</f>
        <v/>
      </c>
    </row>
    <row r="2947">
      <c r="A2947" t="inlineStr">
        <is>
          <t>PF102938</t>
        </is>
      </c>
      <c r="B2947" s="68" t="n">
        <v>46011</v>
      </c>
      <c r="C2947" s="69" t="n">
        <v>2025</v>
      </c>
      <c r="D2947" t="inlineStr">
        <is>
          <t>Dec</t>
        </is>
      </c>
      <c r="E2947" t="inlineStr">
        <is>
          <t>United States</t>
        </is>
      </c>
      <c r="F2947" t="inlineStr">
        <is>
          <t>USA</t>
        </is>
      </c>
      <c r="G2947" t="inlineStr">
        <is>
          <t>Comirnaty</t>
        </is>
      </c>
      <c r="H2947" t="inlineStr">
        <is>
          <t>Hospital</t>
        </is>
      </c>
      <c r="I2947" t="inlineStr">
        <is>
          <t>Self-pay</t>
        </is>
      </c>
      <c r="J2947" t="inlineStr">
        <is>
          <t>Ruhi Shaikh</t>
        </is>
      </c>
      <c r="K2947" s="70" t="n">
        <v>2731</v>
      </c>
      <c r="L2947" s="71" t="n">
        <v>168.69</v>
      </c>
      <c r="M2947" s="71" t="n">
        <v>460692.39</v>
      </c>
      <c r="N2947" s="71" t="n">
        <v>138207.72</v>
      </c>
      <c r="O2947" s="71" t="n">
        <v>322484.67</v>
      </c>
      <c r="P2947" s="71" t="n">
        <v>102389.36</v>
      </c>
      <c r="Q2947" s="71" t="n">
        <v>220095.31</v>
      </c>
      <c r="R2947" t="inlineStr">
        <is>
          <t>Vaccines</t>
        </is>
      </c>
      <c r="S2947" s="70" t="n">
        <v>1757</v>
      </c>
      <c r="T2947" s="71" t="n">
        <v>80505.58</v>
      </c>
      <c r="U2947" t="inlineStr">
        <is>
          <t>Low</t>
        </is>
      </c>
      <c r="V2947">
        <f>IF(AND(OR(Dashboard!$C$6="All",E2947=Dashboard!$C$6),OR(Dashboard!$F$6="All",G2947=Dashboard!$F$6),OR(Dashboard!$I$6="All",H2947=Dashboard!$I$6)),1,0)</f>
        <v/>
      </c>
    </row>
    <row r="2948">
      <c r="A2948" t="inlineStr">
        <is>
          <t>PF102939</t>
        </is>
      </c>
      <c r="B2948" s="68" t="n">
        <v>46012</v>
      </c>
      <c r="C2948" s="69" t="n">
        <v>2025</v>
      </c>
      <c r="D2948" t="inlineStr">
        <is>
          <t>Dec</t>
        </is>
      </c>
      <c r="E2948" t="inlineStr">
        <is>
          <t>United States</t>
        </is>
      </c>
      <c r="F2948" t="inlineStr">
        <is>
          <t>USA</t>
        </is>
      </c>
      <c r="G2948" t="inlineStr">
        <is>
          <t>Prevnar 20</t>
        </is>
      </c>
      <c r="H2948" t="inlineStr">
        <is>
          <t>Retail pharmacy</t>
        </is>
      </c>
      <c r="I2948" t="inlineStr">
        <is>
          <t>Public payer</t>
        </is>
      </c>
      <c r="J2948" t="inlineStr">
        <is>
          <t>Zoya Ahmed</t>
        </is>
      </c>
      <c r="K2948" s="70" t="n">
        <v>3090</v>
      </c>
      <c r="L2948" s="71" t="n">
        <v>341.5</v>
      </c>
      <c r="M2948" s="71" t="n">
        <v>1055235</v>
      </c>
      <c r="N2948" s="71" t="n">
        <v>211047</v>
      </c>
      <c r="O2948" s="71" t="n">
        <v>844188</v>
      </c>
      <c r="P2948" s="71" t="n">
        <v>217477.61</v>
      </c>
      <c r="Q2948" s="71" t="n">
        <v>626710.39</v>
      </c>
      <c r="R2948" t="inlineStr">
        <is>
          <t>Vaccines</t>
        </is>
      </c>
      <c r="S2948" s="70" t="n">
        <v>2754</v>
      </c>
      <c r="T2948" s="71" t="n">
        <v>194695.97</v>
      </c>
      <c r="U2948" t="inlineStr">
        <is>
          <t>Low</t>
        </is>
      </c>
      <c r="V2948">
        <f>IF(AND(OR(Dashboard!$C$6="All",E2948=Dashboard!$C$6),OR(Dashboard!$F$6="All",G2948=Dashboard!$F$6),OR(Dashboard!$I$6="All",H2948=Dashboard!$I$6)),1,0)</f>
        <v/>
      </c>
    </row>
    <row r="2949">
      <c r="A2949" t="inlineStr">
        <is>
          <t>PF102940</t>
        </is>
      </c>
      <c r="B2949" s="68" t="n">
        <v>46012</v>
      </c>
      <c r="C2949" s="69" t="n">
        <v>2025</v>
      </c>
      <c r="D2949" t="inlineStr">
        <is>
          <t>Dec</t>
        </is>
      </c>
      <c r="E2949" t="inlineStr">
        <is>
          <t>Emerging markets</t>
        </is>
      </c>
      <c r="F2949" t="inlineStr">
        <is>
          <t>Brazil</t>
        </is>
      </c>
      <c r="G2949" t="inlineStr">
        <is>
          <t>Eliquis</t>
        </is>
      </c>
      <c r="H2949" t="inlineStr">
        <is>
          <t>Hospital</t>
        </is>
      </c>
      <c r="I2949" t="inlineStr">
        <is>
          <t>Public payer</t>
        </is>
      </c>
      <c r="J2949" t="inlineStr">
        <is>
          <t>Shraddha Kulkarni</t>
        </is>
      </c>
      <c r="K2949" s="70" t="n">
        <v>3079</v>
      </c>
      <c r="L2949" s="71" t="n">
        <v>420</v>
      </c>
      <c r="M2949" s="71" t="n">
        <v>1293180</v>
      </c>
      <c r="N2949" s="71" t="n">
        <v>258636</v>
      </c>
      <c r="O2949" s="71" t="n">
        <v>1034544</v>
      </c>
      <c r="P2949" s="71" t="n">
        <v>226702.12</v>
      </c>
      <c r="Q2949" s="71" t="n">
        <v>807841.88</v>
      </c>
      <c r="R2949" t="inlineStr">
        <is>
          <t>Cardiology</t>
        </is>
      </c>
      <c r="S2949" s="70" t="n">
        <v>2660</v>
      </c>
      <c r="T2949" s="71" t="n">
        <v>201676.7</v>
      </c>
      <c r="U2949" t="inlineStr">
        <is>
          <t>High</t>
        </is>
      </c>
      <c r="V2949">
        <f>IF(AND(OR(Dashboard!$C$6="All",E2949=Dashboard!$C$6),OR(Dashboard!$F$6="All",G2949=Dashboard!$F$6),OR(Dashboard!$I$6="All",H2949=Dashboard!$I$6)),1,0)</f>
        <v/>
      </c>
    </row>
    <row r="2950">
      <c r="A2950" t="inlineStr">
        <is>
          <t>PF102941</t>
        </is>
      </c>
      <c r="B2950" s="68" t="n">
        <v>46012</v>
      </c>
      <c r="C2950" s="69" t="n">
        <v>2025</v>
      </c>
      <c r="D2950" t="inlineStr">
        <is>
          <t>Dec</t>
        </is>
      </c>
      <c r="E2950" t="inlineStr">
        <is>
          <t>Emerging markets</t>
        </is>
      </c>
      <c r="F2950" t="inlineStr">
        <is>
          <t>India</t>
        </is>
      </c>
      <c r="G2950" t="inlineStr">
        <is>
          <t>Eliquis</t>
        </is>
      </c>
      <c r="H2950" t="inlineStr">
        <is>
          <t>Hospital</t>
        </is>
      </c>
      <c r="I2950" t="inlineStr">
        <is>
          <t>Private insurer</t>
        </is>
      </c>
      <c r="J2950" t="inlineStr">
        <is>
          <t>Mei Lin</t>
        </is>
      </c>
      <c r="K2950" s="70" t="n">
        <v>80</v>
      </c>
      <c r="L2950" s="71" t="n">
        <v>445.76</v>
      </c>
      <c r="M2950" s="71" t="n">
        <v>35660.8</v>
      </c>
      <c r="N2950" s="71" t="n">
        <v>1783.04</v>
      </c>
      <c r="O2950" s="71" t="n">
        <v>33877.76</v>
      </c>
      <c r="P2950" s="71" t="n">
        <v>5884.45</v>
      </c>
      <c r="Q2950" s="71" t="n">
        <v>27993.31</v>
      </c>
      <c r="R2950" t="inlineStr">
        <is>
          <t>Cardiology</t>
        </is>
      </c>
      <c r="S2950" s="70" t="n">
        <v>76</v>
      </c>
      <c r="T2950" s="71" t="n">
        <v>7499.31</v>
      </c>
      <c r="U2950" t="inlineStr">
        <is>
          <t>High</t>
        </is>
      </c>
      <c r="V2950">
        <f>IF(AND(OR(Dashboard!$C$6="All",E2950=Dashboard!$C$6),OR(Dashboard!$F$6="All",G2950=Dashboard!$F$6),OR(Dashboard!$I$6="All",H2950=Dashboard!$I$6)),1,0)</f>
        <v/>
      </c>
    </row>
    <row r="2951">
      <c r="A2951" t="inlineStr">
        <is>
          <t>PF102942</t>
        </is>
      </c>
      <c r="B2951" s="68" t="n">
        <v>46012</v>
      </c>
      <c r="C2951" s="69" t="n">
        <v>2025</v>
      </c>
      <c r="D2951" t="inlineStr">
        <is>
          <t>Dec</t>
        </is>
      </c>
      <c r="E2951" t="inlineStr">
        <is>
          <t>United States</t>
        </is>
      </c>
      <c r="F2951" t="inlineStr">
        <is>
          <t>USA</t>
        </is>
      </c>
      <c r="G2951" t="inlineStr">
        <is>
          <t>Ibrance</t>
        </is>
      </c>
      <c r="H2951" t="inlineStr">
        <is>
          <t>Hospital</t>
        </is>
      </c>
      <c r="I2951" t="inlineStr">
        <is>
          <t>Public payer</t>
        </is>
      </c>
      <c r="J2951" t="inlineStr">
        <is>
          <t>Emma Clarke</t>
        </is>
      </c>
      <c r="K2951" s="70" t="n">
        <v>1611</v>
      </c>
      <c r="L2951" s="71" t="n">
        <v>5092.43</v>
      </c>
      <c r="M2951" s="71" t="n">
        <v>8203904.73</v>
      </c>
      <c r="N2951" s="71" t="n">
        <v>2871366.66</v>
      </c>
      <c r="O2951" s="71" t="n">
        <v>5332538.07</v>
      </c>
      <c r="P2951" s="71" t="n">
        <v>686050.77</v>
      </c>
      <c r="Q2951" s="71" t="n">
        <v>4646487.3</v>
      </c>
      <c r="R2951" t="inlineStr">
        <is>
          <t>Oncology</t>
        </is>
      </c>
      <c r="S2951" s="70" t="n">
        <v>1422</v>
      </c>
      <c r="T2951" s="71" t="n">
        <v>1596070.99</v>
      </c>
      <c r="U2951" t="inlineStr">
        <is>
          <t>High</t>
        </is>
      </c>
      <c r="V2951">
        <f>IF(AND(OR(Dashboard!$C$6="All",E2951=Dashboard!$C$6),OR(Dashboard!$F$6="All",G2951=Dashboard!$F$6),OR(Dashboard!$I$6="All",H2951=Dashboard!$I$6)),1,0)</f>
        <v/>
      </c>
    </row>
    <row r="2952">
      <c r="A2952" t="inlineStr">
        <is>
          <t>PF102943</t>
        </is>
      </c>
      <c r="B2952" s="68" t="n">
        <v>46012</v>
      </c>
      <c r="C2952" s="69" t="n">
        <v>2025</v>
      </c>
      <c r="D2952" t="inlineStr">
        <is>
          <t>Dec</t>
        </is>
      </c>
      <c r="E2952" t="inlineStr">
        <is>
          <t>United States</t>
        </is>
      </c>
      <c r="F2952" t="inlineStr">
        <is>
          <t>USA</t>
        </is>
      </c>
      <c r="G2952" t="inlineStr">
        <is>
          <t>Vyndaqel</t>
        </is>
      </c>
      <c r="H2952" t="inlineStr">
        <is>
          <t>Government / tender</t>
        </is>
      </c>
      <c r="I2952" t="inlineStr">
        <is>
          <t>Private insurer</t>
        </is>
      </c>
      <c r="J2952" t="inlineStr">
        <is>
          <t>Kofi Mensah</t>
        </is>
      </c>
      <c r="K2952" s="70" t="n">
        <v>768</v>
      </c>
      <c r="L2952" s="71" t="n">
        <v>8420</v>
      </c>
      <c r="M2952" s="71" t="n">
        <v>6466560</v>
      </c>
      <c r="N2952" s="71" t="n">
        <v>969984</v>
      </c>
      <c r="O2952" s="71" t="n">
        <v>5496576</v>
      </c>
      <c r="P2952" s="71" t="n">
        <v>486444.35</v>
      </c>
      <c r="Q2952" s="71" t="n">
        <v>5010131.65</v>
      </c>
      <c r="R2952" t="inlineStr">
        <is>
          <t>Rare disease</t>
        </is>
      </c>
      <c r="S2952" s="70" t="n">
        <v>671</v>
      </c>
      <c r="T2952" s="71" t="n">
        <v>911664.64</v>
      </c>
      <c r="U2952" t="inlineStr">
        <is>
          <t>Medium</t>
        </is>
      </c>
      <c r="V2952">
        <f>IF(AND(OR(Dashboard!$C$6="All",E2952=Dashboard!$C$6),OR(Dashboard!$F$6="All",G2952=Dashboard!$F$6),OR(Dashboard!$I$6="All",H2952=Dashboard!$I$6)),1,0)</f>
        <v/>
      </c>
    </row>
    <row r="2953">
      <c r="A2953" t="inlineStr">
        <is>
          <t>PF102944</t>
        </is>
      </c>
      <c r="B2953" s="68" t="n">
        <v>46012</v>
      </c>
      <c r="C2953" s="69" t="n">
        <v>2025</v>
      </c>
      <c r="D2953" t="inlineStr">
        <is>
          <t>Dec</t>
        </is>
      </c>
      <c r="E2953" t="inlineStr">
        <is>
          <t>Emerging markets</t>
        </is>
      </c>
      <c r="F2953" t="inlineStr">
        <is>
          <t>India</t>
        </is>
      </c>
      <c r="G2953" t="inlineStr">
        <is>
          <t>Prevnar 20</t>
        </is>
      </c>
      <c r="H2953" t="inlineStr">
        <is>
          <t>Hospital</t>
        </is>
      </c>
      <c r="I2953" t="inlineStr">
        <is>
          <t>Public payer</t>
        </is>
      </c>
      <c r="J2953" t="inlineStr">
        <is>
          <t>Kofi Mensah</t>
        </is>
      </c>
      <c r="K2953" s="70" t="n">
        <v>304</v>
      </c>
      <c r="L2953" s="71" t="n">
        <v>235.85</v>
      </c>
      <c r="M2953" s="71" t="n">
        <v>71698.39999999999</v>
      </c>
      <c r="N2953" s="71" t="n">
        <v>10754.76</v>
      </c>
      <c r="O2953" s="71" t="n">
        <v>60943.64</v>
      </c>
      <c r="P2953" s="71" t="n">
        <v>21066.28</v>
      </c>
      <c r="Q2953" s="71" t="n">
        <v>39877.36</v>
      </c>
      <c r="R2953" t="inlineStr">
        <is>
          <t>Vaccines</t>
        </is>
      </c>
      <c r="S2953" s="70" t="n">
        <v>244</v>
      </c>
      <c r="T2953" s="71" t="n">
        <v>10107.85</v>
      </c>
      <c r="U2953" t="inlineStr">
        <is>
          <t>Low</t>
        </is>
      </c>
      <c r="V2953">
        <f>IF(AND(OR(Dashboard!$C$6="All",E2953=Dashboard!$C$6),OR(Dashboard!$F$6="All",G2953=Dashboard!$F$6),OR(Dashboard!$I$6="All",H2953=Dashboard!$I$6)),1,0)</f>
        <v/>
      </c>
    </row>
    <row r="2954">
      <c r="A2954" t="inlineStr">
        <is>
          <t>PF102945</t>
        </is>
      </c>
      <c r="B2954" s="68" t="n">
        <v>46012</v>
      </c>
      <c r="C2954" s="69" t="n">
        <v>2025</v>
      </c>
      <c r="D2954" t="inlineStr">
        <is>
          <t>Dec</t>
        </is>
      </c>
      <c r="E2954" t="inlineStr">
        <is>
          <t>Emerging markets</t>
        </is>
      </c>
      <c r="F2954" t="inlineStr">
        <is>
          <t>China</t>
        </is>
      </c>
      <c r="G2954" t="inlineStr">
        <is>
          <t>Abrysvo</t>
        </is>
      </c>
      <c r="H2954" t="inlineStr">
        <is>
          <t>Retail pharmacy</t>
        </is>
      </c>
      <c r="I2954" t="inlineStr">
        <is>
          <t>Private insurer</t>
        </is>
      </c>
      <c r="J2954" t="inlineStr">
        <is>
          <t>Mei Lin</t>
        </is>
      </c>
      <c r="K2954" s="70" t="n">
        <v>384</v>
      </c>
      <c r="L2954" s="71" t="n">
        <v>280.84</v>
      </c>
      <c r="M2954" s="71" t="n">
        <v>107842.56</v>
      </c>
      <c r="N2954" s="71" t="n">
        <v>26960.64</v>
      </c>
      <c r="O2954" s="71" t="n">
        <v>80881.92</v>
      </c>
      <c r="P2954" s="71" t="n">
        <v>32282.52</v>
      </c>
      <c r="Q2954" s="71" t="n">
        <v>48599.4</v>
      </c>
      <c r="R2954" t="inlineStr">
        <is>
          <t>Vaccines</t>
        </is>
      </c>
      <c r="S2954" s="70" t="n">
        <v>262</v>
      </c>
      <c r="T2954" s="71" t="n">
        <v>18872.28</v>
      </c>
      <c r="U2954" t="inlineStr">
        <is>
          <t>Low</t>
        </is>
      </c>
      <c r="V2954">
        <f>IF(AND(OR(Dashboard!$C$6="All",E2954=Dashboard!$C$6),OR(Dashboard!$F$6="All",G2954=Dashboard!$F$6),OR(Dashboard!$I$6="All",H2954=Dashboard!$I$6)),1,0)</f>
        <v/>
      </c>
    </row>
    <row r="2955">
      <c r="A2955" t="inlineStr">
        <is>
          <t>PF102946</t>
        </is>
      </c>
      <c r="B2955" s="68" t="n">
        <v>46012</v>
      </c>
      <c r="C2955" s="69" t="n">
        <v>2025</v>
      </c>
      <c r="D2955" t="inlineStr">
        <is>
          <t>Dec</t>
        </is>
      </c>
      <c r="E2955" t="inlineStr">
        <is>
          <t>Europe</t>
        </is>
      </c>
      <c r="F2955" t="inlineStr">
        <is>
          <t>Germany</t>
        </is>
      </c>
      <c r="G2955" t="inlineStr">
        <is>
          <t>Vyndaqel</t>
        </is>
      </c>
      <c r="H2955" t="inlineStr">
        <is>
          <t>Hospital</t>
        </is>
      </c>
      <c r="I2955" t="inlineStr">
        <is>
          <t>Public payer</t>
        </is>
      </c>
      <c r="J2955" t="inlineStr">
        <is>
          <t>Hiroshi Tanaka</t>
        </is>
      </c>
      <c r="K2955" s="70" t="n">
        <v>471</v>
      </c>
      <c r="L2955" s="71" t="n">
        <v>5365.39</v>
      </c>
      <c r="M2955" s="71" t="n">
        <v>2527098.69</v>
      </c>
      <c r="N2955" s="71" t="n">
        <v>126354.93</v>
      </c>
      <c r="O2955" s="71" t="n">
        <v>2400743.76</v>
      </c>
      <c r="P2955" s="71" t="n">
        <v>294633.49</v>
      </c>
      <c r="Q2955" s="71" t="n">
        <v>2106110.27</v>
      </c>
      <c r="R2955" t="inlineStr">
        <is>
          <t>Rare disease</t>
        </is>
      </c>
      <c r="S2955" s="70" t="n">
        <v>416</v>
      </c>
      <c r="T2955" s="71" t="n">
        <v>384236.88</v>
      </c>
      <c r="U2955" t="inlineStr">
        <is>
          <t>Medium</t>
        </is>
      </c>
      <c r="V2955">
        <f>IF(AND(OR(Dashboard!$C$6="All",E2955=Dashboard!$C$6),OR(Dashboard!$F$6="All",G2955=Dashboard!$F$6),OR(Dashboard!$I$6="All",H2955=Dashboard!$I$6)),1,0)</f>
        <v/>
      </c>
    </row>
    <row r="2956">
      <c r="A2956" t="inlineStr">
        <is>
          <t>PF102947</t>
        </is>
      </c>
      <c r="B2956" s="68" t="n">
        <v>46013</v>
      </c>
      <c r="C2956" s="69" t="n">
        <v>2025</v>
      </c>
      <c r="D2956" t="inlineStr">
        <is>
          <t>Dec</t>
        </is>
      </c>
      <c r="E2956" t="inlineStr">
        <is>
          <t>Europe</t>
        </is>
      </c>
      <c r="F2956" t="inlineStr">
        <is>
          <t>Germany</t>
        </is>
      </c>
      <c r="G2956" t="inlineStr">
        <is>
          <t>Comirnaty</t>
        </is>
      </c>
      <c r="H2956" t="inlineStr">
        <is>
          <t>Retail pharmacy</t>
        </is>
      </c>
      <c r="I2956" t="inlineStr">
        <is>
          <t>Private insurer</t>
        </is>
      </c>
      <c r="J2956" t="inlineStr">
        <is>
          <t>Priya Nair</t>
        </is>
      </c>
      <c r="K2956" s="70" t="n">
        <v>3160</v>
      </c>
      <c r="L2956" s="71" t="n">
        <v>109.99</v>
      </c>
      <c r="M2956" s="71" t="n">
        <v>347568.4</v>
      </c>
      <c r="N2956" s="71" t="n">
        <v>86892.10000000001</v>
      </c>
      <c r="O2956" s="71" t="n">
        <v>260676.3</v>
      </c>
      <c r="P2956" s="71" t="n">
        <v>124603.27</v>
      </c>
      <c r="Q2956" s="71" t="n">
        <v>136073.03</v>
      </c>
      <c r="R2956" t="inlineStr">
        <is>
          <t>Vaccines</t>
        </is>
      </c>
      <c r="S2956" s="70" t="n">
        <v>2109</v>
      </c>
      <c r="T2956" s="71" t="n">
        <v>62086.48</v>
      </c>
      <c r="U2956" t="inlineStr">
        <is>
          <t>Low</t>
        </is>
      </c>
      <c r="V2956">
        <f>IF(AND(OR(Dashboard!$C$6="All",E2956=Dashboard!$C$6),OR(Dashboard!$F$6="All",G2956=Dashboard!$F$6),OR(Dashboard!$I$6="All",H2956=Dashboard!$I$6)),1,0)</f>
        <v/>
      </c>
    </row>
    <row r="2957">
      <c r="A2957" t="inlineStr">
        <is>
          <t>PF102948</t>
        </is>
      </c>
      <c r="B2957" s="68" t="n">
        <v>46013</v>
      </c>
      <c r="C2957" s="69" t="n">
        <v>2025</v>
      </c>
      <c r="D2957" t="inlineStr">
        <is>
          <t>Dec</t>
        </is>
      </c>
      <c r="E2957" t="inlineStr">
        <is>
          <t>United States</t>
        </is>
      </c>
      <c r="F2957" t="inlineStr">
        <is>
          <t>USA</t>
        </is>
      </c>
      <c r="G2957" t="inlineStr">
        <is>
          <t>Eliquis</t>
        </is>
      </c>
      <c r="H2957" t="inlineStr">
        <is>
          <t>Government / tender</t>
        </is>
      </c>
      <c r="I2957" t="inlineStr">
        <is>
          <t>Public payer</t>
        </is>
      </c>
      <c r="J2957" t="inlineStr">
        <is>
          <t>Lucas Martin</t>
        </is>
      </c>
      <c r="K2957" s="70" t="n">
        <v>503</v>
      </c>
      <c r="L2957" s="71" t="n">
        <v>690.37</v>
      </c>
      <c r="M2957" s="71" t="n">
        <v>347256.11</v>
      </c>
      <c r="N2957" s="71" t="n">
        <v>121539.64</v>
      </c>
      <c r="O2957" s="71" t="n">
        <v>225716.47</v>
      </c>
      <c r="P2957" s="71" t="n">
        <v>37339.74</v>
      </c>
      <c r="Q2957" s="71" t="n">
        <v>188376.73</v>
      </c>
      <c r="R2957" t="inlineStr">
        <is>
          <t>Cardiology</t>
        </is>
      </c>
      <c r="S2957" s="70" t="n">
        <v>443</v>
      </c>
      <c r="T2957" s="71" t="n">
        <v>73444.17999999999</v>
      </c>
      <c r="U2957" t="inlineStr">
        <is>
          <t>High</t>
        </is>
      </c>
      <c r="V2957">
        <f>IF(AND(OR(Dashboard!$C$6="All",E2957=Dashboard!$C$6),OR(Dashboard!$F$6="All",G2957=Dashboard!$F$6),OR(Dashboard!$I$6="All",H2957=Dashboard!$I$6)),1,0)</f>
        <v/>
      </c>
    </row>
    <row r="2958">
      <c r="A2958" t="inlineStr">
        <is>
          <t>PF102949</t>
        </is>
      </c>
      <c r="B2958" s="68" t="n">
        <v>46013</v>
      </c>
      <c r="C2958" s="69" t="n">
        <v>2025</v>
      </c>
      <c r="D2958" t="inlineStr">
        <is>
          <t>Dec</t>
        </is>
      </c>
      <c r="E2958" t="inlineStr">
        <is>
          <t>Europe</t>
        </is>
      </c>
      <c r="F2958" t="inlineStr">
        <is>
          <t>UK</t>
        </is>
      </c>
      <c r="G2958" t="inlineStr">
        <is>
          <t>Paxlovid</t>
        </is>
      </c>
      <c r="H2958" t="inlineStr">
        <is>
          <t>Hospital</t>
        </is>
      </c>
      <c r="I2958" t="inlineStr">
        <is>
          <t>Public payer</t>
        </is>
      </c>
      <c r="J2958" t="inlineStr">
        <is>
          <t>Wei Chen</t>
        </is>
      </c>
      <c r="K2958" s="70" t="n">
        <v>1228</v>
      </c>
      <c r="L2958" s="71" t="n">
        <v>1060.77</v>
      </c>
      <c r="M2958" s="71" t="n">
        <v>1302625.56</v>
      </c>
      <c r="N2958" s="71" t="n">
        <v>130262.56</v>
      </c>
      <c r="O2958" s="71" t="n">
        <v>1172363</v>
      </c>
      <c r="P2958" s="71" t="n">
        <v>349753.79</v>
      </c>
      <c r="Q2958" s="71" t="n">
        <v>822609.21</v>
      </c>
      <c r="R2958" t="inlineStr">
        <is>
          <t>Antiviral</t>
        </is>
      </c>
      <c r="S2958" s="70" t="n">
        <v>980</v>
      </c>
      <c r="T2958" s="71" t="n">
        <v>194334.83</v>
      </c>
      <c r="U2958" t="inlineStr">
        <is>
          <t>Low</t>
        </is>
      </c>
      <c r="V2958">
        <f>IF(AND(OR(Dashboard!$C$6="All",E2958=Dashboard!$C$6),OR(Dashboard!$F$6="All",G2958=Dashboard!$F$6),OR(Dashboard!$I$6="All",H2958=Dashboard!$I$6)),1,0)</f>
        <v/>
      </c>
    </row>
    <row r="2959">
      <c r="A2959" t="inlineStr">
        <is>
          <t>PF102950</t>
        </is>
      </c>
      <c r="B2959" s="68" t="n">
        <v>46013</v>
      </c>
      <c r="C2959" s="69" t="n">
        <v>2025</v>
      </c>
      <c r="D2959" t="inlineStr">
        <is>
          <t>Dec</t>
        </is>
      </c>
      <c r="E2959" t="inlineStr">
        <is>
          <t>United States</t>
        </is>
      </c>
      <c r="F2959" t="inlineStr">
        <is>
          <t>USA</t>
        </is>
      </c>
      <c r="G2959" t="inlineStr">
        <is>
          <t>Ibrance</t>
        </is>
      </c>
      <c r="H2959" t="inlineStr">
        <is>
          <t>Hospital</t>
        </is>
      </c>
      <c r="I2959" t="inlineStr">
        <is>
          <t>Public payer</t>
        </is>
      </c>
      <c r="J2959" t="inlineStr">
        <is>
          <t>Fatima Al-Saud</t>
        </is>
      </c>
      <c r="K2959" s="70" t="n">
        <v>1686</v>
      </c>
      <c r="L2959" s="71" t="n">
        <v>4380.27</v>
      </c>
      <c r="M2959" s="71" t="n">
        <v>7385135.22</v>
      </c>
      <c r="N2959" s="71" t="n">
        <v>1477027.04</v>
      </c>
      <c r="O2959" s="71" t="n">
        <v>5908108.18</v>
      </c>
      <c r="P2959" s="71" t="n">
        <v>723784.12</v>
      </c>
      <c r="Q2959" s="71" t="n">
        <v>5184324.06</v>
      </c>
      <c r="R2959" t="inlineStr">
        <is>
          <t>Oncology</t>
        </is>
      </c>
      <c r="S2959" s="70" t="n">
        <v>1063</v>
      </c>
      <c r="T2959" s="71" t="n">
        <v>940118.5699999999</v>
      </c>
      <c r="U2959" t="inlineStr">
        <is>
          <t>High</t>
        </is>
      </c>
      <c r="V2959">
        <f>IF(AND(OR(Dashboard!$C$6="All",E2959=Dashboard!$C$6),OR(Dashboard!$F$6="All",G2959=Dashboard!$F$6),OR(Dashboard!$I$6="All",H2959=Dashboard!$I$6)),1,0)</f>
        <v/>
      </c>
    </row>
    <row r="2960">
      <c r="A2960" t="inlineStr">
        <is>
          <t>PF102951</t>
        </is>
      </c>
      <c r="B2960" s="68" t="n">
        <v>46013</v>
      </c>
      <c r="C2960" s="69" t="n">
        <v>2025</v>
      </c>
      <c r="D2960" t="inlineStr">
        <is>
          <t>Dec</t>
        </is>
      </c>
      <c r="E2960" t="inlineStr">
        <is>
          <t>Emerging markets</t>
        </is>
      </c>
      <c r="F2960" t="inlineStr">
        <is>
          <t>India</t>
        </is>
      </c>
      <c r="G2960" t="inlineStr">
        <is>
          <t>Xeljanz</t>
        </is>
      </c>
      <c r="H2960" t="inlineStr">
        <is>
          <t>Government / tender</t>
        </is>
      </c>
      <c r="I2960" t="inlineStr">
        <is>
          <t>Public payer</t>
        </is>
      </c>
      <c r="J2960" t="inlineStr">
        <is>
          <t>Mei Lin</t>
        </is>
      </c>
      <c r="K2960" s="70" t="n">
        <v>1541</v>
      </c>
      <c r="L2960" s="71" t="n">
        <v>1309.58</v>
      </c>
      <c r="M2960" s="71" t="n">
        <v>2018062.78</v>
      </c>
      <c r="N2960" s="71" t="n">
        <v>302709.42</v>
      </c>
      <c r="O2960" s="71" t="n">
        <v>1715353.36</v>
      </c>
      <c r="P2960" s="71" t="n">
        <v>390211.47</v>
      </c>
      <c r="Q2960" s="71" t="n">
        <v>1325141.89</v>
      </c>
      <c r="R2960" t="inlineStr">
        <is>
          <t>Inflammation</t>
        </is>
      </c>
      <c r="S2960" s="70" t="n">
        <v>1076</v>
      </c>
      <c r="T2960" s="71" t="n">
        <v>367321.52</v>
      </c>
      <c r="U2960" t="inlineStr">
        <is>
          <t>High</t>
        </is>
      </c>
      <c r="V2960">
        <f>IF(AND(OR(Dashboard!$C$6="All",E2960=Dashboard!$C$6),OR(Dashboard!$F$6="All",G2960=Dashboard!$F$6),OR(Dashboard!$I$6="All",H2960=Dashboard!$I$6)),1,0)</f>
        <v/>
      </c>
    </row>
    <row r="2961">
      <c r="A2961" t="inlineStr">
        <is>
          <t>PF102952</t>
        </is>
      </c>
      <c r="B2961" s="68" t="n">
        <v>46013</v>
      </c>
      <c r="C2961" s="69" t="n">
        <v>2025</v>
      </c>
      <c r="D2961" t="inlineStr">
        <is>
          <t>Dec</t>
        </is>
      </c>
      <c r="E2961" t="inlineStr">
        <is>
          <t>United States</t>
        </is>
      </c>
      <c r="F2961" t="inlineStr">
        <is>
          <t>USA</t>
        </is>
      </c>
      <c r="G2961" t="inlineStr">
        <is>
          <t>Comirnaty</t>
        </is>
      </c>
      <c r="H2961" t="inlineStr">
        <is>
          <t>Government / tender</t>
        </is>
      </c>
      <c r="I2961" t="inlineStr">
        <is>
          <t>Private insurer</t>
        </is>
      </c>
      <c r="J2961" t="inlineStr">
        <is>
          <t>Shraddha Kulkarni</t>
        </is>
      </c>
      <c r="K2961" s="70" t="n">
        <v>479</v>
      </c>
      <c r="L2961" s="71" t="n">
        <v>181.81</v>
      </c>
      <c r="M2961" s="71" t="n">
        <v>87086.99000000001</v>
      </c>
      <c r="N2961" s="71" t="n">
        <v>17417.4</v>
      </c>
      <c r="O2961" s="71" t="n">
        <v>69669.59</v>
      </c>
      <c r="P2961" s="71" t="n">
        <v>18210.67</v>
      </c>
      <c r="Q2961" s="71" t="n">
        <v>51458.92</v>
      </c>
      <c r="R2961" t="inlineStr">
        <is>
          <t>Vaccines</t>
        </is>
      </c>
      <c r="S2961" s="70" t="n">
        <v>450</v>
      </c>
      <c r="T2961" s="71" t="n">
        <v>17517.45</v>
      </c>
      <c r="U2961" t="inlineStr">
        <is>
          <t>Low</t>
        </is>
      </c>
      <c r="V2961">
        <f>IF(AND(OR(Dashboard!$C$6="All",E2961=Dashboard!$C$6),OR(Dashboard!$F$6="All",G2961=Dashboard!$F$6),OR(Dashboard!$I$6="All",H2961=Dashboard!$I$6)),1,0)</f>
        <v/>
      </c>
    </row>
    <row r="2962">
      <c r="A2962" t="inlineStr">
        <is>
          <t>PF102953</t>
        </is>
      </c>
      <c r="B2962" s="68" t="n">
        <v>46013</v>
      </c>
      <c r="C2962" s="69" t="n">
        <v>2025</v>
      </c>
      <c r="D2962" t="inlineStr">
        <is>
          <t>Dec</t>
        </is>
      </c>
      <c r="E2962" t="inlineStr">
        <is>
          <t>Europe</t>
        </is>
      </c>
      <c r="F2962" t="inlineStr">
        <is>
          <t>Italy</t>
        </is>
      </c>
      <c r="G2962" t="inlineStr">
        <is>
          <t>Ibrance</t>
        </is>
      </c>
      <c r="H2962" t="inlineStr">
        <is>
          <t>Retail pharmacy</t>
        </is>
      </c>
      <c r="I2962" t="inlineStr">
        <is>
          <t>Private insurer</t>
        </is>
      </c>
      <c r="J2962" t="inlineStr">
        <is>
          <t>Amir Khan</t>
        </is>
      </c>
      <c r="K2962" s="70" t="n">
        <v>3485</v>
      </c>
      <c r="L2962" s="71" t="n">
        <v>3056.89</v>
      </c>
      <c r="M2962" s="71" t="n">
        <v>10653261.65</v>
      </c>
      <c r="N2962" s="71" t="n">
        <v>2130652.33</v>
      </c>
      <c r="O2962" s="71" t="n">
        <v>8522609.32</v>
      </c>
      <c r="P2962" s="71" t="n">
        <v>1530375.76</v>
      </c>
      <c r="Q2962" s="71" t="n">
        <v>6992233.56</v>
      </c>
      <c r="R2962" t="inlineStr">
        <is>
          <t>Oncology</t>
        </is>
      </c>
      <c r="S2962" s="70" t="n">
        <v>2572</v>
      </c>
      <c r="T2962" s="71" t="n">
        <v>2168209.7</v>
      </c>
      <c r="U2962" t="inlineStr">
        <is>
          <t>High</t>
        </is>
      </c>
      <c r="V2962">
        <f>IF(AND(OR(Dashboard!$C$6="All",E2962=Dashboard!$C$6),OR(Dashboard!$F$6="All",G2962=Dashboard!$F$6),OR(Dashboard!$I$6="All",H2962=Dashboard!$I$6)),1,0)</f>
        <v/>
      </c>
    </row>
    <row r="2963">
      <c r="A2963" t="inlineStr">
        <is>
          <t>PF102954</t>
        </is>
      </c>
      <c r="B2963" s="68" t="n">
        <v>46014</v>
      </c>
      <c r="C2963" s="69" t="n">
        <v>2025</v>
      </c>
      <c r="D2963" t="inlineStr">
        <is>
          <t>Dec</t>
        </is>
      </c>
      <c r="E2963" t="inlineStr">
        <is>
          <t>Emerging markets</t>
        </is>
      </c>
      <c r="F2963" t="inlineStr">
        <is>
          <t>India</t>
        </is>
      </c>
      <c r="G2963" t="inlineStr">
        <is>
          <t>Ibrance</t>
        </is>
      </c>
      <c r="H2963" t="inlineStr">
        <is>
          <t>Retail pharmacy</t>
        </is>
      </c>
      <c r="I2963" t="inlineStr">
        <is>
          <t>Private insurer</t>
        </is>
      </c>
      <c r="J2963" t="inlineStr">
        <is>
          <t>Emma Clarke</t>
        </is>
      </c>
      <c r="K2963" s="70" t="n">
        <v>453</v>
      </c>
      <c r="L2963" s="71" t="n">
        <v>2919.06</v>
      </c>
      <c r="M2963" s="71" t="n">
        <v>1322334.18</v>
      </c>
      <c r="N2963" s="71" t="n">
        <v>264466.84</v>
      </c>
      <c r="O2963" s="71" t="n">
        <v>1057867.34</v>
      </c>
      <c r="P2963" s="71" t="n">
        <v>199329.44</v>
      </c>
      <c r="Q2963" s="71" t="n">
        <v>858537.9</v>
      </c>
      <c r="R2963" t="inlineStr">
        <is>
          <t>Oncology</t>
        </is>
      </c>
      <c r="S2963" s="70" t="n">
        <v>347</v>
      </c>
      <c r="T2963" s="71" t="n">
        <v>188966.52</v>
      </c>
      <c r="U2963" t="inlineStr">
        <is>
          <t>High</t>
        </is>
      </c>
      <c r="V2963">
        <f>IF(AND(OR(Dashboard!$C$6="All",E2963=Dashboard!$C$6),OR(Dashboard!$F$6="All",G2963=Dashboard!$F$6),OR(Dashboard!$I$6="All",H2963=Dashboard!$I$6)),1,0)</f>
        <v/>
      </c>
    </row>
    <row r="2964">
      <c r="A2964" t="inlineStr">
        <is>
          <t>PF102955</t>
        </is>
      </c>
      <c r="B2964" s="68" t="n">
        <v>46014</v>
      </c>
      <c r="C2964" s="69" t="n">
        <v>2025</v>
      </c>
      <c r="D2964" t="inlineStr">
        <is>
          <t>Dec</t>
        </is>
      </c>
      <c r="E2964" t="inlineStr">
        <is>
          <t>United States</t>
        </is>
      </c>
      <c r="F2964" t="inlineStr">
        <is>
          <t>USA</t>
        </is>
      </c>
      <c r="G2964" t="inlineStr">
        <is>
          <t>Prevnar 20</t>
        </is>
      </c>
      <c r="H2964" t="inlineStr">
        <is>
          <t>Retail pharmacy</t>
        </is>
      </c>
      <c r="I2964" t="inlineStr">
        <is>
          <t>Public payer</t>
        </is>
      </c>
      <c r="J2964" t="inlineStr">
        <is>
          <t>Ruhi Shaikh</t>
        </is>
      </c>
      <c r="K2964" s="70" t="n">
        <v>2460</v>
      </c>
      <c r="L2964" s="71" t="n">
        <v>402.74</v>
      </c>
      <c r="M2964" s="71" t="n">
        <v>990740.4</v>
      </c>
      <c r="N2964" s="71" t="n">
        <v>297222.12</v>
      </c>
      <c r="O2964" s="71" t="n">
        <v>693518.28</v>
      </c>
      <c r="P2964" s="71" t="n">
        <v>163082.57</v>
      </c>
      <c r="Q2964" s="71" t="n">
        <v>530435.71</v>
      </c>
      <c r="R2964" t="inlineStr">
        <is>
          <t>Vaccines</t>
        </is>
      </c>
      <c r="S2964" s="70" t="n">
        <v>2236</v>
      </c>
      <c r="T2964" s="71" t="n">
        <v>127379.8</v>
      </c>
      <c r="U2964" t="inlineStr">
        <is>
          <t>Low</t>
        </is>
      </c>
      <c r="V2964">
        <f>IF(AND(OR(Dashboard!$C$6="All",E2964=Dashboard!$C$6),OR(Dashboard!$F$6="All",G2964=Dashboard!$F$6),OR(Dashboard!$I$6="All",H2964=Dashboard!$I$6)),1,0)</f>
        <v/>
      </c>
    </row>
    <row r="2965">
      <c r="A2965" t="inlineStr">
        <is>
          <t>PF102956</t>
        </is>
      </c>
      <c r="B2965" s="68" t="n">
        <v>46014</v>
      </c>
      <c r="C2965" s="69" t="n">
        <v>2025</v>
      </c>
      <c r="D2965" t="inlineStr">
        <is>
          <t>Dec</t>
        </is>
      </c>
      <c r="E2965" t="inlineStr">
        <is>
          <t>United States</t>
        </is>
      </c>
      <c r="F2965" t="inlineStr">
        <is>
          <t>USA</t>
        </is>
      </c>
      <c r="G2965" t="inlineStr">
        <is>
          <t>Eliquis</t>
        </is>
      </c>
      <c r="H2965" t="inlineStr">
        <is>
          <t>Government / tender</t>
        </is>
      </c>
      <c r="I2965" t="inlineStr">
        <is>
          <t>Private insurer</t>
        </is>
      </c>
      <c r="J2965" t="inlineStr">
        <is>
          <t>Priya Nair</t>
        </is>
      </c>
      <c r="K2965" s="70" t="n">
        <v>1954</v>
      </c>
      <c r="L2965" s="71" t="n">
        <v>672.66</v>
      </c>
      <c r="M2965" s="71" t="n">
        <v>1314377.64</v>
      </c>
      <c r="N2965" s="71" t="n">
        <v>262875.53</v>
      </c>
      <c r="O2965" s="71" t="n">
        <v>1051502.11</v>
      </c>
      <c r="P2965" s="71" t="n">
        <v>148264.8</v>
      </c>
      <c r="Q2965" s="71" t="n">
        <v>903237.3100000001</v>
      </c>
      <c r="R2965" t="inlineStr">
        <is>
          <t>Cardiology</t>
        </is>
      </c>
      <c r="S2965" s="70" t="n">
        <v>1263</v>
      </c>
      <c r="T2965" s="71" t="n">
        <v>213670.67</v>
      </c>
      <c r="U2965" t="inlineStr">
        <is>
          <t>High</t>
        </is>
      </c>
      <c r="V2965">
        <f>IF(AND(OR(Dashboard!$C$6="All",E2965=Dashboard!$C$6),OR(Dashboard!$F$6="All",G2965=Dashboard!$F$6),OR(Dashboard!$I$6="All",H2965=Dashboard!$I$6)),1,0)</f>
        <v/>
      </c>
    </row>
    <row r="2966">
      <c r="A2966" t="inlineStr">
        <is>
          <t>PF102957</t>
        </is>
      </c>
      <c r="B2966" s="68" t="n">
        <v>46014</v>
      </c>
      <c r="C2966" s="69" t="n">
        <v>2025</v>
      </c>
      <c r="D2966" t="inlineStr">
        <is>
          <t>Dec</t>
        </is>
      </c>
      <c r="E2966" t="inlineStr">
        <is>
          <t>United States</t>
        </is>
      </c>
      <c r="F2966" t="inlineStr">
        <is>
          <t>USA</t>
        </is>
      </c>
      <c r="G2966" t="inlineStr">
        <is>
          <t>Ibrance</t>
        </is>
      </c>
      <c r="H2966" t="inlineStr">
        <is>
          <t>Retail pharmacy</t>
        </is>
      </c>
      <c r="I2966" t="inlineStr">
        <is>
          <t>Public payer</t>
        </is>
      </c>
      <c r="J2966" t="inlineStr">
        <is>
          <t>Emma Clarke</t>
        </is>
      </c>
      <c r="K2966" s="70" t="n">
        <v>1004</v>
      </c>
      <c r="L2966" s="71" t="n">
        <v>4827.52</v>
      </c>
      <c r="M2966" s="71" t="n">
        <v>4846830.08</v>
      </c>
      <c r="N2966" s="71" t="n">
        <v>1454049.02</v>
      </c>
      <c r="O2966" s="71" t="n">
        <v>3392781.06</v>
      </c>
      <c r="P2966" s="71" t="n">
        <v>431603.43</v>
      </c>
      <c r="Q2966" s="71" t="n">
        <v>2961177.63</v>
      </c>
      <c r="R2966" t="inlineStr">
        <is>
          <t>Oncology</t>
        </is>
      </c>
      <c r="S2966" s="70" t="n">
        <v>742</v>
      </c>
      <c r="T2966" s="71" t="n">
        <v>957165.96</v>
      </c>
      <c r="U2966" t="inlineStr">
        <is>
          <t>High</t>
        </is>
      </c>
      <c r="V2966">
        <f>IF(AND(OR(Dashboard!$C$6="All",E2966=Dashboard!$C$6),OR(Dashboard!$F$6="All",G2966=Dashboard!$F$6),OR(Dashboard!$I$6="All",H2966=Dashboard!$I$6)),1,0)</f>
        <v/>
      </c>
    </row>
    <row r="2967">
      <c r="A2967" t="inlineStr">
        <is>
          <t>PF102958</t>
        </is>
      </c>
      <c r="B2967" s="68" t="n">
        <v>46014</v>
      </c>
      <c r="C2967" s="69" t="n">
        <v>2025</v>
      </c>
      <c r="D2967" t="inlineStr">
        <is>
          <t>Dec</t>
        </is>
      </c>
      <c r="E2967" t="inlineStr">
        <is>
          <t>United States</t>
        </is>
      </c>
      <c r="F2967" t="inlineStr">
        <is>
          <t>USA</t>
        </is>
      </c>
      <c r="G2967" t="inlineStr">
        <is>
          <t>Abrysvo</t>
        </is>
      </c>
      <c r="H2967" t="inlineStr">
        <is>
          <t>Retail pharmacy</t>
        </is>
      </c>
      <c r="I2967" t="inlineStr">
        <is>
          <t>Self-pay</t>
        </is>
      </c>
      <c r="J2967" t="inlineStr">
        <is>
          <t>Lucas Martin</t>
        </is>
      </c>
      <c r="K2967" s="70" t="n">
        <v>3175</v>
      </c>
      <c r="L2967" s="71" t="n">
        <v>468.83</v>
      </c>
      <c r="M2967" s="71" t="n">
        <v>1488535.25</v>
      </c>
      <c r="N2967" s="71" t="n">
        <v>223280.29</v>
      </c>
      <c r="O2967" s="71" t="n">
        <v>1265254.96</v>
      </c>
      <c r="P2967" s="71" t="n">
        <v>271356.28</v>
      </c>
      <c r="Q2967" s="71" t="n">
        <v>993898.6800000001</v>
      </c>
      <c r="R2967" t="inlineStr">
        <is>
          <t>Vaccines</t>
        </is>
      </c>
      <c r="S2967" s="70" t="n">
        <v>3144</v>
      </c>
      <c r="T2967" s="71" t="n">
        <v>296611.25</v>
      </c>
      <c r="U2967" t="inlineStr">
        <is>
          <t>Low</t>
        </is>
      </c>
      <c r="V2967">
        <f>IF(AND(OR(Dashboard!$C$6="All",E2967=Dashboard!$C$6),OR(Dashboard!$F$6="All",G2967=Dashboard!$F$6),OR(Dashboard!$I$6="All",H2967=Dashboard!$I$6)),1,0)</f>
        <v/>
      </c>
    </row>
    <row r="2968">
      <c r="A2968" t="inlineStr">
        <is>
          <t>PF102959</t>
        </is>
      </c>
      <c r="B2968" s="68" t="n">
        <v>46014</v>
      </c>
      <c r="C2968" s="69" t="n">
        <v>2025</v>
      </c>
      <c r="D2968" t="inlineStr">
        <is>
          <t>Dec</t>
        </is>
      </c>
      <c r="E2968" t="inlineStr">
        <is>
          <t>United States</t>
        </is>
      </c>
      <c r="F2968" t="inlineStr">
        <is>
          <t>USA</t>
        </is>
      </c>
      <c r="G2968" t="inlineStr">
        <is>
          <t>Eliquis</t>
        </is>
      </c>
      <c r="H2968" t="inlineStr">
        <is>
          <t>Retail pharmacy</t>
        </is>
      </c>
      <c r="I2968" t="inlineStr">
        <is>
          <t>Private insurer</t>
        </is>
      </c>
      <c r="J2968" t="inlineStr">
        <is>
          <t>Sophie Müller</t>
        </is>
      </c>
      <c r="K2968" s="70" t="n">
        <v>346</v>
      </c>
      <c r="L2968" s="71" t="n">
        <v>642.46</v>
      </c>
      <c r="M2968" s="71" t="n">
        <v>222291.16</v>
      </c>
      <c r="N2968" s="71" t="n">
        <v>44458.23</v>
      </c>
      <c r="O2968" s="71" t="n">
        <v>177832.93</v>
      </c>
      <c r="P2968" s="71" t="n">
        <v>27182.2</v>
      </c>
      <c r="Q2968" s="71" t="n">
        <v>150650.73</v>
      </c>
      <c r="R2968" t="inlineStr">
        <is>
          <t>Cardiology</t>
        </is>
      </c>
      <c r="S2968" s="70" t="n">
        <v>287</v>
      </c>
      <c r="T2968" s="71" t="n">
        <v>48165.98</v>
      </c>
      <c r="U2968" t="inlineStr">
        <is>
          <t>High</t>
        </is>
      </c>
      <c r="V2968">
        <f>IF(AND(OR(Dashboard!$C$6="All",E2968=Dashboard!$C$6),OR(Dashboard!$F$6="All",G2968=Dashboard!$F$6),OR(Dashboard!$I$6="All",H2968=Dashboard!$I$6)),1,0)</f>
        <v/>
      </c>
    </row>
    <row r="2969">
      <c r="A2969" t="inlineStr">
        <is>
          <t>PF102960</t>
        </is>
      </c>
      <c r="B2969" s="68" t="n">
        <v>46014</v>
      </c>
      <c r="C2969" s="69" t="n">
        <v>2025</v>
      </c>
      <c r="D2969" t="inlineStr">
        <is>
          <t>Dec</t>
        </is>
      </c>
      <c r="E2969" t="inlineStr">
        <is>
          <t>International developed</t>
        </is>
      </c>
      <c r="F2969" t="inlineStr">
        <is>
          <t>Australia</t>
        </is>
      </c>
      <c r="G2969" t="inlineStr">
        <is>
          <t>Comirnaty</t>
        </is>
      </c>
      <c r="H2969" t="inlineStr">
        <is>
          <t>Retail pharmacy</t>
        </is>
      </c>
      <c r="I2969" t="inlineStr">
        <is>
          <t>Private insurer</t>
        </is>
      </c>
      <c r="J2969" t="inlineStr">
        <is>
          <t>Lucas Martin</t>
        </is>
      </c>
      <c r="K2969" s="70" t="n">
        <v>2884</v>
      </c>
      <c r="L2969" s="71" t="n">
        <v>110.64</v>
      </c>
      <c r="M2969" s="71" t="n">
        <v>319085.76</v>
      </c>
      <c r="N2969" s="71" t="n">
        <v>47862.86</v>
      </c>
      <c r="O2969" s="71" t="n">
        <v>271222.9</v>
      </c>
      <c r="P2969" s="71" t="n">
        <v>109297.5</v>
      </c>
      <c r="Q2969" s="71" t="n">
        <v>161925.4</v>
      </c>
      <c r="R2969" t="inlineStr">
        <is>
          <t>Vaccines</t>
        </is>
      </c>
      <c r="S2969" s="70" t="n">
        <v>2457</v>
      </c>
      <c r="T2969" s="71" t="n">
        <v>61264.4</v>
      </c>
      <c r="U2969" t="inlineStr">
        <is>
          <t>Low</t>
        </is>
      </c>
      <c r="V2969">
        <f>IF(AND(OR(Dashboard!$C$6="All",E2969=Dashboard!$C$6),OR(Dashboard!$F$6="All",G2969=Dashboard!$F$6),OR(Dashboard!$I$6="All",H2969=Dashboard!$I$6)),1,0)</f>
        <v/>
      </c>
    </row>
    <row r="2970">
      <c r="A2970" t="inlineStr">
        <is>
          <t>PF102961</t>
        </is>
      </c>
      <c r="B2970" s="68" t="n">
        <v>46014</v>
      </c>
      <c r="C2970" s="69" t="n">
        <v>2025</v>
      </c>
      <c r="D2970" t="inlineStr">
        <is>
          <t>Dec</t>
        </is>
      </c>
      <c r="E2970" t="inlineStr">
        <is>
          <t>United States</t>
        </is>
      </c>
      <c r="F2970" t="inlineStr">
        <is>
          <t>USA</t>
        </is>
      </c>
      <c r="G2970" t="inlineStr">
        <is>
          <t>Eliquis</t>
        </is>
      </c>
      <c r="H2970" t="inlineStr">
        <is>
          <t>Retail pharmacy</t>
        </is>
      </c>
      <c r="I2970" t="inlineStr">
        <is>
          <t>Public payer</t>
        </is>
      </c>
      <c r="J2970" t="inlineStr">
        <is>
          <t>Mei Lin</t>
        </is>
      </c>
      <c r="K2970" s="70" t="n">
        <v>2441</v>
      </c>
      <c r="L2970" s="71" t="n">
        <v>645.38</v>
      </c>
      <c r="M2970" s="71" t="n">
        <v>1575372.58</v>
      </c>
      <c r="N2970" s="71" t="n">
        <v>472611.77</v>
      </c>
      <c r="O2970" s="71" t="n">
        <v>1102760.81</v>
      </c>
      <c r="P2970" s="71" t="n">
        <v>191919.38</v>
      </c>
      <c r="Q2970" s="71" t="n">
        <v>910841.4300000001</v>
      </c>
      <c r="R2970" t="inlineStr">
        <is>
          <t>Cardiology</t>
        </is>
      </c>
      <c r="S2970" s="70" t="n">
        <v>2049</v>
      </c>
      <c r="T2970" s="71" t="n">
        <v>220472.71</v>
      </c>
      <c r="U2970" t="inlineStr">
        <is>
          <t>High</t>
        </is>
      </c>
      <c r="V2970">
        <f>IF(AND(OR(Dashboard!$C$6="All",E2970=Dashboard!$C$6),OR(Dashboard!$F$6="All",G2970=Dashboard!$F$6),OR(Dashboard!$I$6="All",H2970=Dashboard!$I$6)),1,0)</f>
        <v/>
      </c>
    </row>
    <row r="2971">
      <c r="A2971" t="inlineStr">
        <is>
          <t>PF102962</t>
        </is>
      </c>
      <c r="B2971" s="68" t="n">
        <v>46015</v>
      </c>
      <c r="C2971" s="69" t="n">
        <v>2025</v>
      </c>
      <c r="D2971" t="inlineStr">
        <is>
          <t>Dec</t>
        </is>
      </c>
      <c r="E2971" t="inlineStr">
        <is>
          <t>United States</t>
        </is>
      </c>
      <c r="F2971" t="inlineStr">
        <is>
          <t>USA</t>
        </is>
      </c>
      <c r="G2971" t="inlineStr">
        <is>
          <t>Comirnaty</t>
        </is>
      </c>
      <c r="H2971" t="inlineStr">
        <is>
          <t>Retail pharmacy</t>
        </is>
      </c>
      <c r="I2971" t="inlineStr">
        <is>
          <t>Private insurer</t>
        </is>
      </c>
      <c r="J2971" t="inlineStr">
        <is>
          <t>Olivia Brown</t>
        </is>
      </c>
      <c r="K2971" s="70" t="n">
        <v>1834</v>
      </c>
      <c r="L2971" s="71" t="n">
        <v>174.93</v>
      </c>
      <c r="M2971" s="71" t="n">
        <v>320821.62</v>
      </c>
      <c r="N2971" s="71" t="n">
        <v>64164.32</v>
      </c>
      <c r="O2971" s="71" t="n">
        <v>256657.3</v>
      </c>
      <c r="P2971" s="71" t="n">
        <v>72959.13</v>
      </c>
      <c r="Q2971" s="71" t="n">
        <v>183698.17</v>
      </c>
      <c r="R2971" t="inlineStr">
        <is>
          <t>Vaccines</t>
        </is>
      </c>
      <c r="S2971" s="70" t="n">
        <v>1301</v>
      </c>
      <c r="T2971" s="71" t="n">
        <v>58708.29</v>
      </c>
      <c r="U2971" t="inlineStr">
        <is>
          <t>Low</t>
        </is>
      </c>
      <c r="V2971">
        <f>IF(AND(OR(Dashboard!$C$6="All",E2971=Dashboard!$C$6),OR(Dashboard!$F$6="All",G2971=Dashboard!$F$6),OR(Dashboard!$I$6="All",H2971=Dashboard!$I$6)),1,0)</f>
        <v/>
      </c>
    </row>
    <row r="2972">
      <c r="A2972" t="inlineStr">
        <is>
          <t>PF102963</t>
        </is>
      </c>
      <c r="B2972" s="68" t="n">
        <v>46015</v>
      </c>
      <c r="C2972" s="69" t="n">
        <v>2025</v>
      </c>
      <c r="D2972" t="inlineStr">
        <is>
          <t>Dec</t>
        </is>
      </c>
      <c r="E2972" t="inlineStr">
        <is>
          <t>International developed</t>
        </is>
      </c>
      <c r="F2972" t="inlineStr">
        <is>
          <t>Australia</t>
        </is>
      </c>
      <c r="G2972" t="inlineStr">
        <is>
          <t>Paxlovid</t>
        </is>
      </c>
      <c r="H2972" t="inlineStr">
        <is>
          <t>Government / tender</t>
        </is>
      </c>
      <c r="I2972" t="inlineStr">
        <is>
          <t>Private insurer</t>
        </is>
      </c>
      <c r="J2972" t="inlineStr">
        <is>
          <t>Fatima Al-Saud</t>
        </is>
      </c>
      <c r="K2972" s="70" t="n">
        <v>750</v>
      </c>
      <c r="L2972" s="71" t="n">
        <v>1026.59</v>
      </c>
      <c r="M2972" s="71" t="n">
        <v>769942.5</v>
      </c>
      <c r="N2972" s="71" t="n">
        <v>38497.12</v>
      </c>
      <c r="O2972" s="71" t="n">
        <v>731445.38</v>
      </c>
      <c r="P2972" s="71" t="n">
        <v>211433.63</v>
      </c>
      <c r="Q2972" s="71" t="n">
        <v>520011.75</v>
      </c>
      <c r="R2972" t="inlineStr">
        <is>
          <t>Antiviral</t>
        </is>
      </c>
      <c r="S2972" s="70" t="n">
        <v>475</v>
      </c>
      <c r="T2972" s="71" t="n">
        <v>164031.42</v>
      </c>
      <c r="U2972" t="inlineStr">
        <is>
          <t>Low</t>
        </is>
      </c>
      <c r="V2972">
        <f>IF(AND(OR(Dashboard!$C$6="All",E2972=Dashboard!$C$6),OR(Dashboard!$F$6="All",G2972=Dashboard!$F$6),OR(Dashboard!$I$6="All",H2972=Dashboard!$I$6)),1,0)</f>
        <v/>
      </c>
    </row>
    <row r="2973">
      <c r="A2973" t="inlineStr">
        <is>
          <t>PF102964</t>
        </is>
      </c>
      <c r="B2973" s="68" t="n">
        <v>46015</v>
      </c>
      <c r="C2973" s="69" t="n">
        <v>2025</v>
      </c>
      <c r="D2973" t="inlineStr">
        <is>
          <t>Dec</t>
        </is>
      </c>
      <c r="E2973" t="inlineStr">
        <is>
          <t>United States</t>
        </is>
      </c>
      <c r="F2973" t="inlineStr">
        <is>
          <t>USA</t>
        </is>
      </c>
      <c r="G2973" t="inlineStr">
        <is>
          <t>Abrysvo</t>
        </is>
      </c>
      <c r="H2973" t="inlineStr">
        <is>
          <t>Hospital</t>
        </is>
      </c>
      <c r="I2973" t="inlineStr">
        <is>
          <t>Public payer</t>
        </is>
      </c>
      <c r="J2973" t="inlineStr">
        <is>
          <t>Carlos Silva</t>
        </is>
      </c>
      <c r="K2973" s="70" t="n">
        <v>2672</v>
      </c>
      <c r="L2973" s="71" t="n">
        <v>424.5</v>
      </c>
      <c r="M2973" s="71" t="n">
        <v>1134264</v>
      </c>
      <c r="N2973" s="71" t="n">
        <v>226852.8</v>
      </c>
      <c r="O2973" s="71" t="n">
        <v>907411.2</v>
      </c>
      <c r="P2973" s="71" t="n">
        <v>223187.64</v>
      </c>
      <c r="Q2973" s="71" t="n">
        <v>684223.5600000001</v>
      </c>
      <c r="R2973" t="inlineStr">
        <is>
          <t>Vaccines</t>
        </is>
      </c>
      <c r="S2973" s="70" t="n">
        <v>2499</v>
      </c>
      <c r="T2973" s="71" t="n">
        <v>156376.4</v>
      </c>
      <c r="U2973" t="inlineStr">
        <is>
          <t>Low</t>
        </is>
      </c>
      <c r="V2973">
        <f>IF(AND(OR(Dashboard!$C$6="All",E2973=Dashboard!$C$6),OR(Dashboard!$F$6="All",G2973=Dashboard!$F$6),OR(Dashboard!$I$6="All",H2973=Dashboard!$I$6)),1,0)</f>
        <v/>
      </c>
    </row>
    <row r="2974">
      <c r="A2974" t="inlineStr">
        <is>
          <t>PF102965</t>
        </is>
      </c>
      <c r="B2974" s="68" t="n">
        <v>46015</v>
      </c>
      <c r="C2974" s="69" t="n">
        <v>2025</v>
      </c>
      <c r="D2974" t="inlineStr">
        <is>
          <t>Dec</t>
        </is>
      </c>
      <c r="E2974" t="inlineStr">
        <is>
          <t>United States</t>
        </is>
      </c>
      <c r="F2974" t="inlineStr">
        <is>
          <t>USA</t>
        </is>
      </c>
      <c r="G2974" t="inlineStr">
        <is>
          <t>Vyndaqel</t>
        </is>
      </c>
      <c r="H2974" t="inlineStr">
        <is>
          <t>Hospital</t>
        </is>
      </c>
      <c r="I2974" t="inlineStr">
        <is>
          <t>Private insurer</t>
        </is>
      </c>
      <c r="J2974" t="inlineStr">
        <is>
          <t>Fatima Al-Saud</t>
        </is>
      </c>
      <c r="K2974" s="70" t="n">
        <v>1154</v>
      </c>
      <c r="L2974" s="71" t="n">
        <v>8947.790000000001</v>
      </c>
      <c r="M2974" s="71" t="n">
        <v>10325749.66</v>
      </c>
      <c r="N2974" s="71" t="n">
        <v>3614012.38</v>
      </c>
      <c r="O2974" s="71" t="n">
        <v>6711737.28</v>
      </c>
      <c r="P2974" s="71" t="n">
        <v>714571.3100000001</v>
      </c>
      <c r="Q2974" s="71" t="n">
        <v>5997165.97</v>
      </c>
      <c r="R2974" t="inlineStr">
        <is>
          <t>Rare disease</t>
        </is>
      </c>
      <c r="S2974" s="70" t="n">
        <v>801</v>
      </c>
      <c r="T2974" s="71" t="n">
        <v>1301908.56</v>
      </c>
      <c r="U2974" t="inlineStr">
        <is>
          <t>Medium</t>
        </is>
      </c>
      <c r="V2974">
        <f>IF(AND(OR(Dashboard!$C$6="All",E2974=Dashboard!$C$6),OR(Dashboard!$F$6="All",G2974=Dashboard!$F$6),OR(Dashboard!$I$6="All",H2974=Dashboard!$I$6)),1,0)</f>
        <v/>
      </c>
    </row>
    <row r="2975">
      <c r="A2975" t="inlineStr">
        <is>
          <t>PF102966</t>
        </is>
      </c>
      <c r="B2975" s="68" t="n">
        <v>46015</v>
      </c>
      <c r="C2975" s="69" t="n">
        <v>2025</v>
      </c>
      <c r="D2975" t="inlineStr">
        <is>
          <t>Dec</t>
        </is>
      </c>
      <c r="E2975" t="inlineStr">
        <is>
          <t>International developed</t>
        </is>
      </c>
      <c r="F2975" t="inlineStr">
        <is>
          <t>Canada</t>
        </is>
      </c>
      <c r="G2975" t="inlineStr">
        <is>
          <t>Prevnar 20</t>
        </is>
      </c>
      <c r="H2975" t="inlineStr">
        <is>
          <t>Government / tender</t>
        </is>
      </c>
      <c r="I2975" t="inlineStr">
        <is>
          <t>Private insurer</t>
        </is>
      </c>
      <c r="J2975" t="inlineStr">
        <is>
          <t>Ana Costa</t>
        </is>
      </c>
      <c r="K2975" s="70" t="n">
        <v>725</v>
      </c>
      <c r="L2975" s="71" t="n">
        <v>211.18</v>
      </c>
      <c r="M2975" s="71" t="n">
        <v>153105.5</v>
      </c>
      <c r="N2975" s="71" t="n">
        <v>38276.38</v>
      </c>
      <c r="O2975" s="71" t="n">
        <v>114829.12</v>
      </c>
      <c r="P2975" s="71" t="n">
        <v>49511.25</v>
      </c>
      <c r="Q2975" s="71" t="n">
        <v>65317.87</v>
      </c>
      <c r="R2975" t="inlineStr">
        <is>
          <t>Vaccines</t>
        </is>
      </c>
      <c r="S2975" s="70" t="n">
        <v>525</v>
      </c>
      <c r="T2975" s="71" t="n">
        <v>30515.89</v>
      </c>
      <c r="U2975" t="inlineStr">
        <is>
          <t>Low</t>
        </is>
      </c>
      <c r="V2975">
        <f>IF(AND(OR(Dashboard!$C$6="All",E2975=Dashboard!$C$6),OR(Dashboard!$F$6="All",G2975=Dashboard!$F$6),OR(Dashboard!$I$6="All",H2975=Dashboard!$I$6)),1,0)</f>
        <v/>
      </c>
    </row>
    <row r="2976">
      <c r="A2976" t="inlineStr">
        <is>
          <t>PF102967</t>
        </is>
      </c>
      <c r="B2976" s="68" t="n">
        <v>46015</v>
      </c>
      <c r="C2976" s="69" t="n">
        <v>2025</v>
      </c>
      <c r="D2976" t="inlineStr">
        <is>
          <t>Dec</t>
        </is>
      </c>
      <c r="E2976" t="inlineStr">
        <is>
          <t>United States</t>
        </is>
      </c>
      <c r="F2976" t="inlineStr">
        <is>
          <t>USA</t>
        </is>
      </c>
      <c r="G2976" t="inlineStr">
        <is>
          <t>Prevnar 20</t>
        </is>
      </c>
      <c r="H2976" t="inlineStr">
        <is>
          <t>Hospital</t>
        </is>
      </c>
      <c r="I2976" t="inlineStr">
        <is>
          <t>Private insurer</t>
        </is>
      </c>
      <c r="J2976" t="inlineStr">
        <is>
          <t>Sara Rossi</t>
        </is>
      </c>
      <c r="K2976" s="70" t="n">
        <v>3198</v>
      </c>
      <c r="L2976" s="71" t="n">
        <v>335.14</v>
      </c>
      <c r="M2976" s="71" t="n">
        <v>1071777.72</v>
      </c>
      <c r="N2976" s="71" t="n">
        <v>375122.2</v>
      </c>
      <c r="O2976" s="71" t="n">
        <v>696655.52</v>
      </c>
      <c r="P2976" s="71" t="n">
        <v>214786.11</v>
      </c>
      <c r="Q2976" s="71" t="n">
        <v>481869.41</v>
      </c>
      <c r="R2976" t="inlineStr">
        <is>
          <t>Vaccines</t>
        </is>
      </c>
      <c r="S2976" s="70" t="n">
        <v>2033</v>
      </c>
      <c r="T2976" s="71" t="n">
        <v>186751.8</v>
      </c>
      <c r="U2976" t="inlineStr">
        <is>
          <t>Low</t>
        </is>
      </c>
      <c r="V2976">
        <f>IF(AND(OR(Dashboard!$C$6="All",E2976=Dashboard!$C$6),OR(Dashboard!$F$6="All",G2976=Dashboard!$F$6),OR(Dashboard!$I$6="All",H2976=Dashboard!$I$6)),1,0)</f>
        <v/>
      </c>
    </row>
    <row r="2977">
      <c r="A2977" t="inlineStr">
        <is>
          <t>PF102968</t>
        </is>
      </c>
      <c r="B2977" s="68" t="n">
        <v>46015</v>
      </c>
      <c r="C2977" s="69" t="n">
        <v>2025</v>
      </c>
      <c r="D2977" t="inlineStr">
        <is>
          <t>Dec</t>
        </is>
      </c>
      <c r="E2977" t="inlineStr">
        <is>
          <t>International developed</t>
        </is>
      </c>
      <c r="F2977" t="inlineStr">
        <is>
          <t>Japan</t>
        </is>
      </c>
      <c r="G2977" t="inlineStr">
        <is>
          <t>Comirnaty</t>
        </is>
      </c>
      <c r="H2977" t="inlineStr">
        <is>
          <t>Retail pharmacy</t>
        </is>
      </c>
      <c r="I2977" t="inlineStr">
        <is>
          <t>Public payer</t>
        </is>
      </c>
      <c r="J2977" t="inlineStr">
        <is>
          <t>Lucas Martin</t>
        </is>
      </c>
      <c r="K2977" s="70" t="n">
        <v>1920</v>
      </c>
      <c r="L2977" s="71" t="n">
        <v>118.4</v>
      </c>
      <c r="M2977" s="71" t="n">
        <v>227328</v>
      </c>
      <c r="N2977" s="71" t="n">
        <v>22732.8</v>
      </c>
      <c r="O2977" s="71" t="n">
        <v>204595.2</v>
      </c>
      <c r="P2977" s="71" t="n">
        <v>76789.67</v>
      </c>
      <c r="Q2977" s="71" t="n">
        <v>127805.53</v>
      </c>
      <c r="R2977" t="inlineStr">
        <is>
          <t>Vaccines</t>
        </is>
      </c>
      <c r="S2977" s="70" t="n">
        <v>1632</v>
      </c>
      <c r="T2977" s="71" t="n">
        <v>42531.46</v>
      </c>
      <c r="U2977" t="inlineStr">
        <is>
          <t>Low</t>
        </is>
      </c>
      <c r="V2977">
        <f>IF(AND(OR(Dashboard!$C$6="All",E2977=Dashboard!$C$6),OR(Dashboard!$F$6="All",G2977=Dashboard!$F$6),OR(Dashboard!$I$6="All",H2977=Dashboard!$I$6)),1,0)</f>
        <v/>
      </c>
    </row>
    <row r="2978">
      <c r="A2978" t="inlineStr">
        <is>
          <t>PF102969</t>
        </is>
      </c>
      <c r="B2978" s="68" t="n">
        <v>46015</v>
      </c>
      <c r="C2978" s="69" t="n">
        <v>2025</v>
      </c>
      <c r="D2978" t="inlineStr">
        <is>
          <t>Dec</t>
        </is>
      </c>
      <c r="E2978" t="inlineStr">
        <is>
          <t>United States</t>
        </is>
      </c>
      <c r="F2978" t="inlineStr">
        <is>
          <t>USA</t>
        </is>
      </c>
      <c r="G2978" t="inlineStr">
        <is>
          <t>Eliquis</t>
        </is>
      </c>
      <c r="H2978" t="inlineStr">
        <is>
          <t>Government / tender</t>
        </is>
      </c>
      <c r="I2978" t="inlineStr">
        <is>
          <t>Private insurer</t>
        </is>
      </c>
      <c r="J2978" t="inlineStr">
        <is>
          <t>Sophie Müller</t>
        </is>
      </c>
      <c r="K2978" s="70" t="n">
        <v>904</v>
      </c>
      <c r="L2978" s="71" t="n">
        <v>667.73</v>
      </c>
      <c r="M2978" s="71" t="n">
        <v>603627.92</v>
      </c>
      <c r="N2978" s="71" t="n">
        <v>90544.19</v>
      </c>
      <c r="O2978" s="71" t="n">
        <v>513083.73</v>
      </c>
      <c r="P2978" s="71" t="n">
        <v>68740.41</v>
      </c>
      <c r="Q2978" s="71" t="n">
        <v>444343.32</v>
      </c>
      <c r="R2978" t="inlineStr">
        <is>
          <t>Cardiology</t>
        </is>
      </c>
      <c r="S2978" s="70" t="n">
        <v>903</v>
      </c>
      <c r="T2978" s="71" t="n">
        <v>129555.21</v>
      </c>
      <c r="U2978" t="inlineStr">
        <is>
          <t>High</t>
        </is>
      </c>
      <c r="V2978">
        <f>IF(AND(OR(Dashboard!$C$6="All",E2978=Dashboard!$C$6),OR(Dashboard!$F$6="All",G2978=Dashboard!$F$6),OR(Dashboard!$I$6="All",H2978=Dashboard!$I$6)),1,0)</f>
        <v/>
      </c>
    </row>
    <row r="2979">
      <c r="A2979" t="inlineStr">
        <is>
          <t>PF102970</t>
        </is>
      </c>
      <c r="B2979" s="68" t="n">
        <v>46016</v>
      </c>
      <c r="C2979" s="69" t="n">
        <v>2025</v>
      </c>
      <c r="D2979" t="inlineStr">
        <is>
          <t>Dec</t>
        </is>
      </c>
      <c r="E2979" t="inlineStr">
        <is>
          <t>International developed</t>
        </is>
      </c>
      <c r="F2979" t="inlineStr">
        <is>
          <t>Australia</t>
        </is>
      </c>
      <c r="G2979" t="inlineStr">
        <is>
          <t>Abrysvo</t>
        </is>
      </c>
      <c r="H2979" t="inlineStr">
        <is>
          <t>Retail pharmacy</t>
        </is>
      </c>
      <c r="I2979" t="inlineStr">
        <is>
          <t>Public payer</t>
        </is>
      </c>
      <c r="J2979" t="inlineStr">
        <is>
          <t>Sophie Müller</t>
        </is>
      </c>
      <c r="K2979" s="70" t="n">
        <v>374</v>
      </c>
      <c r="L2979" s="71" t="n">
        <v>260.06</v>
      </c>
      <c r="M2979" s="71" t="n">
        <v>97262.44</v>
      </c>
      <c r="N2979" s="71" t="n">
        <v>24315.61</v>
      </c>
      <c r="O2979" s="71" t="n">
        <v>72946.83</v>
      </c>
      <c r="P2979" s="71" t="n">
        <v>31829.56</v>
      </c>
      <c r="Q2979" s="71" t="n">
        <v>41117.27</v>
      </c>
      <c r="R2979" t="inlineStr">
        <is>
          <t>Vaccines</t>
        </is>
      </c>
      <c r="S2979" s="70" t="n">
        <v>283</v>
      </c>
      <c r="T2979" s="71" t="n">
        <v>21220.77</v>
      </c>
      <c r="U2979" t="inlineStr">
        <is>
          <t>Low</t>
        </is>
      </c>
      <c r="V2979">
        <f>IF(AND(OR(Dashboard!$C$6="All",E2979=Dashboard!$C$6),OR(Dashboard!$F$6="All",G2979=Dashboard!$F$6),OR(Dashboard!$I$6="All",H2979=Dashboard!$I$6)),1,0)</f>
        <v/>
      </c>
    </row>
    <row r="2980">
      <c r="A2980" t="inlineStr">
        <is>
          <t>PF102971</t>
        </is>
      </c>
      <c r="B2980" s="68" t="n">
        <v>46016</v>
      </c>
      <c r="C2980" s="69" t="n">
        <v>2025</v>
      </c>
      <c r="D2980" t="inlineStr">
        <is>
          <t>Dec</t>
        </is>
      </c>
      <c r="E2980" t="inlineStr">
        <is>
          <t>United States</t>
        </is>
      </c>
      <c r="F2980" t="inlineStr">
        <is>
          <t>USA</t>
        </is>
      </c>
      <c r="G2980" t="inlineStr">
        <is>
          <t>Vyndaqel</t>
        </is>
      </c>
      <c r="H2980" t="inlineStr">
        <is>
          <t>Hospital</t>
        </is>
      </c>
      <c r="I2980" t="inlineStr">
        <is>
          <t>Self-pay</t>
        </is>
      </c>
      <c r="J2980" t="inlineStr">
        <is>
          <t>Ana Costa</t>
        </is>
      </c>
      <c r="K2980" s="70" t="n">
        <v>104</v>
      </c>
      <c r="L2980" s="71" t="n">
        <v>7539.33</v>
      </c>
      <c r="M2980" s="71" t="n">
        <v>784090.3199999999</v>
      </c>
      <c r="N2980" s="71" t="n">
        <v>196022.58</v>
      </c>
      <c r="O2980" s="71" t="n">
        <v>588067.74</v>
      </c>
      <c r="P2980" s="71" t="n">
        <v>65769.23</v>
      </c>
      <c r="Q2980" s="71" t="n">
        <v>522298.51</v>
      </c>
      <c r="R2980" t="inlineStr">
        <is>
          <t>Rare disease</t>
        </is>
      </c>
      <c r="S2980" s="70" t="n">
        <v>91</v>
      </c>
      <c r="T2980" s="71" t="n">
        <v>156554.86</v>
      </c>
      <c r="U2980" t="inlineStr">
        <is>
          <t>Medium</t>
        </is>
      </c>
      <c r="V2980">
        <f>IF(AND(OR(Dashboard!$C$6="All",E2980=Dashboard!$C$6),OR(Dashboard!$F$6="All",G2980=Dashboard!$F$6),OR(Dashboard!$I$6="All",H2980=Dashboard!$I$6)),1,0)</f>
        <v/>
      </c>
    </row>
    <row r="2981">
      <c r="A2981" t="inlineStr">
        <is>
          <t>PF102972</t>
        </is>
      </c>
      <c r="B2981" s="68" t="n">
        <v>46016</v>
      </c>
      <c r="C2981" s="69" t="n">
        <v>2025</v>
      </c>
      <c r="D2981" t="inlineStr">
        <is>
          <t>Dec</t>
        </is>
      </c>
      <c r="E2981" t="inlineStr">
        <is>
          <t>United States</t>
        </is>
      </c>
      <c r="F2981" t="inlineStr">
        <is>
          <t>USA</t>
        </is>
      </c>
      <c r="G2981" t="inlineStr">
        <is>
          <t>Xeljanz</t>
        </is>
      </c>
      <c r="H2981" t="inlineStr">
        <is>
          <t>Retail pharmacy</t>
        </is>
      </c>
      <c r="I2981" t="inlineStr">
        <is>
          <t>Private insurer</t>
        </is>
      </c>
      <c r="J2981" t="inlineStr">
        <is>
          <t>Fatima Al-Saud</t>
        </is>
      </c>
      <c r="K2981" s="70" t="n">
        <v>1992</v>
      </c>
      <c r="L2981" s="71" t="n">
        <v>2356.98</v>
      </c>
      <c r="M2981" s="71" t="n">
        <v>4695104.16</v>
      </c>
      <c r="N2981" s="71" t="n">
        <v>939020.83</v>
      </c>
      <c r="O2981" s="71" t="n">
        <v>3756083.33</v>
      </c>
      <c r="P2981" s="71" t="n">
        <v>483904.59</v>
      </c>
      <c r="Q2981" s="71" t="n">
        <v>3272178.74</v>
      </c>
      <c r="R2981" t="inlineStr">
        <is>
          <t>Inflammation</t>
        </is>
      </c>
      <c r="S2981" s="70" t="n">
        <v>1573</v>
      </c>
      <c r="T2981" s="71" t="n">
        <v>762678.95</v>
      </c>
      <c r="U2981" t="inlineStr">
        <is>
          <t>High</t>
        </is>
      </c>
      <c r="V2981">
        <f>IF(AND(OR(Dashboard!$C$6="All",E2981=Dashboard!$C$6),OR(Dashboard!$F$6="All",G2981=Dashboard!$F$6),OR(Dashboard!$I$6="All",H2981=Dashboard!$I$6)),1,0)</f>
        <v/>
      </c>
    </row>
    <row r="2982">
      <c r="A2982" t="inlineStr">
        <is>
          <t>PF102973</t>
        </is>
      </c>
      <c r="B2982" s="68" t="n">
        <v>46016</v>
      </c>
      <c r="C2982" s="69" t="n">
        <v>2025</v>
      </c>
      <c r="D2982" t="inlineStr">
        <is>
          <t>Dec</t>
        </is>
      </c>
      <c r="E2982" t="inlineStr">
        <is>
          <t>Europe</t>
        </is>
      </c>
      <c r="F2982" t="inlineStr">
        <is>
          <t>Germany</t>
        </is>
      </c>
      <c r="G2982" t="inlineStr">
        <is>
          <t>Paxlovid</t>
        </is>
      </c>
      <c r="H2982" t="inlineStr">
        <is>
          <t>Retail pharmacy</t>
        </is>
      </c>
      <c r="I2982" t="inlineStr">
        <is>
          <t>Self-pay</t>
        </is>
      </c>
      <c r="J2982" t="inlineStr">
        <is>
          <t>Liam O'Brien</t>
        </is>
      </c>
      <c r="K2982" s="70" t="n">
        <v>815</v>
      </c>
      <c r="L2982" s="71" t="n">
        <v>1054.82</v>
      </c>
      <c r="M2982" s="71" t="n">
        <v>859678.3</v>
      </c>
      <c r="N2982" s="71" t="n">
        <v>128951.74</v>
      </c>
      <c r="O2982" s="71" t="n">
        <v>730726.5600000001</v>
      </c>
      <c r="P2982" s="71" t="n">
        <v>222140.91</v>
      </c>
      <c r="Q2982" s="71" t="n">
        <v>508585.65</v>
      </c>
      <c r="R2982" t="inlineStr">
        <is>
          <t>Antiviral</t>
        </is>
      </c>
      <c r="S2982" s="70" t="n">
        <v>614</v>
      </c>
      <c r="T2982" s="71" t="n">
        <v>137319.03</v>
      </c>
      <c r="U2982" t="inlineStr">
        <is>
          <t>Low</t>
        </is>
      </c>
      <c r="V2982">
        <f>IF(AND(OR(Dashboard!$C$6="All",E2982=Dashboard!$C$6),OR(Dashboard!$F$6="All",G2982=Dashboard!$F$6),OR(Dashboard!$I$6="All",H2982=Dashboard!$I$6)),1,0)</f>
        <v/>
      </c>
    </row>
    <row r="2983">
      <c r="A2983" t="inlineStr">
        <is>
          <t>PF102974</t>
        </is>
      </c>
      <c r="B2983" s="68" t="n">
        <v>46016</v>
      </c>
      <c r="C2983" s="69" t="n">
        <v>2025</v>
      </c>
      <c r="D2983" t="inlineStr">
        <is>
          <t>Dec</t>
        </is>
      </c>
      <c r="E2983" t="inlineStr">
        <is>
          <t>Europe</t>
        </is>
      </c>
      <c r="F2983" t="inlineStr">
        <is>
          <t>UK</t>
        </is>
      </c>
      <c r="G2983" t="inlineStr">
        <is>
          <t>Comirnaty</t>
        </is>
      </c>
      <c r="H2983" t="inlineStr">
        <is>
          <t>Retail pharmacy</t>
        </is>
      </c>
      <c r="I2983" t="inlineStr">
        <is>
          <t>Public payer</t>
        </is>
      </c>
      <c r="J2983" t="inlineStr">
        <is>
          <t>Emma Clarke</t>
        </is>
      </c>
      <c r="K2983" s="70" t="n">
        <v>1062</v>
      </c>
      <c r="L2983" s="71" t="n">
        <v>114.63</v>
      </c>
      <c r="M2983" s="71" t="n">
        <v>121737.06</v>
      </c>
      <c r="N2983" s="71" t="n">
        <v>6086.85</v>
      </c>
      <c r="O2983" s="71" t="n">
        <v>115650.21</v>
      </c>
      <c r="P2983" s="71" t="n">
        <v>40064.39</v>
      </c>
      <c r="Q2983" s="71" t="n">
        <v>75585.82000000001</v>
      </c>
      <c r="R2983" t="inlineStr">
        <is>
          <t>Vaccines</t>
        </is>
      </c>
      <c r="S2983" s="70" t="n">
        <v>683</v>
      </c>
      <c r="T2983" s="71" t="n">
        <v>20338.53</v>
      </c>
      <c r="U2983" t="inlineStr">
        <is>
          <t>Low</t>
        </is>
      </c>
      <c r="V2983">
        <f>IF(AND(OR(Dashboard!$C$6="All",E2983=Dashboard!$C$6),OR(Dashboard!$F$6="All",G2983=Dashboard!$F$6),OR(Dashboard!$I$6="All",H2983=Dashboard!$I$6)),1,0)</f>
        <v/>
      </c>
    </row>
    <row r="2984">
      <c r="A2984" t="inlineStr">
        <is>
          <t>PF102975</t>
        </is>
      </c>
      <c r="B2984" s="68" t="n">
        <v>46016</v>
      </c>
      <c r="C2984" s="69" t="n">
        <v>2025</v>
      </c>
      <c r="D2984" t="inlineStr">
        <is>
          <t>Dec</t>
        </is>
      </c>
      <c r="E2984" t="inlineStr">
        <is>
          <t>Europe</t>
        </is>
      </c>
      <c r="F2984" t="inlineStr">
        <is>
          <t>Spain</t>
        </is>
      </c>
      <c r="G2984" t="inlineStr">
        <is>
          <t>Vyndaqel</t>
        </is>
      </c>
      <c r="H2984" t="inlineStr">
        <is>
          <t>Retail pharmacy</t>
        </is>
      </c>
      <c r="I2984" t="inlineStr">
        <is>
          <t>Public payer</t>
        </is>
      </c>
      <c r="J2984" t="inlineStr">
        <is>
          <t>Emma Clarke</t>
        </is>
      </c>
      <c r="K2984" s="70" t="n">
        <v>1185</v>
      </c>
      <c r="L2984" s="71" t="n">
        <v>5035.13</v>
      </c>
      <c r="M2984" s="71" t="n">
        <v>5966629.05</v>
      </c>
      <c r="N2984" s="71" t="n">
        <v>596662.91</v>
      </c>
      <c r="O2984" s="71" t="n">
        <v>5369966.14</v>
      </c>
      <c r="P2984" s="71" t="n">
        <v>717502.92</v>
      </c>
      <c r="Q2984" s="71" t="n">
        <v>4652463.22</v>
      </c>
      <c r="R2984" t="inlineStr">
        <is>
          <t>Rare disease</t>
        </is>
      </c>
      <c r="S2984" s="70" t="n">
        <v>963</v>
      </c>
      <c r="T2984" s="71" t="n">
        <v>952956.49</v>
      </c>
      <c r="U2984" t="inlineStr">
        <is>
          <t>Medium</t>
        </is>
      </c>
      <c r="V2984">
        <f>IF(AND(OR(Dashboard!$C$6="All",E2984=Dashboard!$C$6),OR(Dashboard!$F$6="All",G2984=Dashboard!$F$6),OR(Dashboard!$I$6="All",H2984=Dashboard!$I$6)),1,0)</f>
        <v/>
      </c>
    </row>
    <row r="2985">
      <c r="A2985" t="inlineStr">
        <is>
          <t>PF102976</t>
        </is>
      </c>
      <c r="B2985" s="68" t="n">
        <v>46016</v>
      </c>
      <c r="C2985" s="69" t="n">
        <v>2025</v>
      </c>
      <c r="D2985" t="inlineStr">
        <is>
          <t>Dec</t>
        </is>
      </c>
      <c r="E2985" t="inlineStr">
        <is>
          <t>United States</t>
        </is>
      </c>
      <c r="F2985" t="inlineStr">
        <is>
          <t>USA</t>
        </is>
      </c>
      <c r="G2985" t="inlineStr">
        <is>
          <t>Prevnar 20</t>
        </is>
      </c>
      <c r="H2985" t="inlineStr">
        <is>
          <t>Government / tender</t>
        </is>
      </c>
      <c r="I2985" t="inlineStr">
        <is>
          <t>Self-pay</t>
        </is>
      </c>
      <c r="J2985" t="inlineStr">
        <is>
          <t>Mei Lin</t>
        </is>
      </c>
      <c r="K2985" s="70" t="n">
        <v>2283</v>
      </c>
      <c r="L2985" s="71" t="n">
        <v>395.46</v>
      </c>
      <c r="M2985" s="71" t="n">
        <v>902835.1800000001</v>
      </c>
      <c r="N2985" s="71" t="n">
        <v>135425.28</v>
      </c>
      <c r="O2985" s="71" t="n">
        <v>767409.9</v>
      </c>
      <c r="P2985" s="71" t="n">
        <v>151779.64</v>
      </c>
      <c r="Q2985" s="71" t="n">
        <v>615630.26</v>
      </c>
      <c r="R2985" t="inlineStr">
        <is>
          <t>Vaccines</t>
        </is>
      </c>
      <c r="S2985" s="70" t="n">
        <v>1465</v>
      </c>
      <c r="T2985" s="71" t="n">
        <v>182245.33</v>
      </c>
      <c r="U2985" t="inlineStr">
        <is>
          <t>Low</t>
        </is>
      </c>
      <c r="V2985">
        <f>IF(AND(OR(Dashboard!$C$6="All",E2985=Dashboard!$C$6),OR(Dashboard!$F$6="All",G2985=Dashboard!$F$6),OR(Dashboard!$I$6="All",H2985=Dashboard!$I$6)),1,0)</f>
        <v/>
      </c>
    </row>
    <row r="2986">
      <c r="A2986" t="inlineStr">
        <is>
          <t>PF102977</t>
        </is>
      </c>
      <c r="B2986" s="68" t="n">
        <v>46016</v>
      </c>
      <c r="C2986" s="69" t="n">
        <v>2025</v>
      </c>
      <c r="D2986" t="inlineStr">
        <is>
          <t>Dec</t>
        </is>
      </c>
      <c r="E2986" t="inlineStr">
        <is>
          <t>United States</t>
        </is>
      </c>
      <c r="F2986" t="inlineStr">
        <is>
          <t>USA</t>
        </is>
      </c>
      <c r="G2986" t="inlineStr">
        <is>
          <t>Eliquis</t>
        </is>
      </c>
      <c r="H2986" t="inlineStr">
        <is>
          <t>Retail pharmacy</t>
        </is>
      </c>
      <c r="I2986" t="inlineStr">
        <is>
          <t>Public payer</t>
        </is>
      </c>
      <c r="J2986" t="inlineStr">
        <is>
          <t>Wei Chen</t>
        </is>
      </c>
      <c r="K2986" s="70" t="n">
        <v>419</v>
      </c>
      <c r="L2986" s="71" t="n">
        <v>611.71</v>
      </c>
      <c r="M2986" s="71" t="n">
        <v>256306.49</v>
      </c>
      <c r="N2986" s="71" t="n">
        <v>51261.3</v>
      </c>
      <c r="O2986" s="71" t="n">
        <v>205045.19</v>
      </c>
      <c r="P2986" s="71" t="n">
        <v>32784.29</v>
      </c>
      <c r="Q2986" s="71" t="n">
        <v>172260.9</v>
      </c>
      <c r="R2986" t="inlineStr">
        <is>
          <t>Cardiology</t>
        </is>
      </c>
      <c r="S2986" s="70" t="n">
        <v>301</v>
      </c>
      <c r="T2986" s="71" t="n">
        <v>44564.29</v>
      </c>
      <c r="U2986" t="inlineStr">
        <is>
          <t>High</t>
        </is>
      </c>
      <c r="V2986">
        <f>IF(AND(OR(Dashboard!$C$6="All",E2986=Dashboard!$C$6),OR(Dashboard!$F$6="All",G2986=Dashboard!$F$6),OR(Dashboard!$I$6="All",H2986=Dashboard!$I$6)),1,0)</f>
        <v/>
      </c>
    </row>
    <row r="2987">
      <c r="A2987" t="inlineStr">
        <is>
          <t>PF102978</t>
        </is>
      </c>
      <c r="B2987" s="68" t="n">
        <v>46016</v>
      </c>
      <c r="C2987" s="69" t="n">
        <v>2025</v>
      </c>
      <c r="D2987" t="inlineStr">
        <is>
          <t>Dec</t>
        </is>
      </c>
      <c r="E2987" t="inlineStr">
        <is>
          <t>Europe</t>
        </is>
      </c>
      <c r="F2987" t="inlineStr">
        <is>
          <t>Spain</t>
        </is>
      </c>
      <c r="G2987" t="inlineStr">
        <is>
          <t>Paxlovid</t>
        </is>
      </c>
      <c r="H2987" t="inlineStr">
        <is>
          <t>Retail pharmacy</t>
        </is>
      </c>
      <c r="I2987" t="inlineStr">
        <is>
          <t>Private insurer</t>
        </is>
      </c>
      <c r="J2987" t="inlineStr">
        <is>
          <t>Shraddha Kulkarni</t>
        </is>
      </c>
      <c r="K2987" s="70" t="n">
        <v>3204</v>
      </c>
      <c r="L2987" s="71" t="n">
        <v>1040.68</v>
      </c>
      <c r="M2987" s="71" t="n">
        <v>3334338.72</v>
      </c>
      <c r="N2987" s="71" t="n">
        <v>833584.6800000001</v>
      </c>
      <c r="O2987" s="71" t="n">
        <v>2500754.04</v>
      </c>
      <c r="P2987" s="71" t="n">
        <v>869223.91</v>
      </c>
      <c r="Q2987" s="71" t="n">
        <v>1631530.13</v>
      </c>
      <c r="R2987" t="inlineStr">
        <is>
          <t>Antiviral</t>
        </is>
      </c>
      <c r="S2987" s="70" t="n">
        <v>2387</v>
      </c>
      <c r="T2987" s="71" t="n">
        <v>726304.99</v>
      </c>
      <c r="U2987" t="inlineStr">
        <is>
          <t>Low</t>
        </is>
      </c>
      <c r="V2987">
        <f>IF(AND(OR(Dashboard!$C$6="All",E2987=Dashboard!$C$6),OR(Dashboard!$F$6="All",G2987=Dashboard!$F$6),OR(Dashboard!$I$6="All",H2987=Dashboard!$I$6)),1,0)</f>
        <v/>
      </c>
    </row>
    <row r="2988">
      <c r="A2988" t="inlineStr">
        <is>
          <t>PF102979</t>
        </is>
      </c>
      <c r="B2988" s="68" t="n">
        <v>46017</v>
      </c>
      <c r="C2988" s="69" t="n">
        <v>2025</v>
      </c>
      <c r="D2988" t="inlineStr">
        <is>
          <t>Dec</t>
        </is>
      </c>
      <c r="E2988" t="inlineStr">
        <is>
          <t>United States</t>
        </is>
      </c>
      <c r="F2988" t="inlineStr">
        <is>
          <t>USA</t>
        </is>
      </c>
      <c r="G2988" t="inlineStr">
        <is>
          <t>Eliquis</t>
        </is>
      </c>
      <c r="H2988" t="inlineStr">
        <is>
          <t>Retail pharmacy</t>
        </is>
      </c>
      <c r="I2988" t="inlineStr">
        <is>
          <t>Private insurer</t>
        </is>
      </c>
      <c r="J2988" t="inlineStr">
        <is>
          <t>Kofi Mensah</t>
        </is>
      </c>
      <c r="K2988" s="70" t="n">
        <v>1730</v>
      </c>
      <c r="L2988" s="71" t="n">
        <v>687.47</v>
      </c>
      <c r="M2988" s="71" t="n">
        <v>1189323.1</v>
      </c>
      <c r="N2988" s="71" t="n">
        <v>356796.93</v>
      </c>
      <c r="O2988" s="71" t="n">
        <v>832526.17</v>
      </c>
      <c r="P2988" s="71" t="n">
        <v>134705.93</v>
      </c>
      <c r="Q2988" s="71" t="n">
        <v>697820.24</v>
      </c>
      <c r="R2988" t="inlineStr">
        <is>
          <t>Cardiology</t>
        </is>
      </c>
      <c r="S2988" s="70" t="n">
        <v>1123</v>
      </c>
      <c r="T2988" s="71" t="n">
        <v>175528.12</v>
      </c>
      <c r="U2988" t="inlineStr">
        <is>
          <t>High</t>
        </is>
      </c>
      <c r="V2988">
        <f>IF(AND(OR(Dashboard!$C$6="All",E2988=Dashboard!$C$6),OR(Dashboard!$F$6="All",G2988=Dashboard!$F$6),OR(Dashboard!$I$6="All",H2988=Dashboard!$I$6)),1,0)</f>
        <v/>
      </c>
    </row>
    <row r="2989">
      <c r="A2989" t="inlineStr">
        <is>
          <t>PF102980</t>
        </is>
      </c>
      <c r="B2989" s="68" t="n">
        <v>46017</v>
      </c>
      <c r="C2989" s="69" t="n">
        <v>2025</v>
      </c>
      <c r="D2989" t="inlineStr">
        <is>
          <t>Dec</t>
        </is>
      </c>
      <c r="E2989" t="inlineStr">
        <is>
          <t>Europe</t>
        </is>
      </c>
      <c r="F2989" t="inlineStr">
        <is>
          <t>Germany</t>
        </is>
      </c>
      <c r="G2989" t="inlineStr">
        <is>
          <t>Abrysvo</t>
        </is>
      </c>
      <c r="H2989" t="inlineStr">
        <is>
          <t>Government / tender</t>
        </is>
      </c>
      <c r="I2989" t="inlineStr">
        <is>
          <t>Public payer</t>
        </is>
      </c>
      <c r="J2989" t="inlineStr">
        <is>
          <t>Sara Rossi</t>
        </is>
      </c>
      <c r="K2989" s="70" t="n">
        <v>2959</v>
      </c>
      <c r="L2989" s="71" t="n">
        <v>274.56</v>
      </c>
      <c r="M2989" s="71" t="n">
        <v>812423.04</v>
      </c>
      <c r="N2989" s="71" t="n">
        <v>162484.61</v>
      </c>
      <c r="O2989" s="71" t="n">
        <v>649938.4300000001</v>
      </c>
      <c r="P2989" s="71" t="n">
        <v>247234.09</v>
      </c>
      <c r="Q2989" s="71" t="n">
        <v>402704.34</v>
      </c>
      <c r="R2989" t="inlineStr">
        <is>
          <t>Vaccines</t>
        </is>
      </c>
      <c r="S2989" s="70" t="n">
        <v>2689</v>
      </c>
      <c r="T2989" s="71" t="n">
        <v>147166.42</v>
      </c>
      <c r="U2989" t="inlineStr">
        <is>
          <t>Low</t>
        </is>
      </c>
      <c r="V2989">
        <f>IF(AND(OR(Dashboard!$C$6="All",E2989=Dashboard!$C$6),OR(Dashboard!$F$6="All",G2989=Dashboard!$F$6),OR(Dashboard!$I$6="All",H2989=Dashboard!$I$6)),1,0)</f>
        <v/>
      </c>
    </row>
    <row r="2990">
      <c r="A2990" t="inlineStr">
        <is>
          <t>PF102981</t>
        </is>
      </c>
      <c r="B2990" s="68" t="n">
        <v>46017</v>
      </c>
      <c r="C2990" s="69" t="n">
        <v>2025</v>
      </c>
      <c r="D2990" t="inlineStr">
        <is>
          <t>Dec</t>
        </is>
      </c>
      <c r="E2990" t="inlineStr">
        <is>
          <t>United States</t>
        </is>
      </c>
      <c r="F2990" t="inlineStr">
        <is>
          <t>USA</t>
        </is>
      </c>
      <c r="G2990" t="inlineStr">
        <is>
          <t>Paxlovid</t>
        </is>
      </c>
      <c r="H2990" t="inlineStr">
        <is>
          <t>Hospital</t>
        </is>
      </c>
      <c r="I2990" t="inlineStr">
        <is>
          <t>Private insurer</t>
        </is>
      </c>
      <c r="J2990" t="inlineStr">
        <is>
          <t>Wei Chen</t>
        </is>
      </c>
      <c r="K2990" s="70" t="n">
        <v>3126</v>
      </c>
      <c r="L2990" s="71" t="n">
        <v>1607.98</v>
      </c>
      <c r="M2990" s="71" t="n">
        <v>5026545.48</v>
      </c>
      <c r="N2990" s="71" t="n">
        <v>1256636.37</v>
      </c>
      <c r="O2990" s="71" t="n">
        <v>3769909.11</v>
      </c>
      <c r="P2990" s="71" t="n">
        <v>868784.34</v>
      </c>
      <c r="Q2990" s="71" t="n">
        <v>2901124.77</v>
      </c>
      <c r="R2990" t="inlineStr">
        <is>
          <t>Antiviral</t>
        </is>
      </c>
      <c r="S2990" s="70" t="n">
        <v>2338</v>
      </c>
      <c r="T2990" s="71" t="n">
        <v>758346.55</v>
      </c>
      <c r="U2990" t="inlineStr">
        <is>
          <t>Low</t>
        </is>
      </c>
      <c r="V2990">
        <f>IF(AND(OR(Dashboard!$C$6="All",E2990=Dashboard!$C$6),OR(Dashboard!$F$6="All",G2990=Dashboard!$F$6),OR(Dashboard!$I$6="All",H2990=Dashboard!$I$6)),1,0)</f>
        <v/>
      </c>
    </row>
    <row r="2991">
      <c r="A2991" t="inlineStr">
        <is>
          <t>PF102982</t>
        </is>
      </c>
      <c r="B2991" s="68" t="n">
        <v>46017</v>
      </c>
      <c r="C2991" s="69" t="n">
        <v>2025</v>
      </c>
      <c r="D2991" t="inlineStr">
        <is>
          <t>Dec</t>
        </is>
      </c>
      <c r="E2991" t="inlineStr">
        <is>
          <t>International developed</t>
        </is>
      </c>
      <c r="F2991" t="inlineStr">
        <is>
          <t>Australia</t>
        </is>
      </c>
      <c r="G2991" t="inlineStr">
        <is>
          <t>Comirnaty</t>
        </is>
      </c>
      <c r="H2991" t="inlineStr">
        <is>
          <t>Hospital</t>
        </is>
      </c>
      <c r="I2991" t="inlineStr">
        <is>
          <t>Self-pay</t>
        </is>
      </c>
      <c r="J2991" t="inlineStr">
        <is>
          <t>Arjun Mehta</t>
        </is>
      </c>
      <c r="K2991" s="70" t="n">
        <v>3203</v>
      </c>
      <c r="L2991" s="71" t="n">
        <v>110.43</v>
      </c>
      <c r="M2991" s="71" t="n">
        <v>353707.29</v>
      </c>
      <c r="N2991" s="71" t="n">
        <v>88426.82000000001</v>
      </c>
      <c r="O2991" s="71" t="n">
        <v>265280.47</v>
      </c>
      <c r="P2991" s="71" t="n">
        <v>122851.22</v>
      </c>
      <c r="Q2991" s="71" t="n">
        <v>142429.25</v>
      </c>
      <c r="R2991" t="inlineStr">
        <is>
          <t>Vaccines</t>
        </is>
      </c>
      <c r="S2991" s="70" t="n">
        <v>2017</v>
      </c>
      <c r="T2991" s="71" t="n">
        <v>58943.77</v>
      </c>
      <c r="U2991" t="inlineStr">
        <is>
          <t>Low</t>
        </is>
      </c>
      <c r="V2991">
        <f>IF(AND(OR(Dashboard!$C$6="All",E2991=Dashboard!$C$6),OR(Dashboard!$F$6="All",G2991=Dashboard!$F$6),OR(Dashboard!$I$6="All",H2991=Dashboard!$I$6)),1,0)</f>
        <v/>
      </c>
    </row>
    <row r="2992">
      <c r="A2992" t="inlineStr">
        <is>
          <t>PF102983</t>
        </is>
      </c>
      <c r="B2992" s="68" t="n">
        <v>46017</v>
      </c>
      <c r="C2992" s="69" t="n">
        <v>2025</v>
      </c>
      <c r="D2992" t="inlineStr">
        <is>
          <t>Dec</t>
        </is>
      </c>
      <c r="E2992" t="inlineStr">
        <is>
          <t>Emerging markets</t>
        </is>
      </c>
      <c r="F2992" t="inlineStr">
        <is>
          <t>Mexico</t>
        </is>
      </c>
      <c r="G2992" t="inlineStr">
        <is>
          <t>Xeljanz</t>
        </is>
      </c>
      <c r="H2992" t="inlineStr">
        <is>
          <t>Hospital</t>
        </is>
      </c>
      <c r="I2992" t="inlineStr">
        <is>
          <t>Private insurer</t>
        </is>
      </c>
      <c r="J2992" t="inlineStr">
        <is>
          <t>Shraddha Kulkarni</t>
        </is>
      </c>
      <c r="K2992" s="70" t="n">
        <v>1989</v>
      </c>
      <c r="L2992" s="71" t="n">
        <v>1260.63</v>
      </c>
      <c r="M2992" s="71" t="n">
        <v>2507393.07</v>
      </c>
      <c r="N2992" s="71" t="n">
        <v>376108.96</v>
      </c>
      <c r="O2992" s="71" t="n">
        <v>2131284.11</v>
      </c>
      <c r="P2992" s="71" t="n">
        <v>511196.63</v>
      </c>
      <c r="Q2992" s="71" t="n">
        <v>1620087.48</v>
      </c>
      <c r="R2992" t="inlineStr">
        <is>
          <t>Inflammation</t>
        </is>
      </c>
      <c r="S2992" s="70" t="n">
        <v>1272</v>
      </c>
      <c r="T2992" s="71" t="n">
        <v>502595.76</v>
      </c>
      <c r="U2992" t="inlineStr">
        <is>
          <t>High</t>
        </is>
      </c>
      <c r="V2992">
        <f>IF(AND(OR(Dashboard!$C$6="All",E2992=Dashboard!$C$6),OR(Dashboard!$F$6="All",G2992=Dashboard!$F$6),OR(Dashboard!$I$6="All",H2992=Dashboard!$I$6)),1,0)</f>
        <v/>
      </c>
    </row>
    <row r="2993">
      <c r="A2993" t="inlineStr">
        <is>
          <t>PF102984</t>
        </is>
      </c>
      <c r="B2993" s="68" t="n">
        <v>46017</v>
      </c>
      <c r="C2993" s="69" t="n">
        <v>2025</v>
      </c>
      <c r="D2993" t="inlineStr">
        <is>
          <t>Dec</t>
        </is>
      </c>
      <c r="E2993" t="inlineStr">
        <is>
          <t>United States</t>
        </is>
      </c>
      <c r="F2993" t="inlineStr">
        <is>
          <t>USA</t>
        </is>
      </c>
      <c r="G2993" t="inlineStr">
        <is>
          <t>Eliquis</t>
        </is>
      </c>
      <c r="H2993" t="inlineStr">
        <is>
          <t>Government / tender</t>
        </is>
      </c>
      <c r="I2993" t="inlineStr">
        <is>
          <t>Public payer</t>
        </is>
      </c>
      <c r="J2993" t="inlineStr">
        <is>
          <t>Ravindra Patil</t>
        </is>
      </c>
      <c r="K2993" s="70" t="n">
        <v>998</v>
      </c>
      <c r="L2993" s="71" t="n">
        <v>713.33</v>
      </c>
      <c r="M2993" s="71" t="n">
        <v>711903.34</v>
      </c>
      <c r="N2993" s="71" t="n">
        <v>106785.5</v>
      </c>
      <c r="O2993" s="71" t="n">
        <v>605117.84</v>
      </c>
      <c r="P2993" s="71" t="n">
        <v>75985.69</v>
      </c>
      <c r="Q2993" s="71" t="n">
        <v>529132.15</v>
      </c>
      <c r="R2993" t="inlineStr">
        <is>
          <t>Cardiology</t>
        </is>
      </c>
      <c r="S2993" s="70" t="n">
        <v>630</v>
      </c>
      <c r="T2993" s="71" t="n">
        <v>142782.57</v>
      </c>
      <c r="U2993" t="inlineStr">
        <is>
          <t>High</t>
        </is>
      </c>
      <c r="V2993">
        <f>IF(AND(OR(Dashboard!$C$6="All",E2993=Dashboard!$C$6),OR(Dashboard!$F$6="All",G2993=Dashboard!$F$6),OR(Dashboard!$I$6="All",H2993=Dashboard!$I$6)),1,0)</f>
        <v/>
      </c>
    </row>
    <row r="2994">
      <c r="A2994" t="inlineStr">
        <is>
          <t>PF102985</t>
        </is>
      </c>
      <c r="B2994" s="68" t="n">
        <v>46017</v>
      </c>
      <c r="C2994" s="69" t="n">
        <v>2025</v>
      </c>
      <c r="D2994" t="inlineStr">
        <is>
          <t>Dec</t>
        </is>
      </c>
      <c r="E2994" t="inlineStr">
        <is>
          <t>Europe</t>
        </is>
      </c>
      <c r="F2994" t="inlineStr">
        <is>
          <t>Germany</t>
        </is>
      </c>
      <c r="G2994" t="inlineStr">
        <is>
          <t>Comirnaty</t>
        </is>
      </c>
      <c r="H2994" t="inlineStr">
        <is>
          <t>Hospital</t>
        </is>
      </c>
      <c r="I2994" t="inlineStr">
        <is>
          <t>Private insurer</t>
        </is>
      </c>
      <c r="J2994" t="inlineStr">
        <is>
          <t>Wei Chen</t>
        </is>
      </c>
      <c r="K2994" s="70" t="n">
        <v>615</v>
      </c>
      <c r="L2994" s="71" t="n">
        <v>111.39</v>
      </c>
      <c r="M2994" s="71" t="n">
        <v>68504.85000000001</v>
      </c>
      <c r="N2994" s="71" t="n">
        <v>13700.97</v>
      </c>
      <c r="O2994" s="71" t="n">
        <v>54803.88</v>
      </c>
      <c r="P2994" s="71" t="n">
        <v>23273.54</v>
      </c>
      <c r="Q2994" s="71" t="n">
        <v>31530.34</v>
      </c>
      <c r="R2994" t="inlineStr">
        <is>
          <t>Vaccines</t>
        </is>
      </c>
      <c r="S2994" s="70" t="n">
        <v>469</v>
      </c>
      <c r="T2994" s="71" t="n">
        <v>8866.65</v>
      </c>
      <c r="U2994" t="inlineStr">
        <is>
          <t>Low</t>
        </is>
      </c>
      <c r="V2994">
        <f>IF(AND(OR(Dashboard!$C$6="All",E2994=Dashboard!$C$6),OR(Dashboard!$F$6="All",G2994=Dashboard!$F$6),OR(Dashboard!$I$6="All",H2994=Dashboard!$I$6)),1,0)</f>
        <v/>
      </c>
    </row>
    <row r="2995">
      <c r="A2995" t="inlineStr">
        <is>
          <t>PF102986</t>
        </is>
      </c>
      <c r="B2995" s="68" t="n">
        <v>46017</v>
      </c>
      <c r="C2995" s="69" t="n">
        <v>2025</v>
      </c>
      <c r="D2995" t="inlineStr">
        <is>
          <t>Dec</t>
        </is>
      </c>
      <c r="E2995" t="inlineStr">
        <is>
          <t>Europe</t>
        </is>
      </c>
      <c r="F2995" t="inlineStr">
        <is>
          <t>Italy</t>
        </is>
      </c>
      <c r="G2995" t="inlineStr">
        <is>
          <t>Vyndaqel</t>
        </is>
      </c>
      <c r="H2995" t="inlineStr">
        <is>
          <t>Retail pharmacy</t>
        </is>
      </c>
      <c r="I2995" t="inlineStr">
        <is>
          <t>Private insurer</t>
        </is>
      </c>
      <c r="J2995" t="inlineStr">
        <is>
          <t>Carlos Silva</t>
        </is>
      </c>
      <c r="K2995" s="70" t="n">
        <v>2471</v>
      </c>
      <c r="L2995" s="71" t="n">
        <v>5496.45</v>
      </c>
      <c r="M2995" s="71" t="n">
        <v>13581727.95</v>
      </c>
      <c r="N2995" s="71" t="n">
        <v>679086.4</v>
      </c>
      <c r="O2995" s="71" t="n">
        <v>12902641.55</v>
      </c>
      <c r="P2995" s="71" t="n">
        <v>1583617.46</v>
      </c>
      <c r="Q2995" s="71" t="n">
        <v>11319024.09</v>
      </c>
      <c r="R2995" t="inlineStr">
        <is>
          <t>Rare disease</t>
        </is>
      </c>
      <c r="S2995" s="70" t="n">
        <v>1606</v>
      </c>
      <c r="T2995" s="71" t="n">
        <v>2120241.63</v>
      </c>
      <c r="U2995" t="inlineStr">
        <is>
          <t>Medium</t>
        </is>
      </c>
      <c r="V2995">
        <f>IF(AND(OR(Dashboard!$C$6="All",E2995=Dashboard!$C$6),OR(Dashboard!$F$6="All",G2995=Dashboard!$F$6),OR(Dashboard!$I$6="All",H2995=Dashboard!$I$6)),1,0)</f>
        <v/>
      </c>
    </row>
    <row r="2996">
      <c r="A2996" t="inlineStr">
        <is>
          <t>PF102987</t>
        </is>
      </c>
      <c r="B2996" s="68" t="n">
        <v>46017</v>
      </c>
      <c r="C2996" s="69" t="n">
        <v>2025</v>
      </c>
      <c r="D2996" t="inlineStr">
        <is>
          <t>Dec</t>
        </is>
      </c>
      <c r="E2996" t="inlineStr">
        <is>
          <t>United States</t>
        </is>
      </c>
      <c r="F2996" t="inlineStr">
        <is>
          <t>USA</t>
        </is>
      </c>
      <c r="G2996" t="inlineStr">
        <is>
          <t>Eliquis</t>
        </is>
      </c>
      <c r="H2996" t="inlineStr">
        <is>
          <t>Hospital</t>
        </is>
      </c>
      <c r="I2996" t="inlineStr">
        <is>
          <t>Public payer</t>
        </is>
      </c>
      <c r="J2996" t="inlineStr">
        <is>
          <t>Arjun Mehta</t>
        </is>
      </c>
      <c r="K2996" s="70" t="n">
        <v>1927</v>
      </c>
      <c r="L2996" s="71" t="n">
        <v>648.48</v>
      </c>
      <c r="M2996" s="71" t="n">
        <v>1249620.96</v>
      </c>
      <c r="N2996" s="71" t="n">
        <v>187443.14</v>
      </c>
      <c r="O2996" s="71" t="n">
        <v>1062177.82</v>
      </c>
      <c r="P2996" s="71" t="n">
        <v>140750.61</v>
      </c>
      <c r="Q2996" s="71" t="n">
        <v>921427.21</v>
      </c>
      <c r="R2996" t="inlineStr">
        <is>
          <t>Cardiology</t>
        </is>
      </c>
      <c r="S2996" s="70" t="n">
        <v>1226</v>
      </c>
      <c r="T2996" s="71" t="n">
        <v>185697.04</v>
      </c>
      <c r="U2996" t="inlineStr">
        <is>
          <t>High</t>
        </is>
      </c>
      <c r="V2996">
        <f>IF(AND(OR(Dashboard!$C$6="All",E2996=Dashboard!$C$6),OR(Dashboard!$F$6="All",G2996=Dashboard!$F$6),OR(Dashboard!$I$6="All",H2996=Dashboard!$I$6)),1,0)</f>
        <v/>
      </c>
    </row>
    <row r="2997">
      <c r="A2997" t="inlineStr">
        <is>
          <t>PF102988</t>
        </is>
      </c>
      <c r="B2997" s="68" t="n">
        <v>46018</v>
      </c>
      <c r="C2997" s="69" t="n">
        <v>2025</v>
      </c>
      <c r="D2997" t="inlineStr">
        <is>
          <t>Dec</t>
        </is>
      </c>
      <c r="E2997" t="inlineStr">
        <is>
          <t>United States</t>
        </is>
      </c>
      <c r="F2997" t="inlineStr">
        <is>
          <t>USA</t>
        </is>
      </c>
      <c r="G2997" t="inlineStr">
        <is>
          <t>Prevnar 20</t>
        </is>
      </c>
      <c r="H2997" t="inlineStr">
        <is>
          <t>Government / tender</t>
        </is>
      </c>
      <c r="I2997" t="inlineStr">
        <is>
          <t>Public payer</t>
        </is>
      </c>
      <c r="J2997" t="inlineStr">
        <is>
          <t>Yuki Sato</t>
        </is>
      </c>
      <c r="K2997" s="70" t="n">
        <v>2460</v>
      </c>
      <c r="L2997" s="71" t="n">
        <v>371.84</v>
      </c>
      <c r="M2997" s="71" t="n">
        <v>914726.4</v>
      </c>
      <c r="N2997" s="71" t="n">
        <v>228681.6</v>
      </c>
      <c r="O2997" s="71" t="n">
        <v>686044.8</v>
      </c>
      <c r="P2997" s="71" t="n">
        <v>163800.82</v>
      </c>
      <c r="Q2997" s="71" t="n">
        <v>522243.98</v>
      </c>
      <c r="R2997" t="inlineStr">
        <is>
          <t>Vaccines</t>
        </is>
      </c>
      <c r="S2997" s="70" t="n">
        <v>2115</v>
      </c>
      <c r="T2997" s="71" t="n">
        <v>172575.43</v>
      </c>
      <c r="U2997" t="inlineStr">
        <is>
          <t>Low</t>
        </is>
      </c>
      <c r="V2997">
        <f>IF(AND(OR(Dashboard!$C$6="All",E2997=Dashboard!$C$6),OR(Dashboard!$F$6="All",G2997=Dashboard!$F$6),OR(Dashboard!$I$6="All",H2997=Dashboard!$I$6)),1,0)</f>
        <v/>
      </c>
    </row>
    <row r="2998">
      <c r="A2998" t="inlineStr">
        <is>
          <t>PF102989</t>
        </is>
      </c>
      <c r="B2998" s="68" t="n">
        <v>46018</v>
      </c>
      <c r="C2998" s="69" t="n">
        <v>2025</v>
      </c>
      <c r="D2998" t="inlineStr">
        <is>
          <t>Dec</t>
        </is>
      </c>
      <c r="E2998" t="inlineStr">
        <is>
          <t>Europe</t>
        </is>
      </c>
      <c r="F2998" t="inlineStr">
        <is>
          <t>UK</t>
        </is>
      </c>
      <c r="G2998" t="inlineStr">
        <is>
          <t>Vyndaqel</t>
        </is>
      </c>
      <c r="H2998" t="inlineStr">
        <is>
          <t>Retail pharmacy</t>
        </is>
      </c>
      <c r="I2998" t="inlineStr">
        <is>
          <t>Self-pay</t>
        </is>
      </c>
      <c r="J2998" t="inlineStr">
        <is>
          <t>Zoya Ahmed</t>
        </is>
      </c>
      <c r="K2998" s="70" t="n">
        <v>1792</v>
      </c>
      <c r="L2998" s="71" t="n">
        <v>5692.86</v>
      </c>
      <c r="M2998" s="71" t="n">
        <v>10201605.12</v>
      </c>
      <c r="N2998" s="71" t="n">
        <v>2550401.28</v>
      </c>
      <c r="O2998" s="71" t="n">
        <v>7651203.84</v>
      </c>
      <c r="P2998" s="71" t="n">
        <v>1132336.32</v>
      </c>
      <c r="Q2998" s="71" t="n">
        <v>6518867.52</v>
      </c>
      <c r="R2998" t="inlineStr">
        <is>
          <t>Rare disease</t>
        </is>
      </c>
      <c r="S2998" s="70" t="n">
        <v>1141</v>
      </c>
      <c r="T2998" s="71" t="n">
        <v>2054142.08</v>
      </c>
      <c r="U2998" t="inlineStr">
        <is>
          <t>Medium</t>
        </is>
      </c>
      <c r="V2998">
        <f>IF(AND(OR(Dashboard!$C$6="All",E2998=Dashboard!$C$6),OR(Dashboard!$F$6="All",G2998=Dashboard!$F$6),OR(Dashboard!$I$6="All",H2998=Dashboard!$I$6)),1,0)</f>
        <v/>
      </c>
    </row>
    <row r="2999">
      <c r="A2999" t="inlineStr">
        <is>
          <t>PF102990</t>
        </is>
      </c>
      <c r="B2999" s="68" t="n">
        <v>46018</v>
      </c>
      <c r="C2999" s="69" t="n">
        <v>2025</v>
      </c>
      <c r="D2999" t="inlineStr">
        <is>
          <t>Dec</t>
        </is>
      </c>
      <c r="E2999" t="inlineStr">
        <is>
          <t>Europe</t>
        </is>
      </c>
      <c r="F2999" t="inlineStr">
        <is>
          <t>France</t>
        </is>
      </c>
      <c r="G2999" t="inlineStr">
        <is>
          <t>Eliquis</t>
        </is>
      </c>
      <c r="H2999" t="inlineStr">
        <is>
          <t>Retail pharmacy</t>
        </is>
      </c>
      <c r="I2999" t="inlineStr">
        <is>
          <t>Private insurer</t>
        </is>
      </c>
      <c r="J2999" t="inlineStr">
        <is>
          <t>Shraddha Kulkarni</t>
        </is>
      </c>
      <c r="K2999" s="70" t="n">
        <v>2085</v>
      </c>
      <c r="L2999" s="71" t="n">
        <v>389.76</v>
      </c>
      <c r="M2999" s="71" t="n">
        <v>812649.6</v>
      </c>
      <c r="N2999" s="71" t="n">
        <v>81264.96000000001</v>
      </c>
      <c r="O2999" s="71" t="n">
        <v>731384.64</v>
      </c>
      <c r="P2999" s="71" t="n">
        <v>155736.49</v>
      </c>
      <c r="Q2999" s="71" t="n">
        <v>575648.15</v>
      </c>
      <c r="R2999" t="inlineStr">
        <is>
          <t>Cardiology</t>
        </is>
      </c>
      <c r="S2999" s="70" t="n">
        <v>1543</v>
      </c>
      <c r="T2999" s="71" t="n">
        <v>125894.72</v>
      </c>
      <c r="U2999" t="inlineStr">
        <is>
          <t>High</t>
        </is>
      </c>
      <c r="V2999">
        <f>IF(AND(OR(Dashboard!$C$6="All",E2999=Dashboard!$C$6),OR(Dashboard!$F$6="All",G2999=Dashboard!$F$6),OR(Dashboard!$I$6="All",H2999=Dashboard!$I$6)),1,0)</f>
        <v/>
      </c>
    </row>
    <row r="3000">
      <c r="A3000" t="inlineStr">
        <is>
          <t>PF102991</t>
        </is>
      </c>
      <c r="B3000" s="68" t="n">
        <v>46018</v>
      </c>
      <c r="C3000" s="69" t="n">
        <v>2025</v>
      </c>
      <c r="D3000" t="inlineStr">
        <is>
          <t>Dec</t>
        </is>
      </c>
      <c r="E3000" t="inlineStr">
        <is>
          <t>United States</t>
        </is>
      </c>
      <c r="F3000" t="inlineStr">
        <is>
          <t>USA</t>
        </is>
      </c>
      <c r="G3000" t="inlineStr">
        <is>
          <t>Comirnaty</t>
        </is>
      </c>
      <c r="H3000" t="inlineStr">
        <is>
          <t>Government / tender</t>
        </is>
      </c>
      <c r="I3000" t="inlineStr">
        <is>
          <t>Public payer</t>
        </is>
      </c>
      <c r="J3000" t="inlineStr">
        <is>
          <t>Amir Khan</t>
        </is>
      </c>
      <c r="K3000" s="70" t="n">
        <v>3034</v>
      </c>
      <c r="L3000" s="71" t="n">
        <v>188.72</v>
      </c>
      <c r="M3000" s="71" t="n">
        <v>572576.48</v>
      </c>
      <c r="N3000" s="71" t="n">
        <v>114515.3</v>
      </c>
      <c r="O3000" s="71" t="n">
        <v>458061.18</v>
      </c>
      <c r="P3000" s="71" t="n">
        <v>116390.12</v>
      </c>
      <c r="Q3000" s="71" t="n">
        <v>341671.06</v>
      </c>
      <c r="R3000" t="inlineStr">
        <is>
          <t>Vaccines</t>
        </is>
      </c>
      <c r="S3000" s="70" t="n">
        <v>2098</v>
      </c>
      <c r="T3000" s="71" t="n">
        <v>120519.06</v>
      </c>
      <c r="U3000" t="inlineStr">
        <is>
          <t>Low</t>
        </is>
      </c>
      <c r="V3000">
        <f>IF(AND(OR(Dashboard!$C$6="All",E3000=Dashboard!$C$6),OR(Dashboard!$F$6="All",G3000=Dashboard!$F$6),OR(Dashboard!$I$6="All",H3000=Dashboard!$I$6)),1,0)</f>
        <v/>
      </c>
    </row>
    <row r="3001">
      <c r="A3001" t="inlineStr">
        <is>
          <t>PF102992</t>
        </is>
      </c>
      <c r="B3001" s="68" t="n">
        <v>46018</v>
      </c>
      <c r="C3001" s="69" t="n">
        <v>2025</v>
      </c>
      <c r="D3001" t="inlineStr">
        <is>
          <t>Dec</t>
        </is>
      </c>
      <c r="E3001" t="inlineStr">
        <is>
          <t>United States</t>
        </is>
      </c>
      <c r="F3001" t="inlineStr">
        <is>
          <t>USA</t>
        </is>
      </c>
      <c r="G3001" t="inlineStr">
        <is>
          <t>Prevnar 20</t>
        </is>
      </c>
      <c r="H3001" t="inlineStr">
        <is>
          <t>Retail pharmacy</t>
        </is>
      </c>
      <c r="I3001" t="inlineStr">
        <is>
          <t>Private insurer</t>
        </is>
      </c>
      <c r="J3001" t="inlineStr">
        <is>
          <t>Yuki Sato</t>
        </is>
      </c>
      <c r="K3001" s="70" t="n">
        <v>1097</v>
      </c>
      <c r="L3001" s="71" t="n">
        <v>391.66</v>
      </c>
      <c r="M3001" s="71" t="n">
        <v>429651.02</v>
      </c>
      <c r="N3001" s="71" t="n">
        <v>85930.2</v>
      </c>
      <c r="O3001" s="71" t="n">
        <v>343720.82</v>
      </c>
      <c r="P3001" s="71" t="n">
        <v>72764.49000000001</v>
      </c>
      <c r="Q3001" s="71" t="n">
        <v>270956.33</v>
      </c>
      <c r="R3001" t="inlineStr">
        <is>
          <t>Vaccines</t>
        </is>
      </c>
      <c r="S3001" s="70" t="n">
        <v>729</v>
      </c>
      <c r="T3001" s="71" t="n">
        <v>54671.71</v>
      </c>
      <c r="U3001" t="inlineStr">
        <is>
          <t>Low</t>
        </is>
      </c>
      <c r="V3001">
        <f>IF(AND(OR(Dashboard!$C$6="All",E3001=Dashboard!$C$6),OR(Dashboard!$F$6="All",G3001=Dashboard!$F$6),OR(Dashboard!$I$6="All",H3001=Dashboard!$I$6)),1,0)</f>
        <v/>
      </c>
    </row>
    <row r="3002">
      <c r="A3002" t="inlineStr">
        <is>
          <t>PF102993</t>
        </is>
      </c>
      <c r="B3002" s="68" t="n">
        <v>46018</v>
      </c>
      <c r="C3002" s="69" t="n">
        <v>2025</v>
      </c>
      <c r="D3002" t="inlineStr">
        <is>
          <t>Dec</t>
        </is>
      </c>
      <c r="E3002" t="inlineStr">
        <is>
          <t>Emerging markets</t>
        </is>
      </c>
      <c r="F3002" t="inlineStr">
        <is>
          <t>Brazil</t>
        </is>
      </c>
      <c r="G3002" t="inlineStr">
        <is>
          <t>Xeljanz</t>
        </is>
      </c>
      <c r="H3002" t="inlineStr">
        <is>
          <t>Hospital</t>
        </is>
      </c>
      <c r="I3002" t="inlineStr">
        <is>
          <t>Self-pay</t>
        </is>
      </c>
      <c r="J3002" t="inlineStr">
        <is>
          <t>Hiroshi Tanaka</t>
        </is>
      </c>
      <c r="K3002" s="70" t="n">
        <v>1753</v>
      </c>
      <c r="L3002" s="71" t="n">
        <v>1350.02</v>
      </c>
      <c r="M3002" s="71" t="n">
        <v>2366585.06</v>
      </c>
      <c r="N3002" s="71" t="n">
        <v>591646.27</v>
      </c>
      <c r="O3002" s="71" t="n">
        <v>1774938.79</v>
      </c>
      <c r="P3002" s="71" t="n">
        <v>458934.44</v>
      </c>
      <c r="Q3002" s="71" t="n">
        <v>1316004.35</v>
      </c>
      <c r="R3002" t="inlineStr">
        <is>
          <t>Inflammation</t>
        </is>
      </c>
      <c r="S3002" s="70" t="n">
        <v>1392</v>
      </c>
      <c r="T3002" s="71" t="n">
        <v>305755.7</v>
      </c>
      <c r="U3002" t="inlineStr">
        <is>
          <t>High</t>
        </is>
      </c>
      <c r="V3002">
        <f>IF(AND(OR(Dashboard!$C$6="All",E3002=Dashboard!$C$6),OR(Dashboard!$F$6="All",G3002=Dashboard!$F$6),OR(Dashboard!$I$6="All",H3002=Dashboard!$I$6)),1,0)</f>
        <v/>
      </c>
    </row>
    <row r="3003">
      <c r="A3003" t="inlineStr">
        <is>
          <t>PF102994</t>
        </is>
      </c>
      <c r="B3003" s="68" t="n">
        <v>46018</v>
      </c>
      <c r="C3003" s="69" t="n">
        <v>2025</v>
      </c>
      <c r="D3003" t="inlineStr">
        <is>
          <t>Dec</t>
        </is>
      </c>
      <c r="E3003" t="inlineStr">
        <is>
          <t>United States</t>
        </is>
      </c>
      <c r="F3003" t="inlineStr">
        <is>
          <t>USA</t>
        </is>
      </c>
      <c r="G3003" t="inlineStr">
        <is>
          <t>Eliquis</t>
        </is>
      </c>
      <c r="H3003" t="inlineStr">
        <is>
          <t>Hospital</t>
        </is>
      </c>
      <c r="I3003" t="inlineStr">
        <is>
          <t>Private insurer</t>
        </is>
      </c>
      <c r="J3003" t="inlineStr">
        <is>
          <t>Amir Khan</t>
        </is>
      </c>
      <c r="K3003" s="70" t="n">
        <v>687</v>
      </c>
      <c r="L3003" s="71" t="n">
        <v>663.76</v>
      </c>
      <c r="M3003" s="71" t="n">
        <v>456003.12</v>
      </c>
      <c r="N3003" s="71" t="n">
        <v>159601.09</v>
      </c>
      <c r="O3003" s="71" t="n">
        <v>296402.03</v>
      </c>
      <c r="P3003" s="71" t="n">
        <v>50466.98</v>
      </c>
      <c r="Q3003" s="71" t="n">
        <v>245935.05</v>
      </c>
      <c r="R3003" t="inlineStr">
        <is>
          <t>Cardiology</t>
        </is>
      </c>
      <c r="S3003" s="70" t="n">
        <v>675</v>
      </c>
      <c r="T3003" s="71" t="n">
        <v>90171.64</v>
      </c>
      <c r="U3003" t="inlineStr">
        <is>
          <t>High</t>
        </is>
      </c>
      <c r="V3003">
        <f>IF(AND(OR(Dashboard!$C$6="All",E3003=Dashboard!$C$6),OR(Dashboard!$F$6="All",G3003=Dashboard!$F$6),OR(Dashboard!$I$6="All",H3003=Dashboard!$I$6)),1,0)</f>
        <v/>
      </c>
    </row>
    <row r="3004">
      <c r="A3004" t="inlineStr">
        <is>
          <t>PF102995</t>
        </is>
      </c>
      <c r="B3004" s="68" t="n">
        <v>46019</v>
      </c>
      <c r="C3004" s="69" t="n">
        <v>2025</v>
      </c>
      <c r="D3004" t="inlineStr">
        <is>
          <t>Dec</t>
        </is>
      </c>
      <c r="E3004" t="inlineStr">
        <is>
          <t>Emerging markets</t>
        </is>
      </c>
      <c r="F3004" t="inlineStr">
        <is>
          <t>China</t>
        </is>
      </c>
      <c r="G3004" t="inlineStr">
        <is>
          <t>Comirnaty</t>
        </is>
      </c>
      <c r="H3004" t="inlineStr">
        <is>
          <t>Hospital</t>
        </is>
      </c>
      <c r="I3004" t="inlineStr">
        <is>
          <t>Self-pay</t>
        </is>
      </c>
      <c r="J3004" t="inlineStr">
        <is>
          <t>Aisha Bello</t>
        </is>
      </c>
      <c r="K3004" s="70" t="n">
        <v>478</v>
      </c>
      <c r="L3004" s="71" t="n">
        <v>114.1</v>
      </c>
      <c r="M3004" s="71" t="n">
        <v>54539.8</v>
      </c>
      <c r="N3004" s="71" t="n">
        <v>5453.98</v>
      </c>
      <c r="O3004" s="71" t="n">
        <v>49085.82</v>
      </c>
      <c r="P3004" s="71" t="n">
        <v>18494.09</v>
      </c>
      <c r="Q3004" s="71" t="n">
        <v>30591.73</v>
      </c>
      <c r="R3004" t="inlineStr">
        <is>
          <t>Vaccines</t>
        </is>
      </c>
      <c r="S3004" s="70" t="n">
        <v>359</v>
      </c>
      <c r="T3004" s="71" t="n">
        <v>6807.98</v>
      </c>
      <c r="U3004" t="inlineStr">
        <is>
          <t>Low</t>
        </is>
      </c>
      <c r="V3004">
        <f>IF(AND(OR(Dashboard!$C$6="All",E3004=Dashboard!$C$6),OR(Dashboard!$F$6="All",G3004=Dashboard!$F$6),OR(Dashboard!$I$6="All",H3004=Dashboard!$I$6)),1,0)</f>
        <v/>
      </c>
    </row>
    <row r="3005">
      <c r="A3005" t="inlineStr">
        <is>
          <t>PF102996</t>
        </is>
      </c>
      <c r="B3005" s="68" t="n">
        <v>46019</v>
      </c>
      <c r="C3005" s="69" t="n">
        <v>2025</v>
      </c>
      <c r="D3005" t="inlineStr">
        <is>
          <t>Dec</t>
        </is>
      </c>
      <c r="E3005" t="inlineStr">
        <is>
          <t>International developed</t>
        </is>
      </c>
      <c r="F3005" t="inlineStr">
        <is>
          <t>Canada</t>
        </is>
      </c>
      <c r="G3005" t="inlineStr">
        <is>
          <t>Comirnaty</t>
        </is>
      </c>
      <c r="H3005" t="inlineStr">
        <is>
          <t>Hospital</t>
        </is>
      </c>
      <c r="I3005" t="inlineStr">
        <is>
          <t>Private insurer</t>
        </is>
      </c>
      <c r="J3005" t="inlineStr">
        <is>
          <t>Sara Rossi</t>
        </is>
      </c>
      <c r="K3005" s="70" t="n">
        <v>2655</v>
      </c>
      <c r="L3005" s="71" t="n">
        <v>117.32</v>
      </c>
      <c r="M3005" s="71" t="n">
        <v>311484.6</v>
      </c>
      <c r="N3005" s="71" t="n">
        <v>46722.69</v>
      </c>
      <c r="O3005" s="71" t="n">
        <v>264761.91</v>
      </c>
      <c r="P3005" s="71" t="n">
        <v>100071.38</v>
      </c>
      <c r="Q3005" s="71" t="n">
        <v>164690.53</v>
      </c>
      <c r="R3005" t="inlineStr">
        <is>
          <t>Vaccines</t>
        </is>
      </c>
      <c r="S3005" s="70" t="n">
        <v>1915</v>
      </c>
      <c r="T3005" s="71" t="n">
        <v>42730.73</v>
      </c>
      <c r="U3005" t="inlineStr">
        <is>
          <t>Low</t>
        </is>
      </c>
      <c r="V3005">
        <f>IF(AND(OR(Dashboard!$C$6="All",E3005=Dashboard!$C$6),OR(Dashboard!$F$6="All",G3005=Dashboard!$F$6),OR(Dashboard!$I$6="All",H3005=Dashboard!$I$6)),1,0)</f>
        <v/>
      </c>
    </row>
    <row r="3006">
      <c r="A3006" t="inlineStr">
        <is>
          <t>PF102997</t>
        </is>
      </c>
      <c r="B3006" s="68" t="n">
        <v>46019</v>
      </c>
      <c r="C3006" s="69" t="n">
        <v>2025</v>
      </c>
      <c r="D3006" t="inlineStr">
        <is>
          <t>Dec</t>
        </is>
      </c>
      <c r="E3006" t="inlineStr">
        <is>
          <t>United States</t>
        </is>
      </c>
      <c r="F3006" t="inlineStr">
        <is>
          <t>USA</t>
        </is>
      </c>
      <c r="G3006" t="inlineStr">
        <is>
          <t>Eliquis</t>
        </is>
      </c>
      <c r="H3006" t="inlineStr">
        <is>
          <t>Retail pharmacy</t>
        </is>
      </c>
      <c r="I3006" t="inlineStr">
        <is>
          <t>Private insurer</t>
        </is>
      </c>
      <c r="J3006" t="inlineStr">
        <is>
          <t>Arjun Mehta</t>
        </is>
      </c>
      <c r="K3006" s="70" t="n">
        <v>622</v>
      </c>
      <c r="L3006" s="71" t="n">
        <v>665.3099999999999</v>
      </c>
      <c r="M3006" s="71" t="n">
        <v>413822.82</v>
      </c>
      <c r="N3006" s="71" t="n">
        <v>82764.56</v>
      </c>
      <c r="O3006" s="71" t="n">
        <v>331058.26</v>
      </c>
      <c r="P3006" s="71" t="n">
        <v>46508.47</v>
      </c>
      <c r="Q3006" s="71" t="n">
        <v>284549.79</v>
      </c>
      <c r="R3006" t="inlineStr">
        <is>
          <t>Cardiology</t>
        </is>
      </c>
      <c r="S3006" s="70" t="n">
        <v>543</v>
      </c>
      <c r="T3006" s="71" t="n">
        <v>69266.07000000001</v>
      </c>
      <c r="U3006" t="inlineStr">
        <is>
          <t>High</t>
        </is>
      </c>
      <c r="V3006">
        <f>IF(AND(OR(Dashboard!$C$6="All",E3006=Dashboard!$C$6),OR(Dashboard!$F$6="All",G3006=Dashboard!$F$6),OR(Dashboard!$I$6="All",H3006=Dashboard!$I$6)),1,0)</f>
        <v/>
      </c>
    </row>
    <row r="3007">
      <c r="A3007" t="inlineStr">
        <is>
          <t>PF102998</t>
        </is>
      </c>
      <c r="B3007" s="68" t="n">
        <v>46019</v>
      </c>
      <c r="C3007" s="69" t="n">
        <v>2025</v>
      </c>
      <c r="D3007" t="inlineStr">
        <is>
          <t>Dec</t>
        </is>
      </c>
      <c r="E3007" t="inlineStr">
        <is>
          <t>Emerging markets</t>
        </is>
      </c>
      <c r="F3007" t="inlineStr">
        <is>
          <t>Mexico</t>
        </is>
      </c>
      <c r="G3007" t="inlineStr">
        <is>
          <t>Xeljanz</t>
        </is>
      </c>
      <c r="H3007" t="inlineStr">
        <is>
          <t>Government / tender</t>
        </is>
      </c>
      <c r="I3007" t="inlineStr">
        <is>
          <t>Private insurer</t>
        </is>
      </c>
      <c r="J3007" t="inlineStr">
        <is>
          <t>Arjun Mehta</t>
        </is>
      </c>
      <c r="K3007" s="70" t="n">
        <v>487</v>
      </c>
      <c r="L3007" s="71" t="n">
        <v>1410.58</v>
      </c>
      <c r="M3007" s="71" t="n">
        <v>686952.46</v>
      </c>
      <c r="N3007" s="71" t="n">
        <v>171738.11</v>
      </c>
      <c r="O3007" s="71" t="n">
        <v>515214.35</v>
      </c>
      <c r="P3007" s="71" t="n">
        <v>121340.82</v>
      </c>
      <c r="Q3007" s="71" t="n">
        <v>393873.53</v>
      </c>
      <c r="R3007" t="inlineStr">
        <is>
          <t>Inflammation</t>
        </is>
      </c>
      <c r="S3007" s="70" t="n">
        <v>320</v>
      </c>
      <c r="T3007" s="71" t="n">
        <v>91914.89</v>
      </c>
      <c r="U3007" t="inlineStr">
        <is>
          <t>High</t>
        </is>
      </c>
      <c r="V3007">
        <f>IF(AND(OR(Dashboard!$C$6="All",E3007=Dashboard!$C$6),OR(Dashboard!$F$6="All",G3007=Dashboard!$F$6),OR(Dashboard!$I$6="All",H3007=Dashboard!$I$6)),1,0)</f>
        <v/>
      </c>
    </row>
    <row r="3008">
      <c r="A3008" t="inlineStr">
        <is>
          <t>PF102999</t>
        </is>
      </c>
      <c r="B3008" s="68" t="n">
        <v>46019</v>
      </c>
      <c r="C3008" s="69" t="n">
        <v>2025</v>
      </c>
      <c r="D3008" t="inlineStr">
        <is>
          <t>Dec</t>
        </is>
      </c>
      <c r="E3008" t="inlineStr">
        <is>
          <t>United States</t>
        </is>
      </c>
      <c r="F3008" t="inlineStr">
        <is>
          <t>USA</t>
        </is>
      </c>
      <c r="G3008" t="inlineStr">
        <is>
          <t>Xeljanz</t>
        </is>
      </c>
      <c r="H3008" t="inlineStr">
        <is>
          <t>Retail pharmacy</t>
        </is>
      </c>
      <c r="I3008" t="inlineStr">
        <is>
          <t>Public payer</t>
        </is>
      </c>
      <c r="J3008" t="inlineStr">
        <is>
          <t>Emma Clarke</t>
        </is>
      </c>
      <c r="K3008" s="70" t="n">
        <v>2954</v>
      </c>
      <c r="L3008" s="71" t="n">
        <v>2133.26</v>
      </c>
      <c r="M3008" s="71" t="n">
        <v>6301650.04</v>
      </c>
      <c r="N3008" s="71" t="n">
        <v>945247.51</v>
      </c>
      <c r="O3008" s="71" t="n">
        <v>5356402.53</v>
      </c>
      <c r="P3008" s="71" t="n">
        <v>755440.51</v>
      </c>
      <c r="Q3008" s="71" t="n">
        <v>4600962.02</v>
      </c>
      <c r="R3008" t="inlineStr">
        <is>
          <t>Inflammation</t>
        </is>
      </c>
      <c r="S3008" s="70" t="n">
        <v>2255</v>
      </c>
      <c r="T3008" s="71" t="n">
        <v>1144825.17</v>
      </c>
      <c r="U3008" t="inlineStr">
        <is>
          <t>High</t>
        </is>
      </c>
      <c r="V3008">
        <f>IF(AND(OR(Dashboard!$C$6="All",E3008=Dashboard!$C$6),OR(Dashboard!$F$6="All",G3008=Dashboard!$F$6),OR(Dashboard!$I$6="All",H3008=Dashboard!$I$6)),1,0)</f>
        <v/>
      </c>
    </row>
    <row r="3009">
      <c r="A3009" t="inlineStr">
        <is>
          <t>PF103000</t>
        </is>
      </c>
      <c r="B3009" s="68" t="n">
        <v>46019</v>
      </c>
      <c r="C3009" s="69" t="n">
        <v>2025</v>
      </c>
      <c r="D3009" t="inlineStr">
        <is>
          <t>Dec</t>
        </is>
      </c>
      <c r="E3009" t="inlineStr">
        <is>
          <t>Europe</t>
        </is>
      </c>
      <c r="F3009" t="inlineStr">
        <is>
          <t>Spain</t>
        </is>
      </c>
      <c r="G3009" t="inlineStr">
        <is>
          <t>Comirnaty</t>
        </is>
      </c>
      <c r="H3009" t="inlineStr">
        <is>
          <t>Retail pharmacy</t>
        </is>
      </c>
      <c r="I3009" t="inlineStr">
        <is>
          <t>Private insurer</t>
        </is>
      </c>
      <c r="J3009" t="inlineStr">
        <is>
          <t>Priya Nair</t>
        </is>
      </c>
      <c r="K3009" s="70" t="n">
        <v>3028</v>
      </c>
      <c r="L3009" s="71" t="n">
        <v>105.24</v>
      </c>
      <c r="M3009" s="71" t="n">
        <v>318666.72</v>
      </c>
      <c r="N3009" s="71" t="n">
        <v>63733.34</v>
      </c>
      <c r="O3009" s="71" t="n">
        <v>254933.38</v>
      </c>
      <c r="P3009" s="71" t="n">
        <v>114562.29</v>
      </c>
      <c r="Q3009" s="71" t="n">
        <v>140371.09</v>
      </c>
      <c r="R3009" t="inlineStr">
        <is>
          <t>Vaccines</t>
        </is>
      </c>
      <c r="S3009" s="70" t="n">
        <v>2165</v>
      </c>
      <c r="T3009" s="71" t="n">
        <v>49837.6</v>
      </c>
      <c r="U3009" t="inlineStr">
        <is>
          <t>Low</t>
        </is>
      </c>
      <c r="V3009">
        <f>IF(AND(OR(Dashboard!$C$6="All",E3009=Dashboard!$C$6),OR(Dashboard!$F$6="All",G3009=Dashboard!$F$6),OR(Dashboard!$I$6="All",H3009=Dashboard!$I$6)),1,0)</f>
        <v/>
      </c>
    </row>
    <row r="3010">
      <c r="A3010" t="inlineStr">
        <is>
          <t>PF103001</t>
        </is>
      </c>
      <c r="B3010" s="68" t="n">
        <v>46023</v>
      </c>
      <c r="C3010" s="69" t="n">
        <v>2026</v>
      </c>
      <c r="D3010" t="inlineStr">
        <is>
          <t>Jan</t>
        </is>
      </c>
      <c r="E3010" t="inlineStr">
        <is>
          <t>Europe</t>
        </is>
      </c>
      <c r="F3010" t="inlineStr">
        <is>
          <t>UK</t>
        </is>
      </c>
      <c r="G3010" t="inlineStr">
        <is>
          <t>Prevnar 20</t>
        </is>
      </c>
      <c r="H3010" t="inlineStr">
        <is>
          <t>Government / tender</t>
        </is>
      </c>
      <c r="I3010" t="inlineStr">
        <is>
          <t>Private insurer</t>
        </is>
      </c>
      <c r="J3010" t="inlineStr">
        <is>
          <t>Arjun Mehta</t>
        </is>
      </c>
      <c r="K3010" s="70" t="n">
        <v>894</v>
      </c>
      <c r="L3010" s="71" t="n">
        <v>221.55</v>
      </c>
      <c r="M3010" s="71" t="n">
        <v>198065.7</v>
      </c>
      <c r="N3010" s="71" t="n">
        <v>49516.43</v>
      </c>
      <c r="O3010" s="71" t="n">
        <v>148549.27</v>
      </c>
      <c r="P3010" s="71" t="n">
        <v>60604.1</v>
      </c>
      <c r="Q3010" s="71" t="n">
        <v>87945.17</v>
      </c>
      <c r="R3010" t="inlineStr">
        <is>
          <t>Vaccines</t>
        </is>
      </c>
      <c r="S3010" s="70" t="n">
        <v>616</v>
      </c>
      <c r="T3010" s="71" t="n">
        <v>26269.09</v>
      </c>
      <c r="U3010" t="inlineStr">
        <is>
          <t>Low</t>
        </is>
      </c>
      <c r="V3010">
        <f>IF(AND(OR(Dashboard!$C$6="All",E3010=Dashboard!$C$6),OR(Dashboard!$F$6="All",G3010=Dashboard!$F$6),OR(Dashboard!$I$6="All",H3010=Dashboard!$I$6)),1,0)</f>
        <v/>
      </c>
    </row>
    <row r="3011">
      <c r="A3011" t="inlineStr">
        <is>
          <t>PF103002</t>
        </is>
      </c>
      <c r="B3011" s="68" t="n">
        <v>46023</v>
      </c>
      <c r="C3011" s="69" t="n">
        <v>2026</v>
      </c>
      <c r="D3011" t="inlineStr">
        <is>
          <t>Jan</t>
        </is>
      </c>
      <c r="E3011" t="inlineStr">
        <is>
          <t>United States</t>
        </is>
      </c>
      <c r="F3011" t="inlineStr">
        <is>
          <t>USA</t>
        </is>
      </c>
      <c r="G3011" t="inlineStr">
        <is>
          <t>Prevnar 20</t>
        </is>
      </c>
      <c r="H3011" t="inlineStr">
        <is>
          <t>Hospital</t>
        </is>
      </c>
      <c r="I3011" t="inlineStr">
        <is>
          <t>Private insurer</t>
        </is>
      </c>
      <c r="J3011" t="inlineStr">
        <is>
          <t>Lucas Martin</t>
        </is>
      </c>
      <c r="K3011" s="70" t="n">
        <v>317</v>
      </c>
      <c r="L3011" s="71" t="n">
        <v>356.31</v>
      </c>
      <c r="M3011" s="71" t="n">
        <v>112950.27</v>
      </c>
      <c r="N3011" s="71" t="n">
        <v>16942.54</v>
      </c>
      <c r="O3011" s="71" t="n">
        <v>96007.73</v>
      </c>
      <c r="P3011" s="71" t="n">
        <v>21565.97</v>
      </c>
      <c r="Q3011" s="71" t="n">
        <v>74441.75999999999</v>
      </c>
      <c r="R3011" t="inlineStr">
        <is>
          <t>Vaccines</t>
        </is>
      </c>
      <c r="S3011" s="70" t="n">
        <v>266</v>
      </c>
      <c r="T3011" s="71" t="n">
        <v>19587.75</v>
      </c>
      <c r="U3011" t="inlineStr">
        <is>
          <t>Low</t>
        </is>
      </c>
      <c r="V3011">
        <f>IF(AND(OR(Dashboard!$C$6="All",E3011=Dashboard!$C$6),OR(Dashboard!$F$6="All",G3011=Dashboard!$F$6),OR(Dashboard!$I$6="All",H3011=Dashboard!$I$6)),1,0)</f>
        <v/>
      </c>
    </row>
    <row r="3012">
      <c r="A3012" t="inlineStr">
        <is>
          <t>PF103003</t>
        </is>
      </c>
      <c r="B3012" s="68" t="n">
        <v>46023</v>
      </c>
      <c r="C3012" s="69" t="n">
        <v>2026</v>
      </c>
      <c r="D3012" t="inlineStr">
        <is>
          <t>Jan</t>
        </is>
      </c>
      <c r="E3012" t="inlineStr">
        <is>
          <t>Emerging markets</t>
        </is>
      </c>
      <c r="F3012" t="inlineStr">
        <is>
          <t>China</t>
        </is>
      </c>
      <c r="G3012" t="inlineStr">
        <is>
          <t>Paxlovid</t>
        </is>
      </c>
      <c r="H3012" t="inlineStr">
        <is>
          <t>Hospital</t>
        </is>
      </c>
      <c r="I3012" t="inlineStr">
        <is>
          <t>Private insurer</t>
        </is>
      </c>
      <c r="J3012" t="inlineStr">
        <is>
          <t>Shraddha Kulkarni</t>
        </is>
      </c>
      <c r="K3012" s="70" t="n">
        <v>749</v>
      </c>
      <c r="L3012" s="71" t="n">
        <v>844.1</v>
      </c>
      <c r="M3012" s="71" t="n">
        <v>632230.9</v>
      </c>
      <c r="N3012" s="71" t="n">
        <v>126446.18</v>
      </c>
      <c r="O3012" s="71" t="n">
        <v>505784.72</v>
      </c>
      <c r="P3012" s="71" t="n">
        <v>207421.48</v>
      </c>
      <c r="Q3012" s="71" t="n">
        <v>298363.24</v>
      </c>
      <c r="R3012" t="inlineStr">
        <is>
          <t>Antiviral</t>
        </is>
      </c>
      <c r="S3012" s="70" t="n">
        <v>623</v>
      </c>
      <c r="T3012" s="71" t="n">
        <v>164469.64</v>
      </c>
      <c r="U3012" t="inlineStr">
        <is>
          <t>Low</t>
        </is>
      </c>
      <c r="V3012">
        <f>IF(AND(OR(Dashboard!$C$6="All",E3012=Dashboard!$C$6),OR(Dashboard!$F$6="All",G3012=Dashboard!$F$6),OR(Dashboard!$I$6="All",H3012=Dashboard!$I$6)),1,0)</f>
        <v/>
      </c>
    </row>
    <row r="3013">
      <c r="A3013" t="inlineStr">
        <is>
          <t>PF103004</t>
        </is>
      </c>
      <c r="B3013" s="68" t="n">
        <v>46023</v>
      </c>
      <c r="C3013" s="69" t="n">
        <v>2026</v>
      </c>
      <c r="D3013" t="inlineStr">
        <is>
          <t>Jan</t>
        </is>
      </c>
      <c r="E3013" t="inlineStr">
        <is>
          <t>Europe</t>
        </is>
      </c>
      <c r="F3013" t="inlineStr">
        <is>
          <t>Italy</t>
        </is>
      </c>
      <c r="G3013" t="inlineStr">
        <is>
          <t>Eliquis</t>
        </is>
      </c>
      <c r="H3013" t="inlineStr">
        <is>
          <t>Hospital</t>
        </is>
      </c>
      <c r="I3013" t="inlineStr">
        <is>
          <t>Private insurer</t>
        </is>
      </c>
      <c r="J3013" t="inlineStr">
        <is>
          <t>Yuki Sato</t>
        </is>
      </c>
      <c r="K3013" s="70" t="n">
        <v>1245</v>
      </c>
      <c r="L3013" s="71" t="n">
        <v>405.43</v>
      </c>
      <c r="M3013" s="71" t="n">
        <v>504760.35</v>
      </c>
      <c r="N3013" s="71" t="n">
        <v>50476.04</v>
      </c>
      <c r="O3013" s="71" t="n">
        <v>454284.31</v>
      </c>
      <c r="P3013" s="71" t="n">
        <v>94381.16</v>
      </c>
      <c r="Q3013" s="71" t="n">
        <v>359903.15</v>
      </c>
      <c r="R3013" t="inlineStr">
        <is>
          <t>Cardiology</t>
        </is>
      </c>
      <c r="S3013" s="70" t="n">
        <v>971</v>
      </c>
      <c r="T3013" s="71" t="n">
        <v>99403.17999999999</v>
      </c>
      <c r="U3013" t="inlineStr">
        <is>
          <t>High</t>
        </is>
      </c>
      <c r="V3013">
        <f>IF(AND(OR(Dashboard!$C$6="All",E3013=Dashboard!$C$6),OR(Dashboard!$F$6="All",G3013=Dashboard!$F$6),OR(Dashboard!$I$6="All",H3013=Dashboard!$I$6)),1,0)</f>
        <v/>
      </c>
    </row>
    <row r="3014">
      <c r="A3014" t="inlineStr">
        <is>
          <t>PF103005</t>
        </is>
      </c>
      <c r="B3014" s="68" t="n">
        <v>46023</v>
      </c>
      <c r="C3014" s="69" t="n">
        <v>2026</v>
      </c>
      <c r="D3014" t="inlineStr">
        <is>
          <t>Jan</t>
        </is>
      </c>
      <c r="E3014" t="inlineStr">
        <is>
          <t>United States</t>
        </is>
      </c>
      <c r="F3014" t="inlineStr">
        <is>
          <t>USA</t>
        </is>
      </c>
      <c r="G3014" t="inlineStr">
        <is>
          <t>Xeljanz</t>
        </is>
      </c>
      <c r="H3014" t="inlineStr">
        <is>
          <t>Hospital</t>
        </is>
      </c>
      <c r="I3014" t="inlineStr">
        <is>
          <t>Private insurer</t>
        </is>
      </c>
      <c r="J3014" t="inlineStr">
        <is>
          <t>Fatima Al-Saud</t>
        </is>
      </c>
      <c r="K3014" s="70" t="n">
        <v>170</v>
      </c>
      <c r="L3014" s="71" t="n">
        <v>2087.47</v>
      </c>
      <c r="M3014" s="71" t="n">
        <v>354869.9</v>
      </c>
      <c r="N3014" s="71" t="n">
        <v>106460.97</v>
      </c>
      <c r="O3014" s="71" t="n">
        <v>248408.93</v>
      </c>
      <c r="P3014" s="71" t="n">
        <v>43114.6</v>
      </c>
      <c r="Q3014" s="71" t="n">
        <v>205294.33</v>
      </c>
      <c r="R3014" t="inlineStr">
        <is>
          <t>Inflammation</t>
        </is>
      </c>
      <c r="S3014" s="70" t="n">
        <v>119</v>
      </c>
      <c r="T3014" s="71" t="n">
        <v>50410.61</v>
      </c>
      <c r="U3014" t="inlineStr">
        <is>
          <t>High</t>
        </is>
      </c>
      <c r="V3014">
        <f>IF(AND(OR(Dashboard!$C$6="All",E3014=Dashboard!$C$6),OR(Dashboard!$F$6="All",G3014=Dashboard!$F$6),OR(Dashboard!$I$6="All",H3014=Dashboard!$I$6)),1,0)</f>
        <v/>
      </c>
    </row>
    <row r="3015">
      <c r="A3015" t="inlineStr">
        <is>
          <t>PF103006</t>
        </is>
      </c>
      <c r="B3015" s="68" t="n">
        <v>46023</v>
      </c>
      <c r="C3015" s="69" t="n">
        <v>2026</v>
      </c>
      <c r="D3015" t="inlineStr">
        <is>
          <t>Jan</t>
        </is>
      </c>
      <c r="E3015" t="inlineStr">
        <is>
          <t>United States</t>
        </is>
      </c>
      <c r="F3015" t="inlineStr">
        <is>
          <t>USA</t>
        </is>
      </c>
      <c r="G3015" t="inlineStr">
        <is>
          <t>Abrysvo</t>
        </is>
      </c>
      <c r="H3015" t="inlineStr">
        <is>
          <t>Retail pharmacy</t>
        </is>
      </c>
      <c r="I3015" t="inlineStr">
        <is>
          <t>Public payer</t>
        </is>
      </c>
      <c r="J3015" t="inlineStr">
        <is>
          <t>Yuki Sato</t>
        </is>
      </c>
      <c r="K3015" s="70" t="n">
        <v>2956</v>
      </c>
      <c r="L3015" s="71" t="n">
        <v>535.9400000000001</v>
      </c>
      <c r="M3015" s="71" t="n">
        <v>1584238.64</v>
      </c>
      <c r="N3015" s="71" t="n">
        <v>396059.66</v>
      </c>
      <c r="O3015" s="71" t="n">
        <v>1188178.98</v>
      </c>
      <c r="P3015" s="71" t="n">
        <v>241612.03</v>
      </c>
      <c r="Q3015" s="71" t="n">
        <v>946566.95</v>
      </c>
      <c r="R3015" t="inlineStr">
        <is>
          <t>Vaccines</t>
        </is>
      </c>
      <c r="S3015" s="70" t="n">
        <v>2202</v>
      </c>
      <c r="T3015" s="71" t="n">
        <v>206508.97</v>
      </c>
      <c r="U3015" t="inlineStr">
        <is>
          <t>Low</t>
        </is>
      </c>
      <c r="V3015">
        <f>IF(AND(OR(Dashboard!$C$6="All",E3015=Dashboard!$C$6),OR(Dashboard!$F$6="All",G3015=Dashboard!$F$6),OR(Dashboard!$I$6="All",H3015=Dashboard!$I$6)),1,0)</f>
        <v/>
      </c>
    </row>
    <row r="3016">
      <c r="A3016" t="inlineStr">
        <is>
          <t>PF103007</t>
        </is>
      </c>
      <c r="B3016" s="68" t="n">
        <v>46023</v>
      </c>
      <c r="C3016" s="69" t="n">
        <v>2026</v>
      </c>
      <c r="D3016" t="inlineStr">
        <is>
          <t>Jan</t>
        </is>
      </c>
      <c r="E3016" t="inlineStr">
        <is>
          <t>Emerging markets</t>
        </is>
      </c>
      <c r="F3016" t="inlineStr">
        <is>
          <t>China</t>
        </is>
      </c>
      <c r="G3016" t="inlineStr">
        <is>
          <t>Comirnaty</t>
        </is>
      </c>
      <c r="H3016" t="inlineStr">
        <is>
          <t>Hospital</t>
        </is>
      </c>
      <c r="I3016" t="inlineStr">
        <is>
          <t>Public payer</t>
        </is>
      </c>
      <c r="J3016" t="inlineStr">
        <is>
          <t>Mei Lin</t>
        </is>
      </c>
      <c r="K3016" s="70" t="n">
        <v>1182</v>
      </c>
      <c r="L3016" s="71" t="n">
        <v>94.16</v>
      </c>
      <c r="M3016" s="71" t="n">
        <v>111297.12</v>
      </c>
      <c r="N3016" s="71" t="n">
        <v>5564.86</v>
      </c>
      <c r="O3016" s="71" t="n">
        <v>105732.26</v>
      </c>
      <c r="P3016" s="71" t="n">
        <v>44279.46</v>
      </c>
      <c r="Q3016" s="71" t="n">
        <v>61452.8</v>
      </c>
      <c r="R3016" t="inlineStr">
        <is>
          <t>Vaccines</t>
        </is>
      </c>
      <c r="S3016" s="70" t="n">
        <v>810</v>
      </c>
      <c r="T3016" s="71" t="n">
        <v>23849.31</v>
      </c>
      <c r="U3016" t="inlineStr">
        <is>
          <t>Low</t>
        </is>
      </c>
      <c r="V3016">
        <f>IF(AND(OR(Dashboard!$C$6="All",E3016=Dashboard!$C$6),OR(Dashboard!$F$6="All",G3016=Dashboard!$F$6),OR(Dashboard!$I$6="All",H3016=Dashboard!$I$6)),1,0)</f>
        <v/>
      </c>
    </row>
    <row r="3017">
      <c r="A3017" t="inlineStr">
        <is>
          <t>PF103008</t>
        </is>
      </c>
      <c r="B3017" s="68" t="n">
        <v>46024</v>
      </c>
      <c r="C3017" s="69" t="n">
        <v>2026</v>
      </c>
      <c r="D3017" t="inlineStr">
        <is>
          <t>Jan</t>
        </is>
      </c>
      <c r="E3017" t="inlineStr">
        <is>
          <t>United States</t>
        </is>
      </c>
      <c r="F3017" t="inlineStr">
        <is>
          <t>USA</t>
        </is>
      </c>
      <c r="G3017" t="inlineStr">
        <is>
          <t>Eliquis</t>
        </is>
      </c>
      <c r="H3017" t="inlineStr">
        <is>
          <t>Hospital</t>
        </is>
      </c>
      <c r="I3017" t="inlineStr">
        <is>
          <t>Public payer</t>
        </is>
      </c>
      <c r="J3017" t="inlineStr">
        <is>
          <t>Wei Chen</t>
        </is>
      </c>
      <c r="K3017" s="70" t="n">
        <v>384</v>
      </c>
      <c r="L3017" s="71" t="n">
        <v>699.75</v>
      </c>
      <c r="M3017" s="71" t="n">
        <v>268704</v>
      </c>
      <c r="N3017" s="71" t="n">
        <v>40305.6</v>
      </c>
      <c r="O3017" s="71" t="n">
        <v>228398.4</v>
      </c>
      <c r="P3017" s="71" t="n">
        <v>29883.87</v>
      </c>
      <c r="Q3017" s="71" t="n">
        <v>198514.53</v>
      </c>
      <c r="R3017" t="inlineStr">
        <is>
          <t>Cardiology</t>
        </is>
      </c>
      <c r="S3017" s="70" t="n">
        <v>289</v>
      </c>
      <c r="T3017" s="71" t="n">
        <v>50204.61</v>
      </c>
      <c r="U3017" t="inlineStr">
        <is>
          <t>High</t>
        </is>
      </c>
      <c r="V3017">
        <f>IF(AND(OR(Dashboard!$C$6="All",E3017=Dashboard!$C$6),OR(Dashboard!$F$6="All",G3017=Dashboard!$F$6),OR(Dashboard!$I$6="All",H3017=Dashboard!$I$6)),1,0)</f>
        <v/>
      </c>
    </row>
    <row r="3018">
      <c r="A3018" t="inlineStr">
        <is>
          <t>PF103009</t>
        </is>
      </c>
      <c r="B3018" s="68" t="n">
        <v>46024</v>
      </c>
      <c r="C3018" s="69" t="n">
        <v>2026</v>
      </c>
      <c r="D3018" t="inlineStr">
        <is>
          <t>Jan</t>
        </is>
      </c>
      <c r="E3018" t="inlineStr">
        <is>
          <t>Europe</t>
        </is>
      </c>
      <c r="F3018" t="inlineStr">
        <is>
          <t>Italy</t>
        </is>
      </c>
      <c r="G3018" t="inlineStr">
        <is>
          <t>Paxlovid</t>
        </is>
      </c>
      <c r="H3018" t="inlineStr">
        <is>
          <t>Retail pharmacy</t>
        </is>
      </c>
      <c r="I3018" t="inlineStr">
        <is>
          <t>Public payer</t>
        </is>
      </c>
      <c r="J3018" t="inlineStr">
        <is>
          <t>Lucas Martin</t>
        </is>
      </c>
      <c r="K3018" s="70" t="n">
        <v>1263</v>
      </c>
      <c r="L3018" s="71" t="n">
        <v>964.21</v>
      </c>
      <c r="M3018" s="71" t="n">
        <v>1217797.23</v>
      </c>
      <c r="N3018" s="71" t="n">
        <v>60889.86</v>
      </c>
      <c r="O3018" s="71" t="n">
        <v>1156907.37</v>
      </c>
      <c r="P3018" s="71" t="n">
        <v>354341.12</v>
      </c>
      <c r="Q3018" s="71" t="n">
        <v>802566.25</v>
      </c>
      <c r="R3018" t="inlineStr">
        <is>
          <t>Antiviral</t>
        </is>
      </c>
      <c r="S3018" s="70" t="n">
        <v>909</v>
      </c>
      <c r="T3018" s="71" t="n">
        <v>238131.98</v>
      </c>
      <c r="U3018" t="inlineStr">
        <is>
          <t>Low</t>
        </is>
      </c>
      <c r="V3018">
        <f>IF(AND(OR(Dashboard!$C$6="All",E3018=Dashboard!$C$6),OR(Dashboard!$F$6="All",G3018=Dashboard!$F$6),OR(Dashboard!$I$6="All",H3018=Dashboard!$I$6)),1,0)</f>
        <v/>
      </c>
    </row>
    <row r="3019">
      <c r="A3019" t="inlineStr">
        <is>
          <t>PF103010</t>
        </is>
      </c>
      <c r="B3019" s="68" t="n">
        <v>46024</v>
      </c>
      <c r="C3019" s="69" t="n">
        <v>2026</v>
      </c>
      <c r="D3019" t="inlineStr">
        <is>
          <t>Jan</t>
        </is>
      </c>
      <c r="E3019" t="inlineStr">
        <is>
          <t>United States</t>
        </is>
      </c>
      <c r="F3019" t="inlineStr">
        <is>
          <t>USA</t>
        </is>
      </c>
      <c r="G3019" t="inlineStr">
        <is>
          <t>Eliquis</t>
        </is>
      </c>
      <c r="H3019" t="inlineStr">
        <is>
          <t>Retail pharmacy</t>
        </is>
      </c>
      <c r="I3019" t="inlineStr">
        <is>
          <t>Public payer</t>
        </is>
      </c>
      <c r="J3019" t="inlineStr">
        <is>
          <t>Noah Smith</t>
        </is>
      </c>
      <c r="K3019" s="70" t="n">
        <v>607</v>
      </c>
      <c r="L3019" s="71" t="n">
        <v>707.41</v>
      </c>
      <c r="M3019" s="71" t="n">
        <v>429397.87</v>
      </c>
      <c r="N3019" s="71" t="n">
        <v>128819.36</v>
      </c>
      <c r="O3019" s="71" t="n">
        <v>300578.51</v>
      </c>
      <c r="P3019" s="71" t="n">
        <v>44950.61</v>
      </c>
      <c r="Q3019" s="71" t="n">
        <v>255627.9</v>
      </c>
      <c r="R3019" t="inlineStr">
        <is>
          <t>Cardiology</t>
        </is>
      </c>
      <c r="S3019" s="70" t="n">
        <v>434</v>
      </c>
      <c r="T3019" s="71" t="n">
        <v>75781.64</v>
      </c>
      <c r="U3019" t="inlineStr">
        <is>
          <t>High</t>
        </is>
      </c>
      <c r="V3019">
        <f>IF(AND(OR(Dashboard!$C$6="All",E3019=Dashboard!$C$6),OR(Dashboard!$F$6="All",G3019=Dashboard!$F$6),OR(Dashboard!$I$6="All",H3019=Dashboard!$I$6)),1,0)</f>
        <v/>
      </c>
    </row>
    <row r="3020">
      <c r="A3020" t="inlineStr">
        <is>
          <t>PF103011</t>
        </is>
      </c>
      <c r="B3020" s="68" t="n">
        <v>46024</v>
      </c>
      <c r="C3020" s="69" t="n">
        <v>2026</v>
      </c>
      <c r="D3020" t="inlineStr">
        <is>
          <t>Jan</t>
        </is>
      </c>
      <c r="E3020" t="inlineStr">
        <is>
          <t>Emerging markets</t>
        </is>
      </c>
      <c r="F3020" t="inlineStr">
        <is>
          <t>Brazil</t>
        </is>
      </c>
      <c r="G3020" t="inlineStr">
        <is>
          <t>Eliquis</t>
        </is>
      </c>
      <c r="H3020" t="inlineStr">
        <is>
          <t>Retail pharmacy</t>
        </is>
      </c>
      <c r="I3020" t="inlineStr">
        <is>
          <t>Self-pay</t>
        </is>
      </c>
      <c r="J3020" t="inlineStr">
        <is>
          <t>Noah Smith</t>
        </is>
      </c>
      <c r="K3020" s="70" t="n">
        <v>453</v>
      </c>
      <c r="L3020" s="71" t="n">
        <v>390.58</v>
      </c>
      <c r="M3020" s="71" t="n">
        <v>176932.74</v>
      </c>
      <c r="N3020" s="71" t="n">
        <v>44233.18</v>
      </c>
      <c r="O3020" s="71" t="n">
        <v>132699.56</v>
      </c>
      <c r="P3020" s="71" t="n">
        <v>34828.6</v>
      </c>
      <c r="Q3020" s="71" t="n">
        <v>97870.96000000001</v>
      </c>
      <c r="R3020" t="inlineStr">
        <is>
          <t>Cardiology</t>
        </is>
      </c>
      <c r="S3020" s="70" t="n">
        <v>412</v>
      </c>
      <c r="T3020" s="71" t="n">
        <v>29084.82</v>
      </c>
      <c r="U3020" t="inlineStr">
        <is>
          <t>High</t>
        </is>
      </c>
      <c r="V3020">
        <f>IF(AND(OR(Dashboard!$C$6="All",E3020=Dashboard!$C$6),OR(Dashboard!$F$6="All",G3020=Dashboard!$F$6),OR(Dashboard!$I$6="All",H3020=Dashboard!$I$6)),1,0)</f>
        <v/>
      </c>
    </row>
    <row r="3021">
      <c r="A3021" t="inlineStr">
        <is>
          <t>PF103012</t>
        </is>
      </c>
      <c r="B3021" s="68" t="n">
        <v>46024</v>
      </c>
      <c r="C3021" s="69" t="n">
        <v>2026</v>
      </c>
      <c r="D3021" t="inlineStr">
        <is>
          <t>Jan</t>
        </is>
      </c>
      <c r="E3021" t="inlineStr">
        <is>
          <t>Europe</t>
        </is>
      </c>
      <c r="F3021" t="inlineStr">
        <is>
          <t>UK</t>
        </is>
      </c>
      <c r="G3021" t="inlineStr">
        <is>
          <t>Prevnar 20</t>
        </is>
      </c>
      <c r="H3021" t="inlineStr">
        <is>
          <t>Hospital</t>
        </is>
      </c>
      <c r="I3021" t="inlineStr">
        <is>
          <t>Private insurer</t>
        </is>
      </c>
      <c r="J3021" t="inlineStr">
        <is>
          <t>Noah Smith</t>
        </is>
      </c>
      <c r="K3021" s="70" t="n">
        <v>2205</v>
      </c>
      <c r="L3021" s="71" t="n">
        <v>235.48</v>
      </c>
      <c r="M3021" s="71" t="n">
        <v>519233.4</v>
      </c>
      <c r="N3021" s="71" t="n">
        <v>51923.34</v>
      </c>
      <c r="O3021" s="71" t="n">
        <v>467310.06</v>
      </c>
      <c r="P3021" s="71" t="n">
        <v>149098.61</v>
      </c>
      <c r="Q3021" s="71" t="n">
        <v>318211.45</v>
      </c>
      <c r="R3021" t="inlineStr">
        <is>
          <t>Vaccines</t>
        </is>
      </c>
      <c r="S3021" s="70" t="n">
        <v>1768</v>
      </c>
      <c r="T3021" s="71" t="n">
        <v>101592.68</v>
      </c>
      <c r="U3021" t="inlineStr">
        <is>
          <t>Low</t>
        </is>
      </c>
      <c r="V3021">
        <f>IF(AND(OR(Dashboard!$C$6="All",E3021=Dashboard!$C$6),OR(Dashboard!$F$6="All",G3021=Dashboard!$F$6),OR(Dashboard!$I$6="All",H3021=Dashboard!$I$6)),1,0)</f>
        <v/>
      </c>
    </row>
    <row r="3022">
      <c r="A3022" t="inlineStr">
        <is>
          <t>PF103013</t>
        </is>
      </c>
      <c r="B3022" s="68" t="n">
        <v>46024</v>
      </c>
      <c r="C3022" s="69" t="n">
        <v>2026</v>
      </c>
      <c r="D3022" t="inlineStr">
        <is>
          <t>Jan</t>
        </is>
      </c>
      <c r="E3022" t="inlineStr">
        <is>
          <t>United States</t>
        </is>
      </c>
      <c r="F3022" t="inlineStr">
        <is>
          <t>USA</t>
        </is>
      </c>
      <c r="G3022" t="inlineStr">
        <is>
          <t>Ibrance</t>
        </is>
      </c>
      <c r="H3022" t="inlineStr">
        <is>
          <t>Government / tender</t>
        </is>
      </c>
      <c r="I3022" t="inlineStr">
        <is>
          <t>Public payer</t>
        </is>
      </c>
      <c r="J3022" t="inlineStr">
        <is>
          <t>Mei Lin</t>
        </is>
      </c>
      <c r="K3022" s="70" t="n">
        <v>2584</v>
      </c>
      <c r="L3022" s="71" t="n">
        <v>4697.2</v>
      </c>
      <c r="M3022" s="71" t="n">
        <v>12137564.8</v>
      </c>
      <c r="N3022" s="71" t="n">
        <v>3641269.44</v>
      </c>
      <c r="O3022" s="71" t="n">
        <v>8496295.359999999</v>
      </c>
      <c r="P3022" s="71" t="n">
        <v>1088789.91</v>
      </c>
      <c r="Q3022" s="71" t="n">
        <v>7407505.45</v>
      </c>
      <c r="R3022" t="inlineStr">
        <is>
          <t>Oncology</t>
        </is>
      </c>
      <c r="S3022" s="70" t="n">
        <v>1936</v>
      </c>
      <c r="T3022" s="71" t="n">
        <v>1551276.91</v>
      </c>
      <c r="U3022" t="inlineStr">
        <is>
          <t>High</t>
        </is>
      </c>
      <c r="V3022">
        <f>IF(AND(OR(Dashboard!$C$6="All",E3022=Dashboard!$C$6),OR(Dashboard!$F$6="All",G3022=Dashboard!$F$6),OR(Dashboard!$I$6="All",H3022=Dashboard!$I$6)),1,0)</f>
        <v/>
      </c>
    </row>
    <row r="3023">
      <c r="A3023" t="inlineStr">
        <is>
          <t>PF103014</t>
        </is>
      </c>
      <c r="B3023" s="68" t="n">
        <v>46024</v>
      </c>
      <c r="C3023" s="69" t="n">
        <v>2026</v>
      </c>
      <c r="D3023" t="inlineStr">
        <is>
          <t>Jan</t>
        </is>
      </c>
      <c r="E3023" t="inlineStr">
        <is>
          <t>Europe</t>
        </is>
      </c>
      <c r="F3023" t="inlineStr">
        <is>
          <t>Italy</t>
        </is>
      </c>
      <c r="G3023" t="inlineStr">
        <is>
          <t>Comirnaty</t>
        </is>
      </c>
      <c r="H3023" t="inlineStr">
        <is>
          <t>Hospital</t>
        </is>
      </c>
      <c r="I3023" t="inlineStr">
        <is>
          <t>Private insurer</t>
        </is>
      </c>
      <c r="J3023" t="inlineStr">
        <is>
          <t>Ruhi Shaikh</t>
        </is>
      </c>
      <c r="K3023" s="70" t="n">
        <v>1716</v>
      </c>
      <c r="L3023" s="71" t="n">
        <v>89.61</v>
      </c>
      <c r="M3023" s="71" t="n">
        <v>153770.76</v>
      </c>
      <c r="N3023" s="71" t="n">
        <v>23065.61</v>
      </c>
      <c r="O3023" s="71" t="n">
        <v>130705.15</v>
      </c>
      <c r="P3023" s="71" t="n">
        <v>65395.87</v>
      </c>
      <c r="Q3023" s="71" t="n">
        <v>65309.28</v>
      </c>
      <c r="R3023" t="inlineStr">
        <is>
          <t>Vaccines</t>
        </is>
      </c>
      <c r="S3023" s="70" t="n">
        <v>1375</v>
      </c>
      <c r="T3023" s="71" t="n">
        <v>36135.93</v>
      </c>
      <c r="U3023" t="inlineStr">
        <is>
          <t>Low</t>
        </is>
      </c>
      <c r="V3023">
        <f>IF(AND(OR(Dashboard!$C$6="All",E3023=Dashboard!$C$6),OR(Dashboard!$F$6="All",G3023=Dashboard!$F$6),OR(Dashboard!$I$6="All",H3023=Dashboard!$I$6)),1,0)</f>
        <v/>
      </c>
    </row>
    <row r="3024">
      <c r="A3024" t="inlineStr">
        <is>
          <t>PF103015</t>
        </is>
      </c>
      <c r="B3024" s="68" t="n">
        <v>46024</v>
      </c>
      <c r="C3024" s="69" t="n">
        <v>2026</v>
      </c>
      <c r="D3024" t="inlineStr">
        <is>
          <t>Jan</t>
        </is>
      </c>
      <c r="E3024" t="inlineStr">
        <is>
          <t>Emerging markets</t>
        </is>
      </c>
      <c r="F3024" t="inlineStr">
        <is>
          <t>China</t>
        </is>
      </c>
      <c r="G3024" t="inlineStr">
        <is>
          <t>Paxlovid</t>
        </is>
      </c>
      <c r="H3024" t="inlineStr">
        <is>
          <t>Hospital</t>
        </is>
      </c>
      <c r="I3024" t="inlineStr">
        <is>
          <t>Private insurer</t>
        </is>
      </c>
      <c r="J3024" t="inlineStr">
        <is>
          <t>Carlos Silva</t>
        </is>
      </c>
      <c r="K3024" s="70" t="n">
        <v>1904</v>
      </c>
      <c r="L3024" s="71" t="n">
        <v>953.64</v>
      </c>
      <c r="M3024" s="71" t="n">
        <v>1815730.56</v>
      </c>
      <c r="N3024" s="71" t="n">
        <v>90786.53</v>
      </c>
      <c r="O3024" s="71" t="n">
        <v>1724944.03</v>
      </c>
      <c r="P3024" s="71" t="n">
        <v>526768.1899999999</v>
      </c>
      <c r="Q3024" s="71" t="n">
        <v>1198175.84</v>
      </c>
      <c r="R3024" t="inlineStr">
        <is>
          <t>Antiviral</t>
        </is>
      </c>
      <c r="S3024" s="70" t="n">
        <v>1801</v>
      </c>
      <c r="T3024" s="71" t="n">
        <v>423019.87</v>
      </c>
      <c r="U3024" t="inlineStr">
        <is>
          <t>Low</t>
        </is>
      </c>
      <c r="V3024">
        <f>IF(AND(OR(Dashboard!$C$6="All",E3024=Dashboard!$C$6),OR(Dashboard!$F$6="All",G3024=Dashboard!$F$6),OR(Dashboard!$I$6="All",H3024=Dashboard!$I$6)),1,0)</f>
        <v/>
      </c>
    </row>
    <row r="3025">
      <c r="A3025" t="inlineStr">
        <is>
          <t>PF103016</t>
        </is>
      </c>
      <c r="B3025" s="68" t="n">
        <v>46024</v>
      </c>
      <c r="C3025" s="69" t="n">
        <v>2026</v>
      </c>
      <c r="D3025" t="inlineStr">
        <is>
          <t>Jan</t>
        </is>
      </c>
      <c r="E3025" t="inlineStr">
        <is>
          <t>United States</t>
        </is>
      </c>
      <c r="F3025" t="inlineStr">
        <is>
          <t>USA</t>
        </is>
      </c>
      <c r="G3025" t="inlineStr">
        <is>
          <t>Eliquis</t>
        </is>
      </c>
      <c r="H3025" t="inlineStr">
        <is>
          <t>Hospital</t>
        </is>
      </c>
      <c r="I3025" t="inlineStr">
        <is>
          <t>Public payer</t>
        </is>
      </c>
      <c r="J3025" t="inlineStr">
        <is>
          <t>Yuki Sato</t>
        </is>
      </c>
      <c r="K3025" s="70" t="n">
        <v>1494</v>
      </c>
      <c r="L3025" s="71" t="n">
        <v>666.9400000000001</v>
      </c>
      <c r="M3025" s="71" t="n">
        <v>996408.36</v>
      </c>
      <c r="N3025" s="71" t="n">
        <v>249102.09</v>
      </c>
      <c r="O3025" s="71" t="n">
        <v>747306.27</v>
      </c>
      <c r="P3025" s="71" t="n">
        <v>109459.49</v>
      </c>
      <c r="Q3025" s="71" t="n">
        <v>637846.78</v>
      </c>
      <c r="R3025" t="inlineStr">
        <is>
          <t>Cardiology</t>
        </is>
      </c>
      <c r="S3025" s="70" t="n">
        <v>1414</v>
      </c>
      <c r="T3025" s="71" t="n">
        <v>148861.35</v>
      </c>
      <c r="U3025" t="inlineStr">
        <is>
          <t>High</t>
        </is>
      </c>
      <c r="V3025">
        <f>IF(AND(OR(Dashboard!$C$6="All",E3025=Dashboard!$C$6),OR(Dashboard!$F$6="All",G3025=Dashboard!$F$6),OR(Dashboard!$I$6="All",H3025=Dashboard!$I$6)),1,0)</f>
        <v/>
      </c>
    </row>
    <row r="3026">
      <c r="A3026" t="inlineStr">
        <is>
          <t>PF103017</t>
        </is>
      </c>
      <c r="B3026" s="68" t="n">
        <v>46024</v>
      </c>
      <c r="C3026" s="69" t="n">
        <v>2026</v>
      </c>
      <c r="D3026" t="inlineStr">
        <is>
          <t>Jan</t>
        </is>
      </c>
      <c r="E3026" t="inlineStr">
        <is>
          <t>International developed</t>
        </is>
      </c>
      <c r="F3026" t="inlineStr">
        <is>
          <t>Japan</t>
        </is>
      </c>
      <c r="G3026" t="inlineStr">
        <is>
          <t>Abrysvo</t>
        </is>
      </c>
      <c r="H3026" t="inlineStr">
        <is>
          <t>Hospital</t>
        </is>
      </c>
      <c r="I3026" t="inlineStr">
        <is>
          <t>Private insurer</t>
        </is>
      </c>
      <c r="J3026" t="inlineStr">
        <is>
          <t>Priya Nair</t>
        </is>
      </c>
      <c r="K3026" s="70" t="n">
        <v>730</v>
      </c>
      <c r="L3026" s="71" t="n">
        <v>331.97</v>
      </c>
      <c r="M3026" s="71" t="n">
        <v>242338.1</v>
      </c>
      <c r="N3026" s="71" t="n">
        <v>24233.81</v>
      </c>
      <c r="O3026" s="71" t="n">
        <v>218104.29</v>
      </c>
      <c r="P3026" s="71" t="n">
        <v>61712.52</v>
      </c>
      <c r="Q3026" s="71" t="n">
        <v>156391.77</v>
      </c>
      <c r="R3026" t="inlineStr">
        <is>
          <t>Vaccines</t>
        </is>
      </c>
      <c r="S3026" s="70" t="n">
        <v>493</v>
      </c>
      <c r="T3026" s="71" t="n">
        <v>33789.57</v>
      </c>
      <c r="U3026" t="inlineStr">
        <is>
          <t>Low</t>
        </is>
      </c>
      <c r="V3026">
        <f>IF(AND(OR(Dashboard!$C$6="All",E3026=Dashboard!$C$6),OR(Dashboard!$F$6="All",G3026=Dashboard!$F$6),OR(Dashboard!$I$6="All",H3026=Dashboard!$I$6)),1,0)</f>
        <v/>
      </c>
    </row>
    <row r="3027">
      <c r="A3027" t="inlineStr">
        <is>
          <t>PF103018</t>
        </is>
      </c>
      <c r="B3027" s="68" t="n">
        <v>46025</v>
      </c>
      <c r="C3027" s="69" t="n">
        <v>2026</v>
      </c>
      <c r="D3027" t="inlineStr">
        <is>
          <t>Jan</t>
        </is>
      </c>
      <c r="E3027" t="inlineStr">
        <is>
          <t>United States</t>
        </is>
      </c>
      <c r="F3027" t="inlineStr">
        <is>
          <t>USA</t>
        </is>
      </c>
      <c r="G3027" t="inlineStr">
        <is>
          <t>Paxlovid</t>
        </is>
      </c>
      <c r="H3027" t="inlineStr">
        <is>
          <t>Retail pharmacy</t>
        </is>
      </c>
      <c r="I3027" t="inlineStr">
        <is>
          <t>Private insurer</t>
        </is>
      </c>
      <c r="J3027" t="inlineStr">
        <is>
          <t>Noah Smith</t>
        </is>
      </c>
      <c r="K3027" s="70" t="n">
        <v>1623</v>
      </c>
      <c r="L3027" s="71" t="n">
        <v>1596.77</v>
      </c>
      <c r="M3027" s="71" t="n">
        <v>2591557.71</v>
      </c>
      <c r="N3027" s="71" t="n">
        <v>388733.66</v>
      </c>
      <c r="O3027" s="71" t="n">
        <v>2202824.05</v>
      </c>
      <c r="P3027" s="71" t="n">
        <v>439969.42</v>
      </c>
      <c r="Q3027" s="71" t="n">
        <v>1762854.63</v>
      </c>
      <c r="R3027" t="inlineStr">
        <is>
          <t>Antiviral</t>
        </is>
      </c>
      <c r="S3027" s="70" t="n">
        <v>1247</v>
      </c>
      <c r="T3027" s="71" t="n">
        <v>612396.3</v>
      </c>
      <c r="U3027" t="inlineStr">
        <is>
          <t>Low</t>
        </is>
      </c>
      <c r="V3027">
        <f>IF(AND(OR(Dashboard!$C$6="All",E3027=Dashboard!$C$6),OR(Dashboard!$F$6="All",G3027=Dashboard!$F$6),OR(Dashboard!$I$6="All",H3027=Dashboard!$I$6)),1,0)</f>
        <v/>
      </c>
    </row>
    <row r="3028">
      <c r="A3028" t="inlineStr">
        <is>
          <t>PF103019</t>
        </is>
      </c>
      <c r="B3028" s="68" t="n">
        <v>46025</v>
      </c>
      <c r="C3028" s="69" t="n">
        <v>2026</v>
      </c>
      <c r="D3028" t="inlineStr">
        <is>
          <t>Jan</t>
        </is>
      </c>
      <c r="E3028" t="inlineStr">
        <is>
          <t>Europe</t>
        </is>
      </c>
      <c r="F3028" t="inlineStr">
        <is>
          <t>UK</t>
        </is>
      </c>
      <c r="G3028" t="inlineStr">
        <is>
          <t>Ibrance</t>
        </is>
      </c>
      <c r="H3028" t="inlineStr">
        <is>
          <t>Retail pharmacy</t>
        </is>
      </c>
      <c r="I3028" t="inlineStr">
        <is>
          <t>Private insurer</t>
        </is>
      </c>
      <c r="J3028" t="inlineStr">
        <is>
          <t>Priya Nair</t>
        </is>
      </c>
      <c r="K3028" s="70" t="n">
        <v>1033</v>
      </c>
      <c r="L3028" s="71" t="n">
        <v>2579.65</v>
      </c>
      <c r="M3028" s="71" t="n">
        <v>2664778.45</v>
      </c>
      <c r="N3028" s="71" t="n">
        <v>666194.61</v>
      </c>
      <c r="O3028" s="71" t="n">
        <v>1998583.84</v>
      </c>
      <c r="P3028" s="71" t="n">
        <v>464206.77</v>
      </c>
      <c r="Q3028" s="71" t="n">
        <v>1534377.07</v>
      </c>
      <c r="R3028" t="inlineStr">
        <is>
          <t>Oncology</t>
        </is>
      </c>
      <c r="S3028" s="70" t="n">
        <v>861</v>
      </c>
      <c r="T3028" s="71" t="n">
        <v>361570.77</v>
      </c>
      <c r="U3028" t="inlineStr">
        <is>
          <t>High</t>
        </is>
      </c>
      <c r="V3028">
        <f>IF(AND(OR(Dashboard!$C$6="All",E3028=Dashboard!$C$6),OR(Dashboard!$F$6="All",G3028=Dashboard!$F$6),OR(Dashboard!$I$6="All",H3028=Dashboard!$I$6)),1,0)</f>
        <v/>
      </c>
    </row>
    <row r="3029">
      <c r="A3029" t="inlineStr">
        <is>
          <t>PF103020</t>
        </is>
      </c>
      <c r="B3029" s="68" t="n">
        <v>46025</v>
      </c>
      <c r="C3029" s="69" t="n">
        <v>2026</v>
      </c>
      <c r="D3029" t="inlineStr">
        <is>
          <t>Jan</t>
        </is>
      </c>
      <c r="E3029" t="inlineStr">
        <is>
          <t>United States</t>
        </is>
      </c>
      <c r="F3029" t="inlineStr">
        <is>
          <t>USA</t>
        </is>
      </c>
      <c r="G3029" t="inlineStr">
        <is>
          <t>Prevnar 20</t>
        </is>
      </c>
      <c r="H3029" t="inlineStr">
        <is>
          <t>Retail pharmacy</t>
        </is>
      </c>
      <c r="I3029" t="inlineStr">
        <is>
          <t>Private insurer</t>
        </is>
      </c>
      <c r="J3029" t="inlineStr">
        <is>
          <t>Lucas Martin</t>
        </is>
      </c>
      <c r="K3029" s="70" t="n">
        <v>405</v>
      </c>
      <c r="L3029" s="71" t="n">
        <v>389.54</v>
      </c>
      <c r="M3029" s="71" t="n">
        <v>157763.7</v>
      </c>
      <c r="N3029" s="71" t="n">
        <v>31552.74</v>
      </c>
      <c r="O3029" s="71" t="n">
        <v>126210.96</v>
      </c>
      <c r="P3029" s="71" t="n">
        <v>28955.22</v>
      </c>
      <c r="Q3029" s="71" t="n">
        <v>97255.74000000001</v>
      </c>
      <c r="R3029" t="inlineStr">
        <is>
          <t>Vaccines</t>
        </is>
      </c>
      <c r="S3029" s="70" t="n">
        <v>270</v>
      </c>
      <c r="T3029" s="71" t="n">
        <v>31159.64</v>
      </c>
      <c r="U3029" t="inlineStr">
        <is>
          <t>Low</t>
        </is>
      </c>
      <c r="V3029">
        <f>IF(AND(OR(Dashboard!$C$6="All",E3029=Dashboard!$C$6),OR(Dashboard!$F$6="All",G3029=Dashboard!$F$6),OR(Dashboard!$I$6="All",H3029=Dashboard!$I$6)),1,0)</f>
        <v/>
      </c>
    </row>
    <row r="3030">
      <c r="A3030" t="inlineStr">
        <is>
          <t>PF103021</t>
        </is>
      </c>
      <c r="B3030" s="68" t="n">
        <v>46025</v>
      </c>
      <c r="C3030" s="69" t="n">
        <v>2026</v>
      </c>
      <c r="D3030" t="inlineStr">
        <is>
          <t>Jan</t>
        </is>
      </c>
      <c r="E3030" t="inlineStr">
        <is>
          <t>Europe</t>
        </is>
      </c>
      <c r="F3030" t="inlineStr">
        <is>
          <t>France</t>
        </is>
      </c>
      <c r="G3030" t="inlineStr">
        <is>
          <t>Prevnar 20</t>
        </is>
      </c>
      <c r="H3030" t="inlineStr">
        <is>
          <t>Retail pharmacy</t>
        </is>
      </c>
      <c r="I3030" t="inlineStr">
        <is>
          <t>Public payer</t>
        </is>
      </c>
      <c r="J3030" t="inlineStr">
        <is>
          <t>Olivia Brown</t>
        </is>
      </c>
      <c r="K3030" s="70" t="n">
        <v>776</v>
      </c>
      <c r="L3030" s="71" t="n">
        <v>214.49</v>
      </c>
      <c r="M3030" s="71" t="n">
        <v>166444.24</v>
      </c>
      <c r="N3030" s="71" t="n">
        <v>24966.64</v>
      </c>
      <c r="O3030" s="71" t="n">
        <v>141477.6</v>
      </c>
      <c r="P3030" s="71" t="n">
        <v>55162.36</v>
      </c>
      <c r="Q3030" s="71" t="n">
        <v>86315.24000000001</v>
      </c>
      <c r="R3030" t="inlineStr">
        <is>
          <t>Vaccines</t>
        </is>
      </c>
      <c r="S3030" s="70" t="n">
        <v>670</v>
      </c>
      <c r="T3030" s="71" t="n">
        <v>19943.07</v>
      </c>
      <c r="U3030" t="inlineStr">
        <is>
          <t>Low</t>
        </is>
      </c>
      <c r="V3030">
        <f>IF(AND(OR(Dashboard!$C$6="All",E3030=Dashboard!$C$6),OR(Dashboard!$F$6="All",G3030=Dashboard!$F$6),OR(Dashboard!$I$6="All",H3030=Dashboard!$I$6)),1,0)</f>
        <v/>
      </c>
    </row>
    <row r="3031">
      <c r="A3031" t="inlineStr">
        <is>
          <t>PF103022</t>
        </is>
      </c>
      <c r="B3031" s="68" t="n">
        <v>46025</v>
      </c>
      <c r="C3031" s="69" t="n">
        <v>2026</v>
      </c>
      <c r="D3031" t="inlineStr">
        <is>
          <t>Jan</t>
        </is>
      </c>
      <c r="E3031" t="inlineStr">
        <is>
          <t>Europe</t>
        </is>
      </c>
      <c r="F3031" t="inlineStr">
        <is>
          <t>Spain</t>
        </is>
      </c>
      <c r="G3031" t="inlineStr">
        <is>
          <t>Prevnar 20</t>
        </is>
      </c>
      <c r="H3031" t="inlineStr">
        <is>
          <t>Retail pharmacy</t>
        </is>
      </c>
      <c r="I3031" t="inlineStr">
        <is>
          <t>Self-pay</t>
        </is>
      </c>
      <c r="J3031" t="inlineStr">
        <is>
          <t>Shraddha Kulkarni</t>
        </is>
      </c>
      <c r="K3031" s="70" t="n">
        <v>1252</v>
      </c>
      <c r="L3031" s="71" t="n">
        <v>236.97</v>
      </c>
      <c r="M3031" s="71" t="n">
        <v>296686.44</v>
      </c>
      <c r="N3031" s="71" t="n">
        <v>59337.29</v>
      </c>
      <c r="O3031" s="71" t="n">
        <v>237349.15</v>
      </c>
      <c r="P3031" s="71" t="n">
        <v>89670.10000000001</v>
      </c>
      <c r="Q3031" s="71" t="n">
        <v>147679.05</v>
      </c>
      <c r="R3031" t="inlineStr">
        <is>
          <t>Vaccines</t>
        </is>
      </c>
      <c r="S3031" s="70" t="n">
        <v>903</v>
      </c>
      <c r="T3031" s="71" t="n">
        <v>48184.73</v>
      </c>
      <c r="U3031" t="inlineStr">
        <is>
          <t>Low</t>
        </is>
      </c>
      <c r="V3031">
        <f>IF(AND(OR(Dashboard!$C$6="All",E3031=Dashboard!$C$6),OR(Dashboard!$F$6="All",G3031=Dashboard!$F$6),OR(Dashboard!$I$6="All",H3031=Dashboard!$I$6)),1,0)</f>
        <v/>
      </c>
    </row>
    <row r="3032">
      <c r="A3032" t="inlineStr">
        <is>
          <t>PF103023</t>
        </is>
      </c>
      <c r="B3032" s="68" t="n">
        <v>46025</v>
      </c>
      <c r="C3032" s="69" t="n">
        <v>2026</v>
      </c>
      <c r="D3032" t="inlineStr">
        <is>
          <t>Jan</t>
        </is>
      </c>
      <c r="E3032" t="inlineStr">
        <is>
          <t>Europe</t>
        </is>
      </c>
      <c r="F3032" t="inlineStr">
        <is>
          <t>France</t>
        </is>
      </c>
      <c r="G3032" t="inlineStr">
        <is>
          <t>Comirnaty</t>
        </is>
      </c>
      <c r="H3032" t="inlineStr">
        <is>
          <t>Hospital</t>
        </is>
      </c>
      <c r="I3032" t="inlineStr">
        <is>
          <t>Public payer</t>
        </is>
      </c>
      <c r="J3032" t="inlineStr">
        <is>
          <t>Kofi Mensah</t>
        </is>
      </c>
      <c r="K3032" s="70" t="n">
        <v>93</v>
      </c>
      <c r="L3032" s="71" t="n">
        <v>84.67</v>
      </c>
      <c r="M3032" s="71" t="n">
        <v>7874.31</v>
      </c>
      <c r="N3032" s="71" t="n">
        <v>1574.86</v>
      </c>
      <c r="O3032" s="71" t="n">
        <v>6299.45</v>
      </c>
      <c r="P3032" s="71" t="n">
        <v>3464.58</v>
      </c>
      <c r="Q3032" s="71" t="n">
        <v>2834.87</v>
      </c>
      <c r="R3032" t="inlineStr">
        <is>
          <t>Vaccines</t>
        </is>
      </c>
      <c r="S3032" s="70" t="n">
        <v>89</v>
      </c>
      <c r="T3032" s="71" t="n">
        <v>1274.43</v>
      </c>
      <c r="U3032" t="inlineStr">
        <is>
          <t>Low</t>
        </is>
      </c>
      <c r="V3032">
        <f>IF(AND(OR(Dashboard!$C$6="All",E3032=Dashboard!$C$6),OR(Dashboard!$F$6="All",G3032=Dashboard!$F$6),OR(Dashboard!$I$6="All",H3032=Dashboard!$I$6)),1,0)</f>
        <v/>
      </c>
    </row>
    <row r="3033">
      <c r="A3033" t="inlineStr">
        <is>
          <t>PF103024</t>
        </is>
      </c>
      <c r="B3033" s="68" t="n">
        <v>46025</v>
      </c>
      <c r="C3033" s="69" t="n">
        <v>2026</v>
      </c>
      <c r="D3033" t="inlineStr">
        <is>
          <t>Jan</t>
        </is>
      </c>
      <c r="E3033" t="inlineStr">
        <is>
          <t>Emerging markets</t>
        </is>
      </c>
      <c r="F3033" t="inlineStr">
        <is>
          <t>China</t>
        </is>
      </c>
      <c r="G3033" t="inlineStr">
        <is>
          <t>Vyndaqel</t>
        </is>
      </c>
      <c r="H3033" t="inlineStr">
        <is>
          <t>Retail pharmacy</t>
        </is>
      </c>
      <c r="I3033" t="inlineStr">
        <is>
          <t>Self-pay</t>
        </is>
      </c>
      <c r="J3033" t="inlineStr">
        <is>
          <t>Priya Nair</t>
        </is>
      </c>
      <c r="K3033" s="70" t="n">
        <v>2814</v>
      </c>
      <c r="L3033" s="71" t="n">
        <v>5696.74</v>
      </c>
      <c r="M3033" s="71" t="n">
        <v>16030626.36</v>
      </c>
      <c r="N3033" s="71" t="n">
        <v>3206125.27</v>
      </c>
      <c r="O3033" s="71" t="n">
        <v>12824501.09</v>
      </c>
      <c r="P3033" s="71" t="n">
        <v>1707900.66</v>
      </c>
      <c r="Q3033" s="71" t="n">
        <v>11116600.43</v>
      </c>
      <c r="R3033" t="inlineStr">
        <is>
          <t>Rare disease</t>
        </is>
      </c>
      <c r="S3033" s="70" t="n">
        <v>2413</v>
      </c>
      <c r="T3033" s="71" t="n">
        <v>1884708.66</v>
      </c>
      <c r="U3033" t="inlineStr">
        <is>
          <t>Medium</t>
        </is>
      </c>
      <c r="V3033">
        <f>IF(AND(OR(Dashboard!$C$6="All",E3033=Dashboard!$C$6),OR(Dashboard!$F$6="All",G3033=Dashboard!$F$6),OR(Dashboard!$I$6="All",H3033=Dashboard!$I$6)),1,0)</f>
        <v/>
      </c>
    </row>
    <row r="3034">
      <c r="A3034" t="inlineStr">
        <is>
          <t>PF103025</t>
        </is>
      </c>
      <c r="B3034" s="68" t="n">
        <v>46025</v>
      </c>
      <c r="C3034" s="69" t="n">
        <v>2026</v>
      </c>
      <c r="D3034" t="inlineStr">
        <is>
          <t>Jan</t>
        </is>
      </c>
      <c r="E3034" t="inlineStr">
        <is>
          <t>United States</t>
        </is>
      </c>
      <c r="F3034" t="inlineStr">
        <is>
          <t>USA</t>
        </is>
      </c>
      <c r="G3034" t="inlineStr">
        <is>
          <t>Prevnar 20</t>
        </is>
      </c>
      <c r="H3034" t="inlineStr">
        <is>
          <t>Hospital</t>
        </is>
      </c>
      <c r="I3034" t="inlineStr">
        <is>
          <t>Private insurer</t>
        </is>
      </c>
      <c r="J3034" t="inlineStr">
        <is>
          <t>Amir Khan</t>
        </is>
      </c>
      <c r="K3034" s="70" t="n">
        <v>1162</v>
      </c>
      <c r="L3034" s="71" t="n">
        <v>366.99</v>
      </c>
      <c r="M3034" s="71" t="n">
        <v>426442.38</v>
      </c>
      <c r="N3034" s="71" t="n">
        <v>85288.48</v>
      </c>
      <c r="O3034" s="71" t="n">
        <v>341153.9</v>
      </c>
      <c r="P3034" s="71" t="n">
        <v>79268.89</v>
      </c>
      <c r="Q3034" s="71" t="n">
        <v>261885.01</v>
      </c>
      <c r="R3034" t="inlineStr">
        <is>
          <t>Vaccines</t>
        </is>
      </c>
      <c r="S3034" s="70" t="n">
        <v>1102</v>
      </c>
      <c r="T3034" s="71" t="n">
        <v>90971.57000000001</v>
      </c>
      <c r="U3034" t="inlineStr">
        <is>
          <t>Low</t>
        </is>
      </c>
      <c r="V3034">
        <f>IF(AND(OR(Dashboard!$C$6="All",E3034=Dashboard!$C$6),OR(Dashboard!$F$6="All",G3034=Dashboard!$F$6),OR(Dashboard!$I$6="All",H3034=Dashboard!$I$6)),1,0)</f>
        <v/>
      </c>
    </row>
    <row r="3035">
      <c r="A3035" t="inlineStr">
        <is>
          <t>PF103026</t>
        </is>
      </c>
      <c r="B3035" s="68" t="n">
        <v>46025</v>
      </c>
      <c r="C3035" s="69" t="n">
        <v>2026</v>
      </c>
      <c r="D3035" t="inlineStr">
        <is>
          <t>Jan</t>
        </is>
      </c>
      <c r="E3035" t="inlineStr">
        <is>
          <t>Europe</t>
        </is>
      </c>
      <c r="F3035" t="inlineStr">
        <is>
          <t>France</t>
        </is>
      </c>
      <c r="G3035" t="inlineStr">
        <is>
          <t>Paxlovid</t>
        </is>
      </c>
      <c r="H3035" t="inlineStr">
        <is>
          <t>Retail pharmacy</t>
        </is>
      </c>
      <c r="I3035" t="inlineStr">
        <is>
          <t>Public payer</t>
        </is>
      </c>
      <c r="J3035" t="inlineStr">
        <is>
          <t>Ruhi Shaikh</t>
        </is>
      </c>
      <c r="K3035" s="70" t="n">
        <v>2295</v>
      </c>
      <c r="L3035" s="71" t="n">
        <v>834.97</v>
      </c>
      <c r="M3035" s="71" t="n">
        <v>1916256.15</v>
      </c>
      <c r="N3035" s="71" t="n">
        <v>383251.23</v>
      </c>
      <c r="O3035" s="71" t="n">
        <v>1533004.92</v>
      </c>
      <c r="P3035" s="71" t="n">
        <v>646201.92</v>
      </c>
      <c r="Q3035" s="71" t="n">
        <v>886803</v>
      </c>
      <c r="R3035" t="inlineStr">
        <is>
          <t>Antiviral</t>
        </is>
      </c>
      <c r="S3035" s="70" t="n">
        <v>2237</v>
      </c>
      <c r="T3035" s="71" t="n">
        <v>310036.85</v>
      </c>
      <c r="U3035" t="inlineStr">
        <is>
          <t>Low</t>
        </is>
      </c>
      <c r="V3035">
        <f>IF(AND(OR(Dashboard!$C$6="All",E3035=Dashboard!$C$6),OR(Dashboard!$F$6="All",G3035=Dashboard!$F$6),OR(Dashboard!$I$6="All",H3035=Dashboard!$I$6)),1,0)</f>
        <v/>
      </c>
    </row>
    <row r="3036">
      <c r="A3036" t="inlineStr">
        <is>
          <t>PF103027</t>
        </is>
      </c>
      <c r="B3036" s="68" t="n">
        <v>46025</v>
      </c>
      <c r="C3036" s="69" t="n">
        <v>2026</v>
      </c>
      <c r="D3036" t="inlineStr">
        <is>
          <t>Jan</t>
        </is>
      </c>
      <c r="E3036" t="inlineStr">
        <is>
          <t>Europe</t>
        </is>
      </c>
      <c r="F3036" t="inlineStr">
        <is>
          <t>UK</t>
        </is>
      </c>
      <c r="G3036" t="inlineStr">
        <is>
          <t>Ibrance</t>
        </is>
      </c>
      <c r="H3036" t="inlineStr">
        <is>
          <t>Government / tender</t>
        </is>
      </c>
      <c r="I3036" t="inlineStr">
        <is>
          <t>Self-pay</t>
        </is>
      </c>
      <c r="J3036" t="inlineStr">
        <is>
          <t>Carlos Silva</t>
        </is>
      </c>
      <c r="K3036" s="70" t="n">
        <v>1540</v>
      </c>
      <c r="L3036" s="71" t="n">
        <v>2983.28</v>
      </c>
      <c r="M3036" s="71" t="n">
        <v>4594251.2</v>
      </c>
      <c r="N3036" s="71" t="n">
        <v>459425.12</v>
      </c>
      <c r="O3036" s="71" t="n">
        <v>4134826.08</v>
      </c>
      <c r="P3036" s="71" t="n">
        <v>670411.41</v>
      </c>
      <c r="Q3036" s="71" t="n">
        <v>3464414.67</v>
      </c>
      <c r="R3036" t="inlineStr">
        <is>
          <t>Oncology</t>
        </is>
      </c>
      <c r="S3036" s="70" t="n">
        <v>1509</v>
      </c>
      <c r="T3036" s="71" t="n">
        <v>1027369.56</v>
      </c>
      <c r="U3036" t="inlineStr">
        <is>
          <t>High</t>
        </is>
      </c>
      <c r="V3036">
        <f>IF(AND(OR(Dashboard!$C$6="All",E3036=Dashboard!$C$6),OR(Dashboard!$F$6="All",G3036=Dashboard!$F$6),OR(Dashboard!$I$6="All",H3036=Dashboard!$I$6)),1,0)</f>
        <v/>
      </c>
    </row>
    <row r="3037">
      <c r="A3037" t="inlineStr">
        <is>
          <t>PF103028</t>
        </is>
      </c>
      <c r="B3037" s="68" t="n">
        <v>46025</v>
      </c>
      <c r="C3037" s="69" t="n">
        <v>2026</v>
      </c>
      <c r="D3037" t="inlineStr">
        <is>
          <t>Jan</t>
        </is>
      </c>
      <c r="E3037" t="inlineStr">
        <is>
          <t>United States</t>
        </is>
      </c>
      <c r="F3037" t="inlineStr">
        <is>
          <t>USA</t>
        </is>
      </c>
      <c r="G3037" t="inlineStr">
        <is>
          <t>Paxlovid</t>
        </is>
      </c>
      <c r="H3037" t="inlineStr">
        <is>
          <t>Hospital</t>
        </is>
      </c>
      <c r="I3037" t="inlineStr">
        <is>
          <t>Public payer</t>
        </is>
      </c>
      <c r="J3037" t="inlineStr">
        <is>
          <t>Liam O'Brien</t>
        </is>
      </c>
      <c r="K3037" s="70" t="n">
        <v>1947</v>
      </c>
      <c r="L3037" s="71" t="n">
        <v>1389.68</v>
      </c>
      <c r="M3037" s="71" t="n">
        <v>2705706.96</v>
      </c>
      <c r="N3037" s="71" t="n">
        <v>541141.39</v>
      </c>
      <c r="O3037" s="71" t="n">
        <v>2164565.57</v>
      </c>
      <c r="P3037" s="71" t="n">
        <v>541270.1899999999</v>
      </c>
      <c r="Q3037" s="71" t="n">
        <v>1623295.38</v>
      </c>
      <c r="R3037" t="inlineStr">
        <is>
          <t>Antiviral</t>
        </is>
      </c>
      <c r="S3037" s="70" t="n">
        <v>1269</v>
      </c>
      <c r="T3037" s="71" t="n">
        <v>428008.31</v>
      </c>
      <c r="U3037" t="inlineStr">
        <is>
          <t>Low</t>
        </is>
      </c>
      <c r="V3037">
        <f>IF(AND(OR(Dashboard!$C$6="All",E3037=Dashboard!$C$6),OR(Dashboard!$F$6="All",G3037=Dashboard!$F$6),OR(Dashboard!$I$6="All",H3037=Dashboard!$I$6)),1,0)</f>
        <v/>
      </c>
    </row>
    <row r="3038">
      <c r="A3038" t="inlineStr">
        <is>
          <t>PF103029</t>
        </is>
      </c>
      <c r="B3038" s="68" t="n">
        <v>46025</v>
      </c>
      <c r="C3038" s="69" t="n">
        <v>2026</v>
      </c>
      <c r="D3038" t="inlineStr">
        <is>
          <t>Jan</t>
        </is>
      </c>
      <c r="E3038" t="inlineStr">
        <is>
          <t>United States</t>
        </is>
      </c>
      <c r="F3038" t="inlineStr">
        <is>
          <t>USA</t>
        </is>
      </c>
      <c r="G3038" t="inlineStr">
        <is>
          <t>Paxlovid</t>
        </is>
      </c>
      <c r="H3038" t="inlineStr">
        <is>
          <t>Government / tender</t>
        </is>
      </c>
      <c r="I3038" t="inlineStr">
        <is>
          <t>Public payer</t>
        </is>
      </c>
      <c r="J3038" t="inlineStr">
        <is>
          <t>Olivia Brown</t>
        </is>
      </c>
      <c r="K3038" s="70" t="n">
        <v>916</v>
      </c>
      <c r="L3038" s="71" t="n">
        <v>1451.72</v>
      </c>
      <c r="M3038" s="71" t="n">
        <v>1329775.52</v>
      </c>
      <c r="N3038" s="71" t="n">
        <v>398932.66</v>
      </c>
      <c r="O3038" s="71" t="n">
        <v>930842.86</v>
      </c>
      <c r="P3038" s="71" t="n">
        <v>261435.11</v>
      </c>
      <c r="Q3038" s="71" t="n">
        <v>669407.75</v>
      </c>
      <c r="R3038" t="inlineStr">
        <is>
          <t>Antiviral</t>
        </is>
      </c>
      <c r="S3038" s="70" t="n">
        <v>792</v>
      </c>
      <c r="T3038" s="71" t="n">
        <v>336206.86</v>
      </c>
      <c r="U3038" t="inlineStr">
        <is>
          <t>Low</t>
        </is>
      </c>
      <c r="V3038">
        <f>IF(AND(OR(Dashboard!$C$6="All",E3038=Dashboard!$C$6),OR(Dashboard!$F$6="All",G3038=Dashboard!$F$6),OR(Dashboard!$I$6="All",H3038=Dashboard!$I$6)),1,0)</f>
        <v/>
      </c>
    </row>
    <row r="3039">
      <c r="A3039" t="inlineStr">
        <is>
          <t>PF103030</t>
        </is>
      </c>
      <c r="B3039" s="68" t="n">
        <v>46025</v>
      </c>
      <c r="C3039" s="69" t="n">
        <v>2026</v>
      </c>
      <c r="D3039" t="inlineStr">
        <is>
          <t>Jan</t>
        </is>
      </c>
      <c r="E3039" t="inlineStr">
        <is>
          <t>International developed</t>
        </is>
      </c>
      <c r="F3039" t="inlineStr">
        <is>
          <t>Canada</t>
        </is>
      </c>
      <c r="G3039" t="inlineStr">
        <is>
          <t>Eliquis</t>
        </is>
      </c>
      <c r="H3039" t="inlineStr">
        <is>
          <t>Hospital</t>
        </is>
      </c>
      <c r="I3039" t="inlineStr">
        <is>
          <t>Public payer</t>
        </is>
      </c>
      <c r="J3039" t="inlineStr">
        <is>
          <t>Kofi Mensah</t>
        </is>
      </c>
      <c r="K3039" s="70" t="n">
        <v>2292</v>
      </c>
      <c r="L3039" s="71" t="n">
        <v>431.11</v>
      </c>
      <c r="M3039" s="71" t="n">
        <v>988104.12</v>
      </c>
      <c r="N3039" s="71" t="n">
        <v>247026.03</v>
      </c>
      <c r="O3039" s="71" t="n">
        <v>741078.09</v>
      </c>
      <c r="P3039" s="71" t="n">
        <v>175664.27</v>
      </c>
      <c r="Q3039" s="71" t="n">
        <v>565413.8199999999</v>
      </c>
      <c r="R3039" t="inlineStr">
        <is>
          <t>Cardiology</t>
        </is>
      </c>
      <c r="S3039" s="70" t="n">
        <v>2149</v>
      </c>
      <c r="T3039" s="71" t="n">
        <v>181287.67</v>
      </c>
      <c r="U3039" t="inlineStr">
        <is>
          <t>High</t>
        </is>
      </c>
      <c r="V3039">
        <f>IF(AND(OR(Dashboard!$C$6="All",E3039=Dashboard!$C$6),OR(Dashboard!$F$6="All",G3039=Dashboard!$F$6),OR(Dashboard!$I$6="All",H3039=Dashboard!$I$6)),1,0)</f>
        <v/>
      </c>
    </row>
    <row r="3040">
      <c r="A3040" t="inlineStr">
        <is>
          <t>PF103031</t>
        </is>
      </c>
      <c r="B3040" s="68" t="n">
        <v>46026</v>
      </c>
      <c r="C3040" s="69" t="n">
        <v>2026</v>
      </c>
      <c r="D3040" t="inlineStr">
        <is>
          <t>Jan</t>
        </is>
      </c>
      <c r="E3040" t="inlineStr">
        <is>
          <t>United States</t>
        </is>
      </c>
      <c r="F3040" t="inlineStr">
        <is>
          <t>USA</t>
        </is>
      </c>
      <c r="G3040" t="inlineStr">
        <is>
          <t>Prevnar 20</t>
        </is>
      </c>
      <c r="H3040" t="inlineStr">
        <is>
          <t>Retail pharmacy</t>
        </is>
      </c>
      <c r="I3040" t="inlineStr">
        <is>
          <t>Public payer</t>
        </is>
      </c>
      <c r="J3040" t="inlineStr">
        <is>
          <t>Shraddha Kulkarni</t>
        </is>
      </c>
      <c r="K3040" s="70" t="n">
        <v>621</v>
      </c>
      <c r="L3040" s="71" t="n">
        <v>385.84</v>
      </c>
      <c r="M3040" s="71" t="n">
        <v>239606.64</v>
      </c>
      <c r="N3040" s="71" t="n">
        <v>71881.99000000001</v>
      </c>
      <c r="O3040" s="71" t="n">
        <v>167724.65</v>
      </c>
      <c r="P3040" s="71" t="n">
        <v>43383.41</v>
      </c>
      <c r="Q3040" s="71" t="n">
        <v>124341.24</v>
      </c>
      <c r="R3040" t="inlineStr">
        <is>
          <t>Vaccines</t>
        </is>
      </c>
      <c r="S3040" s="70" t="n">
        <v>459</v>
      </c>
      <c r="T3040" s="71" t="n">
        <v>46257.71</v>
      </c>
      <c r="U3040" t="inlineStr">
        <is>
          <t>Low</t>
        </is>
      </c>
      <c r="V3040">
        <f>IF(AND(OR(Dashboard!$C$6="All",E3040=Dashboard!$C$6),OR(Dashboard!$F$6="All",G3040=Dashboard!$F$6),OR(Dashboard!$I$6="All",H3040=Dashboard!$I$6)),1,0)</f>
        <v/>
      </c>
    </row>
    <row r="3041">
      <c r="A3041" t="inlineStr">
        <is>
          <t>PF103032</t>
        </is>
      </c>
      <c r="B3041" s="68" t="n">
        <v>46026</v>
      </c>
      <c r="C3041" s="69" t="n">
        <v>2026</v>
      </c>
      <c r="D3041" t="inlineStr">
        <is>
          <t>Jan</t>
        </is>
      </c>
      <c r="E3041" t="inlineStr">
        <is>
          <t>Emerging markets</t>
        </is>
      </c>
      <c r="F3041" t="inlineStr">
        <is>
          <t>India</t>
        </is>
      </c>
      <c r="G3041" t="inlineStr">
        <is>
          <t>Paxlovid</t>
        </is>
      </c>
      <c r="H3041" t="inlineStr">
        <is>
          <t>Hospital</t>
        </is>
      </c>
      <c r="I3041" t="inlineStr">
        <is>
          <t>Public payer</t>
        </is>
      </c>
      <c r="J3041" t="inlineStr">
        <is>
          <t>Liam O'Brien</t>
        </is>
      </c>
      <c r="K3041" s="70" t="n">
        <v>2087</v>
      </c>
      <c r="L3041" s="71" t="n">
        <v>866.77</v>
      </c>
      <c r="M3041" s="71" t="n">
        <v>1808948.99</v>
      </c>
      <c r="N3041" s="71" t="n">
        <v>452237.25</v>
      </c>
      <c r="O3041" s="71" t="n">
        <v>1356711.74</v>
      </c>
      <c r="P3041" s="71" t="n">
        <v>569178.15</v>
      </c>
      <c r="Q3041" s="71" t="n">
        <v>787533.59</v>
      </c>
      <c r="R3041" t="inlineStr">
        <is>
          <t>Antiviral</t>
        </is>
      </c>
      <c r="S3041" s="70" t="n">
        <v>1551</v>
      </c>
      <c r="T3041" s="71" t="n">
        <v>316345.17</v>
      </c>
      <c r="U3041" t="inlineStr">
        <is>
          <t>Low</t>
        </is>
      </c>
      <c r="V3041">
        <f>IF(AND(OR(Dashboard!$C$6="All",E3041=Dashboard!$C$6),OR(Dashboard!$F$6="All",G3041=Dashboard!$F$6),OR(Dashboard!$I$6="All",H3041=Dashboard!$I$6)),1,0)</f>
        <v/>
      </c>
    </row>
    <row r="3042">
      <c r="A3042" t="inlineStr">
        <is>
          <t>PF103033</t>
        </is>
      </c>
      <c r="B3042" s="68" t="n">
        <v>46026</v>
      </c>
      <c r="C3042" s="69" t="n">
        <v>2026</v>
      </c>
      <c r="D3042" t="inlineStr">
        <is>
          <t>Jan</t>
        </is>
      </c>
      <c r="E3042" t="inlineStr">
        <is>
          <t>International developed</t>
        </is>
      </c>
      <c r="F3042" t="inlineStr">
        <is>
          <t>Australia</t>
        </is>
      </c>
      <c r="G3042" t="inlineStr">
        <is>
          <t>Abrysvo</t>
        </is>
      </c>
      <c r="H3042" t="inlineStr">
        <is>
          <t>Hospital</t>
        </is>
      </c>
      <c r="I3042" t="inlineStr">
        <is>
          <t>Private insurer</t>
        </is>
      </c>
      <c r="J3042" t="inlineStr">
        <is>
          <t>Yuki Sato</t>
        </is>
      </c>
      <c r="K3042" s="70" t="n">
        <v>2216</v>
      </c>
      <c r="L3042" s="71" t="n">
        <v>344.9</v>
      </c>
      <c r="M3042" s="71" t="n">
        <v>764298.4</v>
      </c>
      <c r="N3042" s="71" t="n">
        <v>76429.84</v>
      </c>
      <c r="O3042" s="71" t="n">
        <v>687868.5600000001</v>
      </c>
      <c r="P3042" s="71" t="n">
        <v>190405.01</v>
      </c>
      <c r="Q3042" s="71" t="n">
        <v>497463.55</v>
      </c>
      <c r="R3042" t="inlineStr">
        <is>
          <t>Vaccines</t>
        </is>
      </c>
      <c r="S3042" s="70" t="n">
        <v>1684</v>
      </c>
      <c r="T3042" s="71" t="n">
        <v>89694.91</v>
      </c>
      <c r="U3042" t="inlineStr">
        <is>
          <t>Low</t>
        </is>
      </c>
      <c r="V3042">
        <f>IF(AND(OR(Dashboard!$C$6="All",E3042=Dashboard!$C$6),OR(Dashboard!$F$6="All",G3042=Dashboard!$F$6),OR(Dashboard!$I$6="All",H3042=Dashboard!$I$6)),1,0)</f>
        <v/>
      </c>
    </row>
    <row r="3043">
      <c r="A3043" t="inlineStr">
        <is>
          <t>PF103034</t>
        </is>
      </c>
      <c r="B3043" s="68" t="n">
        <v>46026</v>
      </c>
      <c r="C3043" s="69" t="n">
        <v>2026</v>
      </c>
      <c r="D3043" t="inlineStr">
        <is>
          <t>Jan</t>
        </is>
      </c>
      <c r="E3043" t="inlineStr">
        <is>
          <t>United States</t>
        </is>
      </c>
      <c r="F3043" t="inlineStr">
        <is>
          <t>USA</t>
        </is>
      </c>
      <c r="G3043" t="inlineStr">
        <is>
          <t>Prevnar 20</t>
        </is>
      </c>
      <c r="H3043" t="inlineStr">
        <is>
          <t>Retail pharmacy</t>
        </is>
      </c>
      <c r="I3043" t="inlineStr">
        <is>
          <t>Self-pay</t>
        </is>
      </c>
      <c r="J3043" t="inlineStr">
        <is>
          <t>Amir Khan</t>
        </is>
      </c>
      <c r="K3043" s="70" t="n">
        <v>357</v>
      </c>
      <c r="L3043" s="71" t="n">
        <v>379.55</v>
      </c>
      <c r="M3043" s="71" t="n">
        <v>135499.35</v>
      </c>
      <c r="N3043" s="71" t="n">
        <v>33874.84</v>
      </c>
      <c r="O3043" s="71" t="n">
        <v>101624.51</v>
      </c>
      <c r="P3043" s="71" t="n">
        <v>25177.41</v>
      </c>
      <c r="Q3043" s="71" t="n">
        <v>76447.10000000001</v>
      </c>
      <c r="R3043" t="inlineStr">
        <is>
          <t>Vaccines</t>
        </is>
      </c>
      <c r="S3043" s="70" t="n">
        <v>240</v>
      </c>
      <c r="T3043" s="71" t="n">
        <v>28781.81</v>
      </c>
      <c r="U3043" t="inlineStr">
        <is>
          <t>Low</t>
        </is>
      </c>
      <c r="V3043">
        <f>IF(AND(OR(Dashboard!$C$6="All",E3043=Dashboard!$C$6),OR(Dashboard!$F$6="All",G3043=Dashboard!$F$6),OR(Dashboard!$I$6="All",H3043=Dashboard!$I$6)),1,0)</f>
        <v/>
      </c>
    </row>
    <row r="3044">
      <c r="A3044" t="inlineStr">
        <is>
          <t>PF103035</t>
        </is>
      </c>
      <c r="B3044" s="68" t="n">
        <v>46026</v>
      </c>
      <c r="C3044" s="69" t="n">
        <v>2026</v>
      </c>
      <c r="D3044" t="inlineStr">
        <is>
          <t>Jan</t>
        </is>
      </c>
      <c r="E3044" t="inlineStr">
        <is>
          <t>Emerging markets</t>
        </is>
      </c>
      <c r="F3044" t="inlineStr">
        <is>
          <t>China</t>
        </is>
      </c>
      <c r="G3044" t="inlineStr">
        <is>
          <t>Comirnaty</t>
        </is>
      </c>
      <c r="H3044" t="inlineStr">
        <is>
          <t>Hospital</t>
        </is>
      </c>
      <c r="I3044" t="inlineStr">
        <is>
          <t>Private insurer</t>
        </is>
      </c>
      <c r="J3044" t="inlineStr">
        <is>
          <t>Yuki Sato</t>
        </is>
      </c>
      <c r="K3044" s="70" t="n">
        <v>1782</v>
      </c>
      <c r="L3044" s="71" t="n">
        <v>92.84</v>
      </c>
      <c r="M3044" s="71" t="n">
        <v>165440.88</v>
      </c>
      <c r="N3044" s="71" t="n">
        <v>33088.18</v>
      </c>
      <c r="O3044" s="71" t="n">
        <v>132352.7</v>
      </c>
      <c r="P3044" s="71" t="n">
        <v>66643.45</v>
      </c>
      <c r="Q3044" s="71" t="n">
        <v>65709.25</v>
      </c>
      <c r="R3044" t="inlineStr">
        <is>
          <t>Vaccines</t>
        </is>
      </c>
      <c r="S3044" s="70" t="n">
        <v>1246</v>
      </c>
      <c r="T3044" s="71" t="n">
        <v>41915.16</v>
      </c>
      <c r="U3044" t="inlineStr">
        <is>
          <t>Low</t>
        </is>
      </c>
      <c r="V3044">
        <f>IF(AND(OR(Dashboard!$C$6="All",E3044=Dashboard!$C$6),OR(Dashboard!$F$6="All",G3044=Dashboard!$F$6),OR(Dashboard!$I$6="All",H3044=Dashboard!$I$6)),1,0)</f>
        <v/>
      </c>
    </row>
    <row r="3045">
      <c r="A3045" t="inlineStr">
        <is>
          <t>PF103036</t>
        </is>
      </c>
      <c r="B3045" s="68" t="n">
        <v>46026</v>
      </c>
      <c r="C3045" s="69" t="n">
        <v>2026</v>
      </c>
      <c r="D3045" t="inlineStr">
        <is>
          <t>Jan</t>
        </is>
      </c>
      <c r="E3045" t="inlineStr">
        <is>
          <t>Europe</t>
        </is>
      </c>
      <c r="F3045" t="inlineStr">
        <is>
          <t>UK</t>
        </is>
      </c>
      <c r="G3045" t="inlineStr">
        <is>
          <t>Paxlovid</t>
        </is>
      </c>
      <c r="H3045" t="inlineStr">
        <is>
          <t>Hospital</t>
        </is>
      </c>
      <c r="I3045" t="inlineStr">
        <is>
          <t>Private insurer</t>
        </is>
      </c>
      <c r="J3045" t="inlineStr">
        <is>
          <t>Sara Rossi</t>
        </is>
      </c>
      <c r="K3045" s="70" t="n">
        <v>898</v>
      </c>
      <c r="L3045" s="71" t="n">
        <v>828.88</v>
      </c>
      <c r="M3045" s="71" t="n">
        <v>744334.24</v>
      </c>
      <c r="N3045" s="71" t="n">
        <v>74433.42</v>
      </c>
      <c r="O3045" s="71" t="n">
        <v>669900.8199999999</v>
      </c>
      <c r="P3045" s="71" t="n">
        <v>250307.24</v>
      </c>
      <c r="Q3045" s="71" t="n">
        <v>419593.58</v>
      </c>
      <c r="R3045" t="inlineStr">
        <is>
          <t>Antiviral</t>
        </is>
      </c>
      <c r="S3045" s="70" t="n">
        <v>895</v>
      </c>
      <c r="T3045" s="71" t="n">
        <v>173007.17</v>
      </c>
      <c r="U3045" t="inlineStr">
        <is>
          <t>Low</t>
        </is>
      </c>
      <c r="V3045">
        <f>IF(AND(OR(Dashboard!$C$6="All",E3045=Dashboard!$C$6),OR(Dashboard!$F$6="All",G3045=Dashboard!$F$6),OR(Dashboard!$I$6="All",H3045=Dashboard!$I$6)),1,0)</f>
        <v/>
      </c>
    </row>
    <row r="3046">
      <c r="A3046" t="inlineStr">
        <is>
          <t>PF103037</t>
        </is>
      </c>
      <c r="B3046" s="68" t="n">
        <v>46026</v>
      </c>
      <c r="C3046" s="69" t="n">
        <v>2026</v>
      </c>
      <c r="D3046" t="inlineStr">
        <is>
          <t>Jan</t>
        </is>
      </c>
      <c r="E3046" t="inlineStr">
        <is>
          <t>United States</t>
        </is>
      </c>
      <c r="F3046" t="inlineStr">
        <is>
          <t>USA</t>
        </is>
      </c>
      <c r="G3046" t="inlineStr">
        <is>
          <t>Eliquis</t>
        </is>
      </c>
      <c r="H3046" t="inlineStr">
        <is>
          <t>Retail pharmacy</t>
        </is>
      </c>
      <c r="I3046" t="inlineStr">
        <is>
          <t>Self-pay</t>
        </is>
      </c>
      <c r="J3046" t="inlineStr">
        <is>
          <t>Ana Costa</t>
        </is>
      </c>
      <c r="K3046" s="70" t="n">
        <v>798</v>
      </c>
      <c r="L3046" s="71" t="n">
        <v>715.59</v>
      </c>
      <c r="M3046" s="71" t="n">
        <v>571040.8199999999</v>
      </c>
      <c r="N3046" s="71" t="n">
        <v>199864.29</v>
      </c>
      <c r="O3046" s="71" t="n">
        <v>371176.53</v>
      </c>
      <c r="P3046" s="71" t="n">
        <v>60089.96</v>
      </c>
      <c r="Q3046" s="71" t="n">
        <v>311086.57</v>
      </c>
      <c r="R3046" t="inlineStr">
        <is>
          <t>Cardiology</t>
        </is>
      </c>
      <c r="S3046" s="70" t="n">
        <v>669</v>
      </c>
      <c r="T3046" s="71" t="n">
        <v>100984.41</v>
      </c>
      <c r="U3046" t="inlineStr">
        <is>
          <t>High</t>
        </is>
      </c>
      <c r="V3046">
        <f>IF(AND(OR(Dashboard!$C$6="All",E3046=Dashboard!$C$6),OR(Dashboard!$F$6="All",G3046=Dashboard!$F$6),OR(Dashboard!$I$6="All",H3046=Dashboard!$I$6)),1,0)</f>
        <v/>
      </c>
    </row>
    <row r="3047">
      <c r="A3047" t="inlineStr">
        <is>
          <t>PF103038</t>
        </is>
      </c>
      <c r="B3047" s="68" t="n">
        <v>46026</v>
      </c>
      <c r="C3047" s="69" t="n">
        <v>2026</v>
      </c>
      <c r="D3047" t="inlineStr">
        <is>
          <t>Jan</t>
        </is>
      </c>
      <c r="E3047" t="inlineStr">
        <is>
          <t>United States</t>
        </is>
      </c>
      <c r="F3047" t="inlineStr">
        <is>
          <t>USA</t>
        </is>
      </c>
      <c r="G3047" t="inlineStr">
        <is>
          <t>Eliquis</t>
        </is>
      </c>
      <c r="H3047" t="inlineStr">
        <is>
          <t>Retail pharmacy</t>
        </is>
      </c>
      <c r="I3047" t="inlineStr">
        <is>
          <t>Private insurer</t>
        </is>
      </c>
      <c r="J3047" t="inlineStr">
        <is>
          <t>Ana Costa</t>
        </is>
      </c>
      <c r="K3047" s="70" t="n">
        <v>469</v>
      </c>
      <c r="L3047" s="71" t="n">
        <v>706.4400000000001</v>
      </c>
      <c r="M3047" s="71" t="n">
        <v>331320.36</v>
      </c>
      <c r="N3047" s="71" t="n">
        <v>49698.05</v>
      </c>
      <c r="O3047" s="71" t="n">
        <v>281622.31</v>
      </c>
      <c r="P3047" s="71" t="n">
        <v>35760.34</v>
      </c>
      <c r="Q3047" s="71" t="n">
        <v>245861.97</v>
      </c>
      <c r="R3047" t="inlineStr">
        <is>
          <t>Cardiology</t>
        </is>
      </c>
      <c r="S3047" s="70" t="n">
        <v>379</v>
      </c>
      <c r="T3047" s="71" t="n">
        <v>51851.56</v>
      </c>
      <c r="U3047" t="inlineStr">
        <is>
          <t>High</t>
        </is>
      </c>
      <c r="V3047">
        <f>IF(AND(OR(Dashboard!$C$6="All",E3047=Dashboard!$C$6),OR(Dashboard!$F$6="All",G3047=Dashboard!$F$6),OR(Dashboard!$I$6="All",H3047=Dashboard!$I$6)),1,0)</f>
        <v/>
      </c>
    </row>
    <row r="3048">
      <c r="A3048" t="inlineStr">
        <is>
          <t>PF103039</t>
        </is>
      </c>
      <c r="B3048" s="68" t="n">
        <v>46026</v>
      </c>
      <c r="C3048" s="69" t="n">
        <v>2026</v>
      </c>
      <c r="D3048" t="inlineStr">
        <is>
          <t>Jan</t>
        </is>
      </c>
      <c r="E3048" t="inlineStr">
        <is>
          <t>Europe</t>
        </is>
      </c>
      <c r="F3048" t="inlineStr">
        <is>
          <t>Germany</t>
        </is>
      </c>
      <c r="G3048" t="inlineStr">
        <is>
          <t>Eliquis</t>
        </is>
      </c>
      <c r="H3048" t="inlineStr">
        <is>
          <t>Government / tender</t>
        </is>
      </c>
      <c r="I3048" t="inlineStr">
        <is>
          <t>Public payer</t>
        </is>
      </c>
      <c r="J3048" t="inlineStr">
        <is>
          <t>Noah Smith</t>
        </is>
      </c>
      <c r="K3048" s="70" t="n">
        <v>482</v>
      </c>
      <c r="L3048" s="71" t="n">
        <v>455.3</v>
      </c>
      <c r="M3048" s="71" t="n">
        <v>219454.6</v>
      </c>
      <c r="N3048" s="71" t="n">
        <v>21945.46</v>
      </c>
      <c r="O3048" s="71" t="n">
        <v>197509.14</v>
      </c>
      <c r="P3048" s="71" t="n">
        <v>37063.27</v>
      </c>
      <c r="Q3048" s="71" t="n">
        <v>160445.87</v>
      </c>
      <c r="R3048" t="inlineStr">
        <is>
          <t>Cardiology</t>
        </is>
      </c>
      <c r="S3048" s="70" t="n">
        <v>442</v>
      </c>
      <c r="T3048" s="71" t="n">
        <v>26764.08</v>
      </c>
      <c r="U3048" t="inlineStr">
        <is>
          <t>High</t>
        </is>
      </c>
      <c r="V3048">
        <f>IF(AND(OR(Dashboard!$C$6="All",E3048=Dashboard!$C$6),OR(Dashboard!$F$6="All",G3048=Dashboard!$F$6),OR(Dashboard!$I$6="All",H3048=Dashboard!$I$6)),1,0)</f>
        <v/>
      </c>
    </row>
    <row r="3049">
      <c r="A3049" t="inlineStr">
        <is>
          <t>PF103040</t>
        </is>
      </c>
      <c r="B3049" s="68" t="n">
        <v>46027</v>
      </c>
      <c r="C3049" s="69" t="n">
        <v>2026</v>
      </c>
      <c r="D3049" t="inlineStr">
        <is>
          <t>Jan</t>
        </is>
      </c>
      <c r="E3049" t="inlineStr">
        <is>
          <t>Europe</t>
        </is>
      </c>
      <c r="F3049" t="inlineStr">
        <is>
          <t>Spain</t>
        </is>
      </c>
      <c r="G3049" t="inlineStr">
        <is>
          <t>Comirnaty</t>
        </is>
      </c>
      <c r="H3049" t="inlineStr">
        <is>
          <t>Hospital</t>
        </is>
      </c>
      <c r="I3049" t="inlineStr">
        <is>
          <t>Private insurer</t>
        </is>
      </c>
      <c r="J3049" t="inlineStr">
        <is>
          <t>Yuki Sato</t>
        </is>
      </c>
      <c r="K3049" s="70" t="n">
        <v>1285</v>
      </c>
      <c r="L3049" s="71" t="n">
        <v>83.42</v>
      </c>
      <c r="M3049" s="71" t="n">
        <v>107194.7</v>
      </c>
      <c r="N3049" s="71" t="n">
        <v>16079.2</v>
      </c>
      <c r="O3049" s="71" t="n">
        <v>91115.5</v>
      </c>
      <c r="P3049" s="71" t="n">
        <v>50172.15</v>
      </c>
      <c r="Q3049" s="71" t="n">
        <v>40943.35</v>
      </c>
      <c r="R3049" t="inlineStr">
        <is>
          <t>Vaccines</t>
        </is>
      </c>
      <c r="S3049" s="70" t="n">
        <v>1283</v>
      </c>
      <c r="T3049" s="71" t="n">
        <v>26037.1</v>
      </c>
      <c r="U3049" t="inlineStr">
        <is>
          <t>Low</t>
        </is>
      </c>
      <c r="V3049">
        <f>IF(AND(OR(Dashboard!$C$6="All",E3049=Dashboard!$C$6),OR(Dashboard!$F$6="All",G3049=Dashboard!$F$6),OR(Dashboard!$I$6="All",H3049=Dashboard!$I$6)),1,0)</f>
        <v/>
      </c>
    </row>
    <row r="3050">
      <c r="A3050" t="inlineStr">
        <is>
          <t>PF103041</t>
        </is>
      </c>
      <c r="B3050" s="68" t="n">
        <v>46027</v>
      </c>
      <c r="C3050" s="69" t="n">
        <v>2026</v>
      </c>
      <c r="D3050" t="inlineStr">
        <is>
          <t>Jan</t>
        </is>
      </c>
      <c r="E3050" t="inlineStr">
        <is>
          <t>International developed</t>
        </is>
      </c>
      <c r="F3050" t="inlineStr">
        <is>
          <t>Canada</t>
        </is>
      </c>
      <c r="G3050" t="inlineStr">
        <is>
          <t>Abrysvo</t>
        </is>
      </c>
      <c r="H3050" t="inlineStr">
        <is>
          <t>Government / tender</t>
        </is>
      </c>
      <c r="I3050" t="inlineStr">
        <is>
          <t>Private insurer</t>
        </is>
      </c>
      <c r="J3050" t="inlineStr">
        <is>
          <t>Arjun Mehta</t>
        </is>
      </c>
      <c r="K3050" s="70" t="n">
        <v>2049</v>
      </c>
      <c r="L3050" s="71" t="n">
        <v>295.27</v>
      </c>
      <c r="M3050" s="71" t="n">
        <v>605008.23</v>
      </c>
      <c r="N3050" s="71" t="n">
        <v>151252.06</v>
      </c>
      <c r="O3050" s="71" t="n">
        <v>453756.17</v>
      </c>
      <c r="P3050" s="71" t="n">
        <v>173329.13</v>
      </c>
      <c r="Q3050" s="71" t="n">
        <v>280427.04</v>
      </c>
      <c r="R3050" t="inlineStr">
        <is>
          <t>Vaccines</t>
        </is>
      </c>
      <c r="S3050" s="70" t="n">
        <v>1283</v>
      </c>
      <c r="T3050" s="71" t="n">
        <v>91415.05</v>
      </c>
      <c r="U3050" t="inlineStr">
        <is>
          <t>Low</t>
        </is>
      </c>
      <c r="V3050">
        <f>IF(AND(OR(Dashboard!$C$6="All",E3050=Dashboard!$C$6),OR(Dashboard!$F$6="All",G3050=Dashboard!$F$6),OR(Dashboard!$I$6="All",H3050=Dashboard!$I$6)),1,0)</f>
        <v/>
      </c>
    </row>
    <row r="3051">
      <c r="A3051" t="inlineStr">
        <is>
          <t>PF103042</t>
        </is>
      </c>
      <c r="B3051" s="68" t="n">
        <v>46027</v>
      </c>
      <c r="C3051" s="69" t="n">
        <v>2026</v>
      </c>
      <c r="D3051" t="inlineStr">
        <is>
          <t>Jan</t>
        </is>
      </c>
      <c r="E3051" t="inlineStr">
        <is>
          <t>United States</t>
        </is>
      </c>
      <c r="F3051" t="inlineStr">
        <is>
          <t>USA</t>
        </is>
      </c>
      <c r="G3051" t="inlineStr">
        <is>
          <t>Abrysvo</t>
        </is>
      </c>
      <c r="H3051" t="inlineStr">
        <is>
          <t>Government / tender</t>
        </is>
      </c>
      <c r="I3051" t="inlineStr">
        <is>
          <t>Public payer</t>
        </is>
      </c>
      <c r="J3051" t="inlineStr">
        <is>
          <t>Aisha Bello</t>
        </is>
      </c>
      <c r="K3051" s="70" t="n">
        <v>1516</v>
      </c>
      <c r="L3051" s="71" t="n">
        <v>514.87</v>
      </c>
      <c r="M3051" s="71" t="n">
        <v>780542.92</v>
      </c>
      <c r="N3051" s="71" t="n">
        <v>195135.73</v>
      </c>
      <c r="O3051" s="71" t="n">
        <v>585407.1899999999</v>
      </c>
      <c r="P3051" s="71" t="n">
        <v>125123.76</v>
      </c>
      <c r="Q3051" s="71" t="n">
        <v>460283.43</v>
      </c>
      <c r="R3051" t="inlineStr">
        <is>
          <t>Vaccines</t>
        </is>
      </c>
      <c r="S3051" s="70" t="n">
        <v>1018</v>
      </c>
      <c r="T3051" s="71" t="n">
        <v>85390.03999999999</v>
      </c>
      <c r="U3051" t="inlineStr">
        <is>
          <t>Low</t>
        </is>
      </c>
      <c r="V3051">
        <f>IF(AND(OR(Dashboard!$C$6="All",E3051=Dashboard!$C$6),OR(Dashboard!$F$6="All",G3051=Dashboard!$F$6),OR(Dashboard!$I$6="All",H3051=Dashboard!$I$6)),1,0)</f>
        <v/>
      </c>
    </row>
    <row r="3052">
      <c r="A3052" t="inlineStr">
        <is>
          <t>PF103043</t>
        </is>
      </c>
      <c r="B3052" s="68" t="n">
        <v>46027</v>
      </c>
      <c r="C3052" s="69" t="n">
        <v>2026</v>
      </c>
      <c r="D3052" t="inlineStr">
        <is>
          <t>Jan</t>
        </is>
      </c>
      <c r="E3052" t="inlineStr">
        <is>
          <t>United States</t>
        </is>
      </c>
      <c r="F3052" t="inlineStr">
        <is>
          <t>USA</t>
        </is>
      </c>
      <c r="G3052" t="inlineStr">
        <is>
          <t>Xeljanz</t>
        </is>
      </c>
      <c r="H3052" t="inlineStr">
        <is>
          <t>Hospital</t>
        </is>
      </c>
      <c r="I3052" t="inlineStr">
        <is>
          <t>Private insurer</t>
        </is>
      </c>
      <c r="J3052" t="inlineStr">
        <is>
          <t>Sara Rossi</t>
        </is>
      </c>
      <c r="K3052" s="70" t="n">
        <v>48</v>
      </c>
      <c r="L3052" s="71" t="n">
        <v>2222.12</v>
      </c>
      <c r="M3052" s="71" t="n">
        <v>106661.76</v>
      </c>
      <c r="N3052" s="71" t="n">
        <v>37331.62</v>
      </c>
      <c r="O3052" s="71" t="n">
        <v>69330.14</v>
      </c>
      <c r="P3052" s="71" t="n">
        <v>12028.2</v>
      </c>
      <c r="Q3052" s="71" t="n">
        <v>57301.94</v>
      </c>
      <c r="R3052" t="inlineStr">
        <is>
          <t>Inflammation</t>
        </is>
      </c>
      <c r="S3052" s="70" t="n">
        <v>33</v>
      </c>
      <c r="T3052" s="71" t="n">
        <v>15457.7</v>
      </c>
      <c r="U3052" t="inlineStr">
        <is>
          <t>High</t>
        </is>
      </c>
      <c r="V3052">
        <f>IF(AND(OR(Dashboard!$C$6="All",E3052=Dashboard!$C$6),OR(Dashboard!$F$6="All",G3052=Dashboard!$F$6),OR(Dashboard!$I$6="All",H3052=Dashboard!$I$6)),1,0)</f>
        <v/>
      </c>
    </row>
    <row r="3053">
      <c r="A3053" t="inlineStr">
        <is>
          <t>PF103044</t>
        </is>
      </c>
      <c r="B3053" s="68" t="n">
        <v>46027</v>
      </c>
      <c r="C3053" s="69" t="n">
        <v>2026</v>
      </c>
      <c r="D3053" t="inlineStr">
        <is>
          <t>Jan</t>
        </is>
      </c>
      <c r="E3053" t="inlineStr">
        <is>
          <t>United States</t>
        </is>
      </c>
      <c r="F3053" t="inlineStr">
        <is>
          <t>USA</t>
        </is>
      </c>
      <c r="G3053" t="inlineStr">
        <is>
          <t>Prevnar 20</t>
        </is>
      </c>
      <c r="H3053" t="inlineStr">
        <is>
          <t>Retail pharmacy</t>
        </is>
      </c>
      <c r="I3053" t="inlineStr">
        <is>
          <t>Public payer</t>
        </is>
      </c>
      <c r="J3053" t="inlineStr">
        <is>
          <t>Ruhi Shaikh</t>
        </is>
      </c>
      <c r="K3053" s="70" t="n">
        <v>162</v>
      </c>
      <c r="L3053" s="71" t="n">
        <v>338.74</v>
      </c>
      <c r="M3053" s="71" t="n">
        <v>54875.88</v>
      </c>
      <c r="N3053" s="71" t="n">
        <v>19206.56</v>
      </c>
      <c r="O3053" s="71" t="n">
        <v>35669.32</v>
      </c>
      <c r="P3053" s="71" t="n">
        <v>10809.33</v>
      </c>
      <c r="Q3053" s="71" t="n">
        <v>24859.99</v>
      </c>
      <c r="R3053" t="inlineStr">
        <is>
          <t>Vaccines</t>
        </is>
      </c>
      <c r="S3053" s="70" t="n">
        <v>140</v>
      </c>
      <c r="T3053" s="71" t="n">
        <v>7769.99</v>
      </c>
      <c r="U3053" t="inlineStr">
        <is>
          <t>Low</t>
        </is>
      </c>
      <c r="V3053">
        <f>IF(AND(OR(Dashboard!$C$6="All",E3053=Dashboard!$C$6),OR(Dashboard!$F$6="All",G3053=Dashboard!$F$6),OR(Dashboard!$I$6="All",H3053=Dashboard!$I$6)),1,0)</f>
        <v/>
      </c>
    </row>
    <row r="3054">
      <c r="A3054" t="inlineStr">
        <is>
          <t>PF103045</t>
        </is>
      </c>
      <c r="B3054" s="68" t="n">
        <v>46027</v>
      </c>
      <c r="C3054" s="69" t="n">
        <v>2026</v>
      </c>
      <c r="D3054" t="inlineStr">
        <is>
          <t>Jan</t>
        </is>
      </c>
      <c r="E3054" t="inlineStr">
        <is>
          <t>United States</t>
        </is>
      </c>
      <c r="F3054" t="inlineStr">
        <is>
          <t>USA</t>
        </is>
      </c>
      <c r="G3054" t="inlineStr">
        <is>
          <t>Ibrance</t>
        </is>
      </c>
      <c r="H3054" t="inlineStr">
        <is>
          <t>Government / tender</t>
        </is>
      </c>
      <c r="I3054" t="inlineStr">
        <is>
          <t>Public payer</t>
        </is>
      </c>
      <c r="J3054" t="inlineStr">
        <is>
          <t>Hiroshi Tanaka</t>
        </is>
      </c>
      <c r="K3054" s="70" t="n">
        <v>1686</v>
      </c>
      <c r="L3054" s="71" t="n">
        <v>4825.24</v>
      </c>
      <c r="M3054" s="71" t="n">
        <v>8135354.64</v>
      </c>
      <c r="N3054" s="71" t="n">
        <v>1627070.93</v>
      </c>
      <c r="O3054" s="71" t="n">
        <v>6508283.71</v>
      </c>
      <c r="P3054" s="71" t="n">
        <v>735308.39</v>
      </c>
      <c r="Q3054" s="71" t="n">
        <v>5772975.32</v>
      </c>
      <c r="R3054" t="inlineStr">
        <is>
          <t>Oncology</t>
        </is>
      </c>
      <c r="S3054" s="70" t="n">
        <v>1097</v>
      </c>
      <c r="T3054" s="71" t="n">
        <v>1223462.86</v>
      </c>
      <c r="U3054" t="inlineStr">
        <is>
          <t>High</t>
        </is>
      </c>
      <c r="V3054">
        <f>IF(AND(OR(Dashboard!$C$6="All",E3054=Dashboard!$C$6),OR(Dashboard!$F$6="All",G3054=Dashboard!$F$6),OR(Dashboard!$I$6="All",H3054=Dashboard!$I$6)),1,0)</f>
        <v/>
      </c>
    </row>
    <row r="3055">
      <c r="A3055" t="inlineStr">
        <is>
          <t>PF103046</t>
        </is>
      </c>
      <c r="B3055" s="68" t="n">
        <v>46027</v>
      </c>
      <c r="C3055" s="69" t="n">
        <v>2026</v>
      </c>
      <c r="D3055" t="inlineStr">
        <is>
          <t>Jan</t>
        </is>
      </c>
      <c r="E3055" t="inlineStr">
        <is>
          <t>Emerging markets</t>
        </is>
      </c>
      <c r="F3055" t="inlineStr">
        <is>
          <t>India</t>
        </is>
      </c>
      <c r="G3055" t="inlineStr">
        <is>
          <t>Prevnar 20</t>
        </is>
      </c>
      <c r="H3055" t="inlineStr">
        <is>
          <t>Hospital</t>
        </is>
      </c>
      <c r="I3055" t="inlineStr">
        <is>
          <t>Public payer</t>
        </is>
      </c>
      <c r="J3055" t="inlineStr">
        <is>
          <t>Mei Lin</t>
        </is>
      </c>
      <c r="K3055" s="70" t="n">
        <v>817</v>
      </c>
      <c r="L3055" s="71" t="n">
        <v>218.51</v>
      </c>
      <c r="M3055" s="71" t="n">
        <v>178522.67</v>
      </c>
      <c r="N3055" s="71" t="n">
        <v>35704.53</v>
      </c>
      <c r="O3055" s="71" t="n">
        <v>142818.14</v>
      </c>
      <c r="P3055" s="71" t="n">
        <v>56247.15</v>
      </c>
      <c r="Q3055" s="71" t="n">
        <v>86570.99000000001</v>
      </c>
      <c r="R3055" t="inlineStr">
        <is>
          <t>Vaccines</t>
        </is>
      </c>
      <c r="S3055" s="70" t="n">
        <v>693</v>
      </c>
      <c r="T3055" s="71" t="n">
        <v>31598.42</v>
      </c>
      <c r="U3055" t="inlineStr">
        <is>
          <t>Low</t>
        </is>
      </c>
      <c r="V3055">
        <f>IF(AND(OR(Dashboard!$C$6="All",E3055=Dashboard!$C$6),OR(Dashboard!$F$6="All",G3055=Dashboard!$F$6),OR(Dashboard!$I$6="All",H3055=Dashboard!$I$6)),1,0)</f>
        <v/>
      </c>
    </row>
    <row r="3056">
      <c r="A3056" t="inlineStr">
        <is>
          <t>PF103047</t>
        </is>
      </c>
      <c r="B3056" s="68" t="n">
        <v>46027</v>
      </c>
      <c r="C3056" s="69" t="n">
        <v>2026</v>
      </c>
      <c r="D3056" t="inlineStr">
        <is>
          <t>Jan</t>
        </is>
      </c>
      <c r="E3056" t="inlineStr">
        <is>
          <t>Emerging markets</t>
        </is>
      </c>
      <c r="F3056" t="inlineStr">
        <is>
          <t>Brazil</t>
        </is>
      </c>
      <c r="G3056" t="inlineStr">
        <is>
          <t>Prevnar 20</t>
        </is>
      </c>
      <c r="H3056" t="inlineStr">
        <is>
          <t>Hospital</t>
        </is>
      </c>
      <c r="I3056" t="inlineStr">
        <is>
          <t>Self-pay</t>
        </is>
      </c>
      <c r="J3056" t="inlineStr">
        <is>
          <t>Sophie Müller</t>
        </is>
      </c>
      <c r="K3056" s="70" t="n">
        <v>1202</v>
      </c>
      <c r="L3056" s="71" t="n">
        <v>219.52</v>
      </c>
      <c r="M3056" s="71" t="n">
        <v>263863.04</v>
      </c>
      <c r="N3056" s="71" t="n">
        <v>52772.61</v>
      </c>
      <c r="O3056" s="71" t="n">
        <v>211090.43</v>
      </c>
      <c r="P3056" s="71" t="n">
        <v>81294.58</v>
      </c>
      <c r="Q3056" s="71" t="n">
        <v>129795.85</v>
      </c>
      <c r="R3056" t="inlineStr">
        <is>
          <t>Vaccines</t>
        </is>
      </c>
      <c r="S3056" s="70" t="n">
        <v>909</v>
      </c>
      <c r="T3056" s="71" t="n">
        <v>45371</v>
      </c>
      <c r="U3056" t="inlineStr">
        <is>
          <t>Low</t>
        </is>
      </c>
      <c r="V3056">
        <f>IF(AND(OR(Dashboard!$C$6="All",E3056=Dashboard!$C$6),OR(Dashboard!$F$6="All",G3056=Dashboard!$F$6),OR(Dashboard!$I$6="All",H3056=Dashboard!$I$6)),1,0)</f>
        <v/>
      </c>
    </row>
    <row r="3057">
      <c r="A3057" t="inlineStr">
        <is>
          <t>PF103048</t>
        </is>
      </c>
      <c r="B3057" s="68" t="n">
        <v>46027</v>
      </c>
      <c r="C3057" s="69" t="n">
        <v>2026</v>
      </c>
      <c r="D3057" t="inlineStr">
        <is>
          <t>Jan</t>
        </is>
      </c>
      <c r="E3057" t="inlineStr">
        <is>
          <t>United States</t>
        </is>
      </c>
      <c r="F3057" t="inlineStr">
        <is>
          <t>USA</t>
        </is>
      </c>
      <c r="G3057" t="inlineStr">
        <is>
          <t>Comirnaty</t>
        </is>
      </c>
      <c r="H3057" t="inlineStr">
        <is>
          <t>Government / tender</t>
        </is>
      </c>
      <c r="I3057" t="inlineStr">
        <is>
          <t>Self-pay</t>
        </is>
      </c>
      <c r="J3057" t="inlineStr">
        <is>
          <t>Ruhi Shaikh</t>
        </is>
      </c>
      <c r="K3057" s="70" t="n">
        <v>2076</v>
      </c>
      <c r="L3057" s="71" t="n">
        <v>127.98</v>
      </c>
      <c r="M3057" s="71" t="n">
        <v>265686.48</v>
      </c>
      <c r="N3057" s="71" t="n">
        <v>66421.62</v>
      </c>
      <c r="O3057" s="71" t="n">
        <v>199264.86</v>
      </c>
      <c r="P3057" s="71" t="n">
        <v>80179.21000000001</v>
      </c>
      <c r="Q3057" s="71" t="n">
        <v>119085.65</v>
      </c>
      <c r="R3057" t="inlineStr">
        <is>
          <t>Vaccines</t>
        </is>
      </c>
      <c r="S3057" s="70" t="n">
        <v>1551</v>
      </c>
      <c r="T3057" s="71" t="n">
        <v>43147.43</v>
      </c>
      <c r="U3057" t="inlineStr">
        <is>
          <t>Low</t>
        </is>
      </c>
      <c r="V3057">
        <f>IF(AND(OR(Dashboard!$C$6="All",E3057=Dashboard!$C$6),OR(Dashboard!$F$6="All",G3057=Dashboard!$F$6),OR(Dashboard!$I$6="All",H3057=Dashboard!$I$6)),1,0)</f>
        <v/>
      </c>
    </row>
    <row r="3058">
      <c r="A3058" t="inlineStr">
        <is>
          <t>PF103049</t>
        </is>
      </c>
      <c r="B3058" s="68" t="n">
        <v>46027</v>
      </c>
      <c r="C3058" s="69" t="n">
        <v>2026</v>
      </c>
      <c r="D3058" t="inlineStr">
        <is>
          <t>Jan</t>
        </is>
      </c>
      <c r="E3058" t="inlineStr">
        <is>
          <t>Europe</t>
        </is>
      </c>
      <c r="F3058" t="inlineStr">
        <is>
          <t>UK</t>
        </is>
      </c>
      <c r="G3058" t="inlineStr">
        <is>
          <t>Vyndaqel</t>
        </is>
      </c>
      <c r="H3058" t="inlineStr">
        <is>
          <t>Retail pharmacy</t>
        </is>
      </c>
      <c r="I3058" t="inlineStr">
        <is>
          <t>Public payer</t>
        </is>
      </c>
      <c r="J3058" t="inlineStr">
        <is>
          <t>Kofi Mensah</t>
        </is>
      </c>
      <c r="K3058" s="70" t="n">
        <v>143</v>
      </c>
      <c r="L3058" s="71" t="n">
        <v>6109.83</v>
      </c>
      <c r="M3058" s="71" t="n">
        <v>873705.6899999999</v>
      </c>
      <c r="N3058" s="71" t="n">
        <v>174741.14</v>
      </c>
      <c r="O3058" s="71" t="n">
        <v>698964.55</v>
      </c>
      <c r="P3058" s="71" t="n">
        <v>87799.3</v>
      </c>
      <c r="Q3058" s="71" t="n">
        <v>611165.25</v>
      </c>
      <c r="R3058" t="inlineStr">
        <is>
          <t>Rare disease</t>
        </is>
      </c>
      <c r="S3058" s="70" t="n">
        <v>117</v>
      </c>
      <c r="T3058" s="71" t="n">
        <v>114161.48</v>
      </c>
      <c r="U3058" t="inlineStr">
        <is>
          <t>Medium</t>
        </is>
      </c>
      <c r="V3058">
        <f>IF(AND(OR(Dashboard!$C$6="All",E3058=Dashboard!$C$6),OR(Dashboard!$F$6="All",G3058=Dashboard!$F$6),OR(Dashboard!$I$6="All",H3058=Dashboard!$I$6)),1,0)</f>
        <v/>
      </c>
    </row>
    <row r="3059">
      <c r="A3059" t="inlineStr">
        <is>
          <t>PF103050</t>
        </is>
      </c>
      <c r="B3059" s="68" t="n">
        <v>46027</v>
      </c>
      <c r="C3059" s="69" t="n">
        <v>2026</v>
      </c>
      <c r="D3059" t="inlineStr">
        <is>
          <t>Jan</t>
        </is>
      </c>
      <c r="E3059" t="inlineStr">
        <is>
          <t>United States</t>
        </is>
      </c>
      <c r="F3059" t="inlineStr">
        <is>
          <t>USA</t>
        </is>
      </c>
      <c r="G3059" t="inlineStr">
        <is>
          <t>Prevnar 20</t>
        </is>
      </c>
      <c r="H3059" t="inlineStr">
        <is>
          <t>Retail pharmacy</t>
        </is>
      </c>
      <c r="I3059" t="inlineStr">
        <is>
          <t>Private insurer</t>
        </is>
      </c>
      <c r="J3059" t="inlineStr">
        <is>
          <t>Priya Nair</t>
        </is>
      </c>
      <c r="K3059" s="70" t="n">
        <v>1596</v>
      </c>
      <c r="L3059" s="71" t="n">
        <v>396.23</v>
      </c>
      <c r="M3059" s="71" t="n">
        <v>632383.08</v>
      </c>
      <c r="N3059" s="71" t="n">
        <v>126476.62</v>
      </c>
      <c r="O3059" s="71" t="n">
        <v>505906.46</v>
      </c>
      <c r="P3059" s="71" t="n">
        <v>110078.73</v>
      </c>
      <c r="Q3059" s="71" t="n">
        <v>395827.73</v>
      </c>
      <c r="R3059" t="inlineStr">
        <is>
          <t>Vaccines</t>
        </is>
      </c>
      <c r="S3059" s="70" t="n">
        <v>1315</v>
      </c>
      <c r="T3059" s="71" t="n">
        <v>90221.66</v>
      </c>
      <c r="U3059" t="inlineStr">
        <is>
          <t>Low</t>
        </is>
      </c>
      <c r="V3059">
        <f>IF(AND(OR(Dashboard!$C$6="All",E3059=Dashboard!$C$6),OR(Dashboard!$F$6="All",G3059=Dashboard!$F$6),OR(Dashboard!$I$6="All",H3059=Dashboard!$I$6)),1,0)</f>
        <v/>
      </c>
    </row>
    <row r="3060">
      <c r="A3060" t="inlineStr">
        <is>
          <t>PF103051</t>
        </is>
      </c>
      <c r="B3060" s="68" t="n">
        <v>46028</v>
      </c>
      <c r="C3060" s="69" t="n">
        <v>2026</v>
      </c>
      <c r="D3060" t="inlineStr">
        <is>
          <t>Jan</t>
        </is>
      </c>
      <c r="E3060" t="inlineStr">
        <is>
          <t>United States</t>
        </is>
      </c>
      <c r="F3060" t="inlineStr">
        <is>
          <t>USA</t>
        </is>
      </c>
      <c r="G3060" t="inlineStr">
        <is>
          <t>Abrysvo</t>
        </is>
      </c>
      <c r="H3060" t="inlineStr">
        <is>
          <t>Government / tender</t>
        </is>
      </c>
      <c r="I3060" t="inlineStr">
        <is>
          <t>Self-pay</t>
        </is>
      </c>
      <c r="J3060" t="inlineStr">
        <is>
          <t>Noah Smith</t>
        </is>
      </c>
      <c r="K3060" s="70" t="n">
        <v>1383</v>
      </c>
      <c r="L3060" s="71" t="n">
        <v>560.85</v>
      </c>
      <c r="M3060" s="71" t="n">
        <v>775655.55</v>
      </c>
      <c r="N3060" s="71" t="n">
        <v>155131.11</v>
      </c>
      <c r="O3060" s="71" t="n">
        <v>620524.4399999999</v>
      </c>
      <c r="P3060" s="71" t="n">
        <v>112982.46</v>
      </c>
      <c r="Q3060" s="71" t="n">
        <v>507541.98</v>
      </c>
      <c r="R3060" t="inlineStr">
        <is>
          <t>Vaccines</t>
        </is>
      </c>
      <c r="S3060" s="70" t="n">
        <v>1034</v>
      </c>
      <c r="T3060" s="71" t="n">
        <v>86541.64</v>
      </c>
      <c r="U3060" t="inlineStr">
        <is>
          <t>Low</t>
        </is>
      </c>
      <c r="V3060">
        <f>IF(AND(OR(Dashboard!$C$6="All",E3060=Dashboard!$C$6),OR(Dashboard!$F$6="All",G3060=Dashboard!$F$6),OR(Dashboard!$I$6="All",H3060=Dashboard!$I$6)),1,0)</f>
        <v/>
      </c>
    </row>
    <row r="3061">
      <c r="A3061" t="inlineStr">
        <is>
          <t>PF103052</t>
        </is>
      </c>
      <c r="B3061" s="68" t="n">
        <v>46028</v>
      </c>
      <c r="C3061" s="69" t="n">
        <v>2026</v>
      </c>
      <c r="D3061" t="inlineStr">
        <is>
          <t>Jan</t>
        </is>
      </c>
      <c r="E3061" t="inlineStr">
        <is>
          <t>United States</t>
        </is>
      </c>
      <c r="F3061" t="inlineStr">
        <is>
          <t>USA</t>
        </is>
      </c>
      <c r="G3061" t="inlineStr">
        <is>
          <t>Comirnaty</t>
        </is>
      </c>
      <c r="H3061" t="inlineStr">
        <is>
          <t>Hospital</t>
        </is>
      </c>
      <c r="I3061" t="inlineStr">
        <is>
          <t>Public payer</t>
        </is>
      </c>
      <c r="J3061" t="inlineStr">
        <is>
          <t>Ravindra Patil</t>
        </is>
      </c>
      <c r="K3061" s="70" t="n">
        <v>708</v>
      </c>
      <c r="L3061" s="71" t="n">
        <v>131.66</v>
      </c>
      <c r="M3061" s="71" t="n">
        <v>93215.28</v>
      </c>
      <c r="N3061" s="71" t="n">
        <v>27964.58</v>
      </c>
      <c r="O3061" s="71" t="n">
        <v>65250.7</v>
      </c>
      <c r="P3061" s="71" t="n">
        <v>26659.83</v>
      </c>
      <c r="Q3061" s="71" t="n">
        <v>38590.87</v>
      </c>
      <c r="R3061" t="inlineStr">
        <is>
          <t>Vaccines</t>
        </is>
      </c>
      <c r="S3061" s="70" t="n">
        <v>543</v>
      </c>
      <c r="T3061" s="71" t="n">
        <v>21334.07</v>
      </c>
      <c r="U3061" t="inlineStr">
        <is>
          <t>Low</t>
        </is>
      </c>
      <c r="V3061">
        <f>IF(AND(OR(Dashboard!$C$6="All",E3061=Dashboard!$C$6),OR(Dashboard!$F$6="All",G3061=Dashboard!$F$6),OR(Dashboard!$I$6="All",H3061=Dashboard!$I$6)),1,0)</f>
        <v/>
      </c>
    </row>
    <row r="3062">
      <c r="A3062" t="inlineStr">
        <is>
          <t>PF103053</t>
        </is>
      </c>
      <c r="B3062" s="68" t="n">
        <v>46028</v>
      </c>
      <c r="C3062" s="69" t="n">
        <v>2026</v>
      </c>
      <c r="D3062" t="inlineStr">
        <is>
          <t>Jan</t>
        </is>
      </c>
      <c r="E3062" t="inlineStr">
        <is>
          <t>Europe</t>
        </is>
      </c>
      <c r="F3062" t="inlineStr">
        <is>
          <t>UK</t>
        </is>
      </c>
      <c r="G3062" t="inlineStr">
        <is>
          <t>Xeljanz</t>
        </is>
      </c>
      <c r="H3062" t="inlineStr">
        <is>
          <t>Government / tender</t>
        </is>
      </c>
      <c r="I3062" t="inlineStr">
        <is>
          <t>Public payer</t>
        </is>
      </c>
      <c r="J3062" t="inlineStr">
        <is>
          <t>Priya Nair</t>
        </is>
      </c>
      <c r="K3062" s="70" t="n">
        <v>480</v>
      </c>
      <c r="L3062" s="71" t="n">
        <v>1258.5</v>
      </c>
      <c r="M3062" s="71" t="n">
        <v>604080</v>
      </c>
      <c r="N3062" s="71" t="n">
        <v>30204</v>
      </c>
      <c r="O3062" s="71" t="n">
        <v>573876</v>
      </c>
      <c r="P3062" s="71" t="n">
        <v>120306.87</v>
      </c>
      <c r="Q3062" s="71" t="n">
        <v>453569.13</v>
      </c>
      <c r="R3062" t="inlineStr">
        <is>
          <t>Inflammation</t>
        </is>
      </c>
      <c r="S3062" s="70" t="n">
        <v>314</v>
      </c>
      <c r="T3062" s="71" t="n">
        <v>137053.9</v>
      </c>
      <c r="U3062" t="inlineStr">
        <is>
          <t>High</t>
        </is>
      </c>
      <c r="V3062">
        <f>IF(AND(OR(Dashboard!$C$6="All",E3062=Dashboard!$C$6),OR(Dashboard!$F$6="All",G3062=Dashboard!$F$6),OR(Dashboard!$I$6="All",H3062=Dashboard!$I$6)),1,0)</f>
        <v/>
      </c>
    </row>
    <row r="3063">
      <c r="A3063" t="inlineStr">
        <is>
          <t>PF103054</t>
        </is>
      </c>
      <c r="B3063" s="68" t="n">
        <v>46028</v>
      </c>
      <c r="C3063" s="69" t="n">
        <v>2026</v>
      </c>
      <c r="D3063" t="inlineStr">
        <is>
          <t>Jan</t>
        </is>
      </c>
      <c r="E3063" t="inlineStr">
        <is>
          <t>United States</t>
        </is>
      </c>
      <c r="F3063" t="inlineStr">
        <is>
          <t>USA</t>
        </is>
      </c>
      <c r="G3063" t="inlineStr">
        <is>
          <t>Eliquis</t>
        </is>
      </c>
      <c r="H3063" t="inlineStr">
        <is>
          <t>Retail pharmacy</t>
        </is>
      </c>
      <c r="I3063" t="inlineStr">
        <is>
          <t>Public payer</t>
        </is>
      </c>
      <c r="J3063" t="inlineStr">
        <is>
          <t>Hiroshi Tanaka</t>
        </is>
      </c>
      <c r="K3063" s="70" t="n">
        <v>2578</v>
      </c>
      <c r="L3063" s="71" t="n">
        <v>679.79</v>
      </c>
      <c r="M3063" s="71" t="n">
        <v>1752498.62</v>
      </c>
      <c r="N3063" s="71" t="n">
        <v>438124.66</v>
      </c>
      <c r="O3063" s="71" t="n">
        <v>1314373.96</v>
      </c>
      <c r="P3063" s="71" t="n">
        <v>194368.11</v>
      </c>
      <c r="Q3063" s="71" t="n">
        <v>1120005.85</v>
      </c>
      <c r="R3063" t="inlineStr">
        <is>
          <t>Cardiology</t>
        </is>
      </c>
      <c r="S3063" s="70" t="n">
        <v>2467</v>
      </c>
      <c r="T3063" s="71" t="n">
        <v>294669.07</v>
      </c>
      <c r="U3063" t="inlineStr">
        <is>
          <t>High</t>
        </is>
      </c>
      <c r="V3063">
        <f>IF(AND(OR(Dashboard!$C$6="All",E3063=Dashboard!$C$6),OR(Dashboard!$F$6="All",G3063=Dashboard!$F$6),OR(Dashboard!$I$6="All",H3063=Dashboard!$I$6)),1,0)</f>
        <v/>
      </c>
    </row>
    <row r="3064">
      <c r="A3064" t="inlineStr">
        <is>
          <t>PF103055</t>
        </is>
      </c>
      <c r="B3064" s="68" t="n">
        <v>46028</v>
      </c>
      <c r="C3064" s="69" t="n">
        <v>2026</v>
      </c>
      <c r="D3064" t="inlineStr">
        <is>
          <t>Jan</t>
        </is>
      </c>
      <c r="E3064" t="inlineStr">
        <is>
          <t>Emerging markets</t>
        </is>
      </c>
      <c r="F3064" t="inlineStr">
        <is>
          <t>Mexico</t>
        </is>
      </c>
      <c r="G3064" t="inlineStr">
        <is>
          <t>Prevnar 20</t>
        </is>
      </c>
      <c r="H3064" t="inlineStr">
        <is>
          <t>Retail pharmacy</t>
        </is>
      </c>
      <c r="I3064" t="inlineStr">
        <is>
          <t>Self-pay</t>
        </is>
      </c>
      <c r="J3064" t="inlineStr">
        <is>
          <t>Zoya Ahmed</t>
        </is>
      </c>
      <c r="K3064" s="70" t="n">
        <v>547</v>
      </c>
      <c r="L3064" s="71" t="n">
        <v>227.28</v>
      </c>
      <c r="M3064" s="71" t="n">
        <v>124322.16</v>
      </c>
      <c r="N3064" s="71" t="n">
        <v>31080.54</v>
      </c>
      <c r="O3064" s="71" t="n">
        <v>93241.62</v>
      </c>
      <c r="P3064" s="71" t="n">
        <v>37286.8</v>
      </c>
      <c r="Q3064" s="71" t="n">
        <v>55954.82</v>
      </c>
      <c r="R3064" t="inlineStr">
        <is>
          <t>Vaccines</t>
        </is>
      </c>
      <c r="S3064" s="70" t="n">
        <v>400</v>
      </c>
      <c r="T3064" s="71" t="n">
        <v>21130.37</v>
      </c>
      <c r="U3064" t="inlineStr">
        <is>
          <t>Low</t>
        </is>
      </c>
      <c r="V3064">
        <f>IF(AND(OR(Dashboard!$C$6="All",E3064=Dashboard!$C$6),OR(Dashboard!$F$6="All",G3064=Dashboard!$F$6),OR(Dashboard!$I$6="All",H3064=Dashboard!$I$6)),1,0)</f>
        <v/>
      </c>
    </row>
    <row r="3065">
      <c r="A3065" t="inlineStr">
        <is>
          <t>PF103056</t>
        </is>
      </c>
      <c r="B3065" s="68" t="n">
        <v>46028</v>
      </c>
      <c r="C3065" s="69" t="n">
        <v>2026</v>
      </c>
      <c r="D3065" t="inlineStr">
        <is>
          <t>Jan</t>
        </is>
      </c>
      <c r="E3065" t="inlineStr">
        <is>
          <t>International developed</t>
        </is>
      </c>
      <c r="F3065" t="inlineStr">
        <is>
          <t>Canada</t>
        </is>
      </c>
      <c r="G3065" t="inlineStr">
        <is>
          <t>Comirnaty</t>
        </is>
      </c>
      <c r="H3065" t="inlineStr">
        <is>
          <t>Retail pharmacy</t>
        </is>
      </c>
      <c r="I3065" t="inlineStr">
        <is>
          <t>Private insurer</t>
        </is>
      </c>
      <c r="J3065" t="inlineStr">
        <is>
          <t>Olivia Brown</t>
        </is>
      </c>
      <c r="K3065" s="70" t="n">
        <v>1990</v>
      </c>
      <c r="L3065" s="71" t="n">
        <v>92.94</v>
      </c>
      <c r="M3065" s="71" t="n">
        <v>184950.6</v>
      </c>
      <c r="N3065" s="71" t="n">
        <v>36990.12</v>
      </c>
      <c r="O3065" s="71" t="n">
        <v>147960.48</v>
      </c>
      <c r="P3065" s="71" t="n">
        <v>78351.19</v>
      </c>
      <c r="Q3065" s="71" t="n">
        <v>69609.28999999999</v>
      </c>
      <c r="R3065" t="inlineStr">
        <is>
          <t>Vaccines</t>
        </is>
      </c>
      <c r="S3065" s="70" t="n">
        <v>1797</v>
      </c>
      <c r="T3065" s="71" t="n">
        <v>35737.35</v>
      </c>
      <c r="U3065" t="inlineStr">
        <is>
          <t>Low</t>
        </is>
      </c>
      <c r="V3065">
        <f>IF(AND(OR(Dashboard!$C$6="All",E3065=Dashboard!$C$6),OR(Dashboard!$F$6="All",G3065=Dashboard!$F$6),OR(Dashboard!$I$6="All",H3065=Dashboard!$I$6)),1,0)</f>
        <v/>
      </c>
    </row>
    <row r="3066">
      <c r="A3066" t="inlineStr">
        <is>
          <t>PF103057</t>
        </is>
      </c>
      <c r="B3066" s="68" t="n">
        <v>46028</v>
      </c>
      <c r="C3066" s="69" t="n">
        <v>2026</v>
      </c>
      <c r="D3066" t="inlineStr">
        <is>
          <t>Jan</t>
        </is>
      </c>
      <c r="E3066" t="inlineStr">
        <is>
          <t>International developed</t>
        </is>
      </c>
      <c r="F3066" t="inlineStr">
        <is>
          <t>Australia</t>
        </is>
      </c>
      <c r="G3066" t="inlineStr">
        <is>
          <t>Paxlovid</t>
        </is>
      </c>
      <c r="H3066" t="inlineStr">
        <is>
          <t>Retail pharmacy</t>
        </is>
      </c>
      <c r="I3066" t="inlineStr">
        <is>
          <t>Private insurer</t>
        </is>
      </c>
      <c r="J3066" t="inlineStr">
        <is>
          <t>Olivia Brown</t>
        </is>
      </c>
      <c r="K3066" s="70" t="n">
        <v>1230</v>
      </c>
      <c r="L3066" s="71" t="n">
        <v>958.3</v>
      </c>
      <c r="M3066" s="71" t="n">
        <v>1178709</v>
      </c>
      <c r="N3066" s="71" t="n">
        <v>235741.8</v>
      </c>
      <c r="O3066" s="71" t="n">
        <v>942967.2</v>
      </c>
      <c r="P3066" s="71" t="n">
        <v>326334.99</v>
      </c>
      <c r="Q3066" s="71" t="n">
        <v>616632.21</v>
      </c>
      <c r="R3066" t="inlineStr">
        <is>
          <t>Antiviral</t>
        </is>
      </c>
      <c r="S3066" s="70" t="n">
        <v>1122</v>
      </c>
      <c r="T3066" s="71" t="n">
        <v>239719.17</v>
      </c>
      <c r="U3066" t="inlineStr">
        <is>
          <t>Low</t>
        </is>
      </c>
      <c r="V3066">
        <f>IF(AND(OR(Dashboard!$C$6="All",E3066=Dashboard!$C$6),OR(Dashboard!$F$6="All",G3066=Dashboard!$F$6),OR(Dashboard!$I$6="All",H3066=Dashboard!$I$6)),1,0)</f>
        <v/>
      </c>
    </row>
    <row r="3067">
      <c r="A3067" t="inlineStr">
        <is>
          <t>PF103058</t>
        </is>
      </c>
      <c r="B3067" s="68" t="n">
        <v>46028</v>
      </c>
      <c r="C3067" s="69" t="n">
        <v>2026</v>
      </c>
      <c r="D3067" t="inlineStr">
        <is>
          <t>Jan</t>
        </is>
      </c>
      <c r="E3067" t="inlineStr">
        <is>
          <t>Europe</t>
        </is>
      </c>
      <c r="F3067" t="inlineStr">
        <is>
          <t>UK</t>
        </is>
      </c>
      <c r="G3067" t="inlineStr">
        <is>
          <t>Abrysvo</t>
        </is>
      </c>
      <c r="H3067" t="inlineStr">
        <is>
          <t>Hospital</t>
        </is>
      </c>
      <c r="I3067" t="inlineStr">
        <is>
          <t>Public payer</t>
        </is>
      </c>
      <c r="J3067" t="inlineStr">
        <is>
          <t>Wei Chen</t>
        </is>
      </c>
      <c r="K3067" s="70" t="n">
        <v>2180</v>
      </c>
      <c r="L3067" s="71" t="n">
        <v>334.79</v>
      </c>
      <c r="M3067" s="71" t="n">
        <v>729842.2</v>
      </c>
      <c r="N3067" s="71" t="n">
        <v>72984.22</v>
      </c>
      <c r="O3067" s="71" t="n">
        <v>656857.98</v>
      </c>
      <c r="P3067" s="71" t="n">
        <v>184505.95</v>
      </c>
      <c r="Q3067" s="71" t="n">
        <v>472352.03</v>
      </c>
      <c r="R3067" t="inlineStr">
        <is>
          <t>Vaccines</t>
        </is>
      </c>
      <c r="S3067" s="70" t="n">
        <v>1602</v>
      </c>
      <c r="T3067" s="71" t="n">
        <v>103297.62</v>
      </c>
      <c r="U3067" t="inlineStr">
        <is>
          <t>Low</t>
        </is>
      </c>
      <c r="V3067">
        <f>IF(AND(OR(Dashboard!$C$6="All",E3067=Dashboard!$C$6),OR(Dashboard!$F$6="All",G3067=Dashboard!$F$6),OR(Dashboard!$I$6="All",H3067=Dashboard!$I$6)),1,0)</f>
        <v/>
      </c>
    </row>
    <row r="3068">
      <c r="A3068" t="inlineStr">
        <is>
          <t>PF103059</t>
        </is>
      </c>
      <c r="B3068" s="68" t="n">
        <v>46028</v>
      </c>
      <c r="C3068" s="69" t="n">
        <v>2026</v>
      </c>
      <c r="D3068" t="inlineStr">
        <is>
          <t>Jan</t>
        </is>
      </c>
      <c r="E3068" t="inlineStr">
        <is>
          <t>United States</t>
        </is>
      </c>
      <c r="F3068" t="inlineStr">
        <is>
          <t>USA</t>
        </is>
      </c>
      <c r="G3068" t="inlineStr">
        <is>
          <t>Ibrance</t>
        </is>
      </c>
      <c r="H3068" t="inlineStr">
        <is>
          <t>Retail pharmacy</t>
        </is>
      </c>
      <c r="I3068" t="inlineStr">
        <is>
          <t>Private insurer</t>
        </is>
      </c>
      <c r="J3068" t="inlineStr">
        <is>
          <t>Sara Rossi</t>
        </is>
      </c>
      <c r="K3068" s="70" t="n">
        <v>251</v>
      </c>
      <c r="L3068" s="71" t="n">
        <v>4677.9</v>
      </c>
      <c r="M3068" s="71" t="n">
        <v>1174152.9</v>
      </c>
      <c r="N3068" s="71" t="n">
        <v>234830.58</v>
      </c>
      <c r="O3068" s="71" t="n">
        <v>939322.3199999999</v>
      </c>
      <c r="P3068" s="71" t="n">
        <v>105761.44</v>
      </c>
      <c r="Q3068" s="71" t="n">
        <v>833560.88</v>
      </c>
      <c r="R3068" t="inlineStr">
        <is>
          <t>Oncology</t>
        </is>
      </c>
      <c r="S3068" s="70" t="n">
        <v>158</v>
      </c>
      <c r="T3068" s="71" t="n">
        <v>237763.86</v>
      </c>
      <c r="U3068" t="inlineStr">
        <is>
          <t>High</t>
        </is>
      </c>
      <c r="V3068">
        <f>IF(AND(OR(Dashboard!$C$6="All",E3068=Dashboard!$C$6),OR(Dashboard!$F$6="All",G3068=Dashboard!$F$6),OR(Dashboard!$I$6="All",H3068=Dashboard!$I$6)),1,0)</f>
        <v/>
      </c>
    </row>
    <row r="3069">
      <c r="A3069" t="inlineStr">
        <is>
          <t>PF103060</t>
        </is>
      </c>
      <c r="B3069" s="68" t="n">
        <v>46029</v>
      </c>
      <c r="C3069" s="69" t="n">
        <v>2026</v>
      </c>
      <c r="D3069" t="inlineStr">
        <is>
          <t>Jan</t>
        </is>
      </c>
      <c r="E3069" t="inlineStr">
        <is>
          <t>United States</t>
        </is>
      </c>
      <c r="F3069" t="inlineStr">
        <is>
          <t>USA</t>
        </is>
      </c>
      <c r="G3069" t="inlineStr">
        <is>
          <t>Paxlovid</t>
        </is>
      </c>
      <c r="H3069" t="inlineStr">
        <is>
          <t>Retail pharmacy</t>
        </is>
      </c>
      <c r="I3069" t="inlineStr">
        <is>
          <t>Private insurer</t>
        </is>
      </c>
      <c r="J3069" t="inlineStr">
        <is>
          <t>Emma Clarke</t>
        </is>
      </c>
      <c r="K3069" s="70" t="n">
        <v>785</v>
      </c>
      <c r="L3069" s="71" t="n">
        <v>1460.7</v>
      </c>
      <c r="M3069" s="71" t="n">
        <v>1146649.5</v>
      </c>
      <c r="N3069" s="71" t="n">
        <v>229329.9</v>
      </c>
      <c r="O3069" s="71" t="n">
        <v>917319.6</v>
      </c>
      <c r="P3069" s="71" t="n">
        <v>220710.17</v>
      </c>
      <c r="Q3069" s="71" t="n">
        <v>696609.4300000001</v>
      </c>
      <c r="R3069" t="inlineStr">
        <is>
          <t>Antiviral</t>
        </is>
      </c>
      <c r="S3069" s="70" t="n">
        <v>544</v>
      </c>
      <c r="T3069" s="71" t="n">
        <v>168245.26</v>
      </c>
      <c r="U3069" t="inlineStr">
        <is>
          <t>Low</t>
        </is>
      </c>
      <c r="V3069">
        <f>IF(AND(OR(Dashboard!$C$6="All",E3069=Dashboard!$C$6),OR(Dashboard!$F$6="All",G3069=Dashboard!$F$6),OR(Dashboard!$I$6="All",H3069=Dashboard!$I$6)),1,0)</f>
        <v/>
      </c>
    </row>
    <row r="3070">
      <c r="A3070" t="inlineStr">
        <is>
          <t>PF103061</t>
        </is>
      </c>
      <c r="B3070" s="68" t="n">
        <v>46029</v>
      </c>
      <c r="C3070" s="69" t="n">
        <v>2026</v>
      </c>
      <c r="D3070" t="inlineStr">
        <is>
          <t>Jan</t>
        </is>
      </c>
      <c r="E3070" t="inlineStr">
        <is>
          <t>United States</t>
        </is>
      </c>
      <c r="F3070" t="inlineStr">
        <is>
          <t>USA</t>
        </is>
      </c>
      <c r="G3070" t="inlineStr">
        <is>
          <t>Xeljanz</t>
        </is>
      </c>
      <c r="H3070" t="inlineStr">
        <is>
          <t>Retail pharmacy</t>
        </is>
      </c>
      <c r="I3070" t="inlineStr">
        <is>
          <t>Private insurer</t>
        </is>
      </c>
      <c r="J3070" t="inlineStr">
        <is>
          <t>Carlos Silva</t>
        </is>
      </c>
      <c r="K3070" s="70" t="n">
        <v>2310</v>
      </c>
      <c r="L3070" s="71" t="n">
        <v>2083.56</v>
      </c>
      <c r="M3070" s="71" t="n">
        <v>4813023.6</v>
      </c>
      <c r="N3070" s="71" t="n">
        <v>1684558.26</v>
      </c>
      <c r="O3070" s="71" t="n">
        <v>3128465.34</v>
      </c>
      <c r="P3070" s="71" t="n">
        <v>578043.7</v>
      </c>
      <c r="Q3070" s="71" t="n">
        <v>2550421.64</v>
      </c>
      <c r="R3070" t="inlineStr">
        <is>
          <t>Inflammation</t>
        </is>
      </c>
      <c r="S3070" s="70" t="n">
        <v>2270</v>
      </c>
      <c r="T3070" s="71" t="n">
        <v>945919.99</v>
      </c>
      <c r="U3070" t="inlineStr">
        <is>
          <t>High</t>
        </is>
      </c>
      <c r="V3070">
        <f>IF(AND(OR(Dashboard!$C$6="All",E3070=Dashboard!$C$6),OR(Dashboard!$F$6="All",G3070=Dashboard!$F$6),OR(Dashboard!$I$6="All",H3070=Dashboard!$I$6)),1,0)</f>
        <v/>
      </c>
    </row>
    <row r="3071">
      <c r="A3071" t="inlineStr">
        <is>
          <t>PF103062</t>
        </is>
      </c>
      <c r="B3071" s="68" t="n">
        <v>46030</v>
      </c>
      <c r="C3071" s="69" t="n">
        <v>2026</v>
      </c>
      <c r="D3071" t="inlineStr">
        <is>
          <t>Jan</t>
        </is>
      </c>
      <c r="E3071" t="inlineStr">
        <is>
          <t>United States</t>
        </is>
      </c>
      <c r="F3071" t="inlineStr">
        <is>
          <t>USA</t>
        </is>
      </c>
      <c r="G3071" t="inlineStr">
        <is>
          <t>Ibrance</t>
        </is>
      </c>
      <c r="H3071" t="inlineStr">
        <is>
          <t>Retail pharmacy</t>
        </is>
      </c>
      <c r="I3071" t="inlineStr">
        <is>
          <t>Public payer</t>
        </is>
      </c>
      <c r="J3071" t="inlineStr">
        <is>
          <t>Ruhi Shaikh</t>
        </is>
      </c>
      <c r="K3071" s="70" t="n">
        <v>493</v>
      </c>
      <c r="L3071" s="71" t="n">
        <v>4691.35</v>
      </c>
      <c r="M3071" s="71" t="n">
        <v>2312835.55</v>
      </c>
      <c r="N3071" s="71" t="n">
        <v>809492.4399999999</v>
      </c>
      <c r="O3071" s="71" t="n">
        <v>1503343.11</v>
      </c>
      <c r="P3071" s="71" t="n">
        <v>211409.87</v>
      </c>
      <c r="Q3071" s="71" t="n">
        <v>1291933.24</v>
      </c>
      <c r="R3071" t="inlineStr">
        <is>
          <t>Oncology</t>
        </is>
      </c>
      <c r="S3071" s="70" t="n">
        <v>404</v>
      </c>
      <c r="T3071" s="71" t="n">
        <v>502860.23</v>
      </c>
      <c r="U3071" t="inlineStr">
        <is>
          <t>High</t>
        </is>
      </c>
      <c r="V3071">
        <f>IF(AND(OR(Dashboard!$C$6="All",E3071=Dashboard!$C$6),OR(Dashboard!$F$6="All",G3071=Dashboard!$F$6),OR(Dashboard!$I$6="All",H3071=Dashboard!$I$6)),1,0)</f>
        <v/>
      </c>
    </row>
    <row r="3072">
      <c r="A3072" t="inlineStr">
        <is>
          <t>PF103063</t>
        </is>
      </c>
      <c r="B3072" s="68" t="n">
        <v>46030</v>
      </c>
      <c r="C3072" s="69" t="n">
        <v>2026</v>
      </c>
      <c r="D3072" t="inlineStr">
        <is>
          <t>Jan</t>
        </is>
      </c>
      <c r="E3072" t="inlineStr">
        <is>
          <t>International developed</t>
        </is>
      </c>
      <c r="F3072" t="inlineStr">
        <is>
          <t>Canada</t>
        </is>
      </c>
      <c r="G3072" t="inlineStr">
        <is>
          <t>Prevnar 20</t>
        </is>
      </c>
      <c r="H3072" t="inlineStr">
        <is>
          <t>Hospital</t>
        </is>
      </c>
      <c r="I3072" t="inlineStr">
        <is>
          <t>Private insurer</t>
        </is>
      </c>
      <c r="J3072" t="inlineStr">
        <is>
          <t>Ravindra Patil</t>
        </is>
      </c>
      <c r="K3072" s="70" t="n">
        <v>1627</v>
      </c>
      <c r="L3072" s="71" t="n">
        <v>231.55</v>
      </c>
      <c r="M3072" s="71" t="n">
        <v>376731.85</v>
      </c>
      <c r="N3072" s="71" t="n">
        <v>94182.96000000001</v>
      </c>
      <c r="O3072" s="71" t="n">
        <v>282548.89</v>
      </c>
      <c r="P3072" s="71" t="n">
        <v>113786.54</v>
      </c>
      <c r="Q3072" s="71" t="n">
        <v>168762.35</v>
      </c>
      <c r="R3072" t="inlineStr">
        <is>
          <t>Vaccines</t>
        </is>
      </c>
      <c r="S3072" s="70" t="n">
        <v>1127</v>
      </c>
      <c r="T3072" s="71" t="n">
        <v>79680.5</v>
      </c>
      <c r="U3072" t="inlineStr">
        <is>
          <t>Low</t>
        </is>
      </c>
      <c r="V3072">
        <f>IF(AND(OR(Dashboard!$C$6="All",E3072=Dashboard!$C$6),OR(Dashboard!$F$6="All",G3072=Dashboard!$F$6),OR(Dashboard!$I$6="All",H3072=Dashboard!$I$6)),1,0)</f>
        <v/>
      </c>
    </row>
    <row r="3073">
      <c r="A3073" t="inlineStr">
        <is>
          <t>PF103064</t>
        </is>
      </c>
      <c r="B3073" s="68" t="n">
        <v>46030</v>
      </c>
      <c r="C3073" s="69" t="n">
        <v>2026</v>
      </c>
      <c r="D3073" t="inlineStr">
        <is>
          <t>Jan</t>
        </is>
      </c>
      <c r="E3073" t="inlineStr">
        <is>
          <t>Europe</t>
        </is>
      </c>
      <c r="F3073" t="inlineStr">
        <is>
          <t>UK</t>
        </is>
      </c>
      <c r="G3073" t="inlineStr">
        <is>
          <t>Eliquis</t>
        </is>
      </c>
      <c r="H3073" t="inlineStr">
        <is>
          <t>Hospital</t>
        </is>
      </c>
      <c r="I3073" t="inlineStr">
        <is>
          <t>Self-pay</t>
        </is>
      </c>
      <c r="J3073" t="inlineStr">
        <is>
          <t>Priya Nair</t>
        </is>
      </c>
      <c r="K3073" s="70" t="n">
        <v>1189</v>
      </c>
      <c r="L3073" s="71" t="n">
        <v>437.54</v>
      </c>
      <c r="M3073" s="71" t="n">
        <v>520235.06</v>
      </c>
      <c r="N3073" s="71" t="n">
        <v>26011.75</v>
      </c>
      <c r="O3073" s="71" t="n">
        <v>494223.31</v>
      </c>
      <c r="P3073" s="71" t="n">
        <v>89689.96000000001</v>
      </c>
      <c r="Q3073" s="71" t="n">
        <v>404533.35</v>
      </c>
      <c r="R3073" t="inlineStr">
        <is>
          <t>Cardiology</t>
        </is>
      </c>
      <c r="S3073" s="70" t="n">
        <v>868</v>
      </c>
      <c r="T3073" s="71" t="n">
        <v>63475.68</v>
      </c>
      <c r="U3073" t="inlineStr">
        <is>
          <t>High</t>
        </is>
      </c>
      <c r="V3073">
        <f>IF(AND(OR(Dashboard!$C$6="All",E3073=Dashboard!$C$6),OR(Dashboard!$F$6="All",G3073=Dashboard!$F$6),OR(Dashboard!$I$6="All",H3073=Dashboard!$I$6)),1,0)</f>
        <v/>
      </c>
    </row>
    <row r="3074">
      <c r="A3074" t="inlineStr">
        <is>
          <t>PF103065</t>
        </is>
      </c>
      <c r="B3074" s="68" t="n">
        <v>46030</v>
      </c>
      <c r="C3074" s="69" t="n">
        <v>2026</v>
      </c>
      <c r="D3074" t="inlineStr">
        <is>
          <t>Jan</t>
        </is>
      </c>
      <c r="E3074" t="inlineStr">
        <is>
          <t>United States</t>
        </is>
      </c>
      <c r="F3074" t="inlineStr">
        <is>
          <t>USA</t>
        </is>
      </c>
      <c r="G3074" t="inlineStr">
        <is>
          <t>Xeljanz</t>
        </is>
      </c>
      <c r="H3074" t="inlineStr">
        <is>
          <t>Retail pharmacy</t>
        </is>
      </c>
      <c r="I3074" t="inlineStr">
        <is>
          <t>Private insurer</t>
        </is>
      </c>
      <c r="J3074" t="inlineStr">
        <is>
          <t>Fatima Al-Saud</t>
        </is>
      </c>
      <c r="K3074" s="70" t="n">
        <v>382</v>
      </c>
      <c r="L3074" s="71" t="n">
        <v>2112.14</v>
      </c>
      <c r="M3074" s="71" t="n">
        <v>806837.48</v>
      </c>
      <c r="N3074" s="71" t="n">
        <v>161367.5</v>
      </c>
      <c r="O3074" s="71" t="n">
        <v>645469.98</v>
      </c>
      <c r="P3074" s="71" t="n">
        <v>93615.38</v>
      </c>
      <c r="Q3074" s="71" t="n">
        <v>551854.6</v>
      </c>
      <c r="R3074" t="inlineStr">
        <is>
          <t>Inflammation</t>
        </is>
      </c>
      <c r="S3074" s="70" t="n">
        <v>330</v>
      </c>
      <c r="T3074" s="71" t="n">
        <v>164741.88</v>
      </c>
      <c r="U3074" t="inlineStr">
        <is>
          <t>High</t>
        </is>
      </c>
      <c r="V3074">
        <f>IF(AND(OR(Dashboard!$C$6="All",E3074=Dashboard!$C$6),OR(Dashboard!$F$6="All",G3074=Dashboard!$F$6),OR(Dashboard!$I$6="All",H3074=Dashboard!$I$6)),1,0)</f>
        <v/>
      </c>
    </row>
    <row r="3075">
      <c r="A3075" t="inlineStr">
        <is>
          <t>PF103066</t>
        </is>
      </c>
      <c r="B3075" s="68" t="n">
        <v>46030</v>
      </c>
      <c r="C3075" s="69" t="n">
        <v>2026</v>
      </c>
      <c r="D3075" t="inlineStr">
        <is>
          <t>Jan</t>
        </is>
      </c>
      <c r="E3075" t="inlineStr">
        <is>
          <t>United States</t>
        </is>
      </c>
      <c r="F3075" t="inlineStr">
        <is>
          <t>USA</t>
        </is>
      </c>
      <c r="G3075" t="inlineStr">
        <is>
          <t>Paxlovid</t>
        </is>
      </c>
      <c r="H3075" t="inlineStr">
        <is>
          <t>Hospital</t>
        </is>
      </c>
      <c r="I3075" t="inlineStr">
        <is>
          <t>Private insurer</t>
        </is>
      </c>
      <c r="J3075" t="inlineStr">
        <is>
          <t>Carlos Silva</t>
        </is>
      </c>
      <c r="K3075" s="70" t="n">
        <v>894</v>
      </c>
      <c r="L3075" s="71" t="n">
        <v>1510.25</v>
      </c>
      <c r="M3075" s="71" t="n">
        <v>1350163.5</v>
      </c>
      <c r="N3075" s="71" t="n">
        <v>337540.88</v>
      </c>
      <c r="O3075" s="71" t="n">
        <v>1012622.62</v>
      </c>
      <c r="P3075" s="71" t="n">
        <v>255143.29</v>
      </c>
      <c r="Q3075" s="71" t="n">
        <v>757479.33</v>
      </c>
      <c r="R3075" t="inlineStr">
        <is>
          <t>Antiviral</t>
        </is>
      </c>
      <c r="S3075" s="70" t="n">
        <v>713</v>
      </c>
      <c r="T3075" s="71" t="n">
        <v>210601.37</v>
      </c>
      <c r="U3075" t="inlineStr">
        <is>
          <t>Low</t>
        </is>
      </c>
      <c r="V3075">
        <f>IF(AND(OR(Dashboard!$C$6="All",E3075=Dashboard!$C$6),OR(Dashboard!$F$6="All",G3075=Dashboard!$F$6),OR(Dashboard!$I$6="All",H3075=Dashboard!$I$6)),1,0)</f>
        <v/>
      </c>
    </row>
    <row r="3076">
      <c r="A3076" t="inlineStr">
        <is>
          <t>PF103067</t>
        </is>
      </c>
      <c r="B3076" s="68" t="n">
        <v>46030</v>
      </c>
      <c r="C3076" s="69" t="n">
        <v>2026</v>
      </c>
      <c r="D3076" t="inlineStr">
        <is>
          <t>Jan</t>
        </is>
      </c>
      <c r="E3076" t="inlineStr">
        <is>
          <t>International developed</t>
        </is>
      </c>
      <c r="F3076" t="inlineStr">
        <is>
          <t>Japan</t>
        </is>
      </c>
      <c r="G3076" t="inlineStr">
        <is>
          <t>Eliquis</t>
        </is>
      </c>
      <c r="H3076" t="inlineStr">
        <is>
          <t>Government / tender</t>
        </is>
      </c>
      <c r="I3076" t="inlineStr">
        <is>
          <t>Self-pay</t>
        </is>
      </c>
      <c r="J3076" t="inlineStr">
        <is>
          <t>Lucas Martin</t>
        </is>
      </c>
      <c r="K3076" s="70" t="n">
        <v>2538</v>
      </c>
      <c r="L3076" s="71" t="n">
        <v>449.95</v>
      </c>
      <c r="M3076" s="71" t="n">
        <v>1141973.1</v>
      </c>
      <c r="N3076" s="71" t="n">
        <v>285493.28</v>
      </c>
      <c r="O3076" s="71" t="n">
        <v>856479.8199999999</v>
      </c>
      <c r="P3076" s="71" t="n">
        <v>188924.37</v>
      </c>
      <c r="Q3076" s="71" t="n">
        <v>667555.45</v>
      </c>
      <c r="R3076" t="inlineStr">
        <is>
          <t>Cardiology</t>
        </is>
      </c>
      <c r="S3076" s="70" t="n">
        <v>1879</v>
      </c>
      <c r="T3076" s="71" t="n">
        <v>170847.22</v>
      </c>
      <c r="U3076" t="inlineStr">
        <is>
          <t>High</t>
        </is>
      </c>
      <c r="V3076">
        <f>IF(AND(OR(Dashboard!$C$6="All",E3076=Dashboard!$C$6),OR(Dashboard!$F$6="All",G3076=Dashboard!$F$6),OR(Dashboard!$I$6="All",H3076=Dashboard!$I$6)),1,0)</f>
        <v/>
      </c>
    </row>
    <row r="3077">
      <c r="A3077" t="inlineStr">
        <is>
          <t>PF103068</t>
        </is>
      </c>
      <c r="B3077" s="68" t="n">
        <v>46030</v>
      </c>
      <c r="C3077" s="69" t="n">
        <v>2026</v>
      </c>
      <c r="D3077" t="inlineStr">
        <is>
          <t>Jan</t>
        </is>
      </c>
      <c r="E3077" t="inlineStr">
        <is>
          <t>United States</t>
        </is>
      </c>
      <c r="F3077" t="inlineStr">
        <is>
          <t>USA</t>
        </is>
      </c>
      <c r="G3077" t="inlineStr">
        <is>
          <t>Xeljanz</t>
        </is>
      </c>
      <c r="H3077" t="inlineStr">
        <is>
          <t>Retail pharmacy</t>
        </is>
      </c>
      <c r="I3077" t="inlineStr">
        <is>
          <t>Public payer</t>
        </is>
      </c>
      <c r="J3077" t="inlineStr">
        <is>
          <t>Yuki Sato</t>
        </is>
      </c>
      <c r="K3077" s="70" t="n">
        <v>2599</v>
      </c>
      <c r="L3077" s="71" t="n">
        <v>2233.76</v>
      </c>
      <c r="M3077" s="71" t="n">
        <v>5805542.24</v>
      </c>
      <c r="N3077" s="71" t="n">
        <v>1741662.67</v>
      </c>
      <c r="O3077" s="71" t="n">
        <v>4063879.57</v>
      </c>
      <c r="P3077" s="71" t="n">
        <v>680328</v>
      </c>
      <c r="Q3077" s="71" t="n">
        <v>3383551.57</v>
      </c>
      <c r="R3077" t="inlineStr">
        <is>
          <t>Inflammation</t>
        </is>
      </c>
      <c r="S3077" s="70" t="n">
        <v>1982</v>
      </c>
      <c r="T3077" s="71" t="n">
        <v>1130893.98</v>
      </c>
      <c r="U3077" t="inlineStr">
        <is>
          <t>High</t>
        </is>
      </c>
      <c r="V3077">
        <f>IF(AND(OR(Dashboard!$C$6="All",E3077=Dashboard!$C$6),OR(Dashboard!$F$6="All",G3077=Dashboard!$F$6),OR(Dashboard!$I$6="All",H3077=Dashboard!$I$6)),1,0)</f>
        <v/>
      </c>
    </row>
    <row r="3078">
      <c r="A3078" t="inlineStr">
        <is>
          <t>PF103069</t>
        </is>
      </c>
      <c r="B3078" s="68" t="n">
        <v>46030</v>
      </c>
      <c r="C3078" s="69" t="n">
        <v>2026</v>
      </c>
      <c r="D3078" t="inlineStr">
        <is>
          <t>Jan</t>
        </is>
      </c>
      <c r="E3078" t="inlineStr">
        <is>
          <t>Emerging markets</t>
        </is>
      </c>
      <c r="F3078" t="inlineStr">
        <is>
          <t>Brazil</t>
        </is>
      </c>
      <c r="G3078" t="inlineStr">
        <is>
          <t>Xeljanz</t>
        </is>
      </c>
      <c r="H3078" t="inlineStr">
        <is>
          <t>Hospital</t>
        </is>
      </c>
      <c r="I3078" t="inlineStr">
        <is>
          <t>Private insurer</t>
        </is>
      </c>
      <c r="J3078" t="inlineStr">
        <is>
          <t>Hiroshi Tanaka</t>
        </is>
      </c>
      <c r="K3078" s="70" t="n">
        <v>1569</v>
      </c>
      <c r="L3078" s="71" t="n">
        <v>1425.72</v>
      </c>
      <c r="M3078" s="71" t="n">
        <v>2236954.68</v>
      </c>
      <c r="N3078" s="71" t="n">
        <v>559238.67</v>
      </c>
      <c r="O3078" s="71" t="n">
        <v>1677716.01</v>
      </c>
      <c r="P3078" s="71" t="n">
        <v>393606</v>
      </c>
      <c r="Q3078" s="71" t="n">
        <v>1284110.01</v>
      </c>
      <c r="R3078" t="inlineStr">
        <is>
          <t>Inflammation</t>
        </is>
      </c>
      <c r="S3078" s="70" t="n">
        <v>1122</v>
      </c>
      <c r="T3078" s="71" t="n">
        <v>328985.34</v>
      </c>
      <c r="U3078" t="inlineStr">
        <is>
          <t>High</t>
        </is>
      </c>
      <c r="V3078">
        <f>IF(AND(OR(Dashboard!$C$6="All",E3078=Dashboard!$C$6),OR(Dashboard!$F$6="All",G3078=Dashboard!$F$6),OR(Dashboard!$I$6="All",H3078=Dashboard!$I$6)),1,0)</f>
        <v/>
      </c>
    </row>
    <row r="3079">
      <c r="A3079" t="inlineStr">
        <is>
          <t>PF103070</t>
        </is>
      </c>
      <c r="B3079" s="68" t="n">
        <v>46030</v>
      </c>
      <c r="C3079" s="69" t="n">
        <v>2026</v>
      </c>
      <c r="D3079" t="inlineStr">
        <is>
          <t>Jan</t>
        </is>
      </c>
      <c r="E3079" t="inlineStr">
        <is>
          <t>United States</t>
        </is>
      </c>
      <c r="F3079" t="inlineStr">
        <is>
          <t>USA</t>
        </is>
      </c>
      <c r="G3079" t="inlineStr">
        <is>
          <t>Prevnar 20</t>
        </is>
      </c>
      <c r="H3079" t="inlineStr">
        <is>
          <t>Retail pharmacy</t>
        </is>
      </c>
      <c r="I3079" t="inlineStr">
        <is>
          <t>Private insurer</t>
        </is>
      </c>
      <c r="J3079" t="inlineStr">
        <is>
          <t>Sara Rossi</t>
        </is>
      </c>
      <c r="K3079" s="70" t="n">
        <v>1003</v>
      </c>
      <c r="L3079" s="71" t="n">
        <v>380.26</v>
      </c>
      <c r="M3079" s="71" t="n">
        <v>381400.78</v>
      </c>
      <c r="N3079" s="71" t="n">
        <v>95350.2</v>
      </c>
      <c r="O3079" s="71" t="n">
        <v>286050.58</v>
      </c>
      <c r="P3079" s="71" t="n">
        <v>70767.46000000001</v>
      </c>
      <c r="Q3079" s="71" t="n">
        <v>215283.12</v>
      </c>
      <c r="R3079" t="inlineStr">
        <is>
          <t>Vaccines</t>
        </is>
      </c>
      <c r="S3079" s="70" t="n">
        <v>954</v>
      </c>
      <c r="T3079" s="71" t="n">
        <v>47223.42</v>
      </c>
      <c r="U3079" t="inlineStr">
        <is>
          <t>Low</t>
        </is>
      </c>
      <c r="V3079">
        <f>IF(AND(OR(Dashboard!$C$6="All",E3079=Dashboard!$C$6),OR(Dashboard!$F$6="All",G3079=Dashboard!$F$6),OR(Dashboard!$I$6="All",H3079=Dashboard!$I$6)),1,0)</f>
        <v/>
      </c>
    </row>
    <row r="3080">
      <c r="A3080" t="inlineStr">
        <is>
          <t>PF103071</t>
        </is>
      </c>
      <c r="B3080" s="68" t="n">
        <v>46030</v>
      </c>
      <c r="C3080" s="69" t="n">
        <v>2026</v>
      </c>
      <c r="D3080" t="inlineStr">
        <is>
          <t>Jan</t>
        </is>
      </c>
      <c r="E3080" t="inlineStr">
        <is>
          <t>Europe</t>
        </is>
      </c>
      <c r="F3080" t="inlineStr">
        <is>
          <t>France</t>
        </is>
      </c>
      <c r="G3080" t="inlineStr">
        <is>
          <t>Ibrance</t>
        </is>
      </c>
      <c r="H3080" t="inlineStr">
        <is>
          <t>Government / tender</t>
        </is>
      </c>
      <c r="I3080" t="inlineStr">
        <is>
          <t>Private insurer</t>
        </is>
      </c>
      <c r="J3080" t="inlineStr">
        <is>
          <t>Ana Costa</t>
        </is>
      </c>
      <c r="K3080" s="70" t="n">
        <v>179</v>
      </c>
      <c r="L3080" s="71" t="n">
        <v>3057.73</v>
      </c>
      <c r="M3080" s="71" t="n">
        <v>547333.67</v>
      </c>
      <c r="N3080" s="71" t="n">
        <v>136833.42</v>
      </c>
      <c r="O3080" s="71" t="n">
        <v>410500.25</v>
      </c>
      <c r="P3080" s="71" t="n">
        <v>79550.12</v>
      </c>
      <c r="Q3080" s="71" t="n">
        <v>330950.13</v>
      </c>
      <c r="R3080" t="inlineStr">
        <is>
          <t>Oncology</t>
        </is>
      </c>
      <c r="S3080" s="70" t="n">
        <v>160</v>
      </c>
      <c r="T3080" s="71" t="n">
        <v>93231.62</v>
      </c>
      <c r="U3080" t="inlineStr">
        <is>
          <t>High</t>
        </is>
      </c>
      <c r="V3080">
        <f>IF(AND(OR(Dashboard!$C$6="All",E3080=Dashboard!$C$6),OR(Dashboard!$F$6="All",G3080=Dashboard!$F$6),OR(Dashboard!$I$6="All",H3080=Dashboard!$I$6)),1,0)</f>
        <v/>
      </c>
    </row>
    <row r="3081">
      <c r="A3081" t="inlineStr">
        <is>
          <t>PF103072</t>
        </is>
      </c>
      <c r="B3081" s="68" t="n">
        <v>46030</v>
      </c>
      <c r="C3081" s="69" t="n">
        <v>2026</v>
      </c>
      <c r="D3081" t="inlineStr">
        <is>
          <t>Jan</t>
        </is>
      </c>
      <c r="E3081" t="inlineStr">
        <is>
          <t>Emerging markets</t>
        </is>
      </c>
      <c r="F3081" t="inlineStr">
        <is>
          <t>China</t>
        </is>
      </c>
      <c r="G3081" t="inlineStr">
        <is>
          <t>Comirnaty</t>
        </is>
      </c>
      <c r="H3081" t="inlineStr">
        <is>
          <t>Government / tender</t>
        </is>
      </c>
      <c r="I3081" t="inlineStr">
        <is>
          <t>Self-pay</t>
        </is>
      </c>
      <c r="J3081" t="inlineStr">
        <is>
          <t>Olivia Brown</t>
        </is>
      </c>
      <c r="K3081" s="70" t="n">
        <v>1672</v>
      </c>
      <c r="L3081" s="71" t="n">
        <v>80.97</v>
      </c>
      <c r="M3081" s="71" t="n">
        <v>135381.84</v>
      </c>
      <c r="N3081" s="71" t="n">
        <v>13538.18</v>
      </c>
      <c r="O3081" s="71" t="n">
        <v>121843.66</v>
      </c>
      <c r="P3081" s="71" t="n">
        <v>62850.29</v>
      </c>
      <c r="Q3081" s="71" t="n">
        <v>58993.37</v>
      </c>
      <c r="R3081" t="inlineStr">
        <is>
          <t>Vaccines</t>
        </is>
      </c>
      <c r="S3081" s="70" t="n">
        <v>1349</v>
      </c>
      <c r="T3081" s="71" t="n">
        <v>21362.08</v>
      </c>
      <c r="U3081" t="inlineStr">
        <is>
          <t>Low</t>
        </is>
      </c>
      <c r="V3081">
        <f>IF(AND(OR(Dashboard!$C$6="All",E3081=Dashboard!$C$6),OR(Dashboard!$F$6="All",G3081=Dashboard!$F$6),OR(Dashboard!$I$6="All",H3081=Dashboard!$I$6)),1,0)</f>
        <v/>
      </c>
    </row>
    <row r="3082">
      <c r="A3082" t="inlineStr">
        <is>
          <t>PF103073</t>
        </is>
      </c>
      <c r="B3082" s="68" t="n">
        <v>46030</v>
      </c>
      <c r="C3082" s="69" t="n">
        <v>2026</v>
      </c>
      <c r="D3082" t="inlineStr">
        <is>
          <t>Jan</t>
        </is>
      </c>
      <c r="E3082" t="inlineStr">
        <is>
          <t>Emerging markets</t>
        </is>
      </c>
      <c r="F3082" t="inlineStr">
        <is>
          <t>Mexico</t>
        </is>
      </c>
      <c r="G3082" t="inlineStr">
        <is>
          <t>Ibrance</t>
        </is>
      </c>
      <c r="H3082" t="inlineStr">
        <is>
          <t>Government / tender</t>
        </is>
      </c>
      <c r="I3082" t="inlineStr">
        <is>
          <t>Private insurer</t>
        </is>
      </c>
      <c r="J3082" t="inlineStr">
        <is>
          <t>Omar Haddad</t>
        </is>
      </c>
      <c r="K3082" s="70" t="n">
        <v>343</v>
      </c>
      <c r="L3082" s="71" t="n">
        <v>2609.85</v>
      </c>
      <c r="M3082" s="71" t="n">
        <v>895178.55</v>
      </c>
      <c r="N3082" s="71" t="n">
        <v>223794.64</v>
      </c>
      <c r="O3082" s="71" t="n">
        <v>671383.91</v>
      </c>
      <c r="P3082" s="71" t="n">
        <v>153513.78</v>
      </c>
      <c r="Q3082" s="71" t="n">
        <v>517870.13</v>
      </c>
      <c r="R3082" t="inlineStr">
        <is>
          <t>Oncology</t>
        </is>
      </c>
      <c r="S3082" s="70" t="n">
        <v>273</v>
      </c>
      <c r="T3082" s="71" t="n">
        <v>151548.06</v>
      </c>
      <c r="U3082" t="inlineStr">
        <is>
          <t>High</t>
        </is>
      </c>
      <c r="V3082">
        <f>IF(AND(OR(Dashboard!$C$6="All",E3082=Dashboard!$C$6),OR(Dashboard!$F$6="All",G3082=Dashboard!$F$6),OR(Dashboard!$I$6="All",H3082=Dashboard!$I$6)),1,0)</f>
        <v/>
      </c>
    </row>
    <row r="3083">
      <c r="A3083" t="inlineStr">
        <is>
          <t>PF103074</t>
        </is>
      </c>
      <c r="B3083" s="68" t="n">
        <v>46031</v>
      </c>
      <c r="C3083" s="69" t="n">
        <v>2026</v>
      </c>
      <c r="D3083" t="inlineStr">
        <is>
          <t>Jan</t>
        </is>
      </c>
      <c r="E3083" t="inlineStr">
        <is>
          <t>Europe</t>
        </is>
      </c>
      <c r="F3083" t="inlineStr">
        <is>
          <t>UK</t>
        </is>
      </c>
      <c r="G3083" t="inlineStr">
        <is>
          <t>Abrysvo</t>
        </is>
      </c>
      <c r="H3083" t="inlineStr">
        <is>
          <t>Retail pharmacy</t>
        </is>
      </c>
      <c r="I3083" t="inlineStr">
        <is>
          <t>Self-pay</t>
        </is>
      </c>
      <c r="J3083" t="inlineStr">
        <is>
          <t>Ana Costa</t>
        </is>
      </c>
      <c r="K3083" s="70" t="n">
        <v>1196</v>
      </c>
      <c r="L3083" s="71" t="n">
        <v>288.49</v>
      </c>
      <c r="M3083" s="71" t="n">
        <v>345034.04</v>
      </c>
      <c r="N3083" s="71" t="n">
        <v>86258.50999999999</v>
      </c>
      <c r="O3083" s="71" t="n">
        <v>258775.53</v>
      </c>
      <c r="P3083" s="71" t="n">
        <v>101363.98</v>
      </c>
      <c r="Q3083" s="71" t="n">
        <v>157411.55</v>
      </c>
      <c r="R3083" t="inlineStr">
        <is>
          <t>Vaccines</t>
        </is>
      </c>
      <c r="S3083" s="70" t="n">
        <v>1091</v>
      </c>
      <c r="T3083" s="71" t="n">
        <v>56060.61</v>
      </c>
      <c r="U3083" t="inlineStr">
        <is>
          <t>Low</t>
        </is>
      </c>
      <c r="V3083">
        <f>IF(AND(OR(Dashboard!$C$6="All",E3083=Dashboard!$C$6),OR(Dashboard!$F$6="All",G3083=Dashboard!$F$6),OR(Dashboard!$I$6="All",H3083=Dashboard!$I$6)),1,0)</f>
        <v/>
      </c>
    </row>
    <row r="3084">
      <c r="A3084" t="inlineStr">
        <is>
          <t>PF103075</t>
        </is>
      </c>
      <c r="B3084" s="68" t="n">
        <v>46031</v>
      </c>
      <c r="C3084" s="69" t="n">
        <v>2026</v>
      </c>
      <c r="D3084" t="inlineStr">
        <is>
          <t>Jan</t>
        </is>
      </c>
      <c r="E3084" t="inlineStr">
        <is>
          <t>Emerging markets</t>
        </is>
      </c>
      <c r="F3084" t="inlineStr">
        <is>
          <t>Brazil</t>
        </is>
      </c>
      <c r="G3084" t="inlineStr">
        <is>
          <t>Paxlovid</t>
        </is>
      </c>
      <c r="H3084" t="inlineStr">
        <is>
          <t>Retail pharmacy</t>
        </is>
      </c>
      <c r="I3084" t="inlineStr">
        <is>
          <t>Public payer</t>
        </is>
      </c>
      <c r="J3084" t="inlineStr">
        <is>
          <t>Priya Nair</t>
        </is>
      </c>
      <c r="K3084" s="70" t="n">
        <v>1459</v>
      </c>
      <c r="L3084" s="71" t="n">
        <v>960.3099999999999</v>
      </c>
      <c r="M3084" s="71" t="n">
        <v>1401092.29</v>
      </c>
      <c r="N3084" s="71" t="n">
        <v>210163.84</v>
      </c>
      <c r="O3084" s="71" t="n">
        <v>1190928.45</v>
      </c>
      <c r="P3084" s="71" t="n">
        <v>400946.38</v>
      </c>
      <c r="Q3084" s="71" t="n">
        <v>789982.0699999999</v>
      </c>
      <c r="R3084" t="inlineStr">
        <is>
          <t>Antiviral</t>
        </is>
      </c>
      <c r="S3084" s="70" t="n">
        <v>914</v>
      </c>
      <c r="T3084" s="71" t="n">
        <v>222251.18</v>
      </c>
      <c r="U3084" t="inlineStr">
        <is>
          <t>Low</t>
        </is>
      </c>
      <c r="V3084">
        <f>IF(AND(OR(Dashboard!$C$6="All",E3084=Dashboard!$C$6),OR(Dashboard!$F$6="All",G3084=Dashboard!$F$6),OR(Dashboard!$I$6="All",H3084=Dashboard!$I$6)),1,0)</f>
        <v/>
      </c>
    </row>
    <row r="3085">
      <c r="A3085" t="inlineStr">
        <is>
          <t>PF103076</t>
        </is>
      </c>
      <c r="B3085" s="68" t="n">
        <v>46031</v>
      </c>
      <c r="C3085" s="69" t="n">
        <v>2026</v>
      </c>
      <c r="D3085" t="inlineStr">
        <is>
          <t>Jan</t>
        </is>
      </c>
      <c r="E3085" t="inlineStr">
        <is>
          <t>United States</t>
        </is>
      </c>
      <c r="F3085" t="inlineStr">
        <is>
          <t>USA</t>
        </is>
      </c>
      <c r="G3085" t="inlineStr">
        <is>
          <t>Comirnaty</t>
        </is>
      </c>
      <c r="H3085" t="inlineStr">
        <is>
          <t>Government / tender</t>
        </is>
      </c>
      <c r="I3085" t="inlineStr">
        <is>
          <t>Self-pay</t>
        </is>
      </c>
      <c r="J3085" t="inlineStr">
        <is>
          <t>Emma Clarke</t>
        </is>
      </c>
      <c r="K3085" s="70" t="n">
        <v>286</v>
      </c>
      <c r="L3085" s="71" t="n">
        <v>132.91</v>
      </c>
      <c r="M3085" s="71" t="n">
        <v>38012.26</v>
      </c>
      <c r="N3085" s="71" t="n">
        <v>9503.07</v>
      </c>
      <c r="O3085" s="71" t="n">
        <v>28509.19</v>
      </c>
      <c r="P3085" s="71" t="n">
        <v>11110.92</v>
      </c>
      <c r="Q3085" s="71" t="n">
        <v>17398.27</v>
      </c>
      <c r="R3085" t="inlineStr">
        <is>
          <t>Vaccines</t>
        </is>
      </c>
      <c r="S3085" s="70" t="n">
        <v>218</v>
      </c>
      <c r="T3085" s="71" t="n">
        <v>6950.75</v>
      </c>
      <c r="U3085" t="inlineStr">
        <is>
          <t>Low</t>
        </is>
      </c>
      <c r="V3085">
        <f>IF(AND(OR(Dashboard!$C$6="All",E3085=Dashboard!$C$6),OR(Dashboard!$F$6="All",G3085=Dashboard!$F$6),OR(Dashboard!$I$6="All",H3085=Dashboard!$I$6)),1,0)</f>
        <v/>
      </c>
    </row>
    <row r="3086">
      <c r="A3086" t="inlineStr">
        <is>
          <t>PF103077</t>
        </is>
      </c>
      <c r="B3086" s="68" t="n">
        <v>46031</v>
      </c>
      <c r="C3086" s="69" t="n">
        <v>2026</v>
      </c>
      <c r="D3086" t="inlineStr">
        <is>
          <t>Jan</t>
        </is>
      </c>
      <c r="E3086" t="inlineStr">
        <is>
          <t>Europe</t>
        </is>
      </c>
      <c r="F3086" t="inlineStr">
        <is>
          <t>Germany</t>
        </is>
      </c>
      <c r="G3086" t="inlineStr">
        <is>
          <t>Prevnar 20</t>
        </is>
      </c>
      <c r="H3086" t="inlineStr">
        <is>
          <t>Retail pharmacy</t>
        </is>
      </c>
      <c r="I3086" t="inlineStr">
        <is>
          <t>Public payer</t>
        </is>
      </c>
      <c r="J3086" t="inlineStr">
        <is>
          <t>Emma Clarke</t>
        </is>
      </c>
      <c r="K3086" s="70" t="n">
        <v>1945</v>
      </c>
      <c r="L3086" s="71" t="n">
        <v>221.33</v>
      </c>
      <c r="M3086" s="71" t="n">
        <v>430486.85</v>
      </c>
      <c r="N3086" s="71" t="n">
        <v>107621.71</v>
      </c>
      <c r="O3086" s="71" t="n">
        <v>322865.14</v>
      </c>
      <c r="P3086" s="71" t="n">
        <v>138773.31</v>
      </c>
      <c r="Q3086" s="71" t="n">
        <v>184091.83</v>
      </c>
      <c r="R3086" t="inlineStr">
        <is>
          <t>Vaccines</t>
        </is>
      </c>
      <c r="S3086" s="70" t="n">
        <v>1242</v>
      </c>
      <c r="T3086" s="71" t="n">
        <v>81805.13</v>
      </c>
      <c r="U3086" t="inlineStr">
        <is>
          <t>Low</t>
        </is>
      </c>
      <c r="V3086">
        <f>IF(AND(OR(Dashboard!$C$6="All",E3086=Dashboard!$C$6),OR(Dashboard!$F$6="All",G3086=Dashboard!$F$6),OR(Dashboard!$I$6="All",H3086=Dashboard!$I$6)),1,0)</f>
        <v/>
      </c>
    </row>
    <row r="3087">
      <c r="A3087" t="inlineStr">
        <is>
          <t>PF103078</t>
        </is>
      </c>
      <c r="B3087" s="68" t="n">
        <v>46031</v>
      </c>
      <c r="C3087" s="69" t="n">
        <v>2026</v>
      </c>
      <c r="D3087" t="inlineStr">
        <is>
          <t>Jan</t>
        </is>
      </c>
      <c r="E3087" t="inlineStr">
        <is>
          <t>Emerging markets</t>
        </is>
      </c>
      <c r="F3087" t="inlineStr">
        <is>
          <t>China</t>
        </is>
      </c>
      <c r="G3087" t="inlineStr">
        <is>
          <t>Prevnar 20</t>
        </is>
      </c>
      <c r="H3087" t="inlineStr">
        <is>
          <t>Retail pharmacy</t>
        </is>
      </c>
      <c r="I3087" t="inlineStr">
        <is>
          <t>Self-pay</t>
        </is>
      </c>
      <c r="J3087" t="inlineStr">
        <is>
          <t>Arjun Mehta</t>
        </is>
      </c>
      <c r="K3087" s="70" t="n">
        <v>2327</v>
      </c>
      <c r="L3087" s="71" t="n">
        <v>230.36</v>
      </c>
      <c r="M3087" s="71" t="n">
        <v>536047.72</v>
      </c>
      <c r="N3087" s="71" t="n">
        <v>53604.77</v>
      </c>
      <c r="O3087" s="71" t="n">
        <v>482442.95</v>
      </c>
      <c r="P3087" s="71" t="n">
        <v>155865.75</v>
      </c>
      <c r="Q3087" s="71" t="n">
        <v>326577.2</v>
      </c>
      <c r="R3087" t="inlineStr">
        <is>
          <t>Vaccines</t>
        </is>
      </c>
      <c r="S3087" s="70" t="n">
        <v>1958</v>
      </c>
      <c r="T3087" s="71" t="n">
        <v>87813.57000000001</v>
      </c>
      <c r="U3087" t="inlineStr">
        <is>
          <t>Low</t>
        </is>
      </c>
      <c r="V3087">
        <f>IF(AND(OR(Dashboard!$C$6="All",E3087=Dashboard!$C$6),OR(Dashboard!$F$6="All",G3087=Dashboard!$F$6),OR(Dashboard!$I$6="All",H3087=Dashboard!$I$6)),1,0)</f>
        <v/>
      </c>
    </row>
    <row r="3088">
      <c r="A3088" t="inlineStr">
        <is>
          <t>PF103079</t>
        </is>
      </c>
      <c r="B3088" s="68" t="n">
        <v>46031</v>
      </c>
      <c r="C3088" s="69" t="n">
        <v>2026</v>
      </c>
      <c r="D3088" t="inlineStr">
        <is>
          <t>Jan</t>
        </is>
      </c>
      <c r="E3088" t="inlineStr">
        <is>
          <t>United States</t>
        </is>
      </c>
      <c r="F3088" t="inlineStr">
        <is>
          <t>USA</t>
        </is>
      </c>
      <c r="G3088" t="inlineStr">
        <is>
          <t>Paxlovid</t>
        </is>
      </c>
      <c r="H3088" t="inlineStr">
        <is>
          <t>Retail pharmacy</t>
        </is>
      </c>
      <c r="I3088" t="inlineStr">
        <is>
          <t>Private insurer</t>
        </is>
      </c>
      <c r="J3088" t="inlineStr">
        <is>
          <t>Hiroshi Tanaka</t>
        </is>
      </c>
      <c r="K3088" s="70" t="n">
        <v>346</v>
      </c>
      <c r="L3088" s="71" t="n">
        <v>1417.75</v>
      </c>
      <c r="M3088" s="71" t="n">
        <v>490541.5</v>
      </c>
      <c r="N3088" s="71" t="n">
        <v>98108.3</v>
      </c>
      <c r="O3088" s="71" t="n">
        <v>392433.2</v>
      </c>
      <c r="P3088" s="71" t="n">
        <v>91466.77</v>
      </c>
      <c r="Q3088" s="71" t="n">
        <v>300966.43</v>
      </c>
      <c r="R3088" t="inlineStr">
        <is>
          <t>Antiviral</t>
        </is>
      </c>
      <c r="S3088" s="70" t="n">
        <v>262</v>
      </c>
      <c r="T3088" s="71" t="n">
        <v>108863.69</v>
      </c>
      <c r="U3088" t="inlineStr">
        <is>
          <t>Low</t>
        </is>
      </c>
      <c r="V3088">
        <f>IF(AND(OR(Dashboard!$C$6="All",E3088=Dashboard!$C$6),OR(Dashboard!$F$6="All",G3088=Dashboard!$F$6),OR(Dashboard!$I$6="All",H3088=Dashboard!$I$6)),1,0)</f>
        <v/>
      </c>
    </row>
    <row r="3089">
      <c r="A3089" t="inlineStr">
        <is>
          <t>PF103080</t>
        </is>
      </c>
      <c r="B3089" s="68" t="n">
        <v>46031</v>
      </c>
      <c r="C3089" s="69" t="n">
        <v>2026</v>
      </c>
      <c r="D3089" t="inlineStr">
        <is>
          <t>Jan</t>
        </is>
      </c>
      <c r="E3089" t="inlineStr">
        <is>
          <t>International developed</t>
        </is>
      </c>
      <c r="F3089" t="inlineStr">
        <is>
          <t>Canada</t>
        </is>
      </c>
      <c r="G3089" t="inlineStr">
        <is>
          <t>Prevnar 20</t>
        </is>
      </c>
      <c r="H3089" t="inlineStr">
        <is>
          <t>Retail pharmacy</t>
        </is>
      </c>
      <c r="I3089" t="inlineStr">
        <is>
          <t>Public payer</t>
        </is>
      </c>
      <c r="J3089" t="inlineStr">
        <is>
          <t>Carlos Silva</t>
        </is>
      </c>
      <c r="K3089" s="70" t="n">
        <v>2205</v>
      </c>
      <c r="L3089" s="71" t="n">
        <v>213.64</v>
      </c>
      <c r="M3089" s="71" t="n">
        <v>471076.2</v>
      </c>
      <c r="N3089" s="71" t="n">
        <v>47107.62</v>
      </c>
      <c r="O3089" s="71" t="n">
        <v>423968.58</v>
      </c>
      <c r="P3089" s="71" t="n">
        <v>153900.25</v>
      </c>
      <c r="Q3089" s="71" t="n">
        <v>270068.33</v>
      </c>
      <c r="R3089" t="inlineStr">
        <is>
          <t>Vaccines</t>
        </is>
      </c>
      <c r="S3089" s="70" t="n">
        <v>1905</v>
      </c>
      <c r="T3089" s="71" t="n">
        <v>80126.41</v>
      </c>
      <c r="U3089" t="inlineStr">
        <is>
          <t>Low</t>
        </is>
      </c>
      <c r="V3089">
        <f>IF(AND(OR(Dashboard!$C$6="All",E3089=Dashboard!$C$6),OR(Dashboard!$F$6="All",G3089=Dashboard!$F$6),OR(Dashboard!$I$6="All",H3089=Dashboard!$I$6)),1,0)</f>
        <v/>
      </c>
    </row>
    <row r="3090">
      <c r="A3090" t="inlineStr">
        <is>
          <t>PF103081</t>
        </is>
      </c>
      <c r="B3090" s="68" t="n">
        <v>46031</v>
      </c>
      <c r="C3090" s="69" t="n">
        <v>2026</v>
      </c>
      <c r="D3090" t="inlineStr">
        <is>
          <t>Jan</t>
        </is>
      </c>
      <c r="E3090" t="inlineStr">
        <is>
          <t>United States</t>
        </is>
      </c>
      <c r="F3090" t="inlineStr">
        <is>
          <t>USA</t>
        </is>
      </c>
      <c r="G3090" t="inlineStr">
        <is>
          <t>Prevnar 20</t>
        </is>
      </c>
      <c r="H3090" t="inlineStr">
        <is>
          <t>Retail pharmacy</t>
        </is>
      </c>
      <c r="I3090" t="inlineStr">
        <is>
          <t>Public payer</t>
        </is>
      </c>
      <c r="J3090" t="inlineStr">
        <is>
          <t>Amir Khan</t>
        </is>
      </c>
      <c r="K3090" s="70" t="n">
        <v>1844</v>
      </c>
      <c r="L3090" s="71" t="n">
        <v>345.69</v>
      </c>
      <c r="M3090" s="71" t="n">
        <v>637452.36</v>
      </c>
      <c r="N3090" s="71" t="n">
        <v>95617.85000000001</v>
      </c>
      <c r="O3090" s="71" t="n">
        <v>541834.51</v>
      </c>
      <c r="P3090" s="71" t="n">
        <v>131199.9</v>
      </c>
      <c r="Q3090" s="71" t="n">
        <v>410634.61</v>
      </c>
      <c r="R3090" t="inlineStr">
        <is>
          <t>Vaccines</t>
        </is>
      </c>
      <c r="S3090" s="70" t="n">
        <v>1448</v>
      </c>
      <c r="T3090" s="71" t="n">
        <v>98686.72</v>
      </c>
      <c r="U3090" t="inlineStr">
        <is>
          <t>Low</t>
        </is>
      </c>
      <c r="V3090">
        <f>IF(AND(OR(Dashboard!$C$6="All",E3090=Dashboard!$C$6),OR(Dashboard!$F$6="All",G3090=Dashboard!$F$6),OR(Dashboard!$I$6="All",H3090=Dashboard!$I$6)),1,0)</f>
        <v/>
      </c>
    </row>
    <row r="3091">
      <c r="A3091" t="inlineStr">
        <is>
          <t>PF103082</t>
        </is>
      </c>
      <c r="B3091" s="68" t="n">
        <v>46032</v>
      </c>
      <c r="C3091" s="69" t="n">
        <v>2026</v>
      </c>
      <c r="D3091" t="inlineStr">
        <is>
          <t>Jan</t>
        </is>
      </c>
      <c r="E3091" t="inlineStr">
        <is>
          <t>United States</t>
        </is>
      </c>
      <c r="F3091" t="inlineStr">
        <is>
          <t>USA</t>
        </is>
      </c>
      <c r="G3091" t="inlineStr">
        <is>
          <t>Comirnaty</t>
        </is>
      </c>
      <c r="H3091" t="inlineStr">
        <is>
          <t>Government / tender</t>
        </is>
      </c>
      <c r="I3091" t="inlineStr">
        <is>
          <t>Private insurer</t>
        </is>
      </c>
      <c r="J3091" t="inlineStr">
        <is>
          <t>Ravindra Patil</t>
        </is>
      </c>
      <c r="K3091" s="70" t="n">
        <v>205</v>
      </c>
      <c r="L3091" s="71" t="n">
        <v>146.32</v>
      </c>
      <c r="M3091" s="71" t="n">
        <v>29995.6</v>
      </c>
      <c r="N3091" s="71" t="n">
        <v>4499.34</v>
      </c>
      <c r="O3091" s="71" t="n">
        <v>25496.26</v>
      </c>
      <c r="P3091" s="71" t="n">
        <v>8152.96</v>
      </c>
      <c r="Q3091" s="71" t="n">
        <v>17343.3</v>
      </c>
      <c r="R3091" t="inlineStr">
        <is>
          <t>Vaccines</t>
        </is>
      </c>
      <c r="S3091" s="70" t="n">
        <v>137</v>
      </c>
      <c r="T3091" s="71" t="n">
        <v>6895.55</v>
      </c>
      <c r="U3091" t="inlineStr">
        <is>
          <t>Low</t>
        </is>
      </c>
      <c r="V3091">
        <f>IF(AND(OR(Dashboard!$C$6="All",E3091=Dashboard!$C$6),OR(Dashboard!$F$6="All",G3091=Dashboard!$F$6),OR(Dashboard!$I$6="All",H3091=Dashboard!$I$6)),1,0)</f>
        <v/>
      </c>
    </row>
    <row r="3092">
      <c r="A3092" t="inlineStr">
        <is>
          <t>PF103083</t>
        </is>
      </c>
      <c r="B3092" s="68" t="n">
        <v>46032</v>
      </c>
      <c r="C3092" s="69" t="n">
        <v>2026</v>
      </c>
      <c r="D3092" t="inlineStr">
        <is>
          <t>Jan</t>
        </is>
      </c>
      <c r="E3092" t="inlineStr">
        <is>
          <t>United States</t>
        </is>
      </c>
      <c r="F3092" t="inlineStr">
        <is>
          <t>USA</t>
        </is>
      </c>
      <c r="G3092" t="inlineStr">
        <is>
          <t>Eliquis</t>
        </is>
      </c>
      <c r="H3092" t="inlineStr">
        <is>
          <t>Retail pharmacy</t>
        </is>
      </c>
      <c r="I3092" t="inlineStr">
        <is>
          <t>Private insurer</t>
        </is>
      </c>
      <c r="J3092" t="inlineStr">
        <is>
          <t>Sara Rossi</t>
        </is>
      </c>
      <c r="K3092" s="70" t="n">
        <v>2177</v>
      </c>
      <c r="L3092" s="71" t="n">
        <v>624.38</v>
      </c>
      <c r="M3092" s="71" t="n">
        <v>1359275.26</v>
      </c>
      <c r="N3092" s="71" t="n">
        <v>407782.58</v>
      </c>
      <c r="O3092" s="71" t="n">
        <v>951492.6800000001</v>
      </c>
      <c r="P3092" s="71" t="n">
        <v>165327.81</v>
      </c>
      <c r="Q3092" s="71" t="n">
        <v>786164.87</v>
      </c>
      <c r="R3092" t="inlineStr">
        <is>
          <t>Cardiology</t>
        </is>
      </c>
      <c r="S3092" s="70" t="n">
        <v>1624</v>
      </c>
      <c r="T3092" s="71" t="n">
        <v>289366.98</v>
      </c>
      <c r="U3092" t="inlineStr">
        <is>
          <t>High</t>
        </is>
      </c>
      <c r="V3092">
        <f>IF(AND(OR(Dashboard!$C$6="All",E3092=Dashboard!$C$6),OR(Dashboard!$F$6="All",G3092=Dashboard!$F$6),OR(Dashboard!$I$6="All",H3092=Dashboard!$I$6)),1,0)</f>
        <v/>
      </c>
    </row>
    <row r="3093">
      <c r="A3093" t="inlineStr">
        <is>
          <t>PF103084</t>
        </is>
      </c>
      <c r="B3093" s="68" t="n">
        <v>46032</v>
      </c>
      <c r="C3093" s="69" t="n">
        <v>2026</v>
      </c>
      <c r="D3093" t="inlineStr">
        <is>
          <t>Jan</t>
        </is>
      </c>
      <c r="E3093" t="inlineStr">
        <is>
          <t>International developed</t>
        </is>
      </c>
      <c r="F3093" t="inlineStr">
        <is>
          <t>Japan</t>
        </is>
      </c>
      <c r="G3093" t="inlineStr">
        <is>
          <t>Prevnar 20</t>
        </is>
      </c>
      <c r="H3093" t="inlineStr">
        <is>
          <t>Hospital</t>
        </is>
      </c>
      <c r="I3093" t="inlineStr">
        <is>
          <t>Public payer</t>
        </is>
      </c>
      <c r="J3093" t="inlineStr">
        <is>
          <t>Aisha Bello</t>
        </is>
      </c>
      <c r="K3093" s="70" t="n">
        <v>1481</v>
      </c>
      <c r="L3093" s="71" t="n">
        <v>246.42</v>
      </c>
      <c r="M3093" s="71" t="n">
        <v>364948.02</v>
      </c>
      <c r="N3093" s="71" t="n">
        <v>72989.60000000001</v>
      </c>
      <c r="O3093" s="71" t="n">
        <v>291958.42</v>
      </c>
      <c r="P3093" s="71" t="n">
        <v>102356.63</v>
      </c>
      <c r="Q3093" s="71" t="n">
        <v>189601.79</v>
      </c>
      <c r="R3093" t="inlineStr">
        <is>
          <t>Vaccines</t>
        </is>
      </c>
      <c r="S3093" s="70" t="n">
        <v>1457</v>
      </c>
      <c r="T3093" s="71" t="n">
        <v>55292.83</v>
      </c>
      <c r="U3093" t="inlineStr">
        <is>
          <t>Low</t>
        </is>
      </c>
      <c r="V3093">
        <f>IF(AND(OR(Dashboard!$C$6="All",E3093=Dashboard!$C$6),OR(Dashboard!$F$6="All",G3093=Dashboard!$F$6),OR(Dashboard!$I$6="All",H3093=Dashboard!$I$6)),1,0)</f>
        <v/>
      </c>
    </row>
    <row r="3094">
      <c r="A3094" t="inlineStr">
        <is>
          <t>PF103085</t>
        </is>
      </c>
      <c r="B3094" s="68" t="n">
        <v>46032</v>
      </c>
      <c r="C3094" s="69" t="n">
        <v>2026</v>
      </c>
      <c r="D3094" t="inlineStr">
        <is>
          <t>Jan</t>
        </is>
      </c>
      <c r="E3094" t="inlineStr">
        <is>
          <t>United States</t>
        </is>
      </c>
      <c r="F3094" t="inlineStr">
        <is>
          <t>USA</t>
        </is>
      </c>
      <c r="G3094" t="inlineStr">
        <is>
          <t>Eliquis</t>
        </is>
      </c>
      <c r="H3094" t="inlineStr">
        <is>
          <t>Hospital</t>
        </is>
      </c>
      <c r="I3094" t="inlineStr">
        <is>
          <t>Private insurer</t>
        </is>
      </c>
      <c r="J3094" t="inlineStr">
        <is>
          <t>Emma Clarke</t>
        </is>
      </c>
      <c r="K3094" s="70" t="n">
        <v>1693</v>
      </c>
      <c r="L3094" s="71" t="n">
        <v>676.85</v>
      </c>
      <c r="M3094" s="71" t="n">
        <v>1145907.05</v>
      </c>
      <c r="N3094" s="71" t="n">
        <v>171886.06</v>
      </c>
      <c r="O3094" s="71" t="n">
        <v>974020.99</v>
      </c>
      <c r="P3094" s="71" t="n">
        <v>132550.5</v>
      </c>
      <c r="Q3094" s="71" t="n">
        <v>841470.49</v>
      </c>
      <c r="R3094" t="inlineStr">
        <is>
          <t>Cardiology</t>
        </is>
      </c>
      <c r="S3094" s="70" t="n">
        <v>1498</v>
      </c>
      <c r="T3094" s="71" t="n">
        <v>164388.95</v>
      </c>
      <c r="U3094" t="inlineStr">
        <is>
          <t>High</t>
        </is>
      </c>
      <c r="V3094">
        <f>IF(AND(OR(Dashboard!$C$6="All",E3094=Dashboard!$C$6),OR(Dashboard!$F$6="All",G3094=Dashboard!$F$6),OR(Dashboard!$I$6="All",H3094=Dashboard!$I$6)),1,0)</f>
        <v/>
      </c>
    </row>
    <row r="3095">
      <c r="A3095" t="inlineStr">
        <is>
          <t>PF103086</t>
        </is>
      </c>
      <c r="B3095" s="68" t="n">
        <v>46032</v>
      </c>
      <c r="C3095" s="69" t="n">
        <v>2026</v>
      </c>
      <c r="D3095" t="inlineStr">
        <is>
          <t>Jan</t>
        </is>
      </c>
      <c r="E3095" t="inlineStr">
        <is>
          <t>United States</t>
        </is>
      </c>
      <c r="F3095" t="inlineStr">
        <is>
          <t>USA</t>
        </is>
      </c>
      <c r="G3095" t="inlineStr">
        <is>
          <t>Comirnaty</t>
        </is>
      </c>
      <c r="H3095" t="inlineStr">
        <is>
          <t>Hospital</t>
        </is>
      </c>
      <c r="I3095" t="inlineStr">
        <is>
          <t>Private insurer</t>
        </is>
      </c>
      <c r="J3095" t="inlineStr">
        <is>
          <t>Aisha Bello</t>
        </is>
      </c>
      <c r="K3095" s="70" t="n">
        <v>887</v>
      </c>
      <c r="L3095" s="71" t="n">
        <v>150.88</v>
      </c>
      <c r="M3095" s="71" t="n">
        <v>133830.56</v>
      </c>
      <c r="N3095" s="71" t="n">
        <v>20074.58</v>
      </c>
      <c r="O3095" s="71" t="n">
        <v>113755.98</v>
      </c>
      <c r="P3095" s="71" t="n">
        <v>33544.69</v>
      </c>
      <c r="Q3095" s="71" t="n">
        <v>80211.28999999999</v>
      </c>
      <c r="R3095" t="inlineStr">
        <is>
          <t>Vaccines</t>
        </is>
      </c>
      <c r="S3095" s="70" t="n">
        <v>687</v>
      </c>
      <c r="T3095" s="71" t="n">
        <v>29254.58</v>
      </c>
      <c r="U3095" t="inlineStr">
        <is>
          <t>Low</t>
        </is>
      </c>
      <c r="V3095">
        <f>IF(AND(OR(Dashboard!$C$6="All",E3095=Dashboard!$C$6),OR(Dashboard!$F$6="All",G3095=Dashboard!$F$6),OR(Dashboard!$I$6="All",H3095=Dashboard!$I$6)),1,0)</f>
        <v/>
      </c>
    </row>
    <row r="3096">
      <c r="A3096" t="inlineStr">
        <is>
          <t>PF103087</t>
        </is>
      </c>
      <c r="B3096" s="68" t="n">
        <v>46032</v>
      </c>
      <c r="C3096" s="69" t="n">
        <v>2026</v>
      </c>
      <c r="D3096" t="inlineStr">
        <is>
          <t>Jan</t>
        </is>
      </c>
      <c r="E3096" t="inlineStr">
        <is>
          <t>United States</t>
        </is>
      </c>
      <c r="F3096" t="inlineStr">
        <is>
          <t>USA</t>
        </is>
      </c>
      <c r="G3096" t="inlineStr">
        <is>
          <t>Comirnaty</t>
        </is>
      </c>
      <c r="H3096" t="inlineStr">
        <is>
          <t>Government / tender</t>
        </is>
      </c>
      <c r="I3096" t="inlineStr">
        <is>
          <t>Private insurer</t>
        </is>
      </c>
      <c r="J3096" t="inlineStr">
        <is>
          <t>Omar Haddad</t>
        </is>
      </c>
      <c r="K3096" s="70" t="n">
        <v>210</v>
      </c>
      <c r="L3096" s="71" t="n">
        <v>137.53</v>
      </c>
      <c r="M3096" s="71" t="n">
        <v>28881.3</v>
      </c>
      <c r="N3096" s="71" t="n">
        <v>8664.389999999999</v>
      </c>
      <c r="O3096" s="71" t="n">
        <v>20216.91</v>
      </c>
      <c r="P3096" s="71" t="n">
        <v>8311.42</v>
      </c>
      <c r="Q3096" s="71" t="n">
        <v>11905.49</v>
      </c>
      <c r="R3096" t="inlineStr">
        <is>
          <t>Vaccines</t>
        </is>
      </c>
      <c r="S3096" s="70" t="n">
        <v>157</v>
      </c>
      <c r="T3096" s="71" t="n">
        <v>4310.5</v>
      </c>
      <c r="U3096" t="inlineStr">
        <is>
          <t>Low</t>
        </is>
      </c>
      <c r="V3096">
        <f>IF(AND(OR(Dashboard!$C$6="All",E3096=Dashboard!$C$6),OR(Dashboard!$F$6="All",G3096=Dashboard!$F$6),OR(Dashboard!$I$6="All",H3096=Dashboard!$I$6)),1,0)</f>
        <v/>
      </c>
    </row>
    <row r="3097">
      <c r="A3097" t="inlineStr">
        <is>
          <t>PF103088</t>
        </is>
      </c>
      <c r="B3097" s="68" t="n">
        <v>46032</v>
      </c>
      <c r="C3097" s="69" t="n">
        <v>2026</v>
      </c>
      <c r="D3097" t="inlineStr">
        <is>
          <t>Jan</t>
        </is>
      </c>
      <c r="E3097" t="inlineStr">
        <is>
          <t>United States</t>
        </is>
      </c>
      <c r="F3097" t="inlineStr">
        <is>
          <t>USA</t>
        </is>
      </c>
      <c r="G3097" t="inlineStr">
        <is>
          <t>Ibrance</t>
        </is>
      </c>
      <c r="H3097" t="inlineStr">
        <is>
          <t>Retail pharmacy</t>
        </is>
      </c>
      <c r="I3097" t="inlineStr">
        <is>
          <t>Public payer</t>
        </is>
      </c>
      <c r="J3097" t="inlineStr">
        <is>
          <t>Ana Costa</t>
        </is>
      </c>
      <c r="K3097" s="70" t="n">
        <v>379</v>
      </c>
      <c r="L3097" s="71" t="n">
        <v>4964.97</v>
      </c>
      <c r="M3097" s="71" t="n">
        <v>1881723.63</v>
      </c>
      <c r="N3097" s="71" t="n">
        <v>376344.73</v>
      </c>
      <c r="O3097" s="71" t="n">
        <v>1505378.9</v>
      </c>
      <c r="P3097" s="71" t="n">
        <v>162269.41</v>
      </c>
      <c r="Q3097" s="71" t="n">
        <v>1343109.49</v>
      </c>
      <c r="R3097" t="inlineStr">
        <is>
          <t>Oncology</t>
        </is>
      </c>
      <c r="S3097" s="70" t="n">
        <v>277</v>
      </c>
      <c r="T3097" s="71" t="n">
        <v>278359.65</v>
      </c>
      <c r="U3097" t="inlineStr">
        <is>
          <t>High</t>
        </is>
      </c>
      <c r="V3097">
        <f>IF(AND(OR(Dashboard!$C$6="All",E3097=Dashboard!$C$6),OR(Dashboard!$F$6="All",G3097=Dashboard!$F$6),OR(Dashboard!$I$6="All",H3097=Dashboard!$I$6)),1,0)</f>
        <v/>
      </c>
    </row>
    <row r="3098">
      <c r="A3098" t="inlineStr">
        <is>
          <t>PF103089</t>
        </is>
      </c>
      <c r="B3098" s="68" t="n">
        <v>46033</v>
      </c>
      <c r="C3098" s="69" t="n">
        <v>2026</v>
      </c>
      <c r="D3098" t="inlineStr">
        <is>
          <t>Jan</t>
        </is>
      </c>
      <c r="E3098" t="inlineStr">
        <is>
          <t>Europe</t>
        </is>
      </c>
      <c r="F3098" t="inlineStr">
        <is>
          <t>Italy</t>
        </is>
      </c>
      <c r="G3098" t="inlineStr">
        <is>
          <t>Prevnar 20</t>
        </is>
      </c>
      <c r="H3098" t="inlineStr">
        <is>
          <t>Government / tender</t>
        </is>
      </c>
      <c r="I3098" t="inlineStr">
        <is>
          <t>Public payer</t>
        </is>
      </c>
      <c r="J3098" t="inlineStr">
        <is>
          <t>Hiroshi Tanaka</t>
        </is>
      </c>
      <c r="K3098" s="70" t="n">
        <v>2392</v>
      </c>
      <c r="L3098" s="71" t="n">
        <v>226.73</v>
      </c>
      <c r="M3098" s="71" t="n">
        <v>542338.16</v>
      </c>
      <c r="N3098" s="71" t="n">
        <v>54233.82</v>
      </c>
      <c r="O3098" s="71" t="n">
        <v>488104.34</v>
      </c>
      <c r="P3098" s="71" t="n">
        <v>167357.53</v>
      </c>
      <c r="Q3098" s="71" t="n">
        <v>320746.81</v>
      </c>
      <c r="R3098" t="inlineStr">
        <is>
          <t>Vaccines</t>
        </is>
      </c>
      <c r="S3098" s="70" t="n">
        <v>1968</v>
      </c>
      <c r="T3098" s="71" t="n">
        <v>96214.91</v>
      </c>
      <c r="U3098" t="inlineStr">
        <is>
          <t>Low</t>
        </is>
      </c>
      <c r="V3098">
        <f>IF(AND(OR(Dashboard!$C$6="All",E3098=Dashboard!$C$6),OR(Dashboard!$F$6="All",G3098=Dashboard!$F$6),OR(Dashboard!$I$6="All",H3098=Dashboard!$I$6)),1,0)</f>
        <v/>
      </c>
    </row>
    <row r="3099">
      <c r="A3099" t="inlineStr">
        <is>
          <t>PF103090</t>
        </is>
      </c>
      <c r="B3099" s="68" t="n">
        <v>46033</v>
      </c>
      <c r="C3099" s="69" t="n">
        <v>2026</v>
      </c>
      <c r="D3099" t="inlineStr">
        <is>
          <t>Jan</t>
        </is>
      </c>
      <c r="E3099" t="inlineStr">
        <is>
          <t>United States</t>
        </is>
      </c>
      <c r="F3099" t="inlineStr">
        <is>
          <t>USA</t>
        </is>
      </c>
      <c r="G3099" t="inlineStr">
        <is>
          <t>Eliquis</t>
        </is>
      </c>
      <c r="H3099" t="inlineStr">
        <is>
          <t>Hospital</t>
        </is>
      </c>
      <c r="I3099" t="inlineStr">
        <is>
          <t>Private insurer</t>
        </is>
      </c>
      <c r="J3099" t="inlineStr">
        <is>
          <t>Emma Clarke</t>
        </is>
      </c>
      <c r="K3099" s="70" t="n">
        <v>1204</v>
      </c>
      <c r="L3099" s="71" t="n">
        <v>645</v>
      </c>
      <c r="M3099" s="71" t="n">
        <v>776580</v>
      </c>
      <c r="N3099" s="71" t="n">
        <v>116487</v>
      </c>
      <c r="O3099" s="71" t="n">
        <v>660093</v>
      </c>
      <c r="P3099" s="71" t="n">
        <v>93240.42</v>
      </c>
      <c r="Q3099" s="71" t="n">
        <v>566852.58</v>
      </c>
      <c r="R3099" t="inlineStr">
        <is>
          <t>Cardiology</t>
        </is>
      </c>
      <c r="S3099" s="70" t="n">
        <v>855</v>
      </c>
      <c r="T3099" s="71" t="n">
        <v>97797.25999999999</v>
      </c>
      <c r="U3099" t="inlineStr">
        <is>
          <t>High</t>
        </is>
      </c>
      <c r="V3099">
        <f>IF(AND(OR(Dashboard!$C$6="All",E3099=Dashboard!$C$6),OR(Dashboard!$F$6="All",G3099=Dashboard!$F$6),OR(Dashboard!$I$6="All",H3099=Dashboard!$I$6)),1,0)</f>
        <v/>
      </c>
    </row>
    <row r="3100">
      <c r="A3100" t="inlineStr">
        <is>
          <t>PF103091</t>
        </is>
      </c>
      <c r="B3100" s="68" t="n">
        <v>46033</v>
      </c>
      <c r="C3100" s="69" t="n">
        <v>2026</v>
      </c>
      <c r="D3100" t="inlineStr">
        <is>
          <t>Jan</t>
        </is>
      </c>
      <c r="E3100" t="inlineStr">
        <is>
          <t>Europe</t>
        </is>
      </c>
      <c r="F3100" t="inlineStr">
        <is>
          <t>Italy</t>
        </is>
      </c>
      <c r="G3100" t="inlineStr">
        <is>
          <t>Paxlovid</t>
        </is>
      </c>
      <c r="H3100" t="inlineStr">
        <is>
          <t>Retail pharmacy</t>
        </is>
      </c>
      <c r="I3100" t="inlineStr">
        <is>
          <t>Private insurer</t>
        </is>
      </c>
      <c r="J3100" t="inlineStr">
        <is>
          <t>Aisha Bello</t>
        </is>
      </c>
      <c r="K3100" s="70" t="n">
        <v>510</v>
      </c>
      <c r="L3100" s="71" t="n">
        <v>916.39</v>
      </c>
      <c r="M3100" s="71" t="n">
        <v>467358.9</v>
      </c>
      <c r="N3100" s="71" t="n">
        <v>70103.84</v>
      </c>
      <c r="O3100" s="71" t="n">
        <v>397255.06</v>
      </c>
      <c r="P3100" s="71" t="n">
        <v>141729.92</v>
      </c>
      <c r="Q3100" s="71" t="n">
        <v>255525.14</v>
      </c>
      <c r="R3100" t="inlineStr">
        <is>
          <t>Antiviral</t>
        </is>
      </c>
      <c r="S3100" s="70" t="n">
        <v>479</v>
      </c>
      <c r="T3100" s="71" t="n">
        <v>114257.54</v>
      </c>
      <c r="U3100" t="inlineStr">
        <is>
          <t>Low</t>
        </is>
      </c>
      <c r="V3100">
        <f>IF(AND(OR(Dashboard!$C$6="All",E3100=Dashboard!$C$6),OR(Dashboard!$F$6="All",G3100=Dashboard!$F$6),OR(Dashboard!$I$6="All",H3100=Dashboard!$I$6)),1,0)</f>
        <v/>
      </c>
    </row>
    <row r="3101">
      <c r="A3101" t="inlineStr">
        <is>
          <t>PF103092</t>
        </is>
      </c>
      <c r="B3101" s="68" t="n">
        <v>46033</v>
      </c>
      <c r="C3101" s="69" t="n">
        <v>2026</v>
      </c>
      <c r="D3101" t="inlineStr">
        <is>
          <t>Jan</t>
        </is>
      </c>
      <c r="E3101" t="inlineStr">
        <is>
          <t>Europe</t>
        </is>
      </c>
      <c r="F3101" t="inlineStr">
        <is>
          <t>Germany</t>
        </is>
      </c>
      <c r="G3101" t="inlineStr">
        <is>
          <t>Prevnar 20</t>
        </is>
      </c>
      <c r="H3101" t="inlineStr">
        <is>
          <t>Hospital</t>
        </is>
      </c>
      <c r="I3101" t="inlineStr">
        <is>
          <t>Private insurer</t>
        </is>
      </c>
      <c r="J3101" t="inlineStr">
        <is>
          <t>Amir Khan</t>
        </is>
      </c>
      <c r="K3101" s="70" t="n">
        <v>295</v>
      </c>
      <c r="L3101" s="71" t="n">
        <v>226.07</v>
      </c>
      <c r="M3101" s="71" t="n">
        <v>66690.64999999999</v>
      </c>
      <c r="N3101" s="71" t="n">
        <v>10003.6</v>
      </c>
      <c r="O3101" s="71" t="n">
        <v>56687.05</v>
      </c>
      <c r="P3101" s="71" t="n">
        <v>19706.8</v>
      </c>
      <c r="Q3101" s="71" t="n">
        <v>36980.25</v>
      </c>
      <c r="R3101" t="inlineStr">
        <is>
          <t>Vaccines</t>
        </is>
      </c>
      <c r="S3101" s="70" t="n">
        <v>212</v>
      </c>
      <c r="T3101" s="71" t="n">
        <v>12993.43</v>
      </c>
      <c r="U3101" t="inlineStr">
        <is>
          <t>Low</t>
        </is>
      </c>
      <c r="V3101">
        <f>IF(AND(OR(Dashboard!$C$6="All",E3101=Dashboard!$C$6),OR(Dashboard!$F$6="All",G3101=Dashboard!$F$6),OR(Dashboard!$I$6="All",H3101=Dashboard!$I$6)),1,0)</f>
        <v/>
      </c>
    </row>
    <row r="3102">
      <c r="A3102" t="inlineStr">
        <is>
          <t>PF103093</t>
        </is>
      </c>
      <c r="B3102" s="68" t="n">
        <v>46033</v>
      </c>
      <c r="C3102" s="69" t="n">
        <v>2026</v>
      </c>
      <c r="D3102" t="inlineStr">
        <is>
          <t>Jan</t>
        </is>
      </c>
      <c r="E3102" t="inlineStr">
        <is>
          <t>Europe</t>
        </is>
      </c>
      <c r="F3102" t="inlineStr">
        <is>
          <t>Germany</t>
        </is>
      </c>
      <c r="G3102" t="inlineStr">
        <is>
          <t>Comirnaty</t>
        </is>
      </c>
      <c r="H3102" t="inlineStr">
        <is>
          <t>Retail pharmacy</t>
        </is>
      </c>
      <c r="I3102" t="inlineStr">
        <is>
          <t>Private insurer</t>
        </is>
      </c>
      <c r="J3102" t="inlineStr">
        <is>
          <t>Fatima Al-Saud</t>
        </is>
      </c>
      <c r="K3102" s="70" t="n">
        <v>1348</v>
      </c>
      <c r="L3102" s="71" t="n">
        <v>93.09999999999999</v>
      </c>
      <c r="M3102" s="71" t="n">
        <v>125498.8</v>
      </c>
      <c r="N3102" s="71" t="n">
        <v>12549.88</v>
      </c>
      <c r="O3102" s="71" t="n">
        <v>112948.92</v>
      </c>
      <c r="P3102" s="71" t="n">
        <v>52922.85</v>
      </c>
      <c r="Q3102" s="71" t="n">
        <v>60026.07</v>
      </c>
      <c r="R3102" t="inlineStr">
        <is>
          <t>Vaccines</t>
        </is>
      </c>
      <c r="S3102" s="70" t="n">
        <v>933</v>
      </c>
      <c r="T3102" s="71" t="n">
        <v>18768.1</v>
      </c>
      <c r="U3102" t="inlineStr">
        <is>
          <t>Low</t>
        </is>
      </c>
      <c r="V3102">
        <f>IF(AND(OR(Dashboard!$C$6="All",E3102=Dashboard!$C$6),OR(Dashboard!$F$6="All",G3102=Dashboard!$F$6),OR(Dashboard!$I$6="All",H3102=Dashboard!$I$6)),1,0)</f>
        <v/>
      </c>
    </row>
    <row r="3103">
      <c r="A3103" t="inlineStr">
        <is>
          <t>PF103094</t>
        </is>
      </c>
      <c r="B3103" s="68" t="n">
        <v>46033</v>
      </c>
      <c r="C3103" s="69" t="n">
        <v>2026</v>
      </c>
      <c r="D3103" t="inlineStr">
        <is>
          <t>Jan</t>
        </is>
      </c>
      <c r="E3103" t="inlineStr">
        <is>
          <t>United States</t>
        </is>
      </c>
      <c r="F3103" t="inlineStr">
        <is>
          <t>USA</t>
        </is>
      </c>
      <c r="G3103" t="inlineStr">
        <is>
          <t>Comirnaty</t>
        </is>
      </c>
      <c r="H3103" t="inlineStr">
        <is>
          <t>Hospital</t>
        </is>
      </c>
      <c r="I3103" t="inlineStr">
        <is>
          <t>Public payer</t>
        </is>
      </c>
      <c r="J3103" t="inlineStr">
        <is>
          <t>Fatima Al-Saud</t>
        </is>
      </c>
      <c r="K3103" s="70" t="n">
        <v>696</v>
      </c>
      <c r="L3103" s="71" t="n">
        <v>133.79</v>
      </c>
      <c r="M3103" s="71" t="n">
        <v>93117.84</v>
      </c>
      <c r="N3103" s="71" t="n">
        <v>13967.68</v>
      </c>
      <c r="O3103" s="71" t="n">
        <v>79150.16</v>
      </c>
      <c r="P3103" s="71" t="n">
        <v>26958.24</v>
      </c>
      <c r="Q3103" s="71" t="n">
        <v>52191.92</v>
      </c>
      <c r="R3103" t="inlineStr">
        <is>
          <t>Vaccines</t>
        </is>
      </c>
      <c r="S3103" s="70" t="n">
        <v>440</v>
      </c>
      <c r="T3103" s="71" t="n">
        <v>24320.89</v>
      </c>
      <c r="U3103" t="inlineStr">
        <is>
          <t>Low</t>
        </is>
      </c>
      <c r="V3103">
        <f>IF(AND(OR(Dashboard!$C$6="All",E3103=Dashboard!$C$6),OR(Dashboard!$F$6="All",G3103=Dashboard!$F$6),OR(Dashboard!$I$6="All",H3103=Dashboard!$I$6)),1,0)</f>
        <v/>
      </c>
    </row>
    <row r="3104">
      <c r="A3104" t="inlineStr">
        <is>
          <t>PF103095</t>
        </is>
      </c>
      <c r="B3104" s="68" t="n">
        <v>46033</v>
      </c>
      <c r="C3104" s="69" t="n">
        <v>2026</v>
      </c>
      <c r="D3104" t="inlineStr">
        <is>
          <t>Jan</t>
        </is>
      </c>
      <c r="E3104" t="inlineStr">
        <is>
          <t>Europe</t>
        </is>
      </c>
      <c r="F3104" t="inlineStr">
        <is>
          <t>Italy</t>
        </is>
      </c>
      <c r="G3104" t="inlineStr">
        <is>
          <t>Vyndaqel</t>
        </is>
      </c>
      <c r="H3104" t="inlineStr">
        <is>
          <t>Government / tender</t>
        </is>
      </c>
      <c r="I3104" t="inlineStr">
        <is>
          <t>Public payer</t>
        </is>
      </c>
      <c r="J3104" t="inlineStr">
        <is>
          <t>Olivia Brown</t>
        </is>
      </c>
      <c r="K3104" s="70" t="n">
        <v>81</v>
      </c>
      <c r="L3104" s="71" t="n">
        <v>5522.23</v>
      </c>
      <c r="M3104" s="71" t="n">
        <v>447300.63</v>
      </c>
      <c r="N3104" s="71" t="n">
        <v>22365.03</v>
      </c>
      <c r="O3104" s="71" t="n">
        <v>424935.6</v>
      </c>
      <c r="P3104" s="71" t="n">
        <v>51095.31</v>
      </c>
      <c r="Q3104" s="71" t="n">
        <v>373840.29</v>
      </c>
      <c r="R3104" t="inlineStr">
        <is>
          <t>Rare disease</t>
        </is>
      </c>
      <c r="S3104" s="70" t="n">
        <v>70</v>
      </c>
      <c r="T3104" s="71" t="n">
        <v>54311.44</v>
      </c>
      <c r="U3104" t="inlineStr">
        <is>
          <t>Medium</t>
        </is>
      </c>
      <c r="V3104">
        <f>IF(AND(OR(Dashboard!$C$6="All",E3104=Dashboard!$C$6),OR(Dashboard!$F$6="All",G3104=Dashboard!$F$6),OR(Dashboard!$I$6="All",H3104=Dashboard!$I$6)),1,0)</f>
        <v/>
      </c>
    </row>
    <row r="3105">
      <c r="A3105" t="inlineStr">
        <is>
          <t>PF103096</t>
        </is>
      </c>
      <c r="B3105" s="68" t="n">
        <v>46033</v>
      </c>
      <c r="C3105" s="69" t="n">
        <v>2026</v>
      </c>
      <c r="D3105" t="inlineStr">
        <is>
          <t>Jan</t>
        </is>
      </c>
      <c r="E3105" t="inlineStr">
        <is>
          <t>United States</t>
        </is>
      </c>
      <c r="F3105" t="inlineStr">
        <is>
          <t>USA</t>
        </is>
      </c>
      <c r="G3105" t="inlineStr">
        <is>
          <t>Ibrance</t>
        </is>
      </c>
      <c r="H3105" t="inlineStr">
        <is>
          <t>Hospital</t>
        </is>
      </c>
      <c r="I3105" t="inlineStr">
        <is>
          <t>Private insurer</t>
        </is>
      </c>
      <c r="J3105" t="inlineStr">
        <is>
          <t>Hiroshi Tanaka</t>
        </is>
      </c>
      <c r="K3105" s="70" t="n">
        <v>1242</v>
      </c>
      <c r="L3105" s="71" t="n">
        <v>4268.88</v>
      </c>
      <c r="M3105" s="71" t="n">
        <v>5301948.96</v>
      </c>
      <c r="N3105" s="71" t="n">
        <v>1060389.79</v>
      </c>
      <c r="O3105" s="71" t="n">
        <v>4241559.17</v>
      </c>
      <c r="P3105" s="71" t="n">
        <v>518954.86</v>
      </c>
      <c r="Q3105" s="71" t="n">
        <v>3722604.31</v>
      </c>
      <c r="R3105" t="inlineStr">
        <is>
          <t>Oncology</t>
        </is>
      </c>
      <c r="S3105" s="70" t="n">
        <v>1107</v>
      </c>
      <c r="T3105" s="71" t="n">
        <v>725662.34</v>
      </c>
      <c r="U3105" t="inlineStr">
        <is>
          <t>High</t>
        </is>
      </c>
      <c r="V3105">
        <f>IF(AND(OR(Dashboard!$C$6="All",E3105=Dashboard!$C$6),OR(Dashboard!$F$6="All",G3105=Dashboard!$F$6),OR(Dashboard!$I$6="All",H3105=Dashboard!$I$6)),1,0)</f>
        <v/>
      </c>
    </row>
    <row r="3106">
      <c r="A3106" t="inlineStr">
        <is>
          <t>PF103097</t>
        </is>
      </c>
      <c r="B3106" s="68" t="n">
        <v>46033</v>
      </c>
      <c r="C3106" s="69" t="n">
        <v>2026</v>
      </c>
      <c r="D3106" t="inlineStr">
        <is>
          <t>Jan</t>
        </is>
      </c>
      <c r="E3106" t="inlineStr">
        <is>
          <t>United States</t>
        </is>
      </c>
      <c r="F3106" t="inlineStr">
        <is>
          <t>USA</t>
        </is>
      </c>
      <c r="G3106" t="inlineStr">
        <is>
          <t>Prevnar 20</t>
        </is>
      </c>
      <c r="H3106" t="inlineStr">
        <is>
          <t>Hospital</t>
        </is>
      </c>
      <c r="I3106" t="inlineStr">
        <is>
          <t>Public payer</t>
        </is>
      </c>
      <c r="J3106" t="inlineStr">
        <is>
          <t>Hiroshi Tanaka</t>
        </is>
      </c>
      <c r="K3106" s="70" t="n">
        <v>463</v>
      </c>
      <c r="L3106" s="71" t="n">
        <v>407.9</v>
      </c>
      <c r="M3106" s="71" t="n">
        <v>188857.7</v>
      </c>
      <c r="N3106" s="71" t="n">
        <v>28328.66</v>
      </c>
      <c r="O3106" s="71" t="n">
        <v>160529.04</v>
      </c>
      <c r="P3106" s="71" t="n">
        <v>32930.68</v>
      </c>
      <c r="Q3106" s="71" t="n">
        <v>127598.36</v>
      </c>
      <c r="R3106" t="inlineStr">
        <is>
          <t>Vaccines</t>
        </is>
      </c>
      <c r="S3106" s="70" t="n">
        <v>390</v>
      </c>
      <c r="T3106" s="71" t="n">
        <v>32209.58</v>
      </c>
      <c r="U3106" t="inlineStr">
        <is>
          <t>Low</t>
        </is>
      </c>
      <c r="V3106">
        <f>IF(AND(OR(Dashboard!$C$6="All",E3106=Dashboard!$C$6),OR(Dashboard!$F$6="All",G3106=Dashboard!$F$6),OR(Dashboard!$I$6="All",H3106=Dashboard!$I$6)),1,0)</f>
        <v/>
      </c>
    </row>
    <row r="3107">
      <c r="A3107" t="inlineStr">
        <is>
          <t>PF103098</t>
        </is>
      </c>
      <c r="B3107" s="68" t="n">
        <v>46033</v>
      </c>
      <c r="C3107" s="69" t="n">
        <v>2026</v>
      </c>
      <c r="D3107" t="inlineStr">
        <is>
          <t>Jan</t>
        </is>
      </c>
      <c r="E3107" t="inlineStr">
        <is>
          <t>United States</t>
        </is>
      </c>
      <c r="F3107" t="inlineStr">
        <is>
          <t>USA</t>
        </is>
      </c>
      <c r="G3107" t="inlineStr">
        <is>
          <t>Comirnaty</t>
        </is>
      </c>
      <c r="H3107" t="inlineStr">
        <is>
          <t>Retail pharmacy</t>
        </is>
      </c>
      <c r="I3107" t="inlineStr">
        <is>
          <t>Private insurer</t>
        </is>
      </c>
      <c r="J3107" t="inlineStr">
        <is>
          <t>Zoya Ahmed</t>
        </is>
      </c>
      <c r="K3107" s="70" t="n">
        <v>1435</v>
      </c>
      <c r="L3107" s="71" t="n">
        <v>136.12</v>
      </c>
      <c r="M3107" s="71" t="n">
        <v>195332.2</v>
      </c>
      <c r="N3107" s="71" t="n">
        <v>39066.44</v>
      </c>
      <c r="O3107" s="71" t="n">
        <v>156265.76</v>
      </c>
      <c r="P3107" s="71" t="n">
        <v>56873.85</v>
      </c>
      <c r="Q3107" s="71" t="n">
        <v>99391.91</v>
      </c>
      <c r="R3107" t="inlineStr">
        <is>
          <t>Vaccines</t>
        </is>
      </c>
      <c r="S3107" s="70" t="n">
        <v>1061</v>
      </c>
      <c r="T3107" s="71" t="n">
        <v>41124.98</v>
      </c>
      <c r="U3107" t="inlineStr">
        <is>
          <t>Low</t>
        </is>
      </c>
      <c r="V3107">
        <f>IF(AND(OR(Dashboard!$C$6="All",E3107=Dashboard!$C$6),OR(Dashboard!$F$6="All",G3107=Dashboard!$F$6),OR(Dashboard!$I$6="All",H3107=Dashboard!$I$6)),1,0)</f>
        <v/>
      </c>
    </row>
    <row r="3108">
      <c r="A3108" t="inlineStr">
        <is>
          <t>PF103099</t>
        </is>
      </c>
      <c r="B3108" s="68" t="n">
        <v>46033</v>
      </c>
      <c r="C3108" s="69" t="n">
        <v>2026</v>
      </c>
      <c r="D3108" t="inlineStr">
        <is>
          <t>Jan</t>
        </is>
      </c>
      <c r="E3108" t="inlineStr">
        <is>
          <t>Europe</t>
        </is>
      </c>
      <c r="F3108" t="inlineStr">
        <is>
          <t>UK</t>
        </is>
      </c>
      <c r="G3108" t="inlineStr">
        <is>
          <t>Paxlovid</t>
        </is>
      </c>
      <c r="H3108" t="inlineStr">
        <is>
          <t>Government / tender</t>
        </is>
      </c>
      <c r="I3108" t="inlineStr">
        <is>
          <t>Public payer</t>
        </is>
      </c>
      <c r="J3108" t="inlineStr">
        <is>
          <t>Liam O'Brien</t>
        </is>
      </c>
      <c r="K3108" s="70" t="n">
        <v>38</v>
      </c>
      <c r="L3108" s="71" t="n">
        <v>872.59</v>
      </c>
      <c r="M3108" s="71" t="n">
        <v>33158.42</v>
      </c>
      <c r="N3108" s="71" t="n">
        <v>6631.68</v>
      </c>
      <c r="O3108" s="71" t="n">
        <v>26526.74</v>
      </c>
      <c r="P3108" s="71" t="n">
        <v>10733.62</v>
      </c>
      <c r="Q3108" s="71" t="n">
        <v>15793.12</v>
      </c>
      <c r="R3108" t="inlineStr">
        <is>
          <t>Antiviral</t>
        </is>
      </c>
      <c r="S3108" s="70" t="n">
        <v>27</v>
      </c>
      <c r="T3108" s="71" t="n">
        <v>7439.42</v>
      </c>
      <c r="U3108" t="inlineStr">
        <is>
          <t>Low</t>
        </is>
      </c>
      <c r="V3108">
        <f>IF(AND(OR(Dashboard!$C$6="All",E3108=Dashboard!$C$6),OR(Dashboard!$F$6="All",G3108=Dashboard!$F$6),OR(Dashboard!$I$6="All",H3108=Dashboard!$I$6)),1,0)</f>
        <v/>
      </c>
    </row>
    <row r="3109">
      <c r="A3109" t="inlineStr">
        <is>
          <t>PF103100</t>
        </is>
      </c>
      <c r="B3109" s="68" t="n">
        <v>46033</v>
      </c>
      <c r="C3109" s="69" t="n">
        <v>2026</v>
      </c>
      <c r="D3109" t="inlineStr">
        <is>
          <t>Jan</t>
        </is>
      </c>
      <c r="E3109" t="inlineStr">
        <is>
          <t>United States</t>
        </is>
      </c>
      <c r="F3109" t="inlineStr">
        <is>
          <t>USA</t>
        </is>
      </c>
      <c r="G3109" t="inlineStr">
        <is>
          <t>Abrysvo</t>
        </is>
      </c>
      <c r="H3109" t="inlineStr">
        <is>
          <t>Hospital</t>
        </is>
      </c>
      <c r="I3109" t="inlineStr">
        <is>
          <t>Private insurer</t>
        </is>
      </c>
      <c r="J3109" t="inlineStr">
        <is>
          <t>Omar Haddad</t>
        </is>
      </c>
      <c r="K3109" s="70" t="n">
        <v>679</v>
      </c>
      <c r="L3109" s="71" t="n">
        <v>469.48</v>
      </c>
      <c r="M3109" s="71" t="n">
        <v>318776.92</v>
      </c>
      <c r="N3109" s="71" t="n">
        <v>63755.38</v>
      </c>
      <c r="O3109" s="71" t="n">
        <v>255021.54</v>
      </c>
      <c r="P3109" s="71" t="n">
        <v>55739.44</v>
      </c>
      <c r="Q3109" s="71" t="n">
        <v>199282.1</v>
      </c>
      <c r="R3109" t="inlineStr">
        <is>
          <t>Vaccines</t>
        </is>
      </c>
      <c r="S3109" s="70" t="n">
        <v>591</v>
      </c>
      <c r="T3109" s="71" t="n">
        <v>34400.78</v>
      </c>
      <c r="U3109" t="inlineStr">
        <is>
          <t>Low</t>
        </is>
      </c>
      <c r="V3109">
        <f>IF(AND(OR(Dashboard!$C$6="All",E3109=Dashboard!$C$6),OR(Dashboard!$F$6="All",G3109=Dashboard!$F$6),OR(Dashboard!$I$6="All",H3109=Dashboard!$I$6)),1,0)</f>
        <v/>
      </c>
    </row>
    <row r="3110">
      <c r="A3110" t="inlineStr">
        <is>
          <t>PF103101</t>
        </is>
      </c>
      <c r="B3110" s="68" t="n">
        <v>46033</v>
      </c>
      <c r="C3110" s="69" t="n">
        <v>2026</v>
      </c>
      <c r="D3110" t="inlineStr">
        <is>
          <t>Jan</t>
        </is>
      </c>
      <c r="E3110" t="inlineStr">
        <is>
          <t>United States</t>
        </is>
      </c>
      <c r="F3110" t="inlineStr">
        <is>
          <t>USA</t>
        </is>
      </c>
      <c r="G3110" t="inlineStr">
        <is>
          <t>Eliquis</t>
        </is>
      </c>
      <c r="H3110" t="inlineStr">
        <is>
          <t>Hospital</t>
        </is>
      </c>
      <c r="I3110" t="inlineStr">
        <is>
          <t>Public payer</t>
        </is>
      </c>
      <c r="J3110" t="inlineStr">
        <is>
          <t>Liam O'Brien</t>
        </is>
      </c>
      <c r="K3110" s="70" t="n">
        <v>1856</v>
      </c>
      <c r="L3110" s="71" t="n">
        <v>757.87</v>
      </c>
      <c r="M3110" s="71" t="n">
        <v>1406606.72</v>
      </c>
      <c r="N3110" s="71" t="n">
        <v>492312.35</v>
      </c>
      <c r="O3110" s="71" t="n">
        <v>914294.37</v>
      </c>
      <c r="P3110" s="71" t="n">
        <v>143144.98</v>
      </c>
      <c r="Q3110" s="71" t="n">
        <v>771149.39</v>
      </c>
      <c r="R3110" t="inlineStr">
        <is>
          <t>Cardiology</t>
        </is>
      </c>
      <c r="S3110" s="70" t="n">
        <v>1252</v>
      </c>
      <c r="T3110" s="71" t="n">
        <v>212949.63</v>
      </c>
      <c r="U3110" t="inlineStr">
        <is>
          <t>High</t>
        </is>
      </c>
      <c r="V3110">
        <f>IF(AND(OR(Dashboard!$C$6="All",E3110=Dashboard!$C$6),OR(Dashboard!$F$6="All",G3110=Dashboard!$F$6),OR(Dashboard!$I$6="All",H3110=Dashboard!$I$6)),1,0)</f>
        <v/>
      </c>
    </row>
    <row r="3111">
      <c r="A3111" t="inlineStr">
        <is>
          <t>PF103102</t>
        </is>
      </c>
      <c r="B3111" s="68" t="n">
        <v>46034</v>
      </c>
      <c r="C3111" s="69" t="n">
        <v>2026</v>
      </c>
      <c r="D3111" t="inlineStr">
        <is>
          <t>Jan</t>
        </is>
      </c>
      <c r="E3111" t="inlineStr">
        <is>
          <t>United States</t>
        </is>
      </c>
      <c r="F3111" t="inlineStr">
        <is>
          <t>USA</t>
        </is>
      </c>
      <c r="G3111" t="inlineStr">
        <is>
          <t>Prevnar 20</t>
        </is>
      </c>
      <c r="H3111" t="inlineStr">
        <is>
          <t>Retail pharmacy</t>
        </is>
      </c>
      <c r="I3111" t="inlineStr">
        <is>
          <t>Private insurer</t>
        </is>
      </c>
      <c r="J3111" t="inlineStr">
        <is>
          <t>Zoya Ahmed</t>
        </is>
      </c>
      <c r="K3111" s="70" t="n">
        <v>390</v>
      </c>
      <c r="L3111" s="71" t="n">
        <v>376.32</v>
      </c>
      <c r="M3111" s="71" t="n">
        <v>146764.8</v>
      </c>
      <c r="N3111" s="71" t="n">
        <v>29352.96</v>
      </c>
      <c r="O3111" s="71" t="n">
        <v>117411.84</v>
      </c>
      <c r="P3111" s="71" t="n">
        <v>27764.24</v>
      </c>
      <c r="Q3111" s="71" t="n">
        <v>89647.60000000001</v>
      </c>
      <c r="R3111" t="inlineStr">
        <is>
          <t>Vaccines</t>
        </is>
      </c>
      <c r="S3111" s="70" t="n">
        <v>332</v>
      </c>
      <c r="T3111" s="71" t="n">
        <v>30988.4</v>
      </c>
      <c r="U3111" t="inlineStr">
        <is>
          <t>Low</t>
        </is>
      </c>
      <c r="V3111">
        <f>IF(AND(OR(Dashboard!$C$6="All",E3111=Dashboard!$C$6),OR(Dashboard!$F$6="All",G3111=Dashboard!$F$6),OR(Dashboard!$I$6="All",H3111=Dashboard!$I$6)),1,0)</f>
        <v/>
      </c>
    </row>
    <row r="3112">
      <c r="A3112" t="inlineStr">
        <is>
          <t>PF103103</t>
        </is>
      </c>
      <c r="B3112" s="68" t="n">
        <v>46034</v>
      </c>
      <c r="C3112" s="69" t="n">
        <v>2026</v>
      </c>
      <c r="D3112" t="inlineStr">
        <is>
          <t>Jan</t>
        </is>
      </c>
      <c r="E3112" t="inlineStr">
        <is>
          <t>United States</t>
        </is>
      </c>
      <c r="F3112" t="inlineStr">
        <is>
          <t>USA</t>
        </is>
      </c>
      <c r="G3112" t="inlineStr">
        <is>
          <t>Comirnaty</t>
        </is>
      </c>
      <c r="H3112" t="inlineStr">
        <is>
          <t>Government / tender</t>
        </is>
      </c>
      <c r="I3112" t="inlineStr">
        <is>
          <t>Private insurer</t>
        </is>
      </c>
      <c r="J3112" t="inlineStr">
        <is>
          <t>Omar Haddad</t>
        </is>
      </c>
      <c r="K3112" s="70" t="n">
        <v>346</v>
      </c>
      <c r="L3112" s="71" t="n">
        <v>145.23</v>
      </c>
      <c r="M3112" s="71" t="n">
        <v>50249.58</v>
      </c>
      <c r="N3112" s="71" t="n">
        <v>7537.44</v>
      </c>
      <c r="O3112" s="71" t="n">
        <v>42712.14</v>
      </c>
      <c r="P3112" s="71" t="n">
        <v>12950.17</v>
      </c>
      <c r="Q3112" s="71" t="n">
        <v>29761.97</v>
      </c>
      <c r="R3112" t="inlineStr">
        <is>
          <t>Vaccines</t>
        </is>
      </c>
      <c r="S3112" s="70" t="n">
        <v>232</v>
      </c>
      <c r="T3112" s="71" t="n">
        <v>9602.540000000001</v>
      </c>
      <c r="U3112" t="inlineStr">
        <is>
          <t>Low</t>
        </is>
      </c>
      <c r="V3112">
        <f>IF(AND(OR(Dashboard!$C$6="All",E3112=Dashboard!$C$6),OR(Dashboard!$F$6="All",G3112=Dashboard!$F$6),OR(Dashboard!$I$6="All",H3112=Dashboard!$I$6)),1,0)</f>
        <v/>
      </c>
    </row>
    <row r="3113">
      <c r="A3113" t="inlineStr">
        <is>
          <t>PF103104</t>
        </is>
      </c>
      <c r="B3113" s="68" t="n">
        <v>46034</v>
      </c>
      <c r="C3113" s="69" t="n">
        <v>2026</v>
      </c>
      <c r="D3113" t="inlineStr">
        <is>
          <t>Jan</t>
        </is>
      </c>
      <c r="E3113" t="inlineStr">
        <is>
          <t>Europe</t>
        </is>
      </c>
      <c r="F3113" t="inlineStr">
        <is>
          <t>France</t>
        </is>
      </c>
      <c r="G3113" t="inlineStr">
        <is>
          <t>Prevnar 20</t>
        </is>
      </c>
      <c r="H3113" t="inlineStr">
        <is>
          <t>Retail pharmacy</t>
        </is>
      </c>
      <c r="I3113" t="inlineStr">
        <is>
          <t>Public payer</t>
        </is>
      </c>
      <c r="J3113" t="inlineStr">
        <is>
          <t>Ana Costa</t>
        </is>
      </c>
      <c r="K3113" s="70" t="n">
        <v>252</v>
      </c>
      <c r="L3113" s="71" t="n">
        <v>253.67</v>
      </c>
      <c r="M3113" s="71" t="n">
        <v>63924.84</v>
      </c>
      <c r="N3113" s="71" t="n">
        <v>15981.21</v>
      </c>
      <c r="O3113" s="71" t="n">
        <v>47943.63</v>
      </c>
      <c r="P3113" s="71" t="n">
        <v>18069.63</v>
      </c>
      <c r="Q3113" s="71" t="n">
        <v>29874</v>
      </c>
      <c r="R3113" t="inlineStr">
        <is>
          <t>Vaccines</t>
        </is>
      </c>
      <c r="S3113" s="70" t="n">
        <v>184</v>
      </c>
      <c r="T3113" s="71" t="n">
        <v>13193.41</v>
      </c>
      <c r="U3113" t="inlineStr">
        <is>
          <t>Low</t>
        </is>
      </c>
      <c r="V3113">
        <f>IF(AND(OR(Dashboard!$C$6="All",E3113=Dashboard!$C$6),OR(Dashboard!$F$6="All",G3113=Dashboard!$F$6),OR(Dashboard!$I$6="All",H3113=Dashboard!$I$6)),1,0)</f>
        <v/>
      </c>
    </row>
    <row r="3114">
      <c r="A3114" t="inlineStr">
        <is>
          <t>PF103105</t>
        </is>
      </c>
      <c r="B3114" s="68" t="n">
        <v>46034</v>
      </c>
      <c r="C3114" s="69" t="n">
        <v>2026</v>
      </c>
      <c r="D3114" t="inlineStr">
        <is>
          <t>Jan</t>
        </is>
      </c>
      <c r="E3114" t="inlineStr">
        <is>
          <t>United States</t>
        </is>
      </c>
      <c r="F3114" t="inlineStr">
        <is>
          <t>USA</t>
        </is>
      </c>
      <c r="G3114" t="inlineStr">
        <is>
          <t>Prevnar 20</t>
        </is>
      </c>
      <c r="H3114" t="inlineStr">
        <is>
          <t>Retail pharmacy</t>
        </is>
      </c>
      <c r="I3114" t="inlineStr">
        <is>
          <t>Private insurer</t>
        </is>
      </c>
      <c r="J3114" t="inlineStr">
        <is>
          <t>Sara Rossi</t>
        </is>
      </c>
      <c r="K3114" s="70" t="n">
        <v>702</v>
      </c>
      <c r="L3114" s="71" t="n">
        <v>349.08</v>
      </c>
      <c r="M3114" s="71" t="n">
        <v>245054.16</v>
      </c>
      <c r="N3114" s="71" t="n">
        <v>85768.96000000001</v>
      </c>
      <c r="O3114" s="71" t="n">
        <v>159285.2</v>
      </c>
      <c r="P3114" s="71" t="n">
        <v>49853.62</v>
      </c>
      <c r="Q3114" s="71" t="n">
        <v>109431.58</v>
      </c>
      <c r="R3114" t="inlineStr">
        <is>
          <t>Vaccines</t>
        </is>
      </c>
      <c r="S3114" s="70" t="n">
        <v>465</v>
      </c>
      <c r="T3114" s="71" t="n">
        <v>41294.77</v>
      </c>
      <c r="U3114" t="inlineStr">
        <is>
          <t>Low</t>
        </is>
      </c>
      <c r="V3114">
        <f>IF(AND(OR(Dashboard!$C$6="All",E3114=Dashboard!$C$6),OR(Dashboard!$F$6="All",G3114=Dashboard!$F$6),OR(Dashboard!$I$6="All",H3114=Dashboard!$I$6)),1,0)</f>
        <v/>
      </c>
    </row>
    <row r="3115">
      <c r="A3115" t="inlineStr">
        <is>
          <t>PF103106</t>
        </is>
      </c>
      <c r="B3115" s="68" t="n">
        <v>46034</v>
      </c>
      <c r="C3115" s="69" t="n">
        <v>2026</v>
      </c>
      <c r="D3115" t="inlineStr">
        <is>
          <t>Jan</t>
        </is>
      </c>
      <c r="E3115" t="inlineStr">
        <is>
          <t>United States</t>
        </is>
      </c>
      <c r="F3115" t="inlineStr">
        <is>
          <t>USA</t>
        </is>
      </c>
      <c r="G3115" t="inlineStr">
        <is>
          <t>Eliquis</t>
        </is>
      </c>
      <c r="H3115" t="inlineStr">
        <is>
          <t>Hospital</t>
        </is>
      </c>
      <c r="I3115" t="inlineStr">
        <is>
          <t>Public payer</t>
        </is>
      </c>
      <c r="J3115" t="inlineStr">
        <is>
          <t>Hiroshi Tanaka</t>
        </is>
      </c>
      <c r="K3115" s="70" t="n">
        <v>1398</v>
      </c>
      <c r="L3115" s="71" t="n">
        <v>627.0700000000001</v>
      </c>
      <c r="M3115" s="71" t="n">
        <v>876643.86</v>
      </c>
      <c r="N3115" s="71" t="n">
        <v>175328.77</v>
      </c>
      <c r="O3115" s="71" t="n">
        <v>701315.09</v>
      </c>
      <c r="P3115" s="71" t="n">
        <v>104488.83</v>
      </c>
      <c r="Q3115" s="71" t="n">
        <v>596826.26</v>
      </c>
      <c r="R3115" t="inlineStr">
        <is>
          <t>Cardiology</t>
        </is>
      </c>
      <c r="S3115" s="70" t="n">
        <v>1271</v>
      </c>
      <c r="T3115" s="71" t="n">
        <v>168149.57</v>
      </c>
      <c r="U3115" t="inlineStr">
        <is>
          <t>High</t>
        </is>
      </c>
      <c r="V3115">
        <f>IF(AND(OR(Dashboard!$C$6="All",E3115=Dashboard!$C$6),OR(Dashboard!$F$6="All",G3115=Dashboard!$F$6),OR(Dashboard!$I$6="All",H3115=Dashboard!$I$6)),1,0)</f>
        <v/>
      </c>
    </row>
    <row r="3116">
      <c r="A3116" t="inlineStr">
        <is>
          <t>PF103107</t>
        </is>
      </c>
      <c r="B3116" s="68" t="n">
        <v>46034</v>
      </c>
      <c r="C3116" s="69" t="n">
        <v>2026</v>
      </c>
      <c r="D3116" t="inlineStr">
        <is>
          <t>Jan</t>
        </is>
      </c>
      <c r="E3116" t="inlineStr">
        <is>
          <t>Emerging markets</t>
        </is>
      </c>
      <c r="F3116" t="inlineStr">
        <is>
          <t>India</t>
        </is>
      </c>
      <c r="G3116" t="inlineStr">
        <is>
          <t>Eliquis</t>
        </is>
      </c>
      <c r="H3116" t="inlineStr">
        <is>
          <t>Hospital</t>
        </is>
      </c>
      <c r="I3116" t="inlineStr">
        <is>
          <t>Public payer</t>
        </is>
      </c>
      <c r="J3116" t="inlineStr">
        <is>
          <t>Ruhi Shaikh</t>
        </is>
      </c>
      <c r="K3116" s="70" t="n">
        <v>1032</v>
      </c>
      <c r="L3116" s="71" t="n">
        <v>424.41</v>
      </c>
      <c r="M3116" s="71" t="n">
        <v>437991.12</v>
      </c>
      <c r="N3116" s="71" t="n">
        <v>21899.56</v>
      </c>
      <c r="O3116" s="71" t="n">
        <v>416091.56</v>
      </c>
      <c r="P3116" s="71" t="n">
        <v>76461.2</v>
      </c>
      <c r="Q3116" s="71" t="n">
        <v>339630.36</v>
      </c>
      <c r="R3116" t="inlineStr">
        <is>
          <t>Cardiology</t>
        </is>
      </c>
      <c r="S3116" s="70" t="n">
        <v>657</v>
      </c>
      <c r="T3116" s="71" t="n">
        <v>54017.29</v>
      </c>
      <c r="U3116" t="inlineStr">
        <is>
          <t>High</t>
        </is>
      </c>
      <c r="V3116">
        <f>IF(AND(OR(Dashboard!$C$6="All",E3116=Dashboard!$C$6),OR(Dashboard!$F$6="All",G3116=Dashboard!$F$6),OR(Dashboard!$I$6="All",H3116=Dashboard!$I$6)),1,0)</f>
        <v/>
      </c>
    </row>
    <row r="3117">
      <c r="A3117" t="inlineStr">
        <is>
          <t>PF103108</t>
        </is>
      </c>
      <c r="B3117" s="68" t="n">
        <v>46034</v>
      </c>
      <c r="C3117" s="69" t="n">
        <v>2026</v>
      </c>
      <c r="D3117" t="inlineStr">
        <is>
          <t>Jan</t>
        </is>
      </c>
      <c r="E3117" t="inlineStr">
        <is>
          <t>Europe</t>
        </is>
      </c>
      <c r="F3117" t="inlineStr">
        <is>
          <t>Spain</t>
        </is>
      </c>
      <c r="G3117" t="inlineStr">
        <is>
          <t>Prevnar 20</t>
        </is>
      </c>
      <c r="H3117" t="inlineStr">
        <is>
          <t>Hospital</t>
        </is>
      </c>
      <c r="I3117" t="inlineStr">
        <is>
          <t>Private insurer</t>
        </is>
      </c>
      <c r="J3117" t="inlineStr">
        <is>
          <t>Olivia Brown</t>
        </is>
      </c>
      <c r="K3117" s="70" t="n">
        <v>1071</v>
      </c>
      <c r="L3117" s="71" t="n">
        <v>256.87</v>
      </c>
      <c r="M3117" s="71" t="n">
        <v>275107.77</v>
      </c>
      <c r="N3117" s="71" t="n">
        <v>13755.39</v>
      </c>
      <c r="O3117" s="71" t="n">
        <v>261352.38</v>
      </c>
      <c r="P3117" s="71" t="n">
        <v>72299.92999999999</v>
      </c>
      <c r="Q3117" s="71" t="n">
        <v>189052.45</v>
      </c>
      <c r="R3117" t="inlineStr">
        <is>
          <t>Vaccines</t>
        </is>
      </c>
      <c r="S3117" s="70" t="n">
        <v>857</v>
      </c>
      <c r="T3117" s="71" t="n">
        <v>53676.91</v>
      </c>
      <c r="U3117" t="inlineStr">
        <is>
          <t>Low</t>
        </is>
      </c>
      <c r="V3117">
        <f>IF(AND(OR(Dashboard!$C$6="All",E3117=Dashboard!$C$6),OR(Dashboard!$F$6="All",G3117=Dashboard!$F$6),OR(Dashboard!$I$6="All",H3117=Dashboard!$I$6)),1,0)</f>
        <v/>
      </c>
    </row>
    <row r="3118">
      <c r="A3118" t="inlineStr">
        <is>
          <t>PF103109</t>
        </is>
      </c>
      <c r="B3118" s="68" t="n">
        <v>46034</v>
      </c>
      <c r="C3118" s="69" t="n">
        <v>2026</v>
      </c>
      <c r="D3118" t="inlineStr">
        <is>
          <t>Jan</t>
        </is>
      </c>
      <c r="E3118" t="inlineStr">
        <is>
          <t>United States</t>
        </is>
      </c>
      <c r="F3118" t="inlineStr">
        <is>
          <t>USA</t>
        </is>
      </c>
      <c r="G3118" t="inlineStr">
        <is>
          <t>Abrysvo</t>
        </is>
      </c>
      <c r="H3118" t="inlineStr">
        <is>
          <t>Retail pharmacy</t>
        </is>
      </c>
      <c r="I3118" t="inlineStr">
        <is>
          <t>Public payer</t>
        </is>
      </c>
      <c r="J3118" t="inlineStr">
        <is>
          <t>Mei Lin</t>
        </is>
      </c>
      <c r="K3118" s="70" t="n">
        <v>2702</v>
      </c>
      <c r="L3118" s="71" t="n">
        <v>561.76</v>
      </c>
      <c r="M3118" s="71" t="n">
        <v>1517875.52</v>
      </c>
      <c r="N3118" s="71" t="n">
        <v>303575.1</v>
      </c>
      <c r="O3118" s="71" t="n">
        <v>1214300.42</v>
      </c>
      <c r="P3118" s="71" t="n">
        <v>218885.28</v>
      </c>
      <c r="Q3118" s="71" t="n">
        <v>995415.14</v>
      </c>
      <c r="R3118" t="inlineStr">
        <is>
          <t>Vaccines</t>
        </is>
      </c>
      <c r="S3118" s="70" t="n">
        <v>1807</v>
      </c>
      <c r="T3118" s="71" t="n">
        <v>240723.29</v>
      </c>
      <c r="U3118" t="inlineStr">
        <is>
          <t>Low</t>
        </is>
      </c>
      <c r="V3118">
        <f>IF(AND(OR(Dashboard!$C$6="All",E3118=Dashboard!$C$6),OR(Dashboard!$F$6="All",G3118=Dashboard!$F$6),OR(Dashboard!$I$6="All",H3118=Dashboard!$I$6)),1,0)</f>
        <v/>
      </c>
    </row>
    <row r="3119">
      <c r="A3119" t="inlineStr">
        <is>
          <t>PF103110</t>
        </is>
      </c>
      <c r="B3119" s="68" t="n">
        <v>46034</v>
      </c>
      <c r="C3119" s="69" t="n">
        <v>2026</v>
      </c>
      <c r="D3119" t="inlineStr">
        <is>
          <t>Jan</t>
        </is>
      </c>
      <c r="E3119" t="inlineStr">
        <is>
          <t>United States</t>
        </is>
      </c>
      <c r="F3119" t="inlineStr">
        <is>
          <t>USA</t>
        </is>
      </c>
      <c r="G3119" t="inlineStr">
        <is>
          <t>Prevnar 20</t>
        </is>
      </c>
      <c r="H3119" t="inlineStr">
        <is>
          <t>Retail pharmacy</t>
        </is>
      </c>
      <c r="I3119" t="inlineStr">
        <is>
          <t>Private insurer</t>
        </is>
      </c>
      <c r="J3119" t="inlineStr">
        <is>
          <t>Priya Nair</t>
        </is>
      </c>
      <c r="K3119" s="70" t="n">
        <v>2777</v>
      </c>
      <c r="L3119" s="71" t="n">
        <v>410.81</v>
      </c>
      <c r="M3119" s="71" t="n">
        <v>1140819.37</v>
      </c>
      <c r="N3119" s="71" t="n">
        <v>228163.87</v>
      </c>
      <c r="O3119" s="71" t="n">
        <v>912655.5</v>
      </c>
      <c r="P3119" s="71" t="n">
        <v>184183.86</v>
      </c>
      <c r="Q3119" s="71" t="n">
        <v>728471.64</v>
      </c>
      <c r="R3119" t="inlineStr">
        <is>
          <t>Vaccines</t>
        </is>
      </c>
      <c r="S3119" s="70" t="n">
        <v>2047</v>
      </c>
      <c r="T3119" s="71" t="n">
        <v>234111.2</v>
      </c>
      <c r="U3119" t="inlineStr">
        <is>
          <t>Low</t>
        </is>
      </c>
      <c r="V3119">
        <f>IF(AND(OR(Dashboard!$C$6="All",E3119=Dashboard!$C$6),OR(Dashboard!$F$6="All",G3119=Dashboard!$F$6),OR(Dashboard!$I$6="All",H3119=Dashboard!$I$6)),1,0)</f>
        <v/>
      </c>
    </row>
    <row r="3120">
      <c r="A3120" t="inlineStr">
        <is>
          <t>PF103111</t>
        </is>
      </c>
      <c r="B3120" s="68" t="n">
        <v>46034</v>
      </c>
      <c r="C3120" s="69" t="n">
        <v>2026</v>
      </c>
      <c r="D3120" t="inlineStr">
        <is>
          <t>Jan</t>
        </is>
      </c>
      <c r="E3120" t="inlineStr">
        <is>
          <t>International developed</t>
        </is>
      </c>
      <c r="F3120" t="inlineStr">
        <is>
          <t>Australia</t>
        </is>
      </c>
      <c r="G3120" t="inlineStr">
        <is>
          <t>Comirnaty</t>
        </is>
      </c>
      <c r="H3120" t="inlineStr">
        <is>
          <t>Government / tender</t>
        </is>
      </c>
      <c r="I3120" t="inlineStr">
        <is>
          <t>Self-pay</t>
        </is>
      </c>
      <c r="J3120" t="inlineStr">
        <is>
          <t>Shraddha Kulkarni</t>
        </is>
      </c>
      <c r="K3120" s="70" t="n">
        <v>283</v>
      </c>
      <c r="L3120" s="71" t="n">
        <v>97.36</v>
      </c>
      <c r="M3120" s="71" t="n">
        <v>27552.88</v>
      </c>
      <c r="N3120" s="71" t="n">
        <v>4132.93</v>
      </c>
      <c r="O3120" s="71" t="n">
        <v>23419.95</v>
      </c>
      <c r="P3120" s="71" t="n">
        <v>10578.56</v>
      </c>
      <c r="Q3120" s="71" t="n">
        <v>12841.39</v>
      </c>
      <c r="R3120" t="inlineStr">
        <is>
          <t>Vaccines</t>
        </is>
      </c>
      <c r="S3120" s="70" t="n">
        <v>271</v>
      </c>
      <c r="T3120" s="71" t="n">
        <v>6355.88</v>
      </c>
      <c r="U3120" t="inlineStr">
        <is>
          <t>Low</t>
        </is>
      </c>
      <c r="V3120">
        <f>IF(AND(OR(Dashboard!$C$6="All",E3120=Dashboard!$C$6),OR(Dashboard!$F$6="All",G3120=Dashboard!$F$6),OR(Dashboard!$I$6="All",H3120=Dashboard!$I$6)),1,0)</f>
        <v/>
      </c>
    </row>
    <row r="3121">
      <c r="A3121" t="inlineStr">
        <is>
          <t>PF103112</t>
        </is>
      </c>
      <c r="B3121" s="68" t="n">
        <v>46035</v>
      </c>
      <c r="C3121" s="69" t="n">
        <v>2026</v>
      </c>
      <c r="D3121" t="inlineStr">
        <is>
          <t>Jan</t>
        </is>
      </c>
      <c r="E3121" t="inlineStr">
        <is>
          <t>United States</t>
        </is>
      </c>
      <c r="F3121" t="inlineStr">
        <is>
          <t>USA</t>
        </is>
      </c>
      <c r="G3121" t="inlineStr">
        <is>
          <t>Prevnar 20</t>
        </is>
      </c>
      <c r="H3121" t="inlineStr">
        <is>
          <t>Hospital</t>
        </is>
      </c>
      <c r="I3121" t="inlineStr">
        <is>
          <t>Public payer</t>
        </is>
      </c>
      <c r="J3121" t="inlineStr">
        <is>
          <t>Amir Khan</t>
        </is>
      </c>
      <c r="K3121" s="70" t="n">
        <v>1613</v>
      </c>
      <c r="L3121" s="71" t="n">
        <v>346.51</v>
      </c>
      <c r="M3121" s="71" t="n">
        <v>558920.63</v>
      </c>
      <c r="N3121" s="71" t="n">
        <v>139730.16</v>
      </c>
      <c r="O3121" s="71" t="n">
        <v>419190.47</v>
      </c>
      <c r="P3121" s="71" t="n">
        <v>109966.88</v>
      </c>
      <c r="Q3121" s="71" t="n">
        <v>309223.59</v>
      </c>
      <c r="R3121" t="inlineStr">
        <is>
          <t>Vaccines</t>
        </is>
      </c>
      <c r="S3121" s="70" t="n">
        <v>1507</v>
      </c>
      <c r="T3121" s="71" t="n">
        <v>89625.83</v>
      </c>
      <c r="U3121" t="inlineStr">
        <is>
          <t>Low</t>
        </is>
      </c>
      <c r="V3121">
        <f>IF(AND(OR(Dashboard!$C$6="All",E3121=Dashboard!$C$6),OR(Dashboard!$F$6="All",G3121=Dashboard!$F$6),OR(Dashboard!$I$6="All",H3121=Dashboard!$I$6)),1,0)</f>
        <v/>
      </c>
    </row>
    <row r="3122">
      <c r="A3122" t="inlineStr">
        <is>
          <t>PF103113</t>
        </is>
      </c>
      <c r="B3122" s="68" t="n">
        <v>46035</v>
      </c>
      <c r="C3122" s="69" t="n">
        <v>2026</v>
      </c>
      <c r="D3122" t="inlineStr">
        <is>
          <t>Jan</t>
        </is>
      </c>
      <c r="E3122" t="inlineStr">
        <is>
          <t>United States</t>
        </is>
      </c>
      <c r="F3122" t="inlineStr">
        <is>
          <t>USA</t>
        </is>
      </c>
      <c r="G3122" t="inlineStr">
        <is>
          <t>Paxlovid</t>
        </is>
      </c>
      <c r="H3122" t="inlineStr">
        <is>
          <t>Government / tender</t>
        </is>
      </c>
      <c r="I3122" t="inlineStr">
        <is>
          <t>Private insurer</t>
        </is>
      </c>
      <c r="J3122" t="inlineStr">
        <is>
          <t>Arjun Mehta</t>
        </is>
      </c>
      <c r="K3122" s="70" t="n">
        <v>712</v>
      </c>
      <c r="L3122" s="71" t="n">
        <v>1543.55</v>
      </c>
      <c r="M3122" s="71" t="n">
        <v>1099007.6</v>
      </c>
      <c r="N3122" s="71" t="n">
        <v>164851.14</v>
      </c>
      <c r="O3122" s="71" t="n">
        <v>934156.46</v>
      </c>
      <c r="P3122" s="71" t="n">
        <v>202450.36</v>
      </c>
      <c r="Q3122" s="71" t="n">
        <v>731706.1</v>
      </c>
      <c r="R3122" t="inlineStr">
        <is>
          <t>Antiviral</t>
        </is>
      </c>
      <c r="S3122" s="70" t="n">
        <v>610</v>
      </c>
      <c r="T3122" s="71" t="n">
        <v>162086.68</v>
      </c>
      <c r="U3122" t="inlineStr">
        <is>
          <t>Low</t>
        </is>
      </c>
      <c r="V3122">
        <f>IF(AND(OR(Dashboard!$C$6="All",E3122=Dashboard!$C$6),OR(Dashboard!$F$6="All",G3122=Dashboard!$F$6),OR(Dashboard!$I$6="All",H3122=Dashboard!$I$6)),1,0)</f>
        <v/>
      </c>
    </row>
    <row r="3123">
      <c r="A3123" t="inlineStr">
        <is>
          <t>PF103114</t>
        </is>
      </c>
      <c r="B3123" s="68" t="n">
        <v>46035</v>
      </c>
      <c r="C3123" s="69" t="n">
        <v>2026</v>
      </c>
      <c r="D3123" t="inlineStr">
        <is>
          <t>Jan</t>
        </is>
      </c>
      <c r="E3123" t="inlineStr">
        <is>
          <t>Emerging markets</t>
        </is>
      </c>
      <c r="F3123" t="inlineStr">
        <is>
          <t>Brazil</t>
        </is>
      </c>
      <c r="G3123" t="inlineStr">
        <is>
          <t>Comirnaty</t>
        </is>
      </c>
      <c r="H3123" t="inlineStr">
        <is>
          <t>Hospital</t>
        </is>
      </c>
      <c r="I3123" t="inlineStr">
        <is>
          <t>Public payer</t>
        </is>
      </c>
      <c r="J3123" t="inlineStr">
        <is>
          <t>Arjun Mehta</t>
        </is>
      </c>
      <c r="K3123" s="70" t="n">
        <v>1327</v>
      </c>
      <c r="L3123" s="71" t="n">
        <v>83.26000000000001</v>
      </c>
      <c r="M3123" s="71" t="n">
        <v>110486.02</v>
      </c>
      <c r="N3123" s="71" t="n">
        <v>22097.2</v>
      </c>
      <c r="O3123" s="71" t="n">
        <v>88388.82000000001</v>
      </c>
      <c r="P3123" s="71" t="n">
        <v>51462.17</v>
      </c>
      <c r="Q3123" s="71" t="n">
        <v>36926.65</v>
      </c>
      <c r="R3123" t="inlineStr">
        <is>
          <t>Vaccines</t>
        </is>
      </c>
      <c r="S3123" s="70" t="n">
        <v>1326</v>
      </c>
      <c r="T3123" s="71" t="n">
        <v>26157.91</v>
      </c>
      <c r="U3123" t="inlineStr">
        <is>
          <t>Low</t>
        </is>
      </c>
      <c r="V3123">
        <f>IF(AND(OR(Dashboard!$C$6="All",E3123=Dashboard!$C$6),OR(Dashboard!$F$6="All",G3123=Dashboard!$F$6),OR(Dashboard!$I$6="All",H3123=Dashboard!$I$6)),1,0)</f>
        <v/>
      </c>
    </row>
    <row r="3124">
      <c r="A3124" t="inlineStr">
        <is>
          <t>PF103115</t>
        </is>
      </c>
      <c r="B3124" s="68" t="n">
        <v>46035</v>
      </c>
      <c r="C3124" s="69" t="n">
        <v>2026</v>
      </c>
      <c r="D3124" t="inlineStr">
        <is>
          <t>Jan</t>
        </is>
      </c>
      <c r="E3124" t="inlineStr">
        <is>
          <t>United States</t>
        </is>
      </c>
      <c r="F3124" t="inlineStr">
        <is>
          <t>USA</t>
        </is>
      </c>
      <c r="G3124" t="inlineStr">
        <is>
          <t>Abrysvo</t>
        </is>
      </c>
      <c r="H3124" t="inlineStr">
        <is>
          <t>Retail pharmacy</t>
        </is>
      </c>
      <c r="I3124" t="inlineStr">
        <is>
          <t>Self-pay</t>
        </is>
      </c>
      <c r="J3124" t="inlineStr">
        <is>
          <t>Priya Nair</t>
        </is>
      </c>
      <c r="K3124" s="70" t="n">
        <v>1422</v>
      </c>
      <c r="L3124" s="71" t="n">
        <v>546.7</v>
      </c>
      <c r="M3124" s="71" t="n">
        <v>777407.4</v>
      </c>
      <c r="N3124" s="71" t="n">
        <v>116611.11</v>
      </c>
      <c r="O3124" s="71" t="n">
        <v>660796.29</v>
      </c>
      <c r="P3124" s="71" t="n">
        <v>121962.26</v>
      </c>
      <c r="Q3124" s="71" t="n">
        <v>538834.03</v>
      </c>
      <c r="R3124" t="inlineStr">
        <is>
          <t>Vaccines</t>
        </is>
      </c>
      <c r="S3124" s="70" t="n">
        <v>1280</v>
      </c>
      <c r="T3124" s="71" t="n">
        <v>128948.9</v>
      </c>
      <c r="U3124" t="inlineStr">
        <is>
          <t>Low</t>
        </is>
      </c>
      <c r="V3124">
        <f>IF(AND(OR(Dashboard!$C$6="All",E3124=Dashboard!$C$6),OR(Dashboard!$F$6="All",G3124=Dashboard!$F$6),OR(Dashboard!$I$6="All",H3124=Dashboard!$I$6)),1,0)</f>
        <v/>
      </c>
    </row>
    <row r="3125">
      <c r="A3125" t="inlineStr">
        <is>
          <t>PF103116</t>
        </is>
      </c>
      <c r="B3125" s="68" t="n">
        <v>46035</v>
      </c>
      <c r="C3125" s="69" t="n">
        <v>2026</v>
      </c>
      <c r="D3125" t="inlineStr">
        <is>
          <t>Jan</t>
        </is>
      </c>
      <c r="E3125" t="inlineStr">
        <is>
          <t>United States</t>
        </is>
      </c>
      <c r="F3125" t="inlineStr">
        <is>
          <t>USA</t>
        </is>
      </c>
      <c r="G3125" t="inlineStr">
        <is>
          <t>Abrysvo</t>
        </is>
      </c>
      <c r="H3125" t="inlineStr">
        <is>
          <t>Retail pharmacy</t>
        </is>
      </c>
      <c r="I3125" t="inlineStr">
        <is>
          <t>Private insurer</t>
        </is>
      </c>
      <c r="J3125" t="inlineStr">
        <is>
          <t>Aisha Bello</t>
        </is>
      </c>
      <c r="K3125" s="70" t="n">
        <v>84</v>
      </c>
      <c r="L3125" s="71" t="n">
        <v>525.88</v>
      </c>
      <c r="M3125" s="71" t="n">
        <v>44173.92</v>
      </c>
      <c r="N3125" s="71" t="n">
        <v>11043.48</v>
      </c>
      <c r="O3125" s="71" t="n">
        <v>33130.44</v>
      </c>
      <c r="P3125" s="71" t="n">
        <v>6914.92</v>
      </c>
      <c r="Q3125" s="71" t="n">
        <v>26215.52</v>
      </c>
      <c r="R3125" t="inlineStr">
        <is>
          <t>Vaccines</t>
        </is>
      </c>
      <c r="S3125" s="70" t="n">
        <v>71</v>
      </c>
      <c r="T3125" s="71" t="n">
        <v>6838.36</v>
      </c>
      <c r="U3125" t="inlineStr">
        <is>
          <t>Low</t>
        </is>
      </c>
      <c r="V3125">
        <f>IF(AND(OR(Dashboard!$C$6="All",E3125=Dashboard!$C$6),OR(Dashboard!$F$6="All",G3125=Dashboard!$F$6),OR(Dashboard!$I$6="All",H3125=Dashboard!$I$6)),1,0)</f>
        <v/>
      </c>
    </row>
    <row r="3126">
      <c r="A3126" t="inlineStr">
        <is>
          <t>PF103117</t>
        </is>
      </c>
      <c r="B3126" s="68" t="n">
        <v>46035</v>
      </c>
      <c r="C3126" s="69" t="n">
        <v>2026</v>
      </c>
      <c r="D3126" t="inlineStr">
        <is>
          <t>Jan</t>
        </is>
      </c>
      <c r="E3126" t="inlineStr">
        <is>
          <t>United States</t>
        </is>
      </c>
      <c r="F3126" t="inlineStr">
        <is>
          <t>USA</t>
        </is>
      </c>
      <c r="G3126" t="inlineStr">
        <is>
          <t>Prevnar 20</t>
        </is>
      </c>
      <c r="H3126" t="inlineStr">
        <is>
          <t>Retail pharmacy</t>
        </is>
      </c>
      <c r="I3126" t="inlineStr">
        <is>
          <t>Private insurer</t>
        </is>
      </c>
      <c r="J3126" t="inlineStr">
        <is>
          <t>Shraddha Kulkarni</t>
        </is>
      </c>
      <c r="K3126" s="70" t="n">
        <v>105</v>
      </c>
      <c r="L3126" s="71" t="n">
        <v>390.16</v>
      </c>
      <c r="M3126" s="71" t="n">
        <v>40966.8</v>
      </c>
      <c r="N3126" s="71" t="n">
        <v>12290.04</v>
      </c>
      <c r="O3126" s="71" t="n">
        <v>28676.76</v>
      </c>
      <c r="P3126" s="71" t="n">
        <v>7120.37</v>
      </c>
      <c r="Q3126" s="71" t="n">
        <v>21556.39</v>
      </c>
      <c r="R3126" t="inlineStr">
        <is>
          <t>Vaccines</t>
        </is>
      </c>
      <c r="S3126" s="70" t="n">
        <v>100</v>
      </c>
      <c r="T3126" s="71" t="n">
        <v>6393.7</v>
      </c>
      <c r="U3126" t="inlineStr">
        <is>
          <t>Low</t>
        </is>
      </c>
      <c r="V3126">
        <f>IF(AND(OR(Dashboard!$C$6="All",E3126=Dashboard!$C$6),OR(Dashboard!$F$6="All",G3126=Dashboard!$F$6),OR(Dashboard!$I$6="All",H3126=Dashboard!$I$6)),1,0)</f>
        <v/>
      </c>
    </row>
    <row r="3127">
      <c r="A3127" t="inlineStr">
        <is>
          <t>PF103118</t>
        </is>
      </c>
      <c r="B3127" s="68" t="n">
        <v>46035</v>
      </c>
      <c r="C3127" s="69" t="n">
        <v>2026</v>
      </c>
      <c r="D3127" t="inlineStr">
        <is>
          <t>Jan</t>
        </is>
      </c>
      <c r="E3127" t="inlineStr">
        <is>
          <t>Emerging markets</t>
        </is>
      </c>
      <c r="F3127" t="inlineStr">
        <is>
          <t>Mexico</t>
        </is>
      </c>
      <c r="G3127" t="inlineStr">
        <is>
          <t>Xeljanz</t>
        </is>
      </c>
      <c r="H3127" t="inlineStr">
        <is>
          <t>Hospital</t>
        </is>
      </c>
      <c r="I3127" t="inlineStr">
        <is>
          <t>Public payer</t>
        </is>
      </c>
      <c r="J3127" t="inlineStr">
        <is>
          <t>Ana Costa</t>
        </is>
      </c>
      <c r="K3127" s="70" t="n">
        <v>182</v>
      </c>
      <c r="L3127" s="71" t="n">
        <v>1458.08</v>
      </c>
      <c r="M3127" s="71" t="n">
        <v>265370.56</v>
      </c>
      <c r="N3127" s="71" t="n">
        <v>66342.64</v>
      </c>
      <c r="O3127" s="71" t="n">
        <v>199027.92</v>
      </c>
      <c r="P3127" s="71" t="n">
        <v>45875.6</v>
      </c>
      <c r="Q3127" s="71" t="n">
        <v>153152.32</v>
      </c>
      <c r="R3127" t="inlineStr">
        <is>
          <t>Inflammation</t>
        </is>
      </c>
      <c r="S3127" s="70" t="n">
        <v>178</v>
      </c>
      <c r="T3127" s="71" t="n">
        <v>41625.41</v>
      </c>
      <c r="U3127" t="inlineStr">
        <is>
          <t>High</t>
        </is>
      </c>
      <c r="V3127">
        <f>IF(AND(OR(Dashboard!$C$6="All",E3127=Dashboard!$C$6),OR(Dashboard!$F$6="All",G3127=Dashboard!$F$6),OR(Dashboard!$I$6="All",H3127=Dashboard!$I$6)),1,0)</f>
        <v/>
      </c>
    </row>
    <row r="3128">
      <c r="A3128" t="inlineStr">
        <is>
          <t>PF103119</t>
        </is>
      </c>
      <c r="B3128" s="68" t="n">
        <v>46035</v>
      </c>
      <c r="C3128" s="69" t="n">
        <v>2026</v>
      </c>
      <c r="D3128" t="inlineStr">
        <is>
          <t>Jan</t>
        </is>
      </c>
      <c r="E3128" t="inlineStr">
        <is>
          <t>United States</t>
        </is>
      </c>
      <c r="F3128" t="inlineStr">
        <is>
          <t>USA</t>
        </is>
      </c>
      <c r="G3128" t="inlineStr">
        <is>
          <t>Abrysvo</t>
        </is>
      </c>
      <c r="H3128" t="inlineStr">
        <is>
          <t>Retail pharmacy</t>
        </is>
      </c>
      <c r="I3128" t="inlineStr">
        <is>
          <t>Private insurer</t>
        </is>
      </c>
      <c r="J3128" t="inlineStr">
        <is>
          <t>Hiroshi Tanaka</t>
        </is>
      </c>
      <c r="K3128" s="70" t="n">
        <v>1685</v>
      </c>
      <c r="L3128" s="71" t="n">
        <v>551.42</v>
      </c>
      <c r="M3128" s="71" t="n">
        <v>929142.7</v>
      </c>
      <c r="N3128" s="71" t="n">
        <v>325199.94</v>
      </c>
      <c r="O3128" s="71" t="n">
        <v>603942.76</v>
      </c>
      <c r="P3128" s="71" t="n">
        <v>136454.65</v>
      </c>
      <c r="Q3128" s="71" t="n">
        <v>467488.11</v>
      </c>
      <c r="R3128" t="inlineStr">
        <is>
          <t>Vaccines</t>
        </is>
      </c>
      <c r="S3128" s="70" t="n">
        <v>1147</v>
      </c>
      <c r="T3128" s="71" t="n">
        <v>158410.35</v>
      </c>
      <c r="U3128" t="inlineStr">
        <is>
          <t>Low</t>
        </is>
      </c>
      <c r="V3128">
        <f>IF(AND(OR(Dashboard!$C$6="All",E3128=Dashboard!$C$6),OR(Dashboard!$F$6="All",G3128=Dashboard!$F$6),OR(Dashboard!$I$6="All",H3128=Dashboard!$I$6)),1,0)</f>
        <v/>
      </c>
    </row>
    <row r="3129">
      <c r="A3129" t="inlineStr">
        <is>
          <t>PF103120</t>
        </is>
      </c>
      <c r="B3129" s="68" t="n">
        <v>46036</v>
      </c>
      <c r="C3129" s="69" t="n">
        <v>2026</v>
      </c>
      <c r="D3129" t="inlineStr">
        <is>
          <t>Jan</t>
        </is>
      </c>
      <c r="E3129" t="inlineStr">
        <is>
          <t>Europe</t>
        </is>
      </c>
      <c r="F3129" t="inlineStr">
        <is>
          <t>Germany</t>
        </is>
      </c>
      <c r="G3129" t="inlineStr">
        <is>
          <t>Eliquis</t>
        </is>
      </c>
      <c r="H3129" t="inlineStr">
        <is>
          <t>Government / tender</t>
        </is>
      </c>
      <c r="I3129" t="inlineStr">
        <is>
          <t>Public payer</t>
        </is>
      </c>
      <c r="J3129" t="inlineStr">
        <is>
          <t>Wei Chen</t>
        </is>
      </c>
      <c r="K3129" s="70" t="n">
        <v>744</v>
      </c>
      <c r="L3129" s="71" t="n">
        <v>466.53</v>
      </c>
      <c r="M3129" s="71" t="n">
        <v>347098.32</v>
      </c>
      <c r="N3129" s="71" t="n">
        <v>17354.92</v>
      </c>
      <c r="O3129" s="71" t="n">
        <v>329743.4</v>
      </c>
      <c r="P3129" s="71" t="n">
        <v>58125.47</v>
      </c>
      <c r="Q3129" s="71" t="n">
        <v>271617.93</v>
      </c>
      <c r="R3129" t="inlineStr">
        <is>
          <t>Cardiology</t>
        </is>
      </c>
      <c r="S3129" s="70" t="n">
        <v>471</v>
      </c>
      <c r="T3129" s="71" t="n">
        <v>60152.17</v>
      </c>
      <c r="U3129" t="inlineStr">
        <is>
          <t>High</t>
        </is>
      </c>
      <c r="V3129">
        <f>IF(AND(OR(Dashboard!$C$6="All",E3129=Dashboard!$C$6),OR(Dashboard!$F$6="All",G3129=Dashboard!$F$6),OR(Dashboard!$I$6="All",H3129=Dashboard!$I$6)),1,0)</f>
        <v/>
      </c>
    </row>
    <row r="3130">
      <c r="A3130" t="inlineStr">
        <is>
          <t>PF103121</t>
        </is>
      </c>
      <c r="B3130" s="68" t="n">
        <v>46036</v>
      </c>
      <c r="C3130" s="69" t="n">
        <v>2026</v>
      </c>
      <c r="D3130" t="inlineStr">
        <is>
          <t>Jan</t>
        </is>
      </c>
      <c r="E3130" t="inlineStr">
        <is>
          <t>International developed</t>
        </is>
      </c>
      <c r="F3130" t="inlineStr">
        <is>
          <t>Canada</t>
        </is>
      </c>
      <c r="G3130" t="inlineStr">
        <is>
          <t>Xeljanz</t>
        </is>
      </c>
      <c r="H3130" t="inlineStr">
        <is>
          <t>Government / tender</t>
        </is>
      </c>
      <c r="I3130" t="inlineStr">
        <is>
          <t>Private insurer</t>
        </is>
      </c>
      <c r="J3130" t="inlineStr">
        <is>
          <t>Liam O'Brien</t>
        </is>
      </c>
      <c r="K3130" s="70" t="n">
        <v>2300</v>
      </c>
      <c r="L3130" s="71" t="n">
        <v>1255.66</v>
      </c>
      <c r="M3130" s="71" t="n">
        <v>2888018</v>
      </c>
      <c r="N3130" s="71" t="n">
        <v>433202.7</v>
      </c>
      <c r="O3130" s="71" t="n">
        <v>2454815.3</v>
      </c>
      <c r="P3130" s="71" t="n">
        <v>588063.01</v>
      </c>
      <c r="Q3130" s="71" t="n">
        <v>1866752.29</v>
      </c>
      <c r="R3130" t="inlineStr">
        <is>
          <t>Inflammation</t>
        </is>
      </c>
      <c r="S3130" s="70" t="n">
        <v>1605</v>
      </c>
      <c r="T3130" s="71" t="n">
        <v>458671.04</v>
      </c>
      <c r="U3130" t="inlineStr">
        <is>
          <t>High</t>
        </is>
      </c>
      <c r="V3130">
        <f>IF(AND(OR(Dashboard!$C$6="All",E3130=Dashboard!$C$6),OR(Dashboard!$F$6="All",G3130=Dashboard!$F$6),OR(Dashboard!$I$6="All",H3130=Dashboard!$I$6)),1,0)</f>
        <v/>
      </c>
    </row>
    <row r="3131">
      <c r="A3131" t="inlineStr">
        <is>
          <t>PF103122</t>
        </is>
      </c>
      <c r="B3131" s="68" t="n">
        <v>46036</v>
      </c>
      <c r="C3131" s="69" t="n">
        <v>2026</v>
      </c>
      <c r="D3131" t="inlineStr">
        <is>
          <t>Jan</t>
        </is>
      </c>
      <c r="E3131" t="inlineStr">
        <is>
          <t>United States</t>
        </is>
      </c>
      <c r="F3131" t="inlineStr">
        <is>
          <t>USA</t>
        </is>
      </c>
      <c r="G3131" t="inlineStr">
        <is>
          <t>Prevnar 20</t>
        </is>
      </c>
      <c r="H3131" t="inlineStr">
        <is>
          <t>Retail pharmacy</t>
        </is>
      </c>
      <c r="I3131" t="inlineStr">
        <is>
          <t>Public payer</t>
        </is>
      </c>
      <c r="J3131" t="inlineStr">
        <is>
          <t>Ana Costa</t>
        </is>
      </c>
      <c r="K3131" s="70" t="n">
        <v>2632</v>
      </c>
      <c r="L3131" s="71" t="n">
        <v>349.57</v>
      </c>
      <c r="M3131" s="71" t="n">
        <v>920068.24</v>
      </c>
      <c r="N3131" s="71" t="n">
        <v>230017.06</v>
      </c>
      <c r="O3131" s="71" t="n">
        <v>690051.1800000001</v>
      </c>
      <c r="P3131" s="71" t="n">
        <v>184445.85</v>
      </c>
      <c r="Q3131" s="71" t="n">
        <v>505605.33</v>
      </c>
      <c r="R3131" t="inlineStr">
        <is>
          <t>Vaccines</t>
        </is>
      </c>
      <c r="S3131" s="70" t="n">
        <v>2444</v>
      </c>
      <c r="T3131" s="71" t="n">
        <v>148356.94</v>
      </c>
      <c r="U3131" t="inlineStr">
        <is>
          <t>Low</t>
        </is>
      </c>
      <c r="V3131">
        <f>IF(AND(OR(Dashboard!$C$6="All",E3131=Dashboard!$C$6),OR(Dashboard!$F$6="All",G3131=Dashboard!$F$6),OR(Dashboard!$I$6="All",H3131=Dashboard!$I$6)),1,0)</f>
        <v/>
      </c>
    </row>
    <row r="3132">
      <c r="A3132" t="inlineStr">
        <is>
          <t>PF103123</t>
        </is>
      </c>
      <c r="B3132" s="68" t="n">
        <v>46036</v>
      </c>
      <c r="C3132" s="69" t="n">
        <v>2026</v>
      </c>
      <c r="D3132" t="inlineStr">
        <is>
          <t>Jan</t>
        </is>
      </c>
      <c r="E3132" t="inlineStr">
        <is>
          <t>Emerging markets</t>
        </is>
      </c>
      <c r="F3132" t="inlineStr">
        <is>
          <t>Brazil</t>
        </is>
      </c>
      <c r="G3132" t="inlineStr">
        <is>
          <t>Paxlovid</t>
        </is>
      </c>
      <c r="H3132" t="inlineStr">
        <is>
          <t>Retail pharmacy</t>
        </is>
      </c>
      <c r="I3132" t="inlineStr">
        <is>
          <t>Public payer</t>
        </is>
      </c>
      <c r="J3132" t="inlineStr">
        <is>
          <t>Aisha Bello</t>
        </is>
      </c>
      <c r="K3132" s="70" t="n">
        <v>1997</v>
      </c>
      <c r="L3132" s="71" t="n">
        <v>998.35</v>
      </c>
      <c r="M3132" s="71" t="n">
        <v>1993704.95</v>
      </c>
      <c r="N3132" s="71" t="n">
        <v>99685.25</v>
      </c>
      <c r="O3132" s="71" t="n">
        <v>1894019.7</v>
      </c>
      <c r="P3132" s="71" t="n">
        <v>538286.24</v>
      </c>
      <c r="Q3132" s="71" t="n">
        <v>1355733.46</v>
      </c>
      <c r="R3132" t="inlineStr">
        <is>
          <t>Antiviral</t>
        </is>
      </c>
      <c r="S3132" s="70" t="n">
        <v>1266</v>
      </c>
      <c r="T3132" s="71" t="n">
        <v>393380.99</v>
      </c>
      <c r="U3132" t="inlineStr">
        <is>
          <t>Low</t>
        </is>
      </c>
      <c r="V3132">
        <f>IF(AND(OR(Dashboard!$C$6="All",E3132=Dashboard!$C$6),OR(Dashboard!$F$6="All",G3132=Dashboard!$F$6),OR(Dashboard!$I$6="All",H3132=Dashboard!$I$6)),1,0)</f>
        <v/>
      </c>
    </row>
    <row r="3133">
      <c r="A3133" t="inlineStr">
        <is>
          <t>PF103124</t>
        </is>
      </c>
      <c r="B3133" s="68" t="n">
        <v>46036</v>
      </c>
      <c r="C3133" s="69" t="n">
        <v>2026</v>
      </c>
      <c r="D3133" t="inlineStr">
        <is>
          <t>Jan</t>
        </is>
      </c>
      <c r="E3133" t="inlineStr">
        <is>
          <t>United States</t>
        </is>
      </c>
      <c r="F3133" t="inlineStr">
        <is>
          <t>USA</t>
        </is>
      </c>
      <c r="G3133" t="inlineStr">
        <is>
          <t>Eliquis</t>
        </is>
      </c>
      <c r="H3133" t="inlineStr">
        <is>
          <t>Retail pharmacy</t>
        </is>
      </c>
      <c r="I3133" t="inlineStr">
        <is>
          <t>Private insurer</t>
        </is>
      </c>
      <c r="J3133" t="inlineStr">
        <is>
          <t>Zoya Ahmed</t>
        </is>
      </c>
      <c r="K3133" s="70" t="n">
        <v>1150</v>
      </c>
      <c r="L3133" s="71" t="n">
        <v>665.76</v>
      </c>
      <c r="M3133" s="71" t="n">
        <v>765624</v>
      </c>
      <c r="N3133" s="71" t="n">
        <v>267968.4</v>
      </c>
      <c r="O3133" s="71" t="n">
        <v>497655.6</v>
      </c>
      <c r="P3133" s="71" t="n">
        <v>86789.39999999999</v>
      </c>
      <c r="Q3133" s="71" t="n">
        <v>410866.2</v>
      </c>
      <c r="R3133" t="inlineStr">
        <is>
          <t>Cardiology</t>
        </is>
      </c>
      <c r="S3133" s="70" t="n">
        <v>1015</v>
      </c>
      <c r="T3133" s="71" t="n">
        <v>109914.52</v>
      </c>
      <c r="U3133" t="inlineStr">
        <is>
          <t>High</t>
        </is>
      </c>
      <c r="V3133">
        <f>IF(AND(OR(Dashboard!$C$6="All",E3133=Dashboard!$C$6),OR(Dashboard!$F$6="All",G3133=Dashboard!$F$6),OR(Dashboard!$I$6="All",H3133=Dashboard!$I$6)),1,0)</f>
        <v/>
      </c>
    </row>
    <row r="3134">
      <c r="A3134" t="inlineStr">
        <is>
          <t>PF103125</t>
        </is>
      </c>
      <c r="B3134" s="68" t="n">
        <v>46036</v>
      </c>
      <c r="C3134" s="69" t="n">
        <v>2026</v>
      </c>
      <c r="D3134" t="inlineStr">
        <is>
          <t>Jan</t>
        </is>
      </c>
      <c r="E3134" t="inlineStr">
        <is>
          <t>United States</t>
        </is>
      </c>
      <c r="F3134" t="inlineStr">
        <is>
          <t>USA</t>
        </is>
      </c>
      <c r="G3134" t="inlineStr">
        <is>
          <t>Ibrance</t>
        </is>
      </c>
      <c r="H3134" t="inlineStr">
        <is>
          <t>Retail pharmacy</t>
        </is>
      </c>
      <c r="I3134" t="inlineStr">
        <is>
          <t>Public payer</t>
        </is>
      </c>
      <c r="J3134" t="inlineStr">
        <is>
          <t>Ruhi Shaikh</t>
        </is>
      </c>
      <c r="K3134" s="70" t="n">
        <v>1441</v>
      </c>
      <c r="L3134" s="71" t="n">
        <v>4137.37</v>
      </c>
      <c r="M3134" s="71" t="n">
        <v>5961950.17</v>
      </c>
      <c r="N3134" s="71" t="n">
        <v>1788585.05</v>
      </c>
      <c r="O3134" s="71" t="n">
        <v>4173365.12</v>
      </c>
      <c r="P3134" s="71" t="n">
        <v>638468.9</v>
      </c>
      <c r="Q3134" s="71" t="n">
        <v>3534896.22</v>
      </c>
      <c r="R3134" t="inlineStr">
        <is>
          <t>Oncology</t>
        </is>
      </c>
      <c r="S3134" s="70" t="n">
        <v>1098</v>
      </c>
      <c r="T3134" s="71" t="n">
        <v>1157880.88</v>
      </c>
      <c r="U3134" t="inlineStr">
        <is>
          <t>High</t>
        </is>
      </c>
      <c r="V3134">
        <f>IF(AND(OR(Dashboard!$C$6="All",E3134=Dashboard!$C$6),OR(Dashboard!$F$6="All",G3134=Dashboard!$F$6),OR(Dashboard!$I$6="All",H3134=Dashboard!$I$6)),1,0)</f>
        <v/>
      </c>
    </row>
    <row r="3135">
      <c r="A3135" t="inlineStr">
        <is>
          <t>PF103126</t>
        </is>
      </c>
      <c r="B3135" s="68" t="n">
        <v>46036</v>
      </c>
      <c r="C3135" s="69" t="n">
        <v>2026</v>
      </c>
      <c r="D3135" t="inlineStr">
        <is>
          <t>Jan</t>
        </is>
      </c>
      <c r="E3135" t="inlineStr">
        <is>
          <t>United States</t>
        </is>
      </c>
      <c r="F3135" t="inlineStr">
        <is>
          <t>USA</t>
        </is>
      </c>
      <c r="G3135" t="inlineStr">
        <is>
          <t>Ibrance</t>
        </is>
      </c>
      <c r="H3135" t="inlineStr">
        <is>
          <t>Hospital</t>
        </is>
      </c>
      <c r="I3135" t="inlineStr">
        <is>
          <t>Private insurer</t>
        </is>
      </c>
      <c r="J3135" t="inlineStr">
        <is>
          <t>Olivia Brown</t>
        </is>
      </c>
      <c r="K3135" s="70" t="n">
        <v>725</v>
      </c>
      <c r="L3135" s="71" t="n">
        <v>4898.16</v>
      </c>
      <c r="M3135" s="71" t="n">
        <v>3551166</v>
      </c>
      <c r="N3135" s="71" t="n">
        <v>532674.9</v>
      </c>
      <c r="O3135" s="71" t="n">
        <v>3018491.1</v>
      </c>
      <c r="P3135" s="71" t="n">
        <v>313111.37</v>
      </c>
      <c r="Q3135" s="71" t="n">
        <v>2705379.73</v>
      </c>
      <c r="R3135" t="inlineStr">
        <is>
          <t>Oncology</t>
        </is>
      </c>
      <c r="S3135" s="70" t="n">
        <v>665</v>
      </c>
      <c r="T3135" s="71" t="n">
        <v>472326.12</v>
      </c>
      <c r="U3135" t="inlineStr">
        <is>
          <t>High</t>
        </is>
      </c>
      <c r="V3135">
        <f>IF(AND(OR(Dashboard!$C$6="All",E3135=Dashboard!$C$6),OR(Dashboard!$F$6="All",G3135=Dashboard!$F$6),OR(Dashboard!$I$6="All",H3135=Dashboard!$I$6)),1,0)</f>
        <v/>
      </c>
    </row>
    <row r="3136">
      <c r="A3136" t="inlineStr">
        <is>
          <t>PF103127</t>
        </is>
      </c>
      <c r="B3136" s="68" t="n">
        <v>46036</v>
      </c>
      <c r="C3136" s="69" t="n">
        <v>2026</v>
      </c>
      <c r="D3136" t="inlineStr">
        <is>
          <t>Jan</t>
        </is>
      </c>
      <c r="E3136" t="inlineStr">
        <is>
          <t>Europe</t>
        </is>
      </c>
      <c r="F3136" t="inlineStr">
        <is>
          <t>Germany</t>
        </is>
      </c>
      <c r="G3136" t="inlineStr">
        <is>
          <t>Comirnaty</t>
        </is>
      </c>
      <c r="H3136" t="inlineStr">
        <is>
          <t>Hospital</t>
        </is>
      </c>
      <c r="I3136" t="inlineStr">
        <is>
          <t>Public payer</t>
        </is>
      </c>
      <c r="J3136" t="inlineStr">
        <is>
          <t>Sophie Müller</t>
        </is>
      </c>
      <c r="K3136" s="70" t="n">
        <v>443</v>
      </c>
      <c r="L3136" s="71" t="n">
        <v>86.39</v>
      </c>
      <c r="M3136" s="71" t="n">
        <v>38270.77</v>
      </c>
      <c r="N3136" s="71" t="n">
        <v>7654.15</v>
      </c>
      <c r="O3136" s="71" t="n">
        <v>30616.62</v>
      </c>
      <c r="P3136" s="71" t="n">
        <v>17190.16</v>
      </c>
      <c r="Q3136" s="71" t="n">
        <v>13426.46</v>
      </c>
      <c r="R3136" t="inlineStr">
        <is>
          <t>Vaccines</t>
        </is>
      </c>
      <c r="S3136" s="70" t="n">
        <v>386</v>
      </c>
      <c r="T3136" s="71" t="n">
        <v>9952.4</v>
      </c>
      <c r="U3136" t="inlineStr">
        <is>
          <t>Low</t>
        </is>
      </c>
      <c r="V3136">
        <f>IF(AND(OR(Dashboard!$C$6="All",E3136=Dashboard!$C$6),OR(Dashboard!$F$6="All",G3136=Dashboard!$F$6),OR(Dashboard!$I$6="All",H3136=Dashboard!$I$6)),1,0)</f>
        <v/>
      </c>
    </row>
    <row r="3137">
      <c r="A3137" t="inlineStr">
        <is>
          <t>PF103128</t>
        </is>
      </c>
      <c r="B3137" s="68" t="n">
        <v>46036</v>
      </c>
      <c r="C3137" s="69" t="n">
        <v>2026</v>
      </c>
      <c r="D3137" t="inlineStr">
        <is>
          <t>Jan</t>
        </is>
      </c>
      <c r="E3137" t="inlineStr">
        <is>
          <t>United States</t>
        </is>
      </c>
      <c r="F3137" t="inlineStr">
        <is>
          <t>USA</t>
        </is>
      </c>
      <c r="G3137" t="inlineStr">
        <is>
          <t>Abrysvo</t>
        </is>
      </c>
      <c r="H3137" t="inlineStr">
        <is>
          <t>Retail pharmacy</t>
        </is>
      </c>
      <c r="I3137" t="inlineStr">
        <is>
          <t>Public payer</t>
        </is>
      </c>
      <c r="J3137" t="inlineStr">
        <is>
          <t>Ravindra Patil</t>
        </is>
      </c>
      <c r="K3137" s="70" t="n">
        <v>2899</v>
      </c>
      <c r="L3137" s="71" t="n">
        <v>559.48</v>
      </c>
      <c r="M3137" s="71" t="n">
        <v>1621932.52</v>
      </c>
      <c r="N3137" s="71" t="n">
        <v>405483.13</v>
      </c>
      <c r="O3137" s="71" t="n">
        <v>1216449.39</v>
      </c>
      <c r="P3137" s="71" t="n">
        <v>243429.58</v>
      </c>
      <c r="Q3137" s="71" t="n">
        <v>973019.8100000001</v>
      </c>
      <c r="R3137" t="inlineStr">
        <is>
          <t>Vaccines</t>
        </is>
      </c>
      <c r="S3137" s="70" t="n">
        <v>1916</v>
      </c>
      <c r="T3137" s="71" t="n">
        <v>294358.22</v>
      </c>
      <c r="U3137" t="inlineStr">
        <is>
          <t>Low</t>
        </is>
      </c>
      <c r="V3137">
        <f>IF(AND(OR(Dashboard!$C$6="All",E3137=Dashboard!$C$6),OR(Dashboard!$F$6="All",G3137=Dashboard!$F$6),OR(Dashboard!$I$6="All",H3137=Dashboard!$I$6)),1,0)</f>
        <v/>
      </c>
    </row>
    <row r="3138">
      <c r="A3138" t="inlineStr">
        <is>
          <t>PF103129</t>
        </is>
      </c>
      <c r="B3138" s="68" t="n">
        <v>46037</v>
      </c>
      <c r="C3138" s="69" t="n">
        <v>2026</v>
      </c>
      <c r="D3138" t="inlineStr">
        <is>
          <t>Jan</t>
        </is>
      </c>
      <c r="E3138" t="inlineStr">
        <is>
          <t>Europe</t>
        </is>
      </c>
      <c r="F3138" t="inlineStr">
        <is>
          <t>Italy</t>
        </is>
      </c>
      <c r="G3138" t="inlineStr">
        <is>
          <t>Prevnar 20</t>
        </is>
      </c>
      <c r="H3138" t="inlineStr">
        <is>
          <t>Retail pharmacy</t>
        </is>
      </c>
      <c r="I3138" t="inlineStr">
        <is>
          <t>Private insurer</t>
        </is>
      </c>
      <c r="J3138" t="inlineStr">
        <is>
          <t>Sophie Müller</t>
        </is>
      </c>
      <c r="K3138" s="70" t="n">
        <v>2756</v>
      </c>
      <c r="L3138" s="71" t="n">
        <v>249.46</v>
      </c>
      <c r="M3138" s="71" t="n">
        <v>687511.76</v>
      </c>
      <c r="N3138" s="71" t="n">
        <v>34375.59</v>
      </c>
      <c r="O3138" s="71" t="n">
        <v>653136.17</v>
      </c>
      <c r="P3138" s="71" t="n">
        <v>188255.68</v>
      </c>
      <c r="Q3138" s="71" t="n">
        <v>464880.49</v>
      </c>
      <c r="R3138" t="inlineStr">
        <is>
          <t>Vaccines</t>
        </is>
      </c>
      <c r="S3138" s="70" t="n">
        <v>2689</v>
      </c>
      <c r="T3138" s="71" t="n">
        <v>112161.93</v>
      </c>
      <c r="U3138" t="inlineStr">
        <is>
          <t>Low</t>
        </is>
      </c>
      <c r="V3138">
        <f>IF(AND(OR(Dashboard!$C$6="All",E3138=Dashboard!$C$6),OR(Dashboard!$F$6="All",G3138=Dashboard!$F$6),OR(Dashboard!$I$6="All",H3138=Dashboard!$I$6)),1,0)</f>
        <v/>
      </c>
    </row>
    <row r="3139">
      <c r="A3139" t="inlineStr">
        <is>
          <t>PF103130</t>
        </is>
      </c>
      <c r="B3139" s="68" t="n">
        <v>46037</v>
      </c>
      <c r="C3139" s="69" t="n">
        <v>2026</v>
      </c>
      <c r="D3139" t="inlineStr">
        <is>
          <t>Jan</t>
        </is>
      </c>
      <c r="E3139" t="inlineStr">
        <is>
          <t>United States</t>
        </is>
      </c>
      <c r="F3139" t="inlineStr">
        <is>
          <t>USA</t>
        </is>
      </c>
      <c r="G3139" t="inlineStr">
        <is>
          <t>Comirnaty</t>
        </is>
      </c>
      <c r="H3139" t="inlineStr">
        <is>
          <t>Government / tender</t>
        </is>
      </c>
      <c r="I3139" t="inlineStr">
        <is>
          <t>Private insurer</t>
        </is>
      </c>
      <c r="J3139" t="inlineStr">
        <is>
          <t>Sara Rossi</t>
        </is>
      </c>
      <c r="K3139" s="70" t="n">
        <v>521</v>
      </c>
      <c r="L3139" s="71" t="n">
        <v>128.72</v>
      </c>
      <c r="M3139" s="71" t="n">
        <v>67063.12</v>
      </c>
      <c r="N3139" s="71" t="n">
        <v>16765.78</v>
      </c>
      <c r="O3139" s="71" t="n">
        <v>50297.34</v>
      </c>
      <c r="P3139" s="71" t="n">
        <v>20447.2</v>
      </c>
      <c r="Q3139" s="71" t="n">
        <v>29850.14</v>
      </c>
      <c r="R3139" t="inlineStr">
        <is>
          <t>Vaccines</t>
        </is>
      </c>
      <c r="S3139" s="70" t="n">
        <v>518</v>
      </c>
      <c r="T3139" s="71" t="n">
        <v>16681.81</v>
      </c>
      <c r="U3139" t="inlineStr">
        <is>
          <t>Low</t>
        </is>
      </c>
      <c r="V3139">
        <f>IF(AND(OR(Dashboard!$C$6="All",E3139=Dashboard!$C$6),OR(Dashboard!$F$6="All",G3139=Dashboard!$F$6),OR(Dashboard!$I$6="All",H3139=Dashboard!$I$6)),1,0)</f>
        <v/>
      </c>
    </row>
    <row r="3140">
      <c r="A3140" t="inlineStr">
        <is>
          <t>PF103131</t>
        </is>
      </c>
      <c r="B3140" s="68" t="n">
        <v>46037</v>
      </c>
      <c r="C3140" s="69" t="n">
        <v>2026</v>
      </c>
      <c r="D3140" t="inlineStr">
        <is>
          <t>Jan</t>
        </is>
      </c>
      <c r="E3140" t="inlineStr">
        <is>
          <t>United States</t>
        </is>
      </c>
      <c r="F3140" t="inlineStr">
        <is>
          <t>USA</t>
        </is>
      </c>
      <c r="G3140" t="inlineStr">
        <is>
          <t>Prevnar 20</t>
        </is>
      </c>
      <c r="H3140" t="inlineStr">
        <is>
          <t>Retail pharmacy</t>
        </is>
      </c>
      <c r="I3140" t="inlineStr">
        <is>
          <t>Public payer</t>
        </is>
      </c>
      <c r="J3140" t="inlineStr">
        <is>
          <t>Emma Clarke</t>
        </is>
      </c>
      <c r="K3140" s="70" t="n">
        <v>1277</v>
      </c>
      <c r="L3140" s="71" t="n">
        <v>352.85</v>
      </c>
      <c r="M3140" s="71" t="n">
        <v>450589.45</v>
      </c>
      <c r="N3140" s="71" t="n">
        <v>157706.31</v>
      </c>
      <c r="O3140" s="71" t="n">
        <v>292883.14</v>
      </c>
      <c r="P3140" s="71" t="n">
        <v>91443.03999999999</v>
      </c>
      <c r="Q3140" s="71" t="n">
        <v>201440.1</v>
      </c>
      <c r="R3140" t="inlineStr">
        <is>
          <t>Vaccines</t>
        </is>
      </c>
      <c r="S3140" s="70" t="n">
        <v>1017</v>
      </c>
      <c r="T3140" s="71" t="n">
        <v>67415.34</v>
      </c>
      <c r="U3140" t="inlineStr">
        <is>
          <t>Low</t>
        </is>
      </c>
      <c r="V3140">
        <f>IF(AND(OR(Dashboard!$C$6="All",E3140=Dashboard!$C$6),OR(Dashboard!$F$6="All",G3140=Dashboard!$F$6),OR(Dashboard!$I$6="All",H3140=Dashboard!$I$6)),1,0)</f>
        <v/>
      </c>
    </row>
    <row r="3141">
      <c r="A3141" t="inlineStr">
        <is>
          <t>PF103132</t>
        </is>
      </c>
      <c r="B3141" s="68" t="n">
        <v>46037</v>
      </c>
      <c r="C3141" s="69" t="n">
        <v>2026</v>
      </c>
      <c r="D3141" t="inlineStr">
        <is>
          <t>Jan</t>
        </is>
      </c>
      <c r="E3141" t="inlineStr">
        <is>
          <t>United States</t>
        </is>
      </c>
      <c r="F3141" t="inlineStr">
        <is>
          <t>USA</t>
        </is>
      </c>
      <c r="G3141" t="inlineStr">
        <is>
          <t>Abrysvo</t>
        </is>
      </c>
      <c r="H3141" t="inlineStr">
        <is>
          <t>Retail pharmacy</t>
        </is>
      </c>
      <c r="I3141" t="inlineStr">
        <is>
          <t>Public payer</t>
        </is>
      </c>
      <c r="J3141" t="inlineStr">
        <is>
          <t>Ravindra Patil</t>
        </is>
      </c>
      <c r="K3141" s="70" t="n">
        <v>1021</v>
      </c>
      <c r="L3141" s="71" t="n">
        <v>553.25</v>
      </c>
      <c r="M3141" s="71" t="n">
        <v>564868.25</v>
      </c>
      <c r="N3141" s="71" t="n">
        <v>84730.24000000001</v>
      </c>
      <c r="O3141" s="71" t="n">
        <v>480138.01</v>
      </c>
      <c r="P3141" s="71" t="n">
        <v>85618.46000000001</v>
      </c>
      <c r="Q3141" s="71" t="n">
        <v>394519.55</v>
      </c>
      <c r="R3141" t="inlineStr">
        <is>
          <t>Vaccines</t>
        </is>
      </c>
      <c r="S3141" s="70" t="n">
        <v>753</v>
      </c>
      <c r="T3141" s="71" t="n">
        <v>98290.46000000001</v>
      </c>
      <c r="U3141" t="inlineStr">
        <is>
          <t>Low</t>
        </is>
      </c>
      <c r="V3141">
        <f>IF(AND(OR(Dashboard!$C$6="All",E3141=Dashboard!$C$6),OR(Dashboard!$F$6="All",G3141=Dashboard!$F$6),OR(Dashboard!$I$6="All",H3141=Dashboard!$I$6)),1,0)</f>
        <v/>
      </c>
    </row>
    <row r="3142">
      <c r="A3142" t="inlineStr">
        <is>
          <t>PF103133</t>
        </is>
      </c>
      <c r="B3142" s="68" t="n">
        <v>46037</v>
      </c>
      <c r="C3142" s="69" t="n">
        <v>2026</v>
      </c>
      <c r="D3142" t="inlineStr">
        <is>
          <t>Jan</t>
        </is>
      </c>
      <c r="E3142" t="inlineStr">
        <is>
          <t>United States</t>
        </is>
      </c>
      <c r="F3142" t="inlineStr">
        <is>
          <t>USA</t>
        </is>
      </c>
      <c r="G3142" t="inlineStr">
        <is>
          <t>Comirnaty</t>
        </is>
      </c>
      <c r="H3142" t="inlineStr">
        <is>
          <t>Hospital</t>
        </is>
      </c>
      <c r="I3142" t="inlineStr">
        <is>
          <t>Self-pay</t>
        </is>
      </c>
      <c r="J3142" t="inlineStr">
        <is>
          <t>Emma Clarke</t>
        </is>
      </c>
      <c r="K3142" s="70" t="n">
        <v>1825</v>
      </c>
      <c r="L3142" s="71" t="n">
        <v>133.73</v>
      </c>
      <c r="M3142" s="71" t="n">
        <v>244057.25</v>
      </c>
      <c r="N3142" s="71" t="n">
        <v>36608.59</v>
      </c>
      <c r="O3142" s="71" t="n">
        <v>207448.66</v>
      </c>
      <c r="P3142" s="71" t="n">
        <v>69438.83</v>
      </c>
      <c r="Q3142" s="71" t="n">
        <v>138009.83</v>
      </c>
      <c r="R3142" t="inlineStr">
        <is>
          <t>Vaccines</t>
        </is>
      </c>
      <c r="S3142" s="70" t="n">
        <v>1352</v>
      </c>
      <c r="T3142" s="71" t="n">
        <v>40591.04</v>
      </c>
      <c r="U3142" t="inlineStr">
        <is>
          <t>Low</t>
        </is>
      </c>
      <c r="V3142">
        <f>IF(AND(OR(Dashboard!$C$6="All",E3142=Dashboard!$C$6),OR(Dashboard!$F$6="All",G3142=Dashboard!$F$6),OR(Dashboard!$I$6="All",H3142=Dashboard!$I$6)),1,0)</f>
        <v/>
      </c>
    </row>
    <row r="3143">
      <c r="A3143" t="inlineStr">
        <is>
          <t>PF103134</t>
        </is>
      </c>
      <c r="B3143" s="68" t="n">
        <v>46037</v>
      </c>
      <c r="C3143" s="69" t="n">
        <v>2026</v>
      </c>
      <c r="D3143" t="inlineStr">
        <is>
          <t>Jan</t>
        </is>
      </c>
      <c r="E3143" t="inlineStr">
        <is>
          <t>United States</t>
        </is>
      </c>
      <c r="F3143" t="inlineStr">
        <is>
          <t>USA</t>
        </is>
      </c>
      <c r="G3143" t="inlineStr">
        <is>
          <t>Eliquis</t>
        </is>
      </c>
      <c r="H3143" t="inlineStr">
        <is>
          <t>Retail pharmacy</t>
        </is>
      </c>
      <c r="I3143" t="inlineStr">
        <is>
          <t>Private insurer</t>
        </is>
      </c>
      <c r="J3143" t="inlineStr">
        <is>
          <t>Carlos Silva</t>
        </is>
      </c>
      <c r="K3143" s="70" t="n">
        <v>611</v>
      </c>
      <c r="L3143" s="71" t="n">
        <v>736.4299999999999</v>
      </c>
      <c r="M3143" s="71" t="n">
        <v>449958.73</v>
      </c>
      <c r="N3143" s="71" t="n">
        <v>89991.75</v>
      </c>
      <c r="O3143" s="71" t="n">
        <v>359966.98</v>
      </c>
      <c r="P3143" s="71" t="n">
        <v>47323.79</v>
      </c>
      <c r="Q3143" s="71" t="n">
        <v>312643.19</v>
      </c>
      <c r="R3143" t="inlineStr">
        <is>
          <t>Cardiology</t>
        </is>
      </c>
      <c r="S3143" s="70" t="n">
        <v>464</v>
      </c>
      <c r="T3143" s="71" t="n">
        <v>56948.73</v>
      </c>
      <c r="U3143" t="inlineStr">
        <is>
          <t>High</t>
        </is>
      </c>
      <c r="V3143">
        <f>IF(AND(OR(Dashboard!$C$6="All",E3143=Dashboard!$C$6),OR(Dashboard!$F$6="All",G3143=Dashboard!$F$6),OR(Dashboard!$I$6="All",H3143=Dashboard!$I$6)),1,0)</f>
        <v/>
      </c>
    </row>
    <row r="3144">
      <c r="A3144" t="inlineStr">
        <is>
          <t>PF103135</t>
        </is>
      </c>
      <c r="B3144" s="68" t="n">
        <v>46037</v>
      </c>
      <c r="C3144" s="69" t="n">
        <v>2026</v>
      </c>
      <c r="D3144" t="inlineStr">
        <is>
          <t>Jan</t>
        </is>
      </c>
      <c r="E3144" t="inlineStr">
        <is>
          <t>United States</t>
        </is>
      </c>
      <c r="F3144" t="inlineStr">
        <is>
          <t>USA</t>
        </is>
      </c>
      <c r="G3144" t="inlineStr">
        <is>
          <t>Prevnar 20</t>
        </is>
      </c>
      <c r="H3144" t="inlineStr">
        <is>
          <t>Retail pharmacy</t>
        </is>
      </c>
      <c r="I3144" t="inlineStr">
        <is>
          <t>Public payer</t>
        </is>
      </c>
      <c r="J3144" t="inlineStr">
        <is>
          <t>Omar Haddad</t>
        </is>
      </c>
      <c r="K3144" s="70" t="n">
        <v>805</v>
      </c>
      <c r="L3144" s="71" t="n">
        <v>351.65</v>
      </c>
      <c r="M3144" s="71" t="n">
        <v>283078.25</v>
      </c>
      <c r="N3144" s="71" t="n">
        <v>99077.39</v>
      </c>
      <c r="O3144" s="71" t="n">
        <v>184000.86</v>
      </c>
      <c r="P3144" s="71" t="n">
        <v>54035.85</v>
      </c>
      <c r="Q3144" s="71" t="n">
        <v>129965.01</v>
      </c>
      <c r="R3144" t="inlineStr">
        <is>
          <t>Vaccines</t>
        </is>
      </c>
      <c r="S3144" s="70" t="n">
        <v>602</v>
      </c>
      <c r="T3144" s="71" t="n">
        <v>50940.79</v>
      </c>
      <c r="U3144" t="inlineStr">
        <is>
          <t>Low</t>
        </is>
      </c>
      <c r="V3144">
        <f>IF(AND(OR(Dashboard!$C$6="All",E3144=Dashboard!$C$6),OR(Dashboard!$F$6="All",G3144=Dashboard!$F$6),OR(Dashboard!$I$6="All",H3144=Dashboard!$I$6)),1,0)</f>
        <v/>
      </c>
    </row>
    <row r="3145">
      <c r="A3145" t="inlineStr">
        <is>
          <t>PF103136</t>
        </is>
      </c>
      <c r="B3145" s="68" t="n">
        <v>46037</v>
      </c>
      <c r="C3145" s="69" t="n">
        <v>2026</v>
      </c>
      <c r="D3145" t="inlineStr">
        <is>
          <t>Jan</t>
        </is>
      </c>
      <c r="E3145" t="inlineStr">
        <is>
          <t>United States</t>
        </is>
      </c>
      <c r="F3145" t="inlineStr">
        <is>
          <t>USA</t>
        </is>
      </c>
      <c r="G3145" t="inlineStr">
        <is>
          <t>Prevnar 20</t>
        </is>
      </c>
      <c r="H3145" t="inlineStr">
        <is>
          <t>Hospital</t>
        </is>
      </c>
      <c r="I3145" t="inlineStr">
        <is>
          <t>Public payer</t>
        </is>
      </c>
      <c r="J3145" t="inlineStr">
        <is>
          <t>Fatima Al-Saud</t>
        </is>
      </c>
      <c r="K3145" s="70" t="n">
        <v>1719</v>
      </c>
      <c r="L3145" s="71" t="n">
        <v>409</v>
      </c>
      <c r="M3145" s="71" t="n">
        <v>703071</v>
      </c>
      <c r="N3145" s="71" t="n">
        <v>246074.85</v>
      </c>
      <c r="O3145" s="71" t="n">
        <v>456996.15</v>
      </c>
      <c r="P3145" s="71" t="n">
        <v>117197.86</v>
      </c>
      <c r="Q3145" s="71" t="n">
        <v>339798.29</v>
      </c>
      <c r="R3145" t="inlineStr">
        <is>
          <t>Vaccines</t>
        </is>
      </c>
      <c r="S3145" s="70" t="n">
        <v>1609</v>
      </c>
      <c r="T3145" s="71" t="n">
        <v>122937.39</v>
      </c>
      <c r="U3145" t="inlineStr">
        <is>
          <t>Low</t>
        </is>
      </c>
      <c r="V3145">
        <f>IF(AND(OR(Dashboard!$C$6="All",E3145=Dashboard!$C$6),OR(Dashboard!$F$6="All",G3145=Dashboard!$F$6),OR(Dashboard!$I$6="All",H3145=Dashboard!$I$6)),1,0)</f>
        <v/>
      </c>
    </row>
    <row r="3146">
      <c r="A3146" t="inlineStr">
        <is>
          <t>PF103137</t>
        </is>
      </c>
      <c r="B3146" s="68" t="n">
        <v>46037</v>
      </c>
      <c r="C3146" s="69" t="n">
        <v>2026</v>
      </c>
      <c r="D3146" t="inlineStr">
        <is>
          <t>Jan</t>
        </is>
      </c>
      <c r="E3146" t="inlineStr">
        <is>
          <t>Emerging markets</t>
        </is>
      </c>
      <c r="F3146" t="inlineStr">
        <is>
          <t>China</t>
        </is>
      </c>
      <c r="G3146" t="inlineStr">
        <is>
          <t>Prevnar 20</t>
        </is>
      </c>
      <c r="H3146" t="inlineStr">
        <is>
          <t>Hospital</t>
        </is>
      </c>
      <c r="I3146" t="inlineStr">
        <is>
          <t>Public payer</t>
        </is>
      </c>
      <c r="J3146" t="inlineStr">
        <is>
          <t>Ravindra Patil</t>
        </is>
      </c>
      <c r="K3146" s="70" t="n">
        <v>738</v>
      </c>
      <c r="L3146" s="71" t="n">
        <v>242.01</v>
      </c>
      <c r="M3146" s="71" t="n">
        <v>178603.38</v>
      </c>
      <c r="N3146" s="71" t="n">
        <v>44650.85</v>
      </c>
      <c r="O3146" s="71" t="n">
        <v>133952.53</v>
      </c>
      <c r="P3146" s="71" t="n">
        <v>50609.01</v>
      </c>
      <c r="Q3146" s="71" t="n">
        <v>83343.52</v>
      </c>
      <c r="R3146" t="inlineStr">
        <is>
          <t>Vaccines</t>
        </is>
      </c>
      <c r="S3146" s="70" t="n">
        <v>647</v>
      </c>
      <c r="T3146" s="71" t="n">
        <v>21359.7</v>
      </c>
      <c r="U3146" t="inlineStr">
        <is>
          <t>Low</t>
        </is>
      </c>
      <c r="V3146">
        <f>IF(AND(OR(Dashboard!$C$6="All",E3146=Dashboard!$C$6),OR(Dashboard!$F$6="All",G3146=Dashboard!$F$6),OR(Dashboard!$I$6="All",H3146=Dashboard!$I$6)),1,0)</f>
        <v/>
      </c>
    </row>
    <row r="3147">
      <c r="A3147" t="inlineStr">
        <is>
          <t>PF103138</t>
        </is>
      </c>
      <c r="B3147" s="68" t="n">
        <v>46037</v>
      </c>
      <c r="C3147" s="69" t="n">
        <v>2026</v>
      </c>
      <c r="D3147" t="inlineStr">
        <is>
          <t>Jan</t>
        </is>
      </c>
      <c r="E3147" t="inlineStr">
        <is>
          <t>Emerging markets</t>
        </is>
      </c>
      <c r="F3147" t="inlineStr">
        <is>
          <t>Mexico</t>
        </is>
      </c>
      <c r="G3147" t="inlineStr">
        <is>
          <t>Eliquis</t>
        </is>
      </c>
      <c r="H3147" t="inlineStr">
        <is>
          <t>Government / tender</t>
        </is>
      </c>
      <c r="I3147" t="inlineStr">
        <is>
          <t>Private insurer</t>
        </is>
      </c>
      <c r="J3147" t="inlineStr">
        <is>
          <t>Carlos Silva</t>
        </is>
      </c>
      <c r="K3147" s="70" t="n">
        <v>865</v>
      </c>
      <c r="L3147" s="71" t="n">
        <v>393.24</v>
      </c>
      <c r="M3147" s="71" t="n">
        <v>340152.6</v>
      </c>
      <c r="N3147" s="71" t="n">
        <v>68030.52</v>
      </c>
      <c r="O3147" s="71" t="n">
        <v>272122.08</v>
      </c>
      <c r="P3147" s="71" t="n">
        <v>63743.81</v>
      </c>
      <c r="Q3147" s="71" t="n">
        <v>208378.27</v>
      </c>
      <c r="R3147" t="inlineStr">
        <is>
          <t>Cardiology</t>
        </is>
      </c>
      <c r="S3147" s="70" t="n">
        <v>647</v>
      </c>
      <c r="T3147" s="71" t="n">
        <v>70996.98</v>
      </c>
      <c r="U3147" t="inlineStr">
        <is>
          <t>High</t>
        </is>
      </c>
      <c r="V3147">
        <f>IF(AND(OR(Dashboard!$C$6="All",E3147=Dashboard!$C$6),OR(Dashboard!$F$6="All",G3147=Dashboard!$F$6),OR(Dashboard!$I$6="All",H3147=Dashboard!$I$6)),1,0)</f>
        <v/>
      </c>
    </row>
    <row r="3148">
      <c r="A3148" t="inlineStr">
        <is>
          <t>PF103139</t>
        </is>
      </c>
      <c r="B3148" s="68" t="n">
        <v>46037</v>
      </c>
      <c r="C3148" s="69" t="n">
        <v>2026</v>
      </c>
      <c r="D3148" t="inlineStr">
        <is>
          <t>Jan</t>
        </is>
      </c>
      <c r="E3148" t="inlineStr">
        <is>
          <t>Europe</t>
        </is>
      </c>
      <c r="F3148" t="inlineStr">
        <is>
          <t>UK</t>
        </is>
      </c>
      <c r="G3148" t="inlineStr">
        <is>
          <t>Ibrance</t>
        </is>
      </c>
      <c r="H3148" t="inlineStr">
        <is>
          <t>Government / tender</t>
        </is>
      </c>
      <c r="I3148" t="inlineStr">
        <is>
          <t>Private insurer</t>
        </is>
      </c>
      <c r="J3148" t="inlineStr">
        <is>
          <t>Fatima Al-Saud</t>
        </is>
      </c>
      <c r="K3148" s="70" t="n">
        <v>1518</v>
      </c>
      <c r="L3148" s="71" t="n">
        <v>2920.61</v>
      </c>
      <c r="M3148" s="71" t="n">
        <v>4433485.98</v>
      </c>
      <c r="N3148" s="71" t="n">
        <v>1108371.5</v>
      </c>
      <c r="O3148" s="71" t="n">
        <v>3325114.48</v>
      </c>
      <c r="P3148" s="71" t="n">
        <v>660811.83</v>
      </c>
      <c r="Q3148" s="71" t="n">
        <v>2664302.65</v>
      </c>
      <c r="R3148" t="inlineStr">
        <is>
          <t>Oncology</t>
        </is>
      </c>
      <c r="S3148" s="70" t="n">
        <v>1423</v>
      </c>
      <c r="T3148" s="71" t="n">
        <v>651238.65</v>
      </c>
      <c r="U3148" t="inlineStr">
        <is>
          <t>High</t>
        </is>
      </c>
      <c r="V3148">
        <f>IF(AND(OR(Dashboard!$C$6="All",E3148=Dashboard!$C$6),OR(Dashboard!$F$6="All",G3148=Dashboard!$F$6),OR(Dashboard!$I$6="All",H3148=Dashboard!$I$6)),1,0)</f>
        <v/>
      </c>
    </row>
    <row r="3149">
      <c r="A3149" t="inlineStr">
        <is>
          <t>PF103140</t>
        </is>
      </c>
      <c r="B3149" s="68" t="n">
        <v>46037</v>
      </c>
      <c r="C3149" s="69" t="n">
        <v>2026</v>
      </c>
      <c r="D3149" t="inlineStr">
        <is>
          <t>Jan</t>
        </is>
      </c>
      <c r="E3149" t="inlineStr">
        <is>
          <t>International developed</t>
        </is>
      </c>
      <c r="F3149" t="inlineStr">
        <is>
          <t>Japan</t>
        </is>
      </c>
      <c r="G3149" t="inlineStr">
        <is>
          <t>Comirnaty</t>
        </is>
      </c>
      <c r="H3149" t="inlineStr">
        <is>
          <t>Hospital</t>
        </is>
      </c>
      <c r="I3149" t="inlineStr">
        <is>
          <t>Private insurer</t>
        </is>
      </c>
      <c r="J3149" t="inlineStr">
        <is>
          <t>Lucas Martin</t>
        </is>
      </c>
      <c r="K3149" s="70" t="n">
        <v>1518</v>
      </c>
      <c r="L3149" s="71" t="n">
        <v>90.45999999999999</v>
      </c>
      <c r="M3149" s="71" t="n">
        <v>137318.28</v>
      </c>
      <c r="N3149" s="71" t="n">
        <v>27463.66</v>
      </c>
      <c r="O3149" s="71" t="n">
        <v>109854.62</v>
      </c>
      <c r="P3149" s="71" t="n">
        <v>59415.32</v>
      </c>
      <c r="Q3149" s="71" t="n">
        <v>50439.3</v>
      </c>
      <c r="R3149" t="inlineStr">
        <is>
          <t>Vaccines</t>
        </is>
      </c>
      <c r="S3149" s="70" t="n">
        <v>1024</v>
      </c>
      <c r="T3149" s="71" t="n">
        <v>32329.79</v>
      </c>
      <c r="U3149" t="inlineStr">
        <is>
          <t>Low</t>
        </is>
      </c>
      <c r="V3149">
        <f>IF(AND(OR(Dashboard!$C$6="All",E3149=Dashboard!$C$6),OR(Dashboard!$F$6="All",G3149=Dashboard!$F$6),OR(Dashboard!$I$6="All",H3149=Dashboard!$I$6)),1,0)</f>
        <v/>
      </c>
    </row>
    <row r="3150">
      <c r="A3150" t="inlineStr">
        <is>
          <t>PF103141</t>
        </is>
      </c>
      <c r="B3150" s="68" t="n">
        <v>46037</v>
      </c>
      <c r="C3150" s="69" t="n">
        <v>2026</v>
      </c>
      <c r="D3150" t="inlineStr">
        <is>
          <t>Jan</t>
        </is>
      </c>
      <c r="E3150" t="inlineStr">
        <is>
          <t>United States</t>
        </is>
      </c>
      <c r="F3150" t="inlineStr">
        <is>
          <t>USA</t>
        </is>
      </c>
      <c r="G3150" t="inlineStr">
        <is>
          <t>Prevnar 20</t>
        </is>
      </c>
      <c r="H3150" t="inlineStr">
        <is>
          <t>Retail pharmacy</t>
        </is>
      </c>
      <c r="I3150" t="inlineStr">
        <is>
          <t>Private insurer</t>
        </is>
      </c>
      <c r="J3150" t="inlineStr">
        <is>
          <t>Wei Chen</t>
        </is>
      </c>
      <c r="K3150" s="70" t="n">
        <v>2797</v>
      </c>
      <c r="L3150" s="71" t="n">
        <v>385.03</v>
      </c>
      <c r="M3150" s="71" t="n">
        <v>1076928.91</v>
      </c>
      <c r="N3150" s="71" t="n">
        <v>215385.78</v>
      </c>
      <c r="O3150" s="71" t="n">
        <v>861543.13</v>
      </c>
      <c r="P3150" s="71" t="n">
        <v>186135.38</v>
      </c>
      <c r="Q3150" s="71" t="n">
        <v>675407.75</v>
      </c>
      <c r="R3150" t="inlineStr">
        <is>
          <t>Vaccines</t>
        </is>
      </c>
      <c r="S3150" s="70" t="n">
        <v>1952</v>
      </c>
      <c r="T3150" s="71" t="n">
        <v>153773.74</v>
      </c>
      <c r="U3150" t="inlineStr">
        <is>
          <t>Low</t>
        </is>
      </c>
      <c r="V3150">
        <f>IF(AND(OR(Dashboard!$C$6="All",E3150=Dashboard!$C$6),OR(Dashboard!$F$6="All",G3150=Dashboard!$F$6),OR(Dashboard!$I$6="All",H3150=Dashboard!$I$6)),1,0)</f>
        <v/>
      </c>
    </row>
    <row r="3151">
      <c r="A3151" t="inlineStr">
        <is>
          <t>PF103142</t>
        </is>
      </c>
      <c r="B3151" s="68" t="n">
        <v>46038</v>
      </c>
      <c r="C3151" s="69" t="n">
        <v>2026</v>
      </c>
      <c r="D3151" t="inlineStr">
        <is>
          <t>Jan</t>
        </is>
      </c>
      <c r="E3151" t="inlineStr">
        <is>
          <t>Emerging markets</t>
        </is>
      </c>
      <c r="F3151" t="inlineStr">
        <is>
          <t>China</t>
        </is>
      </c>
      <c r="G3151" t="inlineStr">
        <is>
          <t>Prevnar 20</t>
        </is>
      </c>
      <c r="H3151" t="inlineStr">
        <is>
          <t>Retail pharmacy</t>
        </is>
      </c>
      <c r="I3151" t="inlineStr">
        <is>
          <t>Private insurer</t>
        </is>
      </c>
      <c r="J3151" t="inlineStr">
        <is>
          <t>Zoya Ahmed</t>
        </is>
      </c>
      <c r="K3151" s="70" t="n">
        <v>1061</v>
      </c>
      <c r="L3151" s="71" t="n">
        <v>217.37</v>
      </c>
      <c r="M3151" s="71" t="n">
        <v>230629.57</v>
      </c>
      <c r="N3151" s="71" t="n">
        <v>57657.39</v>
      </c>
      <c r="O3151" s="71" t="n">
        <v>172972.18</v>
      </c>
      <c r="P3151" s="71" t="n">
        <v>71774.31</v>
      </c>
      <c r="Q3151" s="71" t="n">
        <v>101197.87</v>
      </c>
      <c r="R3151" t="inlineStr">
        <is>
          <t>Vaccines</t>
        </is>
      </c>
      <c r="S3151" s="70" t="n">
        <v>850</v>
      </c>
      <c r="T3151" s="71" t="n">
        <v>27919.69</v>
      </c>
      <c r="U3151" t="inlineStr">
        <is>
          <t>Low</t>
        </is>
      </c>
      <c r="V3151">
        <f>IF(AND(OR(Dashboard!$C$6="All",E3151=Dashboard!$C$6),OR(Dashboard!$F$6="All",G3151=Dashboard!$F$6),OR(Dashboard!$I$6="All",H3151=Dashboard!$I$6)),1,0)</f>
        <v/>
      </c>
    </row>
    <row r="3152">
      <c r="A3152" t="inlineStr">
        <is>
          <t>PF103143</t>
        </is>
      </c>
      <c r="B3152" s="68" t="n">
        <v>46038</v>
      </c>
      <c r="C3152" s="69" t="n">
        <v>2026</v>
      </c>
      <c r="D3152" t="inlineStr">
        <is>
          <t>Jan</t>
        </is>
      </c>
      <c r="E3152" t="inlineStr">
        <is>
          <t>Emerging markets</t>
        </is>
      </c>
      <c r="F3152" t="inlineStr">
        <is>
          <t>China</t>
        </is>
      </c>
      <c r="G3152" t="inlineStr">
        <is>
          <t>Prevnar 20</t>
        </is>
      </c>
      <c r="H3152" t="inlineStr">
        <is>
          <t>Retail pharmacy</t>
        </is>
      </c>
      <c r="I3152" t="inlineStr">
        <is>
          <t>Private insurer</t>
        </is>
      </c>
      <c r="J3152" t="inlineStr">
        <is>
          <t>Amir Khan</t>
        </is>
      </c>
      <c r="K3152" s="70" t="n">
        <v>1284</v>
      </c>
      <c r="L3152" s="71" t="n">
        <v>211.48</v>
      </c>
      <c r="M3152" s="71" t="n">
        <v>271540.32</v>
      </c>
      <c r="N3152" s="71" t="n">
        <v>40731.05</v>
      </c>
      <c r="O3152" s="71" t="n">
        <v>230809.27</v>
      </c>
      <c r="P3152" s="71" t="n">
        <v>90032.42</v>
      </c>
      <c r="Q3152" s="71" t="n">
        <v>140776.85</v>
      </c>
      <c r="R3152" t="inlineStr">
        <is>
          <t>Vaccines</t>
        </is>
      </c>
      <c r="S3152" s="70" t="n">
        <v>882</v>
      </c>
      <c r="T3152" s="71" t="n">
        <v>42028.82</v>
      </c>
      <c r="U3152" t="inlineStr">
        <is>
          <t>Low</t>
        </is>
      </c>
      <c r="V3152">
        <f>IF(AND(OR(Dashboard!$C$6="All",E3152=Dashboard!$C$6),OR(Dashboard!$F$6="All",G3152=Dashboard!$F$6),OR(Dashboard!$I$6="All",H3152=Dashboard!$I$6)),1,0)</f>
        <v/>
      </c>
    </row>
    <row r="3153">
      <c r="A3153" t="inlineStr">
        <is>
          <t>PF103144</t>
        </is>
      </c>
      <c r="B3153" s="68" t="n">
        <v>46038</v>
      </c>
      <c r="C3153" s="69" t="n">
        <v>2026</v>
      </c>
      <c r="D3153" t="inlineStr">
        <is>
          <t>Jan</t>
        </is>
      </c>
      <c r="E3153" t="inlineStr">
        <is>
          <t>Emerging markets</t>
        </is>
      </c>
      <c r="F3153" t="inlineStr">
        <is>
          <t>Mexico</t>
        </is>
      </c>
      <c r="G3153" t="inlineStr">
        <is>
          <t>Comirnaty</t>
        </is>
      </c>
      <c r="H3153" t="inlineStr">
        <is>
          <t>Hospital</t>
        </is>
      </c>
      <c r="I3153" t="inlineStr">
        <is>
          <t>Private insurer</t>
        </is>
      </c>
      <c r="J3153" t="inlineStr">
        <is>
          <t>Liam O'Brien</t>
        </is>
      </c>
      <c r="K3153" s="70" t="n">
        <v>209</v>
      </c>
      <c r="L3153" s="71" t="n">
        <v>89.06</v>
      </c>
      <c r="M3153" s="71" t="n">
        <v>18613.54</v>
      </c>
      <c r="N3153" s="71" t="n">
        <v>3722.71</v>
      </c>
      <c r="O3153" s="71" t="n">
        <v>14890.83</v>
      </c>
      <c r="P3153" s="71" t="n">
        <v>7832.16</v>
      </c>
      <c r="Q3153" s="71" t="n">
        <v>7058.67</v>
      </c>
      <c r="R3153" t="inlineStr">
        <is>
          <t>Vaccines</t>
        </is>
      </c>
      <c r="S3153" s="70" t="n">
        <v>131</v>
      </c>
      <c r="T3153" s="71" t="n">
        <v>4649.58</v>
      </c>
      <c r="U3153" t="inlineStr">
        <is>
          <t>Low</t>
        </is>
      </c>
      <c r="V3153">
        <f>IF(AND(OR(Dashboard!$C$6="All",E3153=Dashboard!$C$6),OR(Dashboard!$F$6="All",G3153=Dashboard!$F$6),OR(Dashboard!$I$6="All",H3153=Dashboard!$I$6)),1,0)</f>
        <v/>
      </c>
    </row>
    <row r="3154">
      <c r="A3154" t="inlineStr">
        <is>
          <t>PF103145</t>
        </is>
      </c>
      <c r="B3154" s="68" t="n">
        <v>46038</v>
      </c>
      <c r="C3154" s="69" t="n">
        <v>2026</v>
      </c>
      <c r="D3154" t="inlineStr">
        <is>
          <t>Jan</t>
        </is>
      </c>
      <c r="E3154" t="inlineStr">
        <is>
          <t>Europe</t>
        </is>
      </c>
      <c r="F3154" t="inlineStr">
        <is>
          <t>Germany</t>
        </is>
      </c>
      <c r="G3154" t="inlineStr">
        <is>
          <t>Prevnar 20</t>
        </is>
      </c>
      <c r="H3154" t="inlineStr">
        <is>
          <t>Hospital</t>
        </is>
      </c>
      <c r="I3154" t="inlineStr">
        <is>
          <t>Private insurer</t>
        </is>
      </c>
      <c r="J3154" t="inlineStr">
        <is>
          <t>Wei Chen</t>
        </is>
      </c>
      <c r="K3154" s="70" t="n">
        <v>2432</v>
      </c>
      <c r="L3154" s="71" t="n">
        <v>240.71</v>
      </c>
      <c r="M3154" s="71" t="n">
        <v>585406.72</v>
      </c>
      <c r="N3154" s="71" t="n">
        <v>87811.00999999999</v>
      </c>
      <c r="O3154" s="71" t="n">
        <v>497595.71</v>
      </c>
      <c r="P3154" s="71" t="n">
        <v>163489.39</v>
      </c>
      <c r="Q3154" s="71" t="n">
        <v>334106.32</v>
      </c>
      <c r="R3154" t="inlineStr">
        <is>
          <t>Vaccines</t>
        </is>
      </c>
      <c r="S3154" s="70" t="n">
        <v>1784</v>
      </c>
      <c r="T3154" s="71" t="n">
        <v>72107.75999999999</v>
      </c>
      <c r="U3154" t="inlineStr">
        <is>
          <t>Low</t>
        </is>
      </c>
      <c r="V3154">
        <f>IF(AND(OR(Dashboard!$C$6="All",E3154=Dashboard!$C$6),OR(Dashboard!$F$6="All",G3154=Dashboard!$F$6),OR(Dashboard!$I$6="All",H3154=Dashboard!$I$6)),1,0)</f>
        <v/>
      </c>
    </row>
    <row r="3155">
      <c r="A3155" t="inlineStr">
        <is>
          <t>PF103146</t>
        </is>
      </c>
      <c r="B3155" s="68" t="n">
        <v>46038</v>
      </c>
      <c r="C3155" s="69" t="n">
        <v>2026</v>
      </c>
      <c r="D3155" t="inlineStr">
        <is>
          <t>Jan</t>
        </is>
      </c>
      <c r="E3155" t="inlineStr">
        <is>
          <t>Europe</t>
        </is>
      </c>
      <c r="F3155" t="inlineStr">
        <is>
          <t>UK</t>
        </is>
      </c>
      <c r="G3155" t="inlineStr">
        <is>
          <t>Prevnar 20</t>
        </is>
      </c>
      <c r="H3155" t="inlineStr">
        <is>
          <t>Hospital</t>
        </is>
      </c>
      <c r="I3155" t="inlineStr">
        <is>
          <t>Private insurer</t>
        </is>
      </c>
      <c r="J3155" t="inlineStr">
        <is>
          <t>Wei Chen</t>
        </is>
      </c>
      <c r="K3155" s="70" t="n">
        <v>711</v>
      </c>
      <c r="L3155" s="71" t="n">
        <v>218.69</v>
      </c>
      <c r="M3155" s="71" t="n">
        <v>155488.59</v>
      </c>
      <c r="N3155" s="71" t="n">
        <v>31097.72</v>
      </c>
      <c r="O3155" s="71" t="n">
        <v>124390.87</v>
      </c>
      <c r="P3155" s="71" t="n">
        <v>50461.06</v>
      </c>
      <c r="Q3155" s="71" t="n">
        <v>73929.81</v>
      </c>
      <c r="R3155" t="inlineStr">
        <is>
          <t>Vaccines</t>
        </is>
      </c>
      <c r="S3155" s="70" t="n">
        <v>590</v>
      </c>
      <c r="T3155" s="71" t="n">
        <v>18421.32</v>
      </c>
      <c r="U3155" t="inlineStr">
        <is>
          <t>Low</t>
        </is>
      </c>
      <c r="V3155">
        <f>IF(AND(OR(Dashboard!$C$6="All",E3155=Dashboard!$C$6),OR(Dashboard!$F$6="All",G3155=Dashboard!$F$6),OR(Dashboard!$I$6="All",H3155=Dashboard!$I$6)),1,0)</f>
        <v/>
      </c>
    </row>
    <row r="3156">
      <c r="A3156" t="inlineStr">
        <is>
          <t>PF103147</t>
        </is>
      </c>
      <c r="B3156" s="68" t="n">
        <v>46038</v>
      </c>
      <c r="C3156" s="69" t="n">
        <v>2026</v>
      </c>
      <c r="D3156" t="inlineStr">
        <is>
          <t>Jan</t>
        </is>
      </c>
      <c r="E3156" t="inlineStr">
        <is>
          <t>United States</t>
        </is>
      </c>
      <c r="F3156" t="inlineStr">
        <is>
          <t>USA</t>
        </is>
      </c>
      <c r="G3156" t="inlineStr">
        <is>
          <t>Vyndaqel</t>
        </is>
      </c>
      <c r="H3156" t="inlineStr">
        <is>
          <t>Hospital</t>
        </is>
      </c>
      <c r="I3156" t="inlineStr">
        <is>
          <t>Private insurer</t>
        </is>
      </c>
      <c r="J3156" t="inlineStr">
        <is>
          <t>Emma Clarke</t>
        </is>
      </c>
      <c r="K3156" s="70" t="n">
        <v>348</v>
      </c>
      <c r="L3156" s="71" t="n">
        <v>9889.889999999999</v>
      </c>
      <c r="M3156" s="71" t="n">
        <v>3441681.72</v>
      </c>
      <c r="N3156" s="71" t="n">
        <v>688336.34</v>
      </c>
      <c r="O3156" s="71" t="n">
        <v>2753345.38</v>
      </c>
      <c r="P3156" s="71" t="n">
        <v>208749.99</v>
      </c>
      <c r="Q3156" s="71" t="n">
        <v>2544595.39</v>
      </c>
      <c r="R3156" t="inlineStr">
        <is>
          <t>Rare disease</t>
        </is>
      </c>
      <c r="S3156" s="70" t="n">
        <v>317</v>
      </c>
      <c r="T3156" s="71" t="n">
        <v>454451.48</v>
      </c>
      <c r="U3156" t="inlineStr">
        <is>
          <t>Medium</t>
        </is>
      </c>
      <c r="V3156">
        <f>IF(AND(OR(Dashboard!$C$6="All",E3156=Dashboard!$C$6),OR(Dashboard!$F$6="All",G3156=Dashboard!$F$6),OR(Dashboard!$I$6="All",H3156=Dashboard!$I$6)),1,0)</f>
        <v/>
      </c>
    </row>
    <row r="3157">
      <c r="A3157" t="inlineStr">
        <is>
          <t>PF103148</t>
        </is>
      </c>
      <c r="B3157" s="68" t="n">
        <v>46038</v>
      </c>
      <c r="C3157" s="69" t="n">
        <v>2026</v>
      </c>
      <c r="D3157" t="inlineStr">
        <is>
          <t>Jan</t>
        </is>
      </c>
      <c r="E3157" t="inlineStr">
        <is>
          <t>Europe</t>
        </is>
      </c>
      <c r="F3157" t="inlineStr">
        <is>
          <t>Spain</t>
        </is>
      </c>
      <c r="G3157" t="inlineStr">
        <is>
          <t>Xeljanz</t>
        </is>
      </c>
      <c r="H3157" t="inlineStr">
        <is>
          <t>Retail pharmacy</t>
        </is>
      </c>
      <c r="I3157" t="inlineStr">
        <is>
          <t>Self-pay</t>
        </is>
      </c>
      <c r="J3157" t="inlineStr">
        <is>
          <t>Emma Clarke</t>
        </is>
      </c>
      <c r="K3157" s="70" t="n">
        <v>1571</v>
      </c>
      <c r="L3157" s="71" t="n">
        <v>1284.98</v>
      </c>
      <c r="M3157" s="71" t="n">
        <v>2018703.58</v>
      </c>
      <c r="N3157" s="71" t="n">
        <v>201870.36</v>
      </c>
      <c r="O3157" s="71" t="n">
        <v>1816833.22</v>
      </c>
      <c r="P3157" s="71" t="n">
        <v>388944.2</v>
      </c>
      <c r="Q3157" s="71" t="n">
        <v>1427889.02</v>
      </c>
      <c r="R3157" t="inlineStr">
        <is>
          <t>Inflammation</t>
        </is>
      </c>
      <c r="S3157" s="70" t="n">
        <v>1254</v>
      </c>
      <c r="T3157" s="71" t="n">
        <v>282866.81</v>
      </c>
      <c r="U3157" t="inlineStr">
        <is>
          <t>High</t>
        </is>
      </c>
      <c r="V3157">
        <f>IF(AND(OR(Dashboard!$C$6="All",E3157=Dashboard!$C$6),OR(Dashboard!$F$6="All",G3157=Dashboard!$F$6),OR(Dashboard!$I$6="All",H3157=Dashboard!$I$6)),1,0)</f>
        <v/>
      </c>
    </row>
    <row r="3158">
      <c r="A3158" t="inlineStr">
        <is>
          <t>PF103149</t>
        </is>
      </c>
      <c r="B3158" s="68" t="n">
        <v>46038</v>
      </c>
      <c r="C3158" s="69" t="n">
        <v>2026</v>
      </c>
      <c r="D3158" t="inlineStr">
        <is>
          <t>Jan</t>
        </is>
      </c>
      <c r="E3158" t="inlineStr">
        <is>
          <t>Europe</t>
        </is>
      </c>
      <c r="F3158" t="inlineStr">
        <is>
          <t>Germany</t>
        </is>
      </c>
      <c r="G3158" t="inlineStr">
        <is>
          <t>Prevnar 20</t>
        </is>
      </c>
      <c r="H3158" t="inlineStr">
        <is>
          <t>Hospital</t>
        </is>
      </c>
      <c r="I3158" t="inlineStr">
        <is>
          <t>Public payer</t>
        </is>
      </c>
      <c r="J3158" t="inlineStr">
        <is>
          <t>Ravindra Patil</t>
        </is>
      </c>
      <c r="K3158" s="70" t="n">
        <v>677</v>
      </c>
      <c r="L3158" s="71" t="n">
        <v>244.94</v>
      </c>
      <c r="M3158" s="71" t="n">
        <v>165824.38</v>
      </c>
      <c r="N3158" s="71" t="n">
        <v>41456.1</v>
      </c>
      <c r="O3158" s="71" t="n">
        <v>124368.28</v>
      </c>
      <c r="P3158" s="71" t="n">
        <v>48567.94</v>
      </c>
      <c r="Q3158" s="71" t="n">
        <v>75800.34</v>
      </c>
      <c r="R3158" t="inlineStr">
        <is>
          <t>Vaccines</t>
        </is>
      </c>
      <c r="S3158" s="70" t="n">
        <v>547</v>
      </c>
      <c r="T3158" s="71" t="n">
        <v>31691.77</v>
      </c>
      <c r="U3158" t="inlineStr">
        <is>
          <t>Low</t>
        </is>
      </c>
      <c r="V3158">
        <f>IF(AND(OR(Dashboard!$C$6="All",E3158=Dashboard!$C$6),OR(Dashboard!$F$6="All",G3158=Dashboard!$F$6),OR(Dashboard!$I$6="All",H3158=Dashboard!$I$6)),1,0)</f>
        <v/>
      </c>
    </row>
    <row r="3159">
      <c r="A3159" t="inlineStr">
        <is>
          <t>PF103150</t>
        </is>
      </c>
      <c r="B3159" s="68" t="n">
        <v>46038</v>
      </c>
      <c r="C3159" s="69" t="n">
        <v>2026</v>
      </c>
      <c r="D3159" t="inlineStr">
        <is>
          <t>Jan</t>
        </is>
      </c>
      <c r="E3159" t="inlineStr">
        <is>
          <t>Emerging markets</t>
        </is>
      </c>
      <c r="F3159" t="inlineStr">
        <is>
          <t>Mexico</t>
        </is>
      </c>
      <c r="G3159" t="inlineStr">
        <is>
          <t>Eliquis</t>
        </is>
      </c>
      <c r="H3159" t="inlineStr">
        <is>
          <t>Retail pharmacy</t>
        </is>
      </c>
      <c r="I3159" t="inlineStr">
        <is>
          <t>Public payer</t>
        </is>
      </c>
      <c r="J3159" t="inlineStr">
        <is>
          <t>Olivia Brown</t>
        </is>
      </c>
      <c r="K3159" s="70" t="n">
        <v>1252</v>
      </c>
      <c r="L3159" s="71" t="n">
        <v>398.05</v>
      </c>
      <c r="M3159" s="71" t="n">
        <v>498358.6</v>
      </c>
      <c r="N3159" s="71" t="n">
        <v>74753.78999999999</v>
      </c>
      <c r="O3159" s="71" t="n">
        <v>423604.81</v>
      </c>
      <c r="P3159" s="71" t="n">
        <v>93516.28999999999</v>
      </c>
      <c r="Q3159" s="71" t="n">
        <v>330088.52</v>
      </c>
      <c r="R3159" t="inlineStr">
        <is>
          <t>Cardiology</t>
        </is>
      </c>
      <c r="S3159" s="70" t="n">
        <v>1095</v>
      </c>
      <c r="T3159" s="71" t="n">
        <v>97364.57000000001</v>
      </c>
      <c r="U3159" t="inlineStr">
        <is>
          <t>High</t>
        </is>
      </c>
      <c r="V3159">
        <f>IF(AND(OR(Dashboard!$C$6="All",E3159=Dashboard!$C$6),OR(Dashboard!$F$6="All",G3159=Dashboard!$F$6),OR(Dashboard!$I$6="All",H3159=Dashboard!$I$6)),1,0)</f>
        <v/>
      </c>
    </row>
    <row r="3160">
      <c r="A3160" t="inlineStr">
        <is>
          <t>PF103151</t>
        </is>
      </c>
      <c r="B3160" s="68" t="n">
        <v>46039</v>
      </c>
      <c r="C3160" s="69" t="n">
        <v>2026</v>
      </c>
      <c r="D3160" t="inlineStr">
        <is>
          <t>Jan</t>
        </is>
      </c>
      <c r="E3160" t="inlineStr">
        <is>
          <t>United States</t>
        </is>
      </c>
      <c r="F3160" t="inlineStr">
        <is>
          <t>USA</t>
        </is>
      </c>
      <c r="G3160" t="inlineStr">
        <is>
          <t>Vyndaqel</t>
        </is>
      </c>
      <c r="H3160" t="inlineStr">
        <is>
          <t>Retail pharmacy</t>
        </is>
      </c>
      <c r="I3160" t="inlineStr">
        <is>
          <t>Private insurer</t>
        </is>
      </c>
      <c r="J3160" t="inlineStr">
        <is>
          <t>Yuki Sato</t>
        </is>
      </c>
      <c r="K3160" s="70" t="n">
        <v>1195</v>
      </c>
      <c r="L3160" s="71" t="n">
        <v>10104.35</v>
      </c>
      <c r="M3160" s="71" t="n">
        <v>12074698.25</v>
      </c>
      <c r="N3160" s="71" t="n">
        <v>2414939.65</v>
      </c>
      <c r="O3160" s="71" t="n">
        <v>9659758.6</v>
      </c>
      <c r="P3160" s="71" t="n">
        <v>751589.71</v>
      </c>
      <c r="Q3160" s="71" t="n">
        <v>8908168.890000001</v>
      </c>
      <c r="R3160" t="inlineStr">
        <is>
          <t>Rare disease</t>
        </is>
      </c>
      <c r="S3160" s="70" t="n">
        <v>839</v>
      </c>
      <c r="T3160" s="71" t="n">
        <v>2206715</v>
      </c>
      <c r="U3160" t="inlineStr">
        <is>
          <t>Medium</t>
        </is>
      </c>
      <c r="V3160">
        <f>IF(AND(OR(Dashboard!$C$6="All",E3160=Dashboard!$C$6),OR(Dashboard!$F$6="All",G3160=Dashboard!$F$6),OR(Dashboard!$I$6="All",H3160=Dashboard!$I$6)),1,0)</f>
        <v/>
      </c>
    </row>
    <row r="3161">
      <c r="A3161" t="inlineStr">
        <is>
          <t>PF103152</t>
        </is>
      </c>
      <c r="B3161" s="68" t="n">
        <v>46039</v>
      </c>
      <c r="C3161" s="69" t="n">
        <v>2026</v>
      </c>
      <c r="D3161" t="inlineStr">
        <is>
          <t>Jan</t>
        </is>
      </c>
      <c r="E3161" t="inlineStr">
        <is>
          <t>International developed</t>
        </is>
      </c>
      <c r="F3161" t="inlineStr">
        <is>
          <t>Japan</t>
        </is>
      </c>
      <c r="G3161" t="inlineStr">
        <is>
          <t>Ibrance</t>
        </is>
      </c>
      <c r="H3161" t="inlineStr">
        <is>
          <t>Retail pharmacy</t>
        </is>
      </c>
      <c r="I3161" t="inlineStr">
        <is>
          <t>Private insurer</t>
        </is>
      </c>
      <c r="J3161" t="inlineStr">
        <is>
          <t>Shraddha Kulkarni</t>
        </is>
      </c>
      <c r="K3161" s="70" t="n">
        <v>1509</v>
      </c>
      <c r="L3161" s="71" t="n">
        <v>2816.41</v>
      </c>
      <c r="M3161" s="71" t="n">
        <v>4249962.69</v>
      </c>
      <c r="N3161" s="71" t="n">
        <v>212498.13</v>
      </c>
      <c r="O3161" s="71" t="n">
        <v>4037464.56</v>
      </c>
      <c r="P3161" s="71" t="n">
        <v>647633.13</v>
      </c>
      <c r="Q3161" s="71" t="n">
        <v>3389831.43</v>
      </c>
      <c r="R3161" t="inlineStr">
        <is>
          <t>Oncology</t>
        </is>
      </c>
      <c r="S3161" s="70" t="n">
        <v>1335</v>
      </c>
      <c r="T3161" s="71" t="n">
        <v>772795.6800000001</v>
      </c>
      <c r="U3161" t="inlineStr">
        <is>
          <t>High</t>
        </is>
      </c>
      <c r="V3161">
        <f>IF(AND(OR(Dashboard!$C$6="All",E3161=Dashboard!$C$6),OR(Dashboard!$F$6="All",G3161=Dashboard!$F$6),OR(Dashboard!$I$6="All",H3161=Dashboard!$I$6)),1,0)</f>
        <v/>
      </c>
    </row>
    <row r="3162">
      <c r="A3162" t="inlineStr">
        <is>
          <t>PF103153</t>
        </is>
      </c>
      <c r="B3162" s="68" t="n">
        <v>46039</v>
      </c>
      <c r="C3162" s="69" t="n">
        <v>2026</v>
      </c>
      <c r="D3162" t="inlineStr">
        <is>
          <t>Jan</t>
        </is>
      </c>
      <c r="E3162" t="inlineStr">
        <is>
          <t>Europe</t>
        </is>
      </c>
      <c r="F3162" t="inlineStr">
        <is>
          <t>France</t>
        </is>
      </c>
      <c r="G3162" t="inlineStr">
        <is>
          <t>Abrysvo</t>
        </is>
      </c>
      <c r="H3162" t="inlineStr">
        <is>
          <t>Hospital</t>
        </is>
      </c>
      <c r="I3162" t="inlineStr">
        <is>
          <t>Public payer</t>
        </is>
      </c>
      <c r="J3162" t="inlineStr">
        <is>
          <t>Ruhi Shaikh</t>
        </is>
      </c>
      <c r="K3162" s="70" t="n">
        <v>1062</v>
      </c>
      <c r="L3162" s="71" t="n">
        <v>337.96</v>
      </c>
      <c r="M3162" s="71" t="n">
        <v>358913.52</v>
      </c>
      <c r="N3162" s="71" t="n">
        <v>89728.38</v>
      </c>
      <c r="O3162" s="71" t="n">
        <v>269185.14</v>
      </c>
      <c r="P3162" s="71" t="n">
        <v>89374.55</v>
      </c>
      <c r="Q3162" s="71" t="n">
        <v>179810.59</v>
      </c>
      <c r="R3162" t="inlineStr">
        <is>
          <t>Vaccines</t>
        </is>
      </c>
      <c r="S3162" s="70" t="n">
        <v>753</v>
      </c>
      <c r="T3162" s="71" t="n">
        <v>67122.38</v>
      </c>
      <c r="U3162" t="inlineStr">
        <is>
          <t>Low</t>
        </is>
      </c>
      <c r="V3162">
        <f>IF(AND(OR(Dashboard!$C$6="All",E3162=Dashboard!$C$6),OR(Dashboard!$F$6="All",G3162=Dashboard!$F$6),OR(Dashboard!$I$6="All",H3162=Dashboard!$I$6)),1,0)</f>
        <v/>
      </c>
    </row>
    <row r="3163">
      <c r="A3163" t="inlineStr">
        <is>
          <t>PF103154</t>
        </is>
      </c>
      <c r="B3163" s="68" t="n">
        <v>46039</v>
      </c>
      <c r="C3163" s="69" t="n">
        <v>2026</v>
      </c>
      <c r="D3163" t="inlineStr">
        <is>
          <t>Jan</t>
        </is>
      </c>
      <c r="E3163" t="inlineStr">
        <is>
          <t>Emerging markets</t>
        </is>
      </c>
      <c r="F3163" t="inlineStr">
        <is>
          <t>Mexico</t>
        </is>
      </c>
      <c r="G3163" t="inlineStr">
        <is>
          <t>Eliquis</t>
        </is>
      </c>
      <c r="H3163" t="inlineStr">
        <is>
          <t>Government / tender</t>
        </is>
      </c>
      <c r="I3163" t="inlineStr">
        <is>
          <t>Public payer</t>
        </is>
      </c>
      <c r="J3163" t="inlineStr">
        <is>
          <t>Noah Smith</t>
        </is>
      </c>
      <c r="K3163" s="70" t="n">
        <v>2370</v>
      </c>
      <c r="L3163" s="71" t="n">
        <v>470.35</v>
      </c>
      <c r="M3163" s="71" t="n">
        <v>1114729.5</v>
      </c>
      <c r="N3163" s="71" t="n">
        <v>111472.95</v>
      </c>
      <c r="O3163" s="71" t="n">
        <v>1003256.55</v>
      </c>
      <c r="P3163" s="71" t="n">
        <v>185884.55</v>
      </c>
      <c r="Q3163" s="71" t="n">
        <v>817372</v>
      </c>
      <c r="R3163" t="inlineStr">
        <is>
          <t>Cardiology</t>
        </is>
      </c>
      <c r="S3163" s="70" t="n">
        <v>1691</v>
      </c>
      <c r="T3163" s="71" t="n">
        <v>192476.1</v>
      </c>
      <c r="U3163" t="inlineStr">
        <is>
          <t>High</t>
        </is>
      </c>
      <c r="V3163">
        <f>IF(AND(OR(Dashboard!$C$6="All",E3163=Dashboard!$C$6),OR(Dashboard!$F$6="All",G3163=Dashboard!$F$6),OR(Dashboard!$I$6="All",H3163=Dashboard!$I$6)),1,0)</f>
        <v/>
      </c>
    </row>
    <row r="3164">
      <c r="A3164" t="inlineStr">
        <is>
          <t>PF103155</t>
        </is>
      </c>
      <c r="B3164" s="68" t="n">
        <v>46039</v>
      </c>
      <c r="C3164" s="69" t="n">
        <v>2026</v>
      </c>
      <c r="D3164" t="inlineStr">
        <is>
          <t>Jan</t>
        </is>
      </c>
      <c r="E3164" t="inlineStr">
        <is>
          <t>International developed</t>
        </is>
      </c>
      <c r="F3164" t="inlineStr">
        <is>
          <t>Australia</t>
        </is>
      </c>
      <c r="G3164" t="inlineStr">
        <is>
          <t>Xeljanz</t>
        </is>
      </c>
      <c r="H3164" t="inlineStr">
        <is>
          <t>Retail pharmacy</t>
        </is>
      </c>
      <c r="I3164" t="inlineStr">
        <is>
          <t>Self-pay</t>
        </is>
      </c>
      <c r="J3164" t="inlineStr">
        <is>
          <t>Priya Nair</t>
        </is>
      </c>
      <c r="K3164" s="70" t="n">
        <v>375</v>
      </c>
      <c r="L3164" s="71" t="n">
        <v>1274.46</v>
      </c>
      <c r="M3164" s="71" t="n">
        <v>477922.5</v>
      </c>
      <c r="N3164" s="71" t="n">
        <v>23896.12</v>
      </c>
      <c r="O3164" s="71" t="n">
        <v>454026.38</v>
      </c>
      <c r="P3164" s="71" t="n">
        <v>96005.55</v>
      </c>
      <c r="Q3164" s="71" t="n">
        <v>358020.83</v>
      </c>
      <c r="R3164" t="inlineStr">
        <is>
          <t>Inflammation</t>
        </is>
      </c>
      <c r="S3164" s="70" t="n">
        <v>333</v>
      </c>
      <c r="T3164" s="71" t="n">
        <v>96733.78999999999</v>
      </c>
      <c r="U3164" t="inlineStr">
        <is>
          <t>High</t>
        </is>
      </c>
      <c r="V3164">
        <f>IF(AND(OR(Dashboard!$C$6="All",E3164=Dashboard!$C$6),OR(Dashboard!$F$6="All",G3164=Dashboard!$F$6),OR(Dashboard!$I$6="All",H3164=Dashboard!$I$6)),1,0)</f>
        <v/>
      </c>
    </row>
    <row r="3165">
      <c r="A3165" t="inlineStr">
        <is>
          <t>PF103156</t>
        </is>
      </c>
      <c r="B3165" s="68" t="n">
        <v>46039</v>
      </c>
      <c r="C3165" s="69" t="n">
        <v>2026</v>
      </c>
      <c r="D3165" t="inlineStr">
        <is>
          <t>Jan</t>
        </is>
      </c>
      <c r="E3165" t="inlineStr">
        <is>
          <t>United States</t>
        </is>
      </c>
      <c r="F3165" t="inlineStr">
        <is>
          <t>USA</t>
        </is>
      </c>
      <c r="G3165" t="inlineStr">
        <is>
          <t>Xeljanz</t>
        </is>
      </c>
      <c r="H3165" t="inlineStr">
        <is>
          <t>Government / tender</t>
        </is>
      </c>
      <c r="I3165" t="inlineStr">
        <is>
          <t>Private insurer</t>
        </is>
      </c>
      <c r="J3165" t="inlineStr">
        <is>
          <t>Noah Smith</t>
        </is>
      </c>
      <c r="K3165" s="70" t="n">
        <v>1129</v>
      </c>
      <c r="L3165" s="71" t="n">
        <v>1958.51</v>
      </c>
      <c r="M3165" s="71" t="n">
        <v>2211157.79</v>
      </c>
      <c r="N3165" s="71" t="n">
        <v>773905.23</v>
      </c>
      <c r="O3165" s="71" t="n">
        <v>1437252.56</v>
      </c>
      <c r="P3165" s="71" t="n">
        <v>292386.94</v>
      </c>
      <c r="Q3165" s="71" t="n">
        <v>1144865.62</v>
      </c>
      <c r="R3165" t="inlineStr">
        <is>
          <t>Inflammation</t>
        </is>
      </c>
      <c r="S3165" s="70" t="n">
        <v>814</v>
      </c>
      <c r="T3165" s="71" t="n">
        <v>332205.49</v>
      </c>
      <c r="U3165" t="inlineStr">
        <is>
          <t>High</t>
        </is>
      </c>
      <c r="V3165">
        <f>IF(AND(OR(Dashboard!$C$6="All",E3165=Dashboard!$C$6),OR(Dashboard!$F$6="All",G3165=Dashboard!$F$6),OR(Dashboard!$I$6="All",H3165=Dashboard!$I$6)),1,0)</f>
        <v/>
      </c>
    </row>
    <row r="3166">
      <c r="A3166" t="inlineStr">
        <is>
          <t>PF103157</t>
        </is>
      </c>
      <c r="B3166" s="68" t="n">
        <v>46039</v>
      </c>
      <c r="C3166" s="69" t="n">
        <v>2026</v>
      </c>
      <c r="D3166" t="inlineStr">
        <is>
          <t>Jan</t>
        </is>
      </c>
      <c r="E3166" t="inlineStr">
        <is>
          <t>International developed</t>
        </is>
      </c>
      <c r="F3166" t="inlineStr">
        <is>
          <t>Japan</t>
        </is>
      </c>
      <c r="G3166" t="inlineStr">
        <is>
          <t>Prevnar 20</t>
        </is>
      </c>
      <c r="H3166" t="inlineStr">
        <is>
          <t>Retail pharmacy</t>
        </is>
      </c>
      <c r="I3166" t="inlineStr">
        <is>
          <t>Private insurer</t>
        </is>
      </c>
      <c r="J3166" t="inlineStr">
        <is>
          <t>Arjun Mehta</t>
        </is>
      </c>
      <c r="K3166" s="70" t="n">
        <v>1982</v>
      </c>
      <c r="L3166" s="71" t="n">
        <v>246.27</v>
      </c>
      <c r="M3166" s="71" t="n">
        <v>488107.14</v>
      </c>
      <c r="N3166" s="71" t="n">
        <v>48810.71</v>
      </c>
      <c r="O3166" s="71" t="n">
        <v>439296.43</v>
      </c>
      <c r="P3166" s="71" t="n">
        <v>139214.93</v>
      </c>
      <c r="Q3166" s="71" t="n">
        <v>300081.5</v>
      </c>
      <c r="R3166" t="inlineStr">
        <is>
          <t>Vaccines</t>
        </is>
      </c>
      <c r="S3166" s="70" t="n">
        <v>1286</v>
      </c>
      <c r="T3166" s="71" t="n">
        <v>61504.19</v>
      </c>
      <c r="U3166" t="inlineStr">
        <is>
          <t>Low</t>
        </is>
      </c>
      <c r="V3166">
        <f>IF(AND(OR(Dashboard!$C$6="All",E3166=Dashboard!$C$6),OR(Dashboard!$F$6="All",G3166=Dashboard!$F$6),OR(Dashboard!$I$6="All",H3166=Dashboard!$I$6)),1,0)</f>
        <v/>
      </c>
    </row>
    <row r="3167">
      <c r="A3167" t="inlineStr">
        <is>
          <t>PF103158</t>
        </is>
      </c>
      <c r="B3167" s="68" t="n">
        <v>46039</v>
      </c>
      <c r="C3167" s="69" t="n">
        <v>2026</v>
      </c>
      <c r="D3167" t="inlineStr">
        <is>
          <t>Jan</t>
        </is>
      </c>
      <c r="E3167" t="inlineStr">
        <is>
          <t>Europe</t>
        </is>
      </c>
      <c r="F3167" t="inlineStr">
        <is>
          <t>France</t>
        </is>
      </c>
      <c r="G3167" t="inlineStr">
        <is>
          <t>Abrysvo</t>
        </is>
      </c>
      <c r="H3167" t="inlineStr">
        <is>
          <t>Hospital</t>
        </is>
      </c>
      <c r="I3167" t="inlineStr">
        <is>
          <t>Public payer</t>
        </is>
      </c>
      <c r="J3167" t="inlineStr">
        <is>
          <t>Yuki Sato</t>
        </is>
      </c>
      <c r="K3167" s="70" t="n">
        <v>1943</v>
      </c>
      <c r="L3167" s="71" t="n">
        <v>346.02</v>
      </c>
      <c r="M3167" s="71" t="n">
        <v>672316.86</v>
      </c>
      <c r="N3167" s="71" t="n">
        <v>134463.37</v>
      </c>
      <c r="O3167" s="71" t="n">
        <v>537853.49</v>
      </c>
      <c r="P3167" s="71" t="n">
        <v>160798.39</v>
      </c>
      <c r="Q3167" s="71" t="n">
        <v>377055.1</v>
      </c>
      <c r="R3167" t="inlineStr">
        <is>
          <t>Vaccines</t>
        </is>
      </c>
      <c r="S3167" s="70" t="n">
        <v>1374</v>
      </c>
      <c r="T3167" s="71" t="n">
        <v>86726.89999999999</v>
      </c>
      <c r="U3167" t="inlineStr">
        <is>
          <t>Low</t>
        </is>
      </c>
      <c r="V3167">
        <f>IF(AND(OR(Dashboard!$C$6="All",E3167=Dashboard!$C$6),OR(Dashboard!$F$6="All",G3167=Dashboard!$F$6),OR(Dashboard!$I$6="All",H3167=Dashboard!$I$6)),1,0)</f>
        <v/>
      </c>
    </row>
    <row r="3168">
      <c r="A3168" t="inlineStr">
        <is>
          <t>PF103159</t>
        </is>
      </c>
      <c r="B3168" s="68" t="n">
        <v>46039</v>
      </c>
      <c r="C3168" s="69" t="n">
        <v>2026</v>
      </c>
      <c r="D3168" t="inlineStr">
        <is>
          <t>Jan</t>
        </is>
      </c>
      <c r="E3168" t="inlineStr">
        <is>
          <t>Emerging markets</t>
        </is>
      </c>
      <c r="F3168" t="inlineStr">
        <is>
          <t>India</t>
        </is>
      </c>
      <c r="G3168" t="inlineStr">
        <is>
          <t>Xeljanz</t>
        </is>
      </c>
      <c r="H3168" t="inlineStr">
        <is>
          <t>Hospital</t>
        </is>
      </c>
      <c r="I3168" t="inlineStr">
        <is>
          <t>Private insurer</t>
        </is>
      </c>
      <c r="J3168" t="inlineStr">
        <is>
          <t>Olivia Brown</t>
        </is>
      </c>
      <c r="K3168" s="70" t="n">
        <v>1835</v>
      </c>
      <c r="L3168" s="71" t="n">
        <v>1256.96</v>
      </c>
      <c r="M3168" s="71" t="n">
        <v>2306521.6</v>
      </c>
      <c r="N3168" s="71" t="n">
        <v>461304.32</v>
      </c>
      <c r="O3168" s="71" t="n">
        <v>1845217.28</v>
      </c>
      <c r="P3168" s="71" t="n">
        <v>474313.71</v>
      </c>
      <c r="Q3168" s="71" t="n">
        <v>1370903.57</v>
      </c>
      <c r="R3168" t="inlineStr">
        <is>
          <t>Inflammation</t>
        </is>
      </c>
      <c r="S3168" s="70" t="n">
        <v>1545</v>
      </c>
      <c r="T3168" s="71" t="n">
        <v>500022.78</v>
      </c>
      <c r="U3168" t="inlineStr">
        <is>
          <t>High</t>
        </is>
      </c>
      <c r="V3168">
        <f>IF(AND(OR(Dashboard!$C$6="All",E3168=Dashboard!$C$6),OR(Dashboard!$F$6="All",G3168=Dashboard!$F$6),OR(Dashboard!$I$6="All",H3168=Dashboard!$I$6)),1,0)</f>
        <v/>
      </c>
    </row>
    <row r="3169">
      <c r="A3169" t="inlineStr">
        <is>
          <t>PF103160</t>
        </is>
      </c>
      <c r="B3169" s="68" t="n">
        <v>46040</v>
      </c>
      <c r="C3169" s="69" t="n">
        <v>2026</v>
      </c>
      <c r="D3169" t="inlineStr">
        <is>
          <t>Jan</t>
        </is>
      </c>
      <c r="E3169" t="inlineStr">
        <is>
          <t>Europe</t>
        </is>
      </c>
      <c r="F3169" t="inlineStr">
        <is>
          <t>Italy</t>
        </is>
      </c>
      <c r="G3169" t="inlineStr">
        <is>
          <t>Abrysvo</t>
        </is>
      </c>
      <c r="H3169" t="inlineStr">
        <is>
          <t>Hospital</t>
        </is>
      </c>
      <c r="I3169" t="inlineStr">
        <is>
          <t>Private insurer</t>
        </is>
      </c>
      <c r="J3169" t="inlineStr">
        <is>
          <t>Ravindra Patil</t>
        </is>
      </c>
      <c r="K3169" s="70" t="n">
        <v>2988</v>
      </c>
      <c r="L3169" s="71" t="n">
        <v>303.87</v>
      </c>
      <c r="M3169" s="71" t="n">
        <v>907963.5600000001</v>
      </c>
      <c r="N3169" s="71" t="n">
        <v>181592.71</v>
      </c>
      <c r="O3169" s="71" t="n">
        <v>726370.85</v>
      </c>
      <c r="P3169" s="71" t="n">
        <v>260643.88</v>
      </c>
      <c r="Q3169" s="71" t="n">
        <v>465726.97</v>
      </c>
      <c r="R3169" t="inlineStr">
        <is>
          <t>Vaccines</t>
        </is>
      </c>
      <c r="S3169" s="70" t="n">
        <v>1971</v>
      </c>
      <c r="T3169" s="71" t="n">
        <v>123230.09</v>
      </c>
      <c r="U3169" t="inlineStr">
        <is>
          <t>Low</t>
        </is>
      </c>
      <c r="V3169">
        <f>IF(AND(OR(Dashboard!$C$6="All",E3169=Dashboard!$C$6),OR(Dashboard!$F$6="All",G3169=Dashboard!$F$6),OR(Dashboard!$I$6="All",H3169=Dashboard!$I$6)),1,0)</f>
        <v/>
      </c>
    </row>
    <row r="3170">
      <c r="A3170" t="inlineStr">
        <is>
          <t>PF103161</t>
        </is>
      </c>
      <c r="B3170" s="68" t="n">
        <v>46040</v>
      </c>
      <c r="C3170" s="69" t="n">
        <v>2026</v>
      </c>
      <c r="D3170" t="inlineStr">
        <is>
          <t>Jan</t>
        </is>
      </c>
      <c r="E3170" t="inlineStr">
        <is>
          <t>Europe</t>
        </is>
      </c>
      <c r="F3170" t="inlineStr">
        <is>
          <t>Germany</t>
        </is>
      </c>
      <c r="G3170" t="inlineStr">
        <is>
          <t>Comirnaty</t>
        </is>
      </c>
      <c r="H3170" t="inlineStr">
        <is>
          <t>Government / tender</t>
        </is>
      </c>
      <c r="I3170" t="inlineStr">
        <is>
          <t>Public payer</t>
        </is>
      </c>
      <c r="J3170" t="inlineStr">
        <is>
          <t>Priya Nair</t>
        </is>
      </c>
      <c r="K3170" s="70" t="n">
        <v>1177</v>
      </c>
      <c r="L3170" s="71" t="n">
        <v>91.09</v>
      </c>
      <c r="M3170" s="71" t="n">
        <v>107212.93</v>
      </c>
      <c r="N3170" s="71" t="n">
        <v>21442.59</v>
      </c>
      <c r="O3170" s="71" t="n">
        <v>85770.34</v>
      </c>
      <c r="P3170" s="71" t="n">
        <v>46459.97</v>
      </c>
      <c r="Q3170" s="71" t="n">
        <v>39310.37</v>
      </c>
      <c r="R3170" t="inlineStr">
        <is>
          <t>Vaccines</t>
        </is>
      </c>
      <c r="S3170" s="70" t="n">
        <v>821</v>
      </c>
      <c r="T3170" s="71" t="n">
        <v>21914.63</v>
      </c>
      <c r="U3170" t="inlineStr">
        <is>
          <t>Low</t>
        </is>
      </c>
      <c r="V3170">
        <f>IF(AND(OR(Dashboard!$C$6="All",E3170=Dashboard!$C$6),OR(Dashboard!$F$6="All",G3170=Dashboard!$F$6),OR(Dashboard!$I$6="All",H3170=Dashboard!$I$6)),1,0)</f>
        <v/>
      </c>
    </row>
    <row r="3171">
      <c r="A3171" t="inlineStr">
        <is>
          <t>PF103162</t>
        </is>
      </c>
      <c r="B3171" s="68" t="n">
        <v>46040</v>
      </c>
      <c r="C3171" s="69" t="n">
        <v>2026</v>
      </c>
      <c r="D3171" t="inlineStr">
        <is>
          <t>Jan</t>
        </is>
      </c>
      <c r="E3171" t="inlineStr">
        <is>
          <t>International developed</t>
        </is>
      </c>
      <c r="F3171" t="inlineStr">
        <is>
          <t>Japan</t>
        </is>
      </c>
      <c r="G3171" t="inlineStr">
        <is>
          <t>Prevnar 20</t>
        </is>
      </c>
      <c r="H3171" t="inlineStr">
        <is>
          <t>Hospital</t>
        </is>
      </c>
      <c r="I3171" t="inlineStr">
        <is>
          <t>Private insurer</t>
        </is>
      </c>
      <c r="J3171" t="inlineStr">
        <is>
          <t>Wei Chen</t>
        </is>
      </c>
      <c r="K3171" s="70" t="n">
        <v>675</v>
      </c>
      <c r="L3171" s="71" t="n">
        <v>254.19</v>
      </c>
      <c r="M3171" s="71" t="n">
        <v>171578.25</v>
      </c>
      <c r="N3171" s="71" t="n">
        <v>34315.65</v>
      </c>
      <c r="O3171" s="71" t="n">
        <v>137262.6</v>
      </c>
      <c r="P3171" s="71" t="n">
        <v>45369.93</v>
      </c>
      <c r="Q3171" s="71" t="n">
        <v>91892.67</v>
      </c>
      <c r="R3171" t="inlineStr">
        <is>
          <t>Vaccines</t>
        </is>
      </c>
      <c r="S3171" s="70" t="n">
        <v>629</v>
      </c>
      <c r="T3171" s="71" t="n">
        <v>28169.8</v>
      </c>
      <c r="U3171" t="inlineStr">
        <is>
          <t>Low</t>
        </is>
      </c>
      <c r="V3171">
        <f>IF(AND(OR(Dashboard!$C$6="All",E3171=Dashboard!$C$6),OR(Dashboard!$F$6="All",G3171=Dashboard!$F$6),OR(Dashboard!$I$6="All",H3171=Dashboard!$I$6)),1,0)</f>
        <v/>
      </c>
    </row>
    <row r="3172">
      <c r="A3172" t="inlineStr">
        <is>
          <t>PF103163</t>
        </is>
      </c>
      <c r="B3172" s="68" t="n">
        <v>46040</v>
      </c>
      <c r="C3172" s="69" t="n">
        <v>2026</v>
      </c>
      <c r="D3172" t="inlineStr">
        <is>
          <t>Jan</t>
        </is>
      </c>
      <c r="E3172" t="inlineStr">
        <is>
          <t>United States</t>
        </is>
      </c>
      <c r="F3172" t="inlineStr">
        <is>
          <t>USA</t>
        </is>
      </c>
      <c r="G3172" t="inlineStr">
        <is>
          <t>Paxlovid</t>
        </is>
      </c>
      <c r="H3172" t="inlineStr">
        <is>
          <t>Government / tender</t>
        </is>
      </c>
      <c r="I3172" t="inlineStr">
        <is>
          <t>Private insurer</t>
        </is>
      </c>
      <c r="J3172" t="inlineStr">
        <is>
          <t>Carlos Silva</t>
        </is>
      </c>
      <c r="K3172" s="70" t="n">
        <v>470</v>
      </c>
      <c r="L3172" s="71" t="n">
        <v>1382.56</v>
      </c>
      <c r="M3172" s="71" t="n">
        <v>649803.2</v>
      </c>
      <c r="N3172" s="71" t="n">
        <v>129960.64</v>
      </c>
      <c r="O3172" s="71" t="n">
        <v>519842.56</v>
      </c>
      <c r="P3172" s="71" t="n">
        <v>129231.66</v>
      </c>
      <c r="Q3172" s="71" t="n">
        <v>390610.9</v>
      </c>
      <c r="R3172" t="inlineStr">
        <is>
          <t>Antiviral</t>
        </is>
      </c>
      <c r="S3172" s="70" t="n">
        <v>402</v>
      </c>
      <c r="T3172" s="71" t="n">
        <v>119090.23</v>
      </c>
      <c r="U3172" t="inlineStr">
        <is>
          <t>Low</t>
        </is>
      </c>
      <c r="V3172">
        <f>IF(AND(OR(Dashboard!$C$6="All",E3172=Dashboard!$C$6),OR(Dashboard!$F$6="All",G3172=Dashboard!$F$6),OR(Dashboard!$I$6="All",H3172=Dashboard!$I$6)),1,0)</f>
        <v/>
      </c>
    </row>
    <row r="3173">
      <c r="A3173" t="inlineStr">
        <is>
          <t>PF103164</t>
        </is>
      </c>
      <c r="B3173" s="68" t="n">
        <v>46040</v>
      </c>
      <c r="C3173" s="69" t="n">
        <v>2026</v>
      </c>
      <c r="D3173" t="inlineStr">
        <is>
          <t>Jan</t>
        </is>
      </c>
      <c r="E3173" t="inlineStr">
        <is>
          <t>Europe</t>
        </is>
      </c>
      <c r="F3173" t="inlineStr">
        <is>
          <t>Italy</t>
        </is>
      </c>
      <c r="G3173" t="inlineStr">
        <is>
          <t>Xeljanz</t>
        </is>
      </c>
      <c r="H3173" t="inlineStr">
        <is>
          <t>Retail pharmacy</t>
        </is>
      </c>
      <c r="I3173" t="inlineStr">
        <is>
          <t>Public payer</t>
        </is>
      </c>
      <c r="J3173" t="inlineStr">
        <is>
          <t>Arjun Mehta</t>
        </is>
      </c>
      <c r="K3173" s="70" t="n">
        <v>2369</v>
      </c>
      <c r="L3173" s="71" t="n">
        <v>1377.08</v>
      </c>
      <c r="M3173" s="71" t="n">
        <v>3262302.52</v>
      </c>
      <c r="N3173" s="71" t="n">
        <v>489345.38</v>
      </c>
      <c r="O3173" s="71" t="n">
        <v>2772957.14</v>
      </c>
      <c r="P3173" s="71" t="n">
        <v>618993.47</v>
      </c>
      <c r="Q3173" s="71" t="n">
        <v>2153963.67</v>
      </c>
      <c r="R3173" t="inlineStr">
        <is>
          <t>Inflammation</t>
        </is>
      </c>
      <c r="S3173" s="70" t="n">
        <v>2118</v>
      </c>
      <c r="T3173" s="71" t="n">
        <v>451409.73</v>
      </c>
      <c r="U3173" t="inlineStr">
        <is>
          <t>High</t>
        </is>
      </c>
      <c r="V3173">
        <f>IF(AND(OR(Dashboard!$C$6="All",E3173=Dashboard!$C$6),OR(Dashboard!$F$6="All",G3173=Dashboard!$F$6),OR(Dashboard!$I$6="All",H3173=Dashboard!$I$6)),1,0)</f>
        <v/>
      </c>
    </row>
    <row r="3174">
      <c r="A3174" t="inlineStr">
        <is>
          <t>PF103165</t>
        </is>
      </c>
      <c r="B3174" s="68" t="n">
        <v>46040</v>
      </c>
      <c r="C3174" s="69" t="n">
        <v>2026</v>
      </c>
      <c r="D3174" t="inlineStr">
        <is>
          <t>Jan</t>
        </is>
      </c>
      <c r="E3174" t="inlineStr">
        <is>
          <t>United States</t>
        </is>
      </c>
      <c r="F3174" t="inlineStr">
        <is>
          <t>USA</t>
        </is>
      </c>
      <c r="G3174" t="inlineStr">
        <is>
          <t>Paxlovid</t>
        </is>
      </c>
      <c r="H3174" t="inlineStr">
        <is>
          <t>Retail pharmacy</t>
        </is>
      </c>
      <c r="I3174" t="inlineStr">
        <is>
          <t>Private insurer</t>
        </is>
      </c>
      <c r="J3174" t="inlineStr">
        <is>
          <t>Zoya Ahmed</t>
        </is>
      </c>
      <c r="K3174" s="70" t="n">
        <v>2097</v>
      </c>
      <c r="L3174" s="71" t="n">
        <v>1326.65</v>
      </c>
      <c r="M3174" s="71" t="n">
        <v>2781985.05</v>
      </c>
      <c r="N3174" s="71" t="n">
        <v>417297.76</v>
      </c>
      <c r="O3174" s="71" t="n">
        <v>2364687.29</v>
      </c>
      <c r="P3174" s="71" t="n">
        <v>583935.83</v>
      </c>
      <c r="Q3174" s="71" t="n">
        <v>1780751.46</v>
      </c>
      <c r="R3174" t="inlineStr">
        <is>
          <t>Antiviral</t>
        </is>
      </c>
      <c r="S3174" s="70" t="n">
        <v>1513</v>
      </c>
      <c r="T3174" s="71" t="n">
        <v>613454.96</v>
      </c>
      <c r="U3174" t="inlineStr">
        <is>
          <t>Low</t>
        </is>
      </c>
      <c r="V3174">
        <f>IF(AND(OR(Dashboard!$C$6="All",E3174=Dashboard!$C$6),OR(Dashboard!$F$6="All",G3174=Dashboard!$F$6),OR(Dashboard!$I$6="All",H3174=Dashboard!$I$6)),1,0)</f>
        <v/>
      </c>
    </row>
    <row r="3175">
      <c r="A3175" t="inlineStr">
        <is>
          <t>PF103166</t>
        </is>
      </c>
      <c r="B3175" s="68" t="n">
        <v>46040</v>
      </c>
      <c r="C3175" s="69" t="n">
        <v>2026</v>
      </c>
      <c r="D3175" t="inlineStr">
        <is>
          <t>Jan</t>
        </is>
      </c>
      <c r="E3175" t="inlineStr">
        <is>
          <t>Europe</t>
        </is>
      </c>
      <c r="F3175" t="inlineStr">
        <is>
          <t>Spain</t>
        </is>
      </c>
      <c r="G3175" t="inlineStr">
        <is>
          <t>Vyndaqel</t>
        </is>
      </c>
      <c r="H3175" t="inlineStr">
        <is>
          <t>Retail pharmacy</t>
        </is>
      </c>
      <c r="I3175" t="inlineStr">
        <is>
          <t>Public payer</t>
        </is>
      </c>
      <c r="J3175" t="inlineStr">
        <is>
          <t>Olivia Brown</t>
        </is>
      </c>
      <c r="K3175" s="70" t="n">
        <v>115</v>
      </c>
      <c r="L3175" s="71" t="n">
        <v>5836.36</v>
      </c>
      <c r="M3175" s="71" t="n">
        <v>671181.4</v>
      </c>
      <c r="N3175" s="71" t="n">
        <v>33559.07</v>
      </c>
      <c r="O3175" s="71" t="n">
        <v>637622.33</v>
      </c>
      <c r="P3175" s="71" t="n">
        <v>74236.64999999999</v>
      </c>
      <c r="Q3175" s="71" t="n">
        <v>563385.6800000001</v>
      </c>
      <c r="R3175" t="inlineStr">
        <is>
          <t>Rare disease</t>
        </is>
      </c>
      <c r="S3175" s="70" t="n">
        <v>78</v>
      </c>
      <c r="T3175" s="71" t="n">
        <v>115177.52</v>
      </c>
      <c r="U3175" t="inlineStr">
        <is>
          <t>Medium</t>
        </is>
      </c>
      <c r="V3175">
        <f>IF(AND(OR(Dashboard!$C$6="All",E3175=Dashboard!$C$6),OR(Dashboard!$F$6="All",G3175=Dashboard!$F$6),OR(Dashboard!$I$6="All",H3175=Dashboard!$I$6)),1,0)</f>
        <v/>
      </c>
    </row>
    <row r="3176">
      <c r="A3176" t="inlineStr">
        <is>
          <t>PF103167</t>
        </is>
      </c>
      <c r="B3176" s="68" t="n">
        <v>46041</v>
      </c>
      <c r="C3176" s="69" t="n">
        <v>2026</v>
      </c>
      <c r="D3176" t="inlineStr">
        <is>
          <t>Jan</t>
        </is>
      </c>
      <c r="E3176" t="inlineStr">
        <is>
          <t>United States</t>
        </is>
      </c>
      <c r="F3176" t="inlineStr">
        <is>
          <t>USA</t>
        </is>
      </c>
      <c r="G3176" t="inlineStr">
        <is>
          <t>Abrysvo</t>
        </is>
      </c>
      <c r="H3176" t="inlineStr">
        <is>
          <t>Hospital</t>
        </is>
      </c>
      <c r="I3176" t="inlineStr">
        <is>
          <t>Public payer</t>
        </is>
      </c>
      <c r="J3176" t="inlineStr">
        <is>
          <t>Yuki Sato</t>
        </is>
      </c>
      <c r="K3176" s="70" t="n">
        <v>1586</v>
      </c>
      <c r="L3176" s="71" t="n">
        <v>516.6900000000001</v>
      </c>
      <c r="M3176" s="71" t="n">
        <v>819470.34</v>
      </c>
      <c r="N3176" s="71" t="n">
        <v>122920.55</v>
      </c>
      <c r="O3176" s="71" t="n">
        <v>696549.79</v>
      </c>
      <c r="P3176" s="71" t="n">
        <v>137081.17</v>
      </c>
      <c r="Q3176" s="71" t="n">
        <v>559468.62</v>
      </c>
      <c r="R3176" t="inlineStr">
        <is>
          <t>Vaccines</t>
        </is>
      </c>
      <c r="S3176" s="70" t="n">
        <v>1162</v>
      </c>
      <c r="T3176" s="71" t="n">
        <v>136901.08</v>
      </c>
      <c r="U3176" t="inlineStr">
        <is>
          <t>Low</t>
        </is>
      </c>
      <c r="V3176">
        <f>IF(AND(OR(Dashboard!$C$6="All",E3176=Dashboard!$C$6),OR(Dashboard!$F$6="All",G3176=Dashboard!$F$6),OR(Dashboard!$I$6="All",H3176=Dashboard!$I$6)),1,0)</f>
        <v/>
      </c>
    </row>
    <row r="3177">
      <c r="A3177" t="inlineStr">
        <is>
          <t>PF103168</t>
        </is>
      </c>
      <c r="B3177" s="68" t="n">
        <v>46041</v>
      </c>
      <c r="C3177" s="69" t="n">
        <v>2026</v>
      </c>
      <c r="D3177" t="inlineStr">
        <is>
          <t>Jan</t>
        </is>
      </c>
      <c r="E3177" t="inlineStr">
        <is>
          <t>Europe</t>
        </is>
      </c>
      <c r="F3177" t="inlineStr">
        <is>
          <t>Spain</t>
        </is>
      </c>
      <c r="G3177" t="inlineStr">
        <is>
          <t>Comirnaty</t>
        </is>
      </c>
      <c r="H3177" t="inlineStr">
        <is>
          <t>Retail pharmacy</t>
        </is>
      </c>
      <c r="I3177" t="inlineStr">
        <is>
          <t>Public payer</t>
        </is>
      </c>
      <c r="J3177" t="inlineStr">
        <is>
          <t>Yuki Sato</t>
        </is>
      </c>
      <c r="K3177" s="70" t="n">
        <v>1131</v>
      </c>
      <c r="L3177" s="71" t="n">
        <v>86.69</v>
      </c>
      <c r="M3177" s="71" t="n">
        <v>98046.39</v>
      </c>
      <c r="N3177" s="71" t="n">
        <v>4902.32</v>
      </c>
      <c r="O3177" s="71" t="n">
        <v>93144.07000000001</v>
      </c>
      <c r="P3177" s="71" t="n">
        <v>42340.04</v>
      </c>
      <c r="Q3177" s="71" t="n">
        <v>50804.03</v>
      </c>
      <c r="R3177" t="inlineStr">
        <is>
          <t>Vaccines</t>
        </is>
      </c>
      <c r="S3177" s="70" t="n">
        <v>731</v>
      </c>
      <c r="T3177" s="71" t="n">
        <v>21425.94</v>
      </c>
      <c r="U3177" t="inlineStr">
        <is>
          <t>Low</t>
        </is>
      </c>
      <c r="V3177">
        <f>IF(AND(OR(Dashboard!$C$6="All",E3177=Dashboard!$C$6),OR(Dashboard!$F$6="All",G3177=Dashboard!$F$6),OR(Dashboard!$I$6="All",H3177=Dashboard!$I$6)),1,0)</f>
        <v/>
      </c>
    </row>
    <row r="3178">
      <c r="A3178" t="inlineStr">
        <is>
          <t>PF103169</t>
        </is>
      </c>
      <c r="B3178" s="68" t="n">
        <v>46041</v>
      </c>
      <c r="C3178" s="69" t="n">
        <v>2026</v>
      </c>
      <c r="D3178" t="inlineStr">
        <is>
          <t>Jan</t>
        </is>
      </c>
      <c r="E3178" t="inlineStr">
        <is>
          <t>Europe</t>
        </is>
      </c>
      <c r="F3178" t="inlineStr">
        <is>
          <t>Spain</t>
        </is>
      </c>
      <c r="G3178" t="inlineStr">
        <is>
          <t>Ibrance</t>
        </is>
      </c>
      <c r="H3178" t="inlineStr">
        <is>
          <t>Retail pharmacy</t>
        </is>
      </c>
      <c r="I3178" t="inlineStr">
        <is>
          <t>Public payer</t>
        </is>
      </c>
      <c r="J3178" t="inlineStr">
        <is>
          <t>Liam O'Brien</t>
        </is>
      </c>
      <c r="K3178" s="70" t="n">
        <v>1844</v>
      </c>
      <c r="L3178" s="71" t="n">
        <v>2915.26</v>
      </c>
      <c r="M3178" s="71" t="n">
        <v>5375739.44</v>
      </c>
      <c r="N3178" s="71" t="n">
        <v>537573.9399999999</v>
      </c>
      <c r="O3178" s="71" t="n">
        <v>4838165.5</v>
      </c>
      <c r="P3178" s="71" t="n">
        <v>830020.52</v>
      </c>
      <c r="Q3178" s="71" t="n">
        <v>4008144.98</v>
      </c>
      <c r="R3178" t="inlineStr">
        <is>
          <t>Oncology</t>
        </is>
      </c>
      <c r="S3178" s="70" t="n">
        <v>1268</v>
      </c>
      <c r="T3178" s="71" t="n">
        <v>981204.14</v>
      </c>
      <c r="U3178" t="inlineStr">
        <is>
          <t>High</t>
        </is>
      </c>
      <c r="V3178">
        <f>IF(AND(OR(Dashboard!$C$6="All",E3178=Dashboard!$C$6),OR(Dashboard!$F$6="All",G3178=Dashboard!$F$6),OR(Dashboard!$I$6="All",H3178=Dashboard!$I$6)),1,0)</f>
        <v/>
      </c>
    </row>
    <row r="3179">
      <c r="A3179" t="inlineStr">
        <is>
          <t>PF103170</t>
        </is>
      </c>
      <c r="B3179" s="68" t="n">
        <v>46042</v>
      </c>
      <c r="C3179" s="69" t="n">
        <v>2026</v>
      </c>
      <c r="D3179" t="inlineStr">
        <is>
          <t>Jan</t>
        </is>
      </c>
      <c r="E3179" t="inlineStr">
        <is>
          <t>United States</t>
        </is>
      </c>
      <c r="F3179" t="inlineStr">
        <is>
          <t>USA</t>
        </is>
      </c>
      <c r="G3179" t="inlineStr">
        <is>
          <t>Prevnar 20</t>
        </is>
      </c>
      <c r="H3179" t="inlineStr">
        <is>
          <t>Retail pharmacy</t>
        </is>
      </c>
      <c r="I3179" t="inlineStr">
        <is>
          <t>Private insurer</t>
        </is>
      </c>
      <c r="J3179" t="inlineStr">
        <is>
          <t>Lucas Martin</t>
        </is>
      </c>
      <c r="K3179" s="70" t="n">
        <v>2622</v>
      </c>
      <c r="L3179" s="71" t="n">
        <v>384.85</v>
      </c>
      <c r="M3179" s="71" t="n">
        <v>1009076.7</v>
      </c>
      <c r="N3179" s="71" t="n">
        <v>302723.01</v>
      </c>
      <c r="O3179" s="71" t="n">
        <v>706353.6899999999</v>
      </c>
      <c r="P3179" s="71" t="n">
        <v>178475.75</v>
      </c>
      <c r="Q3179" s="71" t="n">
        <v>527877.9399999999</v>
      </c>
      <c r="R3179" t="inlineStr">
        <is>
          <t>Vaccines</t>
        </is>
      </c>
      <c r="S3179" s="70" t="n">
        <v>2160</v>
      </c>
      <c r="T3179" s="71" t="n">
        <v>153324.52</v>
      </c>
      <c r="U3179" t="inlineStr">
        <is>
          <t>Low</t>
        </is>
      </c>
      <c r="V3179">
        <f>IF(AND(OR(Dashboard!$C$6="All",E3179=Dashboard!$C$6),OR(Dashboard!$F$6="All",G3179=Dashboard!$F$6),OR(Dashboard!$I$6="All",H3179=Dashboard!$I$6)),1,0)</f>
        <v/>
      </c>
    </row>
    <row r="3180">
      <c r="A3180" t="inlineStr">
        <is>
          <t>PF103171</t>
        </is>
      </c>
      <c r="B3180" s="68" t="n">
        <v>46042</v>
      </c>
      <c r="C3180" s="69" t="n">
        <v>2026</v>
      </c>
      <c r="D3180" t="inlineStr">
        <is>
          <t>Jan</t>
        </is>
      </c>
      <c r="E3180" t="inlineStr">
        <is>
          <t>United States</t>
        </is>
      </c>
      <c r="F3180" t="inlineStr">
        <is>
          <t>USA</t>
        </is>
      </c>
      <c r="G3180" t="inlineStr">
        <is>
          <t>Ibrance</t>
        </is>
      </c>
      <c r="H3180" t="inlineStr">
        <is>
          <t>Retail pharmacy</t>
        </is>
      </c>
      <c r="I3180" t="inlineStr">
        <is>
          <t>Self-pay</t>
        </is>
      </c>
      <c r="J3180" t="inlineStr">
        <is>
          <t>Emma Clarke</t>
        </is>
      </c>
      <c r="K3180" s="70" t="n">
        <v>897</v>
      </c>
      <c r="L3180" s="71" t="n">
        <v>4267.22</v>
      </c>
      <c r="M3180" s="71" t="n">
        <v>3827696.34</v>
      </c>
      <c r="N3180" s="71" t="n">
        <v>1148308.9</v>
      </c>
      <c r="O3180" s="71" t="n">
        <v>2679387.44</v>
      </c>
      <c r="P3180" s="71" t="n">
        <v>402023.54</v>
      </c>
      <c r="Q3180" s="71" t="n">
        <v>2277363.9</v>
      </c>
      <c r="R3180" t="inlineStr">
        <is>
          <t>Oncology</t>
        </is>
      </c>
      <c r="S3180" s="70" t="n">
        <v>591</v>
      </c>
      <c r="T3180" s="71" t="n">
        <v>599157.9300000001</v>
      </c>
      <c r="U3180" t="inlineStr">
        <is>
          <t>High</t>
        </is>
      </c>
      <c r="V3180">
        <f>IF(AND(OR(Dashboard!$C$6="All",E3180=Dashboard!$C$6),OR(Dashboard!$F$6="All",G3180=Dashboard!$F$6),OR(Dashboard!$I$6="All",H3180=Dashboard!$I$6)),1,0)</f>
        <v/>
      </c>
    </row>
    <row r="3181">
      <c r="A3181" t="inlineStr">
        <is>
          <t>PF103172</t>
        </is>
      </c>
      <c r="B3181" s="68" t="n">
        <v>46042</v>
      </c>
      <c r="C3181" s="69" t="n">
        <v>2026</v>
      </c>
      <c r="D3181" t="inlineStr">
        <is>
          <t>Jan</t>
        </is>
      </c>
      <c r="E3181" t="inlineStr">
        <is>
          <t>Emerging markets</t>
        </is>
      </c>
      <c r="F3181" t="inlineStr">
        <is>
          <t>India</t>
        </is>
      </c>
      <c r="G3181" t="inlineStr">
        <is>
          <t>Prevnar 20</t>
        </is>
      </c>
      <c r="H3181" t="inlineStr">
        <is>
          <t>Hospital</t>
        </is>
      </c>
      <c r="I3181" t="inlineStr">
        <is>
          <t>Private insurer</t>
        </is>
      </c>
      <c r="J3181" t="inlineStr">
        <is>
          <t>Zoya Ahmed</t>
        </is>
      </c>
      <c r="K3181" s="70" t="n">
        <v>176</v>
      </c>
      <c r="L3181" s="71" t="n">
        <v>219.18</v>
      </c>
      <c r="M3181" s="71" t="n">
        <v>38575.68</v>
      </c>
      <c r="N3181" s="71" t="n">
        <v>3857.57</v>
      </c>
      <c r="O3181" s="71" t="n">
        <v>34718.11</v>
      </c>
      <c r="P3181" s="71" t="n">
        <v>11661.61</v>
      </c>
      <c r="Q3181" s="71" t="n">
        <v>23056.5</v>
      </c>
      <c r="R3181" t="inlineStr">
        <is>
          <t>Vaccines</t>
        </is>
      </c>
      <c r="S3181" s="70" t="n">
        <v>135</v>
      </c>
      <c r="T3181" s="71" t="n">
        <v>7279.43</v>
      </c>
      <c r="U3181" t="inlineStr">
        <is>
          <t>Low</t>
        </is>
      </c>
      <c r="V3181">
        <f>IF(AND(OR(Dashboard!$C$6="All",E3181=Dashboard!$C$6),OR(Dashboard!$F$6="All",G3181=Dashboard!$F$6),OR(Dashboard!$I$6="All",H3181=Dashboard!$I$6)),1,0)</f>
        <v/>
      </c>
    </row>
    <row r="3182">
      <c r="A3182" t="inlineStr">
        <is>
          <t>PF103173</t>
        </is>
      </c>
      <c r="B3182" s="68" t="n">
        <v>46042</v>
      </c>
      <c r="C3182" s="69" t="n">
        <v>2026</v>
      </c>
      <c r="D3182" t="inlineStr">
        <is>
          <t>Jan</t>
        </is>
      </c>
      <c r="E3182" t="inlineStr">
        <is>
          <t>United States</t>
        </is>
      </c>
      <c r="F3182" t="inlineStr">
        <is>
          <t>USA</t>
        </is>
      </c>
      <c r="G3182" t="inlineStr">
        <is>
          <t>Eliquis</t>
        </is>
      </c>
      <c r="H3182" t="inlineStr">
        <is>
          <t>Retail pharmacy</t>
        </is>
      </c>
      <c r="I3182" t="inlineStr">
        <is>
          <t>Private insurer</t>
        </is>
      </c>
      <c r="J3182" t="inlineStr">
        <is>
          <t>Kofi Mensah</t>
        </is>
      </c>
      <c r="K3182" s="70" t="n">
        <v>2145</v>
      </c>
      <c r="L3182" s="71" t="n">
        <v>714.1</v>
      </c>
      <c r="M3182" s="71" t="n">
        <v>1531744.5</v>
      </c>
      <c r="N3182" s="71" t="n">
        <v>459523.35</v>
      </c>
      <c r="O3182" s="71" t="n">
        <v>1072221.15</v>
      </c>
      <c r="P3182" s="71" t="n">
        <v>161202.45</v>
      </c>
      <c r="Q3182" s="71" t="n">
        <v>911018.7</v>
      </c>
      <c r="R3182" t="inlineStr">
        <is>
          <t>Cardiology</t>
        </is>
      </c>
      <c r="S3182" s="70" t="n">
        <v>1517</v>
      </c>
      <c r="T3182" s="71" t="n">
        <v>211277.33</v>
      </c>
      <c r="U3182" t="inlineStr">
        <is>
          <t>High</t>
        </is>
      </c>
      <c r="V3182">
        <f>IF(AND(OR(Dashboard!$C$6="All",E3182=Dashboard!$C$6),OR(Dashboard!$F$6="All",G3182=Dashboard!$F$6),OR(Dashboard!$I$6="All",H3182=Dashboard!$I$6)),1,0)</f>
        <v/>
      </c>
    </row>
    <row r="3183">
      <c r="A3183" t="inlineStr">
        <is>
          <t>PF103174</t>
        </is>
      </c>
      <c r="B3183" s="68" t="n">
        <v>46042</v>
      </c>
      <c r="C3183" s="69" t="n">
        <v>2026</v>
      </c>
      <c r="D3183" t="inlineStr">
        <is>
          <t>Jan</t>
        </is>
      </c>
      <c r="E3183" t="inlineStr">
        <is>
          <t>United States</t>
        </is>
      </c>
      <c r="F3183" t="inlineStr">
        <is>
          <t>USA</t>
        </is>
      </c>
      <c r="G3183" t="inlineStr">
        <is>
          <t>Xeljanz</t>
        </is>
      </c>
      <c r="H3183" t="inlineStr">
        <is>
          <t>Hospital</t>
        </is>
      </c>
      <c r="I3183" t="inlineStr">
        <is>
          <t>Private insurer</t>
        </is>
      </c>
      <c r="J3183" t="inlineStr">
        <is>
          <t>Ana Costa</t>
        </is>
      </c>
      <c r="K3183" s="70" t="n">
        <v>1880</v>
      </c>
      <c r="L3183" s="71" t="n">
        <v>2266.65</v>
      </c>
      <c r="M3183" s="71" t="n">
        <v>4261302</v>
      </c>
      <c r="N3183" s="71" t="n">
        <v>639195.3</v>
      </c>
      <c r="O3183" s="71" t="n">
        <v>3622106.7</v>
      </c>
      <c r="P3183" s="71" t="n">
        <v>460974.08</v>
      </c>
      <c r="Q3183" s="71" t="n">
        <v>3161132.62</v>
      </c>
      <c r="R3183" t="inlineStr">
        <is>
          <t>Inflammation</t>
        </is>
      </c>
      <c r="S3183" s="70" t="n">
        <v>1297</v>
      </c>
      <c r="T3183" s="71" t="n">
        <v>741354.4399999999</v>
      </c>
      <c r="U3183" t="inlineStr">
        <is>
          <t>High</t>
        </is>
      </c>
      <c r="V3183">
        <f>IF(AND(OR(Dashboard!$C$6="All",E3183=Dashboard!$C$6),OR(Dashboard!$F$6="All",G3183=Dashboard!$F$6),OR(Dashboard!$I$6="All",H3183=Dashboard!$I$6)),1,0)</f>
        <v/>
      </c>
    </row>
    <row r="3184">
      <c r="A3184" t="inlineStr">
        <is>
          <t>PF103175</t>
        </is>
      </c>
      <c r="B3184" s="68" t="n">
        <v>46042</v>
      </c>
      <c r="C3184" s="69" t="n">
        <v>2026</v>
      </c>
      <c r="D3184" t="inlineStr">
        <is>
          <t>Jan</t>
        </is>
      </c>
      <c r="E3184" t="inlineStr">
        <is>
          <t>United States</t>
        </is>
      </c>
      <c r="F3184" t="inlineStr">
        <is>
          <t>USA</t>
        </is>
      </c>
      <c r="G3184" t="inlineStr">
        <is>
          <t>Paxlovid</t>
        </is>
      </c>
      <c r="H3184" t="inlineStr">
        <is>
          <t>Hospital</t>
        </is>
      </c>
      <c r="I3184" t="inlineStr">
        <is>
          <t>Private insurer</t>
        </is>
      </c>
      <c r="J3184" t="inlineStr">
        <is>
          <t>Hiroshi Tanaka</t>
        </is>
      </c>
      <c r="K3184" s="70" t="n">
        <v>1120</v>
      </c>
      <c r="L3184" s="71" t="n">
        <v>1454.43</v>
      </c>
      <c r="M3184" s="71" t="n">
        <v>1628961.6</v>
      </c>
      <c r="N3184" s="71" t="n">
        <v>244344.24</v>
      </c>
      <c r="O3184" s="71" t="n">
        <v>1384617.36</v>
      </c>
      <c r="P3184" s="71" t="n">
        <v>295702.04</v>
      </c>
      <c r="Q3184" s="71" t="n">
        <v>1088915.32</v>
      </c>
      <c r="R3184" t="inlineStr">
        <is>
          <t>Antiviral</t>
        </is>
      </c>
      <c r="S3184" s="70" t="n">
        <v>867</v>
      </c>
      <c r="T3184" s="71" t="n">
        <v>320062.89</v>
      </c>
      <c r="U3184" t="inlineStr">
        <is>
          <t>Low</t>
        </is>
      </c>
      <c r="V3184">
        <f>IF(AND(OR(Dashboard!$C$6="All",E3184=Dashboard!$C$6),OR(Dashboard!$F$6="All",G3184=Dashboard!$F$6),OR(Dashboard!$I$6="All",H3184=Dashboard!$I$6)),1,0)</f>
        <v/>
      </c>
    </row>
    <row r="3185">
      <c r="A3185" t="inlineStr">
        <is>
          <t>PF103176</t>
        </is>
      </c>
      <c r="B3185" s="68" t="n">
        <v>46042</v>
      </c>
      <c r="C3185" s="69" t="n">
        <v>2026</v>
      </c>
      <c r="D3185" t="inlineStr">
        <is>
          <t>Jan</t>
        </is>
      </c>
      <c r="E3185" t="inlineStr">
        <is>
          <t>Europe</t>
        </is>
      </c>
      <c r="F3185" t="inlineStr">
        <is>
          <t>Spain</t>
        </is>
      </c>
      <c r="G3185" t="inlineStr">
        <is>
          <t>Eliquis</t>
        </is>
      </c>
      <c r="H3185" t="inlineStr">
        <is>
          <t>Retail pharmacy</t>
        </is>
      </c>
      <c r="I3185" t="inlineStr">
        <is>
          <t>Public payer</t>
        </is>
      </c>
      <c r="J3185" t="inlineStr">
        <is>
          <t>Shraddha Kulkarni</t>
        </is>
      </c>
      <c r="K3185" s="70" t="n">
        <v>843</v>
      </c>
      <c r="L3185" s="71" t="n">
        <v>400.56</v>
      </c>
      <c r="M3185" s="71" t="n">
        <v>337672.08</v>
      </c>
      <c r="N3185" s="71" t="n">
        <v>33767.21</v>
      </c>
      <c r="O3185" s="71" t="n">
        <v>303904.87</v>
      </c>
      <c r="P3185" s="71" t="n">
        <v>64029.99</v>
      </c>
      <c r="Q3185" s="71" t="n">
        <v>239874.88</v>
      </c>
      <c r="R3185" t="inlineStr">
        <is>
          <t>Cardiology</t>
        </is>
      </c>
      <c r="S3185" s="70" t="n">
        <v>551</v>
      </c>
      <c r="T3185" s="71" t="n">
        <v>58664.77</v>
      </c>
      <c r="U3185" t="inlineStr">
        <is>
          <t>High</t>
        </is>
      </c>
      <c r="V3185">
        <f>IF(AND(OR(Dashboard!$C$6="All",E3185=Dashboard!$C$6),OR(Dashboard!$F$6="All",G3185=Dashboard!$F$6),OR(Dashboard!$I$6="All",H3185=Dashboard!$I$6)),1,0)</f>
        <v/>
      </c>
    </row>
    <row r="3186">
      <c r="A3186" t="inlineStr">
        <is>
          <t>PF103177</t>
        </is>
      </c>
      <c r="B3186" s="68" t="n">
        <v>46042</v>
      </c>
      <c r="C3186" s="69" t="n">
        <v>2026</v>
      </c>
      <c r="D3186" t="inlineStr">
        <is>
          <t>Jan</t>
        </is>
      </c>
      <c r="E3186" t="inlineStr">
        <is>
          <t>International developed</t>
        </is>
      </c>
      <c r="F3186" t="inlineStr">
        <is>
          <t>Japan</t>
        </is>
      </c>
      <c r="G3186" t="inlineStr">
        <is>
          <t>Abrysvo</t>
        </is>
      </c>
      <c r="H3186" t="inlineStr">
        <is>
          <t>Government / tender</t>
        </is>
      </c>
      <c r="I3186" t="inlineStr">
        <is>
          <t>Public payer</t>
        </is>
      </c>
      <c r="J3186" t="inlineStr">
        <is>
          <t>Liam O'Brien</t>
        </is>
      </c>
      <c r="K3186" s="70" t="n">
        <v>274</v>
      </c>
      <c r="L3186" s="71" t="n">
        <v>304.55</v>
      </c>
      <c r="M3186" s="71" t="n">
        <v>83446.7</v>
      </c>
      <c r="N3186" s="71" t="n">
        <v>12517</v>
      </c>
      <c r="O3186" s="71" t="n">
        <v>70929.7</v>
      </c>
      <c r="P3186" s="71" t="n">
        <v>22383.09</v>
      </c>
      <c r="Q3186" s="71" t="n">
        <v>48546.61</v>
      </c>
      <c r="R3186" t="inlineStr">
        <is>
          <t>Vaccines</t>
        </is>
      </c>
      <c r="S3186" s="70" t="n">
        <v>171</v>
      </c>
      <c r="T3186" s="71" t="n">
        <v>13456.29</v>
      </c>
      <c r="U3186" t="inlineStr">
        <is>
          <t>Low</t>
        </is>
      </c>
      <c r="V3186">
        <f>IF(AND(OR(Dashboard!$C$6="All",E3186=Dashboard!$C$6),OR(Dashboard!$F$6="All",G3186=Dashboard!$F$6),OR(Dashboard!$I$6="All",H3186=Dashboard!$I$6)),1,0)</f>
        <v/>
      </c>
    </row>
    <row r="3187">
      <c r="A3187" t="inlineStr">
        <is>
          <t>PF103178</t>
        </is>
      </c>
      <c r="B3187" s="68" t="n">
        <v>46042</v>
      </c>
      <c r="C3187" s="69" t="n">
        <v>2026</v>
      </c>
      <c r="D3187" t="inlineStr">
        <is>
          <t>Jan</t>
        </is>
      </c>
      <c r="E3187" t="inlineStr">
        <is>
          <t>Emerging markets</t>
        </is>
      </c>
      <c r="F3187" t="inlineStr">
        <is>
          <t>Mexico</t>
        </is>
      </c>
      <c r="G3187" t="inlineStr">
        <is>
          <t>Eliquis</t>
        </is>
      </c>
      <c r="H3187" t="inlineStr">
        <is>
          <t>Hospital</t>
        </is>
      </c>
      <c r="I3187" t="inlineStr">
        <is>
          <t>Public payer</t>
        </is>
      </c>
      <c r="J3187" t="inlineStr">
        <is>
          <t>Olivia Brown</t>
        </is>
      </c>
      <c r="K3187" s="70" t="n">
        <v>701</v>
      </c>
      <c r="L3187" s="71" t="n">
        <v>453.89</v>
      </c>
      <c r="M3187" s="71" t="n">
        <v>318176.89</v>
      </c>
      <c r="N3187" s="71" t="n">
        <v>31817.69</v>
      </c>
      <c r="O3187" s="71" t="n">
        <v>286359.2</v>
      </c>
      <c r="P3187" s="71" t="n">
        <v>53121.38</v>
      </c>
      <c r="Q3187" s="71" t="n">
        <v>233237.82</v>
      </c>
      <c r="R3187" t="inlineStr">
        <is>
          <t>Cardiology</t>
        </is>
      </c>
      <c r="S3187" s="70" t="n">
        <v>511</v>
      </c>
      <c r="T3187" s="71" t="n">
        <v>62313.96</v>
      </c>
      <c r="U3187" t="inlineStr">
        <is>
          <t>High</t>
        </is>
      </c>
      <c r="V3187">
        <f>IF(AND(OR(Dashboard!$C$6="All",E3187=Dashboard!$C$6),OR(Dashboard!$F$6="All",G3187=Dashboard!$F$6),OR(Dashboard!$I$6="All",H3187=Dashboard!$I$6)),1,0)</f>
        <v/>
      </c>
    </row>
    <row r="3188">
      <c r="A3188" t="inlineStr">
        <is>
          <t>PF103179</t>
        </is>
      </c>
      <c r="B3188" s="68" t="n">
        <v>46042</v>
      </c>
      <c r="C3188" s="69" t="n">
        <v>2026</v>
      </c>
      <c r="D3188" t="inlineStr">
        <is>
          <t>Jan</t>
        </is>
      </c>
      <c r="E3188" t="inlineStr">
        <is>
          <t>United States</t>
        </is>
      </c>
      <c r="F3188" t="inlineStr">
        <is>
          <t>USA</t>
        </is>
      </c>
      <c r="G3188" t="inlineStr">
        <is>
          <t>Vyndaqel</t>
        </is>
      </c>
      <c r="H3188" t="inlineStr">
        <is>
          <t>Retail pharmacy</t>
        </is>
      </c>
      <c r="I3188" t="inlineStr">
        <is>
          <t>Self-pay</t>
        </is>
      </c>
      <c r="J3188" t="inlineStr">
        <is>
          <t>Ana Costa</t>
        </is>
      </c>
      <c r="K3188" s="70" t="n">
        <v>1969</v>
      </c>
      <c r="L3188" s="71" t="n">
        <v>10006.68</v>
      </c>
      <c r="M3188" s="71" t="n">
        <v>19703152.92</v>
      </c>
      <c r="N3188" s="71" t="n">
        <v>6896103.52</v>
      </c>
      <c r="O3188" s="71" t="n">
        <v>12807049.4</v>
      </c>
      <c r="P3188" s="71" t="n">
        <v>1200941.82</v>
      </c>
      <c r="Q3188" s="71" t="n">
        <v>11606107.58</v>
      </c>
      <c r="R3188" t="inlineStr">
        <is>
          <t>Rare disease</t>
        </is>
      </c>
      <c r="S3188" s="70" t="n">
        <v>1703</v>
      </c>
      <c r="T3188" s="71" t="n">
        <v>3902333.31</v>
      </c>
      <c r="U3188" t="inlineStr">
        <is>
          <t>Medium</t>
        </is>
      </c>
      <c r="V3188">
        <f>IF(AND(OR(Dashboard!$C$6="All",E3188=Dashboard!$C$6),OR(Dashboard!$F$6="All",G3188=Dashboard!$F$6),OR(Dashboard!$I$6="All",H3188=Dashboard!$I$6)),1,0)</f>
        <v/>
      </c>
    </row>
    <row r="3189">
      <c r="A3189" t="inlineStr">
        <is>
          <t>PF103180</t>
        </is>
      </c>
      <c r="B3189" s="68" t="n">
        <v>46043</v>
      </c>
      <c r="C3189" s="69" t="n">
        <v>2026</v>
      </c>
      <c r="D3189" t="inlineStr">
        <is>
          <t>Jan</t>
        </is>
      </c>
      <c r="E3189" t="inlineStr">
        <is>
          <t>Europe</t>
        </is>
      </c>
      <c r="F3189" t="inlineStr">
        <is>
          <t>Spain</t>
        </is>
      </c>
      <c r="G3189" t="inlineStr">
        <is>
          <t>Paxlovid</t>
        </is>
      </c>
      <c r="H3189" t="inlineStr">
        <is>
          <t>Retail pharmacy</t>
        </is>
      </c>
      <c r="I3189" t="inlineStr">
        <is>
          <t>Private insurer</t>
        </is>
      </c>
      <c r="J3189" t="inlineStr">
        <is>
          <t>Arjun Mehta</t>
        </is>
      </c>
      <c r="K3189" s="70" t="n">
        <v>1663</v>
      </c>
      <c r="L3189" s="71" t="n">
        <v>987.28</v>
      </c>
      <c r="M3189" s="71" t="n">
        <v>1641846.64</v>
      </c>
      <c r="N3189" s="71" t="n">
        <v>164184.66</v>
      </c>
      <c r="O3189" s="71" t="n">
        <v>1477661.98</v>
      </c>
      <c r="P3189" s="71" t="n">
        <v>453673.01</v>
      </c>
      <c r="Q3189" s="71" t="n">
        <v>1023988.97</v>
      </c>
      <c r="R3189" t="inlineStr">
        <is>
          <t>Antiviral</t>
        </is>
      </c>
      <c r="S3189" s="70" t="n">
        <v>1119</v>
      </c>
      <c r="T3189" s="71" t="n">
        <v>389870.98</v>
      </c>
      <c r="U3189" t="inlineStr">
        <is>
          <t>Low</t>
        </is>
      </c>
      <c r="V3189">
        <f>IF(AND(OR(Dashboard!$C$6="All",E3189=Dashboard!$C$6),OR(Dashboard!$F$6="All",G3189=Dashboard!$F$6),OR(Dashboard!$I$6="All",H3189=Dashboard!$I$6)),1,0)</f>
        <v/>
      </c>
    </row>
    <row r="3190">
      <c r="A3190" t="inlineStr">
        <is>
          <t>PF103181</t>
        </is>
      </c>
      <c r="B3190" s="68" t="n">
        <v>46043</v>
      </c>
      <c r="C3190" s="69" t="n">
        <v>2026</v>
      </c>
      <c r="D3190" t="inlineStr">
        <is>
          <t>Jan</t>
        </is>
      </c>
      <c r="E3190" t="inlineStr">
        <is>
          <t>Europe</t>
        </is>
      </c>
      <c r="F3190" t="inlineStr">
        <is>
          <t>France</t>
        </is>
      </c>
      <c r="G3190" t="inlineStr">
        <is>
          <t>Prevnar 20</t>
        </is>
      </c>
      <c r="H3190" t="inlineStr">
        <is>
          <t>Government / tender</t>
        </is>
      </c>
      <c r="I3190" t="inlineStr">
        <is>
          <t>Self-pay</t>
        </is>
      </c>
      <c r="J3190" t="inlineStr">
        <is>
          <t>Mei Lin</t>
        </is>
      </c>
      <c r="K3190" s="70" t="n">
        <v>1380</v>
      </c>
      <c r="L3190" s="71" t="n">
        <v>216.71</v>
      </c>
      <c r="M3190" s="71" t="n">
        <v>299059.8</v>
      </c>
      <c r="N3190" s="71" t="n">
        <v>14952.99</v>
      </c>
      <c r="O3190" s="71" t="n">
        <v>284106.81</v>
      </c>
      <c r="P3190" s="71" t="n">
        <v>94604.39999999999</v>
      </c>
      <c r="Q3190" s="71" t="n">
        <v>189502.41</v>
      </c>
      <c r="R3190" t="inlineStr">
        <is>
          <t>Vaccines</t>
        </is>
      </c>
      <c r="S3190" s="70" t="n">
        <v>957</v>
      </c>
      <c r="T3190" s="71" t="n">
        <v>44499.43</v>
      </c>
      <c r="U3190" t="inlineStr">
        <is>
          <t>Low</t>
        </is>
      </c>
      <c r="V3190">
        <f>IF(AND(OR(Dashboard!$C$6="All",E3190=Dashboard!$C$6),OR(Dashboard!$F$6="All",G3190=Dashboard!$F$6),OR(Dashboard!$I$6="All",H3190=Dashboard!$I$6)),1,0)</f>
        <v/>
      </c>
    </row>
    <row r="3191">
      <c r="A3191" t="inlineStr">
        <is>
          <t>PF103182</t>
        </is>
      </c>
      <c r="B3191" s="68" t="n">
        <v>46043</v>
      </c>
      <c r="C3191" s="69" t="n">
        <v>2026</v>
      </c>
      <c r="D3191" t="inlineStr">
        <is>
          <t>Jan</t>
        </is>
      </c>
      <c r="E3191" t="inlineStr">
        <is>
          <t>United States</t>
        </is>
      </c>
      <c r="F3191" t="inlineStr">
        <is>
          <t>USA</t>
        </is>
      </c>
      <c r="G3191" t="inlineStr">
        <is>
          <t>Eliquis</t>
        </is>
      </c>
      <c r="H3191" t="inlineStr">
        <is>
          <t>Retail pharmacy</t>
        </is>
      </c>
      <c r="I3191" t="inlineStr">
        <is>
          <t>Private insurer</t>
        </is>
      </c>
      <c r="J3191" t="inlineStr">
        <is>
          <t>Aisha Bello</t>
        </is>
      </c>
      <c r="K3191" s="70" t="n">
        <v>547</v>
      </c>
      <c r="L3191" s="71" t="n">
        <v>647.6900000000001</v>
      </c>
      <c r="M3191" s="71" t="n">
        <v>354286.43</v>
      </c>
      <c r="N3191" s="71" t="n">
        <v>106285.93</v>
      </c>
      <c r="O3191" s="71" t="n">
        <v>248000.5</v>
      </c>
      <c r="P3191" s="71" t="n">
        <v>42673.81</v>
      </c>
      <c r="Q3191" s="71" t="n">
        <v>205326.69</v>
      </c>
      <c r="R3191" t="inlineStr">
        <is>
          <t>Cardiology</t>
        </is>
      </c>
      <c r="S3191" s="70" t="n">
        <v>353</v>
      </c>
      <c r="T3191" s="71" t="n">
        <v>44446.38</v>
      </c>
      <c r="U3191" t="inlineStr">
        <is>
          <t>High</t>
        </is>
      </c>
      <c r="V3191">
        <f>IF(AND(OR(Dashboard!$C$6="All",E3191=Dashboard!$C$6),OR(Dashboard!$F$6="All",G3191=Dashboard!$F$6),OR(Dashboard!$I$6="All",H3191=Dashboard!$I$6)),1,0)</f>
        <v/>
      </c>
    </row>
    <row r="3192">
      <c r="A3192" t="inlineStr">
        <is>
          <t>PF103183</t>
        </is>
      </c>
      <c r="B3192" s="68" t="n">
        <v>46043</v>
      </c>
      <c r="C3192" s="69" t="n">
        <v>2026</v>
      </c>
      <c r="D3192" t="inlineStr">
        <is>
          <t>Jan</t>
        </is>
      </c>
      <c r="E3192" t="inlineStr">
        <is>
          <t>United States</t>
        </is>
      </c>
      <c r="F3192" t="inlineStr">
        <is>
          <t>USA</t>
        </is>
      </c>
      <c r="G3192" t="inlineStr">
        <is>
          <t>Prevnar 20</t>
        </is>
      </c>
      <c r="H3192" t="inlineStr">
        <is>
          <t>Hospital</t>
        </is>
      </c>
      <c r="I3192" t="inlineStr">
        <is>
          <t>Private insurer</t>
        </is>
      </c>
      <c r="J3192" t="inlineStr">
        <is>
          <t>Olivia Brown</t>
        </is>
      </c>
      <c r="K3192" s="70" t="n">
        <v>1503</v>
      </c>
      <c r="L3192" s="71" t="n">
        <v>351.92</v>
      </c>
      <c r="M3192" s="71" t="n">
        <v>528935.76</v>
      </c>
      <c r="N3192" s="71" t="n">
        <v>185127.52</v>
      </c>
      <c r="O3192" s="71" t="n">
        <v>343808.24</v>
      </c>
      <c r="P3192" s="71" t="n">
        <v>106097.47</v>
      </c>
      <c r="Q3192" s="71" t="n">
        <v>237710.77</v>
      </c>
      <c r="R3192" t="inlineStr">
        <is>
          <t>Vaccines</t>
        </is>
      </c>
      <c r="S3192" s="70" t="n">
        <v>1369</v>
      </c>
      <c r="T3192" s="71" t="n">
        <v>113422.26</v>
      </c>
      <c r="U3192" t="inlineStr">
        <is>
          <t>Low</t>
        </is>
      </c>
      <c r="V3192">
        <f>IF(AND(OR(Dashboard!$C$6="All",E3192=Dashboard!$C$6),OR(Dashboard!$F$6="All",G3192=Dashboard!$F$6),OR(Dashboard!$I$6="All",H3192=Dashboard!$I$6)),1,0)</f>
        <v/>
      </c>
    </row>
    <row r="3193">
      <c r="A3193" t="inlineStr">
        <is>
          <t>PF103184</t>
        </is>
      </c>
      <c r="B3193" s="68" t="n">
        <v>46043</v>
      </c>
      <c r="C3193" s="69" t="n">
        <v>2026</v>
      </c>
      <c r="D3193" t="inlineStr">
        <is>
          <t>Jan</t>
        </is>
      </c>
      <c r="E3193" t="inlineStr">
        <is>
          <t>International developed</t>
        </is>
      </c>
      <c r="F3193" t="inlineStr">
        <is>
          <t>Japan</t>
        </is>
      </c>
      <c r="G3193" t="inlineStr">
        <is>
          <t>Ibrance</t>
        </is>
      </c>
      <c r="H3193" t="inlineStr">
        <is>
          <t>Hospital</t>
        </is>
      </c>
      <c r="I3193" t="inlineStr">
        <is>
          <t>Public payer</t>
        </is>
      </c>
      <c r="J3193" t="inlineStr">
        <is>
          <t>Ana Costa</t>
        </is>
      </c>
      <c r="K3193" s="70" t="n">
        <v>324</v>
      </c>
      <c r="L3193" s="71" t="n">
        <v>2618.02</v>
      </c>
      <c r="M3193" s="71" t="n">
        <v>848238.48</v>
      </c>
      <c r="N3193" s="71" t="n">
        <v>42411.92</v>
      </c>
      <c r="O3193" s="71" t="n">
        <v>805826.5600000001</v>
      </c>
      <c r="P3193" s="71" t="n">
        <v>137372.2</v>
      </c>
      <c r="Q3193" s="71" t="n">
        <v>668454.36</v>
      </c>
      <c r="R3193" t="inlineStr">
        <is>
          <t>Oncology</t>
        </is>
      </c>
      <c r="S3193" s="70" t="n">
        <v>224</v>
      </c>
      <c r="T3193" s="71" t="n">
        <v>189023.89</v>
      </c>
      <c r="U3193" t="inlineStr">
        <is>
          <t>High</t>
        </is>
      </c>
      <c r="V3193">
        <f>IF(AND(OR(Dashboard!$C$6="All",E3193=Dashboard!$C$6),OR(Dashboard!$F$6="All",G3193=Dashboard!$F$6),OR(Dashboard!$I$6="All",H3193=Dashboard!$I$6)),1,0)</f>
        <v/>
      </c>
    </row>
    <row r="3194">
      <c r="A3194" t="inlineStr">
        <is>
          <t>PF103185</t>
        </is>
      </c>
      <c r="B3194" s="68" t="n">
        <v>46043</v>
      </c>
      <c r="C3194" s="69" t="n">
        <v>2026</v>
      </c>
      <c r="D3194" t="inlineStr">
        <is>
          <t>Jan</t>
        </is>
      </c>
      <c r="E3194" t="inlineStr">
        <is>
          <t>United States</t>
        </is>
      </c>
      <c r="F3194" t="inlineStr">
        <is>
          <t>USA</t>
        </is>
      </c>
      <c r="G3194" t="inlineStr">
        <is>
          <t>Prevnar 20</t>
        </is>
      </c>
      <c r="H3194" t="inlineStr">
        <is>
          <t>Retail pharmacy</t>
        </is>
      </c>
      <c r="I3194" t="inlineStr">
        <is>
          <t>Private insurer</t>
        </is>
      </c>
      <c r="J3194" t="inlineStr">
        <is>
          <t>Emma Clarke</t>
        </is>
      </c>
      <c r="K3194" s="70" t="n">
        <v>944</v>
      </c>
      <c r="L3194" s="71" t="n">
        <v>385.71</v>
      </c>
      <c r="M3194" s="71" t="n">
        <v>364110.24</v>
      </c>
      <c r="N3194" s="71" t="n">
        <v>91027.56</v>
      </c>
      <c r="O3194" s="71" t="n">
        <v>273082.68</v>
      </c>
      <c r="P3194" s="71" t="n">
        <v>64493.68</v>
      </c>
      <c r="Q3194" s="71" t="n">
        <v>208589</v>
      </c>
      <c r="R3194" t="inlineStr">
        <is>
          <t>Vaccines</t>
        </is>
      </c>
      <c r="S3194" s="70" t="n">
        <v>679</v>
      </c>
      <c r="T3194" s="71" t="n">
        <v>73578.16</v>
      </c>
      <c r="U3194" t="inlineStr">
        <is>
          <t>Low</t>
        </is>
      </c>
      <c r="V3194">
        <f>IF(AND(OR(Dashboard!$C$6="All",E3194=Dashboard!$C$6),OR(Dashboard!$F$6="All",G3194=Dashboard!$F$6),OR(Dashboard!$I$6="All",H3194=Dashboard!$I$6)),1,0)</f>
        <v/>
      </c>
    </row>
    <row r="3195">
      <c r="A3195" t="inlineStr">
        <is>
          <t>PF103186</t>
        </is>
      </c>
      <c r="B3195" s="68" t="n">
        <v>46043</v>
      </c>
      <c r="C3195" s="69" t="n">
        <v>2026</v>
      </c>
      <c r="D3195" t="inlineStr">
        <is>
          <t>Jan</t>
        </is>
      </c>
      <c r="E3195" t="inlineStr">
        <is>
          <t>International developed</t>
        </is>
      </c>
      <c r="F3195" t="inlineStr">
        <is>
          <t>Japan</t>
        </is>
      </c>
      <c r="G3195" t="inlineStr">
        <is>
          <t>Prevnar 20</t>
        </is>
      </c>
      <c r="H3195" t="inlineStr">
        <is>
          <t>Retail pharmacy</t>
        </is>
      </c>
      <c r="I3195" t="inlineStr">
        <is>
          <t>Public payer</t>
        </is>
      </c>
      <c r="J3195" t="inlineStr">
        <is>
          <t>Wei Chen</t>
        </is>
      </c>
      <c r="K3195" s="70" t="n">
        <v>2517</v>
      </c>
      <c r="L3195" s="71" t="n">
        <v>229.6</v>
      </c>
      <c r="M3195" s="71" t="n">
        <v>577903.2</v>
      </c>
      <c r="N3195" s="71" t="n">
        <v>86685.48</v>
      </c>
      <c r="O3195" s="71" t="n">
        <v>491217.72</v>
      </c>
      <c r="P3195" s="71" t="n">
        <v>171602.39</v>
      </c>
      <c r="Q3195" s="71" t="n">
        <v>319615.33</v>
      </c>
      <c r="R3195" t="inlineStr">
        <is>
          <t>Vaccines</t>
        </is>
      </c>
      <c r="S3195" s="70" t="n">
        <v>2424</v>
      </c>
      <c r="T3195" s="71" t="n">
        <v>112052.88</v>
      </c>
      <c r="U3195" t="inlineStr">
        <is>
          <t>Low</t>
        </is>
      </c>
      <c r="V3195">
        <f>IF(AND(OR(Dashboard!$C$6="All",E3195=Dashboard!$C$6),OR(Dashboard!$F$6="All",G3195=Dashboard!$F$6),OR(Dashboard!$I$6="All",H3195=Dashboard!$I$6)),1,0)</f>
        <v/>
      </c>
    </row>
    <row r="3196">
      <c r="A3196" t="inlineStr">
        <is>
          <t>PF103187</t>
        </is>
      </c>
      <c r="B3196" s="68" t="n">
        <v>46043</v>
      </c>
      <c r="C3196" s="69" t="n">
        <v>2026</v>
      </c>
      <c r="D3196" t="inlineStr">
        <is>
          <t>Jan</t>
        </is>
      </c>
      <c r="E3196" t="inlineStr">
        <is>
          <t>International developed</t>
        </is>
      </c>
      <c r="F3196" t="inlineStr">
        <is>
          <t>Canada</t>
        </is>
      </c>
      <c r="G3196" t="inlineStr">
        <is>
          <t>Ibrance</t>
        </is>
      </c>
      <c r="H3196" t="inlineStr">
        <is>
          <t>Government / tender</t>
        </is>
      </c>
      <c r="I3196" t="inlineStr">
        <is>
          <t>Public payer</t>
        </is>
      </c>
      <c r="J3196" t="inlineStr">
        <is>
          <t>Wei Chen</t>
        </is>
      </c>
      <c r="K3196" s="70" t="n">
        <v>196</v>
      </c>
      <c r="L3196" s="71" t="n">
        <v>2669.55</v>
      </c>
      <c r="M3196" s="71" t="n">
        <v>523231.8</v>
      </c>
      <c r="N3196" s="71" t="n">
        <v>52323.18</v>
      </c>
      <c r="O3196" s="71" t="n">
        <v>470908.62</v>
      </c>
      <c r="P3196" s="71" t="n">
        <v>84465.95</v>
      </c>
      <c r="Q3196" s="71" t="n">
        <v>386442.67</v>
      </c>
      <c r="R3196" t="inlineStr">
        <is>
          <t>Oncology</t>
        </is>
      </c>
      <c r="S3196" s="70" t="n">
        <v>142</v>
      </c>
      <c r="T3196" s="71" t="n">
        <v>103747.79</v>
      </c>
      <c r="U3196" t="inlineStr">
        <is>
          <t>High</t>
        </is>
      </c>
      <c r="V3196">
        <f>IF(AND(OR(Dashboard!$C$6="All",E3196=Dashboard!$C$6),OR(Dashboard!$F$6="All",G3196=Dashboard!$F$6),OR(Dashboard!$I$6="All",H3196=Dashboard!$I$6)),1,0)</f>
        <v/>
      </c>
    </row>
    <row r="3197">
      <c r="A3197" t="inlineStr">
        <is>
          <t>PF103188</t>
        </is>
      </c>
      <c r="B3197" s="68" t="n">
        <v>46043</v>
      </c>
      <c r="C3197" s="69" t="n">
        <v>2026</v>
      </c>
      <c r="D3197" t="inlineStr">
        <is>
          <t>Jan</t>
        </is>
      </c>
      <c r="E3197" t="inlineStr">
        <is>
          <t>Emerging markets</t>
        </is>
      </c>
      <c r="F3197" t="inlineStr">
        <is>
          <t>Mexico</t>
        </is>
      </c>
      <c r="G3197" t="inlineStr">
        <is>
          <t>Comirnaty</t>
        </is>
      </c>
      <c r="H3197" t="inlineStr">
        <is>
          <t>Retail pharmacy</t>
        </is>
      </c>
      <c r="I3197" t="inlineStr">
        <is>
          <t>Private insurer</t>
        </is>
      </c>
      <c r="J3197" t="inlineStr">
        <is>
          <t>Omar Haddad</t>
        </is>
      </c>
      <c r="K3197" s="70" t="n">
        <v>794</v>
      </c>
      <c r="L3197" s="71" t="n">
        <v>91.34999999999999</v>
      </c>
      <c r="M3197" s="71" t="n">
        <v>72531.89999999999</v>
      </c>
      <c r="N3197" s="71" t="n">
        <v>3626.59</v>
      </c>
      <c r="O3197" s="71" t="n">
        <v>68905.31</v>
      </c>
      <c r="P3197" s="71" t="n">
        <v>30426.25</v>
      </c>
      <c r="Q3197" s="71" t="n">
        <v>38479.06</v>
      </c>
      <c r="R3197" t="inlineStr">
        <is>
          <t>Vaccines</t>
        </is>
      </c>
      <c r="S3197" s="70" t="n">
        <v>708</v>
      </c>
      <c r="T3197" s="71" t="n">
        <v>11205.68</v>
      </c>
      <c r="U3197" t="inlineStr">
        <is>
          <t>Low</t>
        </is>
      </c>
      <c r="V3197">
        <f>IF(AND(OR(Dashboard!$C$6="All",E3197=Dashboard!$C$6),OR(Dashboard!$F$6="All",G3197=Dashboard!$F$6),OR(Dashboard!$I$6="All",H3197=Dashboard!$I$6)),1,0)</f>
        <v/>
      </c>
    </row>
    <row r="3198">
      <c r="A3198" t="inlineStr">
        <is>
          <t>PF103189</t>
        </is>
      </c>
      <c r="B3198" s="68" t="n">
        <v>46043</v>
      </c>
      <c r="C3198" s="69" t="n">
        <v>2026</v>
      </c>
      <c r="D3198" t="inlineStr">
        <is>
          <t>Jan</t>
        </is>
      </c>
      <c r="E3198" t="inlineStr">
        <is>
          <t>United States</t>
        </is>
      </c>
      <c r="F3198" t="inlineStr">
        <is>
          <t>USA</t>
        </is>
      </c>
      <c r="G3198" t="inlineStr">
        <is>
          <t>Paxlovid</t>
        </is>
      </c>
      <c r="H3198" t="inlineStr">
        <is>
          <t>Retail pharmacy</t>
        </is>
      </c>
      <c r="I3198" t="inlineStr">
        <is>
          <t>Public payer</t>
        </is>
      </c>
      <c r="J3198" t="inlineStr">
        <is>
          <t>Hiroshi Tanaka</t>
        </is>
      </c>
      <c r="K3198" s="70" t="n">
        <v>934</v>
      </c>
      <c r="L3198" s="71" t="n">
        <v>1587.76</v>
      </c>
      <c r="M3198" s="71" t="n">
        <v>1482967.84</v>
      </c>
      <c r="N3198" s="71" t="n">
        <v>370741.96</v>
      </c>
      <c r="O3198" s="71" t="n">
        <v>1112225.88</v>
      </c>
      <c r="P3198" s="71" t="n">
        <v>258467.97</v>
      </c>
      <c r="Q3198" s="71" t="n">
        <v>853757.91</v>
      </c>
      <c r="R3198" t="inlineStr">
        <is>
          <t>Antiviral</t>
        </is>
      </c>
      <c r="S3198" s="70" t="n">
        <v>844</v>
      </c>
      <c r="T3198" s="71" t="n">
        <v>249279.26</v>
      </c>
      <c r="U3198" t="inlineStr">
        <is>
          <t>Low</t>
        </is>
      </c>
      <c r="V3198">
        <f>IF(AND(OR(Dashboard!$C$6="All",E3198=Dashboard!$C$6),OR(Dashboard!$F$6="All",G3198=Dashboard!$F$6),OR(Dashboard!$I$6="All",H3198=Dashboard!$I$6)),1,0)</f>
        <v/>
      </c>
    </row>
    <row r="3199">
      <c r="A3199" t="inlineStr">
        <is>
          <t>PF103190</t>
        </is>
      </c>
      <c r="B3199" s="68" t="n">
        <v>46043</v>
      </c>
      <c r="C3199" s="69" t="n">
        <v>2026</v>
      </c>
      <c r="D3199" t="inlineStr">
        <is>
          <t>Jan</t>
        </is>
      </c>
      <c r="E3199" t="inlineStr">
        <is>
          <t>Emerging markets</t>
        </is>
      </c>
      <c r="F3199" t="inlineStr">
        <is>
          <t>India</t>
        </is>
      </c>
      <c r="G3199" t="inlineStr">
        <is>
          <t>Ibrance</t>
        </is>
      </c>
      <c r="H3199" t="inlineStr">
        <is>
          <t>Retail pharmacy</t>
        </is>
      </c>
      <c r="I3199" t="inlineStr">
        <is>
          <t>Public payer</t>
        </is>
      </c>
      <c r="J3199" t="inlineStr">
        <is>
          <t>Fatima Al-Saud</t>
        </is>
      </c>
      <c r="K3199" s="70" t="n">
        <v>629</v>
      </c>
      <c r="L3199" s="71" t="n">
        <v>3073.59</v>
      </c>
      <c r="M3199" s="71" t="n">
        <v>1933288.11</v>
      </c>
      <c r="N3199" s="71" t="n">
        <v>96664.41</v>
      </c>
      <c r="O3199" s="71" t="n">
        <v>1836623.7</v>
      </c>
      <c r="P3199" s="71" t="n">
        <v>282555.49</v>
      </c>
      <c r="Q3199" s="71" t="n">
        <v>1554068.21</v>
      </c>
      <c r="R3199" t="inlineStr">
        <is>
          <t>Oncology</t>
        </is>
      </c>
      <c r="S3199" s="70" t="n">
        <v>605</v>
      </c>
      <c r="T3199" s="71" t="n">
        <v>378229.81</v>
      </c>
      <c r="U3199" t="inlineStr">
        <is>
          <t>High</t>
        </is>
      </c>
      <c r="V3199">
        <f>IF(AND(OR(Dashboard!$C$6="All",E3199=Dashboard!$C$6),OR(Dashboard!$F$6="All",G3199=Dashboard!$F$6),OR(Dashboard!$I$6="All",H3199=Dashboard!$I$6)),1,0)</f>
        <v/>
      </c>
    </row>
    <row r="3200">
      <c r="A3200" t="inlineStr">
        <is>
          <t>PF103191</t>
        </is>
      </c>
      <c r="B3200" s="68" t="n">
        <v>46044</v>
      </c>
      <c r="C3200" s="69" t="n">
        <v>2026</v>
      </c>
      <c r="D3200" t="inlineStr">
        <is>
          <t>Jan</t>
        </is>
      </c>
      <c r="E3200" t="inlineStr">
        <is>
          <t>United States</t>
        </is>
      </c>
      <c r="F3200" t="inlineStr">
        <is>
          <t>USA</t>
        </is>
      </c>
      <c r="G3200" t="inlineStr">
        <is>
          <t>Xeljanz</t>
        </is>
      </c>
      <c r="H3200" t="inlineStr">
        <is>
          <t>Government / tender</t>
        </is>
      </c>
      <c r="I3200" t="inlineStr">
        <is>
          <t>Public payer</t>
        </is>
      </c>
      <c r="J3200" t="inlineStr">
        <is>
          <t>Emma Clarke</t>
        </is>
      </c>
      <c r="K3200" s="70" t="n">
        <v>1100</v>
      </c>
      <c r="L3200" s="71" t="n">
        <v>2145.31</v>
      </c>
      <c r="M3200" s="71" t="n">
        <v>2359841</v>
      </c>
      <c r="N3200" s="71" t="n">
        <v>471968.2</v>
      </c>
      <c r="O3200" s="71" t="n">
        <v>1887872.8</v>
      </c>
      <c r="P3200" s="71" t="n">
        <v>279022.54</v>
      </c>
      <c r="Q3200" s="71" t="n">
        <v>1608850.26</v>
      </c>
      <c r="R3200" t="inlineStr">
        <is>
          <t>Inflammation</t>
        </is>
      </c>
      <c r="S3200" s="70" t="n">
        <v>849</v>
      </c>
      <c r="T3200" s="71" t="n">
        <v>461597.15</v>
      </c>
      <c r="U3200" t="inlineStr">
        <is>
          <t>High</t>
        </is>
      </c>
      <c r="V3200">
        <f>IF(AND(OR(Dashboard!$C$6="All",E3200=Dashboard!$C$6),OR(Dashboard!$F$6="All",G3200=Dashboard!$F$6),OR(Dashboard!$I$6="All",H3200=Dashboard!$I$6)),1,0)</f>
        <v/>
      </c>
    </row>
    <row r="3201">
      <c r="A3201" t="inlineStr">
        <is>
          <t>PF103192</t>
        </is>
      </c>
      <c r="B3201" s="68" t="n">
        <v>46044</v>
      </c>
      <c r="C3201" s="69" t="n">
        <v>2026</v>
      </c>
      <c r="D3201" t="inlineStr">
        <is>
          <t>Jan</t>
        </is>
      </c>
      <c r="E3201" t="inlineStr">
        <is>
          <t>International developed</t>
        </is>
      </c>
      <c r="F3201" t="inlineStr">
        <is>
          <t>Japan</t>
        </is>
      </c>
      <c r="G3201" t="inlineStr">
        <is>
          <t>Ibrance</t>
        </is>
      </c>
      <c r="H3201" t="inlineStr">
        <is>
          <t>Retail pharmacy</t>
        </is>
      </c>
      <c r="I3201" t="inlineStr">
        <is>
          <t>Private insurer</t>
        </is>
      </c>
      <c r="J3201" t="inlineStr">
        <is>
          <t>Liam O'Brien</t>
        </is>
      </c>
      <c r="K3201" s="70" t="n">
        <v>2375</v>
      </c>
      <c r="L3201" s="71" t="n">
        <v>2891.77</v>
      </c>
      <c r="M3201" s="71" t="n">
        <v>6867953.75</v>
      </c>
      <c r="N3201" s="71" t="n">
        <v>686795.38</v>
      </c>
      <c r="O3201" s="71" t="n">
        <v>6181158.37</v>
      </c>
      <c r="P3201" s="71" t="n">
        <v>1029591.39</v>
      </c>
      <c r="Q3201" s="71" t="n">
        <v>5151566.98</v>
      </c>
      <c r="R3201" t="inlineStr">
        <is>
          <t>Oncology</t>
        </is>
      </c>
      <c r="S3201" s="70" t="n">
        <v>1687</v>
      </c>
      <c r="T3201" s="71" t="n">
        <v>1200333.46</v>
      </c>
      <c r="U3201" t="inlineStr">
        <is>
          <t>High</t>
        </is>
      </c>
      <c r="V3201">
        <f>IF(AND(OR(Dashboard!$C$6="All",E3201=Dashboard!$C$6),OR(Dashboard!$F$6="All",G3201=Dashboard!$F$6),OR(Dashboard!$I$6="All",H3201=Dashboard!$I$6)),1,0)</f>
        <v/>
      </c>
    </row>
    <row r="3202">
      <c r="A3202" t="inlineStr">
        <is>
          <t>PF103193</t>
        </is>
      </c>
      <c r="B3202" s="68" t="n">
        <v>46044</v>
      </c>
      <c r="C3202" s="69" t="n">
        <v>2026</v>
      </c>
      <c r="D3202" t="inlineStr">
        <is>
          <t>Jan</t>
        </is>
      </c>
      <c r="E3202" t="inlineStr">
        <is>
          <t>Emerging markets</t>
        </is>
      </c>
      <c r="F3202" t="inlineStr">
        <is>
          <t>China</t>
        </is>
      </c>
      <c r="G3202" t="inlineStr">
        <is>
          <t>Ibrance</t>
        </is>
      </c>
      <c r="H3202" t="inlineStr">
        <is>
          <t>Retail pharmacy</t>
        </is>
      </c>
      <c r="I3202" t="inlineStr">
        <is>
          <t>Private insurer</t>
        </is>
      </c>
      <c r="J3202" t="inlineStr">
        <is>
          <t>Hiroshi Tanaka</t>
        </is>
      </c>
      <c r="K3202" s="70" t="n">
        <v>1986</v>
      </c>
      <c r="L3202" s="71" t="n">
        <v>2747.69</v>
      </c>
      <c r="M3202" s="71" t="n">
        <v>5456912.34</v>
      </c>
      <c r="N3202" s="71" t="n">
        <v>818536.85</v>
      </c>
      <c r="O3202" s="71" t="n">
        <v>4638375.49</v>
      </c>
      <c r="P3202" s="71" t="n">
        <v>875492.17</v>
      </c>
      <c r="Q3202" s="71" t="n">
        <v>3762883.32</v>
      </c>
      <c r="R3202" t="inlineStr">
        <is>
          <t>Oncology</t>
        </is>
      </c>
      <c r="S3202" s="70" t="n">
        <v>1245</v>
      </c>
      <c r="T3202" s="71" t="n">
        <v>876324.46</v>
      </c>
      <c r="U3202" t="inlineStr">
        <is>
          <t>High</t>
        </is>
      </c>
      <c r="V3202">
        <f>IF(AND(OR(Dashboard!$C$6="All",E3202=Dashboard!$C$6),OR(Dashboard!$F$6="All",G3202=Dashboard!$F$6),OR(Dashboard!$I$6="All",H3202=Dashboard!$I$6)),1,0)</f>
        <v/>
      </c>
    </row>
    <row r="3203">
      <c r="A3203" t="inlineStr">
        <is>
          <t>PF103194</t>
        </is>
      </c>
      <c r="B3203" s="68" t="n">
        <v>46044</v>
      </c>
      <c r="C3203" s="69" t="n">
        <v>2026</v>
      </c>
      <c r="D3203" t="inlineStr">
        <is>
          <t>Jan</t>
        </is>
      </c>
      <c r="E3203" t="inlineStr">
        <is>
          <t>Emerging markets</t>
        </is>
      </c>
      <c r="F3203" t="inlineStr">
        <is>
          <t>Mexico</t>
        </is>
      </c>
      <c r="G3203" t="inlineStr">
        <is>
          <t>Vyndaqel</t>
        </is>
      </c>
      <c r="H3203" t="inlineStr">
        <is>
          <t>Retail pharmacy</t>
        </is>
      </c>
      <c r="I3203" t="inlineStr">
        <is>
          <t>Public payer</t>
        </is>
      </c>
      <c r="J3203" t="inlineStr">
        <is>
          <t>Wei Chen</t>
        </is>
      </c>
      <c r="K3203" s="70" t="n">
        <v>1526</v>
      </c>
      <c r="L3203" s="71" t="n">
        <v>5945.54</v>
      </c>
      <c r="M3203" s="71" t="n">
        <v>9072894.039999999</v>
      </c>
      <c r="N3203" s="71" t="n">
        <v>453644.7</v>
      </c>
      <c r="O3203" s="71" t="n">
        <v>8619249.34</v>
      </c>
      <c r="P3203" s="71" t="n">
        <v>937966.55</v>
      </c>
      <c r="Q3203" s="71" t="n">
        <v>7681282.79</v>
      </c>
      <c r="R3203" t="inlineStr">
        <is>
          <t>Rare disease</t>
        </is>
      </c>
      <c r="S3203" s="70" t="n">
        <v>1309</v>
      </c>
      <c r="T3203" s="71" t="n">
        <v>1388314.01</v>
      </c>
      <c r="U3203" t="inlineStr">
        <is>
          <t>Medium</t>
        </is>
      </c>
      <c r="V3203">
        <f>IF(AND(OR(Dashboard!$C$6="All",E3203=Dashboard!$C$6),OR(Dashboard!$F$6="All",G3203=Dashboard!$F$6),OR(Dashboard!$I$6="All",H3203=Dashboard!$I$6)),1,0)</f>
        <v/>
      </c>
    </row>
    <row r="3204">
      <c r="A3204" t="inlineStr">
        <is>
          <t>PF103195</t>
        </is>
      </c>
      <c r="B3204" s="68" t="n">
        <v>46044</v>
      </c>
      <c r="C3204" s="69" t="n">
        <v>2026</v>
      </c>
      <c r="D3204" t="inlineStr">
        <is>
          <t>Jan</t>
        </is>
      </c>
      <c r="E3204" t="inlineStr">
        <is>
          <t>Emerging markets</t>
        </is>
      </c>
      <c r="F3204" t="inlineStr">
        <is>
          <t>Mexico</t>
        </is>
      </c>
      <c r="G3204" t="inlineStr">
        <is>
          <t>Abrysvo</t>
        </is>
      </c>
      <c r="H3204" t="inlineStr">
        <is>
          <t>Retail pharmacy</t>
        </is>
      </c>
      <c r="I3204" t="inlineStr">
        <is>
          <t>Public payer</t>
        </is>
      </c>
      <c r="J3204" t="inlineStr">
        <is>
          <t>Shraddha Kulkarni</t>
        </is>
      </c>
      <c r="K3204" s="70" t="n">
        <v>367</v>
      </c>
      <c r="L3204" s="71" t="n">
        <v>300.32</v>
      </c>
      <c r="M3204" s="71" t="n">
        <v>110217.44</v>
      </c>
      <c r="N3204" s="71" t="n">
        <v>11021.74</v>
      </c>
      <c r="O3204" s="71" t="n">
        <v>99195.7</v>
      </c>
      <c r="P3204" s="71" t="n">
        <v>30996.61</v>
      </c>
      <c r="Q3204" s="71" t="n">
        <v>68199.09</v>
      </c>
      <c r="R3204" t="inlineStr">
        <is>
          <t>Vaccines</t>
        </is>
      </c>
      <c r="S3204" s="70" t="n">
        <v>331</v>
      </c>
      <c r="T3204" s="71" t="n">
        <v>15553.34</v>
      </c>
      <c r="U3204" t="inlineStr">
        <is>
          <t>Low</t>
        </is>
      </c>
      <c r="V3204">
        <f>IF(AND(OR(Dashboard!$C$6="All",E3204=Dashboard!$C$6),OR(Dashboard!$F$6="All",G3204=Dashboard!$F$6),OR(Dashboard!$I$6="All",H3204=Dashboard!$I$6)),1,0)</f>
        <v/>
      </c>
    </row>
    <row r="3205">
      <c r="A3205" t="inlineStr">
        <is>
          <t>PF103196</t>
        </is>
      </c>
      <c r="B3205" s="68" t="n">
        <v>46044</v>
      </c>
      <c r="C3205" s="69" t="n">
        <v>2026</v>
      </c>
      <c r="D3205" t="inlineStr">
        <is>
          <t>Jan</t>
        </is>
      </c>
      <c r="E3205" t="inlineStr">
        <is>
          <t>Emerging markets</t>
        </is>
      </c>
      <c r="F3205" t="inlineStr">
        <is>
          <t>India</t>
        </is>
      </c>
      <c r="G3205" t="inlineStr">
        <is>
          <t>Paxlovid</t>
        </is>
      </c>
      <c r="H3205" t="inlineStr">
        <is>
          <t>Retail pharmacy</t>
        </is>
      </c>
      <c r="I3205" t="inlineStr">
        <is>
          <t>Private insurer</t>
        </is>
      </c>
      <c r="J3205" t="inlineStr">
        <is>
          <t>Emma Clarke</t>
        </is>
      </c>
      <c r="K3205" s="70" t="n">
        <v>267</v>
      </c>
      <c r="L3205" s="71" t="n">
        <v>829.72</v>
      </c>
      <c r="M3205" s="71" t="n">
        <v>221535.24</v>
      </c>
      <c r="N3205" s="71" t="n">
        <v>11076.76</v>
      </c>
      <c r="O3205" s="71" t="n">
        <v>210458.48</v>
      </c>
      <c r="P3205" s="71" t="n">
        <v>73860.78999999999</v>
      </c>
      <c r="Q3205" s="71" t="n">
        <v>136597.69</v>
      </c>
      <c r="R3205" t="inlineStr">
        <is>
          <t>Antiviral</t>
        </is>
      </c>
      <c r="S3205" s="70" t="n">
        <v>181</v>
      </c>
      <c r="T3205" s="71" t="n">
        <v>45156.09</v>
      </c>
      <c r="U3205" t="inlineStr">
        <is>
          <t>Low</t>
        </is>
      </c>
      <c r="V3205">
        <f>IF(AND(OR(Dashboard!$C$6="All",E3205=Dashboard!$C$6),OR(Dashboard!$F$6="All",G3205=Dashboard!$F$6),OR(Dashboard!$I$6="All",H3205=Dashboard!$I$6)),1,0)</f>
        <v/>
      </c>
    </row>
    <row r="3206">
      <c r="A3206" t="inlineStr">
        <is>
          <t>PF103197</t>
        </is>
      </c>
      <c r="B3206" s="68" t="n">
        <v>46044</v>
      </c>
      <c r="C3206" s="69" t="n">
        <v>2026</v>
      </c>
      <c r="D3206" t="inlineStr">
        <is>
          <t>Jan</t>
        </is>
      </c>
      <c r="E3206" t="inlineStr">
        <is>
          <t>United States</t>
        </is>
      </c>
      <c r="F3206" t="inlineStr">
        <is>
          <t>USA</t>
        </is>
      </c>
      <c r="G3206" t="inlineStr">
        <is>
          <t>Vyndaqel</t>
        </is>
      </c>
      <c r="H3206" t="inlineStr">
        <is>
          <t>Hospital</t>
        </is>
      </c>
      <c r="I3206" t="inlineStr">
        <is>
          <t>Private insurer</t>
        </is>
      </c>
      <c r="J3206" t="inlineStr">
        <is>
          <t>Shraddha Kulkarni</t>
        </is>
      </c>
      <c r="K3206" s="70" t="n">
        <v>634</v>
      </c>
      <c r="L3206" s="71" t="n">
        <v>8343.139999999999</v>
      </c>
      <c r="M3206" s="71" t="n">
        <v>5289550.76</v>
      </c>
      <c r="N3206" s="71" t="n">
        <v>1586865.23</v>
      </c>
      <c r="O3206" s="71" t="n">
        <v>3702685.53</v>
      </c>
      <c r="P3206" s="71" t="n">
        <v>380639.66</v>
      </c>
      <c r="Q3206" s="71" t="n">
        <v>3322045.87</v>
      </c>
      <c r="R3206" t="inlineStr">
        <is>
          <t>Rare disease</t>
        </is>
      </c>
      <c r="S3206" s="70" t="n">
        <v>500</v>
      </c>
      <c r="T3206" s="71" t="n">
        <v>942317.45</v>
      </c>
      <c r="U3206" t="inlineStr">
        <is>
          <t>Medium</t>
        </is>
      </c>
      <c r="V3206">
        <f>IF(AND(OR(Dashboard!$C$6="All",E3206=Dashboard!$C$6),OR(Dashboard!$F$6="All",G3206=Dashboard!$F$6),OR(Dashboard!$I$6="All",H3206=Dashboard!$I$6)),1,0)</f>
        <v/>
      </c>
    </row>
    <row r="3207">
      <c r="A3207" t="inlineStr">
        <is>
          <t>PF103198</t>
        </is>
      </c>
      <c r="B3207" s="68" t="n">
        <v>46044</v>
      </c>
      <c r="C3207" s="69" t="n">
        <v>2026</v>
      </c>
      <c r="D3207" t="inlineStr">
        <is>
          <t>Jan</t>
        </is>
      </c>
      <c r="E3207" t="inlineStr">
        <is>
          <t>Europe</t>
        </is>
      </c>
      <c r="F3207" t="inlineStr">
        <is>
          <t>UK</t>
        </is>
      </c>
      <c r="G3207" t="inlineStr">
        <is>
          <t>Xeljanz</t>
        </is>
      </c>
      <c r="H3207" t="inlineStr">
        <is>
          <t>Retail pharmacy</t>
        </is>
      </c>
      <c r="I3207" t="inlineStr">
        <is>
          <t>Public payer</t>
        </is>
      </c>
      <c r="J3207" t="inlineStr">
        <is>
          <t>Lucas Martin</t>
        </is>
      </c>
      <c r="K3207" s="70" t="n">
        <v>831</v>
      </c>
      <c r="L3207" s="71" t="n">
        <v>1439.72</v>
      </c>
      <c r="M3207" s="71" t="n">
        <v>1196407.32</v>
      </c>
      <c r="N3207" s="71" t="n">
        <v>239281.46</v>
      </c>
      <c r="O3207" s="71" t="n">
        <v>957125.86</v>
      </c>
      <c r="P3207" s="71" t="n">
        <v>202810.11</v>
      </c>
      <c r="Q3207" s="71" t="n">
        <v>754315.75</v>
      </c>
      <c r="R3207" t="inlineStr">
        <is>
          <t>Inflammation</t>
        </is>
      </c>
      <c r="S3207" s="70" t="n">
        <v>520</v>
      </c>
      <c r="T3207" s="71" t="n">
        <v>268581.98</v>
      </c>
      <c r="U3207" t="inlineStr">
        <is>
          <t>High</t>
        </is>
      </c>
      <c r="V3207">
        <f>IF(AND(OR(Dashboard!$C$6="All",E3207=Dashboard!$C$6),OR(Dashboard!$F$6="All",G3207=Dashboard!$F$6),OR(Dashboard!$I$6="All",H3207=Dashboard!$I$6)),1,0)</f>
        <v/>
      </c>
    </row>
    <row r="3208">
      <c r="A3208" t="inlineStr">
        <is>
          <t>PF103199</t>
        </is>
      </c>
      <c r="B3208" s="68" t="n">
        <v>46044</v>
      </c>
      <c r="C3208" s="69" t="n">
        <v>2026</v>
      </c>
      <c r="D3208" t="inlineStr">
        <is>
          <t>Jan</t>
        </is>
      </c>
      <c r="E3208" t="inlineStr">
        <is>
          <t>International developed</t>
        </is>
      </c>
      <c r="F3208" t="inlineStr">
        <is>
          <t>Canada</t>
        </is>
      </c>
      <c r="G3208" t="inlineStr">
        <is>
          <t>Abrysvo</t>
        </is>
      </c>
      <c r="H3208" t="inlineStr">
        <is>
          <t>Retail pharmacy</t>
        </is>
      </c>
      <c r="I3208" t="inlineStr">
        <is>
          <t>Public payer</t>
        </is>
      </c>
      <c r="J3208" t="inlineStr">
        <is>
          <t>Amir Khan</t>
        </is>
      </c>
      <c r="K3208" s="70" t="n">
        <v>1806</v>
      </c>
      <c r="L3208" s="71" t="n">
        <v>295.84</v>
      </c>
      <c r="M3208" s="71" t="n">
        <v>534287.04</v>
      </c>
      <c r="N3208" s="71" t="n">
        <v>80143.06</v>
      </c>
      <c r="O3208" s="71" t="n">
        <v>454143.98</v>
      </c>
      <c r="P3208" s="71" t="n">
        <v>147398.29</v>
      </c>
      <c r="Q3208" s="71" t="n">
        <v>306745.69</v>
      </c>
      <c r="R3208" t="inlineStr">
        <is>
          <t>Vaccines</t>
        </is>
      </c>
      <c r="S3208" s="70" t="n">
        <v>1742</v>
      </c>
      <c r="T3208" s="71" t="n">
        <v>91309.21000000001</v>
      </c>
      <c r="U3208" t="inlineStr">
        <is>
          <t>Low</t>
        </is>
      </c>
      <c r="V3208">
        <f>IF(AND(OR(Dashboard!$C$6="All",E3208=Dashboard!$C$6),OR(Dashboard!$F$6="All",G3208=Dashboard!$F$6),OR(Dashboard!$I$6="All",H3208=Dashboard!$I$6)),1,0)</f>
        <v/>
      </c>
    </row>
    <row r="3209">
      <c r="A3209" t="inlineStr">
        <is>
          <t>PF103200</t>
        </is>
      </c>
      <c r="B3209" s="68" t="n">
        <v>46044</v>
      </c>
      <c r="C3209" s="69" t="n">
        <v>2026</v>
      </c>
      <c r="D3209" t="inlineStr">
        <is>
          <t>Jan</t>
        </is>
      </c>
      <c r="E3209" t="inlineStr">
        <is>
          <t>United States</t>
        </is>
      </c>
      <c r="F3209" t="inlineStr">
        <is>
          <t>USA</t>
        </is>
      </c>
      <c r="G3209" t="inlineStr">
        <is>
          <t>Paxlovid</t>
        </is>
      </c>
      <c r="H3209" t="inlineStr">
        <is>
          <t>Hospital</t>
        </is>
      </c>
      <c r="I3209" t="inlineStr">
        <is>
          <t>Public payer</t>
        </is>
      </c>
      <c r="J3209" t="inlineStr">
        <is>
          <t>Ruhi Shaikh</t>
        </is>
      </c>
      <c r="K3209" s="70" t="n">
        <v>280</v>
      </c>
      <c r="L3209" s="71" t="n">
        <v>1517.18</v>
      </c>
      <c r="M3209" s="71" t="n">
        <v>424810.4</v>
      </c>
      <c r="N3209" s="71" t="n">
        <v>127443.12</v>
      </c>
      <c r="O3209" s="71" t="n">
        <v>297367.28</v>
      </c>
      <c r="P3209" s="71" t="n">
        <v>75695.62</v>
      </c>
      <c r="Q3209" s="71" t="n">
        <v>221671.66</v>
      </c>
      <c r="R3209" t="inlineStr">
        <is>
          <t>Antiviral</t>
        </is>
      </c>
      <c r="S3209" s="70" t="n">
        <v>216</v>
      </c>
      <c r="T3209" s="71" t="n">
        <v>84834.74000000001</v>
      </c>
      <c r="U3209" t="inlineStr">
        <is>
          <t>Low</t>
        </is>
      </c>
      <c r="V3209">
        <f>IF(AND(OR(Dashboard!$C$6="All",E3209=Dashboard!$C$6),OR(Dashboard!$F$6="All",G3209=Dashboard!$F$6),OR(Dashboard!$I$6="All",H3209=Dashboard!$I$6)),1,0)</f>
        <v/>
      </c>
    </row>
    <row r="3210">
      <c r="A3210" t="inlineStr">
        <is>
          <t>PF103201</t>
        </is>
      </c>
      <c r="B3210" s="68" t="n">
        <v>46044</v>
      </c>
      <c r="C3210" s="69" t="n">
        <v>2026</v>
      </c>
      <c r="D3210" t="inlineStr">
        <is>
          <t>Jan</t>
        </is>
      </c>
      <c r="E3210" t="inlineStr">
        <is>
          <t>United States</t>
        </is>
      </c>
      <c r="F3210" t="inlineStr">
        <is>
          <t>USA</t>
        </is>
      </c>
      <c r="G3210" t="inlineStr">
        <is>
          <t>Prevnar 20</t>
        </is>
      </c>
      <c r="H3210" t="inlineStr">
        <is>
          <t>Government / tender</t>
        </is>
      </c>
      <c r="I3210" t="inlineStr">
        <is>
          <t>Private insurer</t>
        </is>
      </c>
      <c r="J3210" t="inlineStr">
        <is>
          <t>Lucas Martin</t>
        </is>
      </c>
      <c r="K3210" s="70" t="n">
        <v>2210</v>
      </c>
      <c r="L3210" s="71" t="n">
        <v>342.98</v>
      </c>
      <c r="M3210" s="71" t="n">
        <v>757985.8</v>
      </c>
      <c r="N3210" s="71" t="n">
        <v>189496.45</v>
      </c>
      <c r="O3210" s="71" t="n">
        <v>568489.35</v>
      </c>
      <c r="P3210" s="71" t="n">
        <v>150194.3</v>
      </c>
      <c r="Q3210" s="71" t="n">
        <v>418295.05</v>
      </c>
      <c r="R3210" t="inlineStr">
        <is>
          <t>Vaccines</t>
        </is>
      </c>
      <c r="S3210" s="70" t="n">
        <v>2194</v>
      </c>
      <c r="T3210" s="71" t="n">
        <v>89438.85000000001</v>
      </c>
      <c r="U3210" t="inlineStr">
        <is>
          <t>Low</t>
        </is>
      </c>
      <c r="V3210">
        <f>IF(AND(OR(Dashboard!$C$6="All",E3210=Dashboard!$C$6),OR(Dashboard!$F$6="All",G3210=Dashboard!$F$6),OR(Dashboard!$I$6="All",H3210=Dashboard!$I$6)),1,0)</f>
        <v/>
      </c>
    </row>
    <row r="3211">
      <c r="A3211" t="inlineStr">
        <is>
          <t>PF103202</t>
        </is>
      </c>
      <c r="B3211" s="68" t="n">
        <v>46044</v>
      </c>
      <c r="C3211" s="69" t="n">
        <v>2026</v>
      </c>
      <c r="D3211" t="inlineStr">
        <is>
          <t>Jan</t>
        </is>
      </c>
      <c r="E3211" t="inlineStr">
        <is>
          <t>Emerging markets</t>
        </is>
      </c>
      <c r="F3211" t="inlineStr">
        <is>
          <t>Brazil</t>
        </is>
      </c>
      <c r="G3211" t="inlineStr">
        <is>
          <t>Comirnaty</t>
        </is>
      </c>
      <c r="H3211" t="inlineStr">
        <is>
          <t>Hospital</t>
        </is>
      </c>
      <c r="I3211" t="inlineStr">
        <is>
          <t>Private insurer</t>
        </is>
      </c>
      <c r="J3211" t="inlineStr">
        <is>
          <t>Ana Costa</t>
        </is>
      </c>
      <c r="K3211" s="70" t="n">
        <v>486</v>
      </c>
      <c r="L3211" s="71" t="n">
        <v>95.92</v>
      </c>
      <c r="M3211" s="71" t="n">
        <v>46617.12</v>
      </c>
      <c r="N3211" s="71" t="n">
        <v>2330.86</v>
      </c>
      <c r="O3211" s="71" t="n">
        <v>44286.26</v>
      </c>
      <c r="P3211" s="71" t="n">
        <v>18808.34</v>
      </c>
      <c r="Q3211" s="71" t="n">
        <v>25477.92</v>
      </c>
      <c r="R3211" t="inlineStr">
        <is>
          <t>Vaccines</t>
        </is>
      </c>
      <c r="S3211" s="70" t="n">
        <v>318</v>
      </c>
      <c r="T3211" s="71" t="n">
        <v>10385.08</v>
      </c>
      <c r="U3211" t="inlineStr">
        <is>
          <t>Low</t>
        </is>
      </c>
      <c r="V3211">
        <f>IF(AND(OR(Dashboard!$C$6="All",E3211=Dashboard!$C$6),OR(Dashboard!$F$6="All",G3211=Dashboard!$F$6),OR(Dashboard!$I$6="All",H3211=Dashboard!$I$6)),1,0)</f>
        <v/>
      </c>
    </row>
    <row r="3212">
      <c r="A3212" t="inlineStr">
        <is>
          <t>PF103203</t>
        </is>
      </c>
      <c r="B3212" s="68" t="n">
        <v>46044</v>
      </c>
      <c r="C3212" s="69" t="n">
        <v>2026</v>
      </c>
      <c r="D3212" t="inlineStr">
        <is>
          <t>Jan</t>
        </is>
      </c>
      <c r="E3212" t="inlineStr">
        <is>
          <t>Emerging markets</t>
        </is>
      </c>
      <c r="F3212" t="inlineStr">
        <is>
          <t>Mexico</t>
        </is>
      </c>
      <c r="G3212" t="inlineStr">
        <is>
          <t>Ibrance</t>
        </is>
      </c>
      <c r="H3212" t="inlineStr">
        <is>
          <t>Hospital</t>
        </is>
      </c>
      <c r="I3212" t="inlineStr">
        <is>
          <t>Public payer</t>
        </is>
      </c>
      <c r="J3212" t="inlineStr">
        <is>
          <t>Sara Rossi</t>
        </is>
      </c>
      <c r="K3212" s="70" t="n">
        <v>1358</v>
      </c>
      <c r="L3212" s="71" t="n">
        <v>3017.31</v>
      </c>
      <c r="M3212" s="71" t="n">
        <v>4097506.98</v>
      </c>
      <c r="N3212" s="71" t="n">
        <v>1024376.74</v>
      </c>
      <c r="O3212" s="71" t="n">
        <v>3073130.24</v>
      </c>
      <c r="P3212" s="71" t="n">
        <v>605362.9</v>
      </c>
      <c r="Q3212" s="71" t="n">
        <v>2467767.34</v>
      </c>
      <c r="R3212" t="inlineStr">
        <is>
          <t>Oncology</t>
        </is>
      </c>
      <c r="S3212" s="70" t="n">
        <v>1184</v>
      </c>
      <c r="T3212" s="71" t="n">
        <v>885381.24</v>
      </c>
      <c r="U3212" t="inlineStr">
        <is>
          <t>High</t>
        </is>
      </c>
      <c r="V3212">
        <f>IF(AND(OR(Dashboard!$C$6="All",E3212=Dashboard!$C$6),OR(Dashboard!$F$6="All",G3212=Dashboard!$F$6),OR(Dashboard!$I$6="All",H3212=Dashboard!$I$6)),1,0)</f>
        <v/>
      </c>
    </row>
    <row r="3213">
      <c r="A3213" t="inlineStr">
        <is>
          <t>PF103204</t>
        </is>
      </c>
      <c r="B3213" s="68" t="n">
        <v>46045</v>
      </c>
      <c r="C3213" s="69" t="n">
        <v>2026</v>
      </c>
      <c r="D3213" t="inlineStr">
        <is>
          <t>Jan</t>
        </is>
      </c>
      <c r="E3213" t="inlineStr">
        <is>
          <t>United States</t>
        </is>
      </c>
      <c r="F3213" t="inlineStr">
        <is>
          <t>USA</t>
        </is>
      </c>
      <c r="G3213" t="inlineStr">
        <is>
          <t>Eliquis</t>
        </is>
      </c>
      <c r="H3213" t="inlineStr">
        <is>
          <t>Retail pharmacy</t>
        </is>
      </c>
      <c r="I3213" t="inlineStr">
        <is>
          <t>Public payer</t>
        </is>
      </c>
      <c r="J3213" t="inlineStr">
        <is>
          <t>Arjun Mehta</t>
        </is>
      </c>
      <c r="K3213" s="70" t="n">
        <v>2440</v>
      </c>
      <c r="L3213" s="71" t="n">
        <v>741.4299999999999</v>
      </c>
      <c r="M3213" s="71" t="n">
        <v>1809089.2</v>
      </c>
      <c r="N3213" s="71" t="n">
        <v>452272.3</v>
      </c>
      <c r="O3213" s="71" t="n">
        <v>1356816.9</v>
      </c>
      <c r="P3213" s="71" t="n">
        <v>180222.81</v>
      </c>
      <c r="Q3213" s="71" t="n">
        <v>1176594.09</v>
      </c>
      <c r="R3213" t="inlineStr">
        <is>
          <t>Cardiology</t>
        </is>
      </c>
      <c r="S3213" s="70" t="n">
        <v>1570</v>
      </c>
      <c r="T3213" s="71" t="n">
        <v>293443.1</v>
      </c>
      <c r="U3213" t="inlineStr">
        <is>
          <t>High</t>
        </is>
      </c>
      <c r="V3213">
        <f>IF(AND(OR(Dashboard!$C$6="All",E3213=Dashboard!$C$6),OR(Dashboard!$F$6="All",G3213=Dashboard!$F$6),OR(Dashboard!$I$6="All",H3213=Dashboard!$I$6)),1,0)</f>
        <v/>
      </c>
    </row>
    <row r="3214">
      <c r="A3214" t="inlineStr">
        <is>
          <t>PF103205</t>
        </is>
      </c>
      <c r="B3214" s="68" t="n">
        <v>46045</v>
      </c>
      <c r="C3214" s="69" t="n">
        <v>2026</v>
      </c>
      <c r="D3214" t="inlineStr">
        <is>
          <t>Jan</t>
        </is>
      </c>
      <c r="E3214" t="inlineStr">
        <is>
          <t>International developed</t>
        </is>
      </c>
      <c r="F3214" t="inlineStr">
        <is>
          <t>Canada</t>
        </is>
      </c>
      <c r="G3214" t="inlineStr">
        <is>
          <t>Abrysvo</t>
        </is>
      </c>
      <c r="H3214" t="inlineStr">
        <is>
          <t>Hospital</t>
        </is>
      </c>
      <c r="I3214" t="inlineStr">
        <is>
          <t>Private insurer</t>
        </is>
      </c>
      <c r="J3214" t="inlineStr">
        <is>
          <t>Ruhi Shaikh</t>
        </is>
      </c>
      <c r="K3214" s="70" t="n">
        <v>1086</v>
      </c>
      <c r="L3214" s="71" t="n">
        <v>288.16</v>
      </c>
      <c r="M3214" s="71" t="n">
        <v>312941.76</v>
      </c>
      <c r="N3214" s="71" t="n">
        <v>62588.35</v>
      </c>
      <c r="O3214" s="71" t="n">
        <v>250353.41</v>
      </c>
      <c r="P3214" s="71" t="n">
        <v>93859.13</v>
      </c>
      <c r="Q3214" s="71" t="n">
        <v>156494.28</v>
      </c>
      <c r="R3214" t="inlineStr">
        <is>
          <t>Vaccines</t>
        </is>
      </c>
      <c r="S3214" s="70" t="n">
        <v>680</v>
      </c>
      <c r="T3214" s="71" t="n">
        <v>44245.22</v>
      </c>
      <c r="U3214" t="inlineStr">
        <is>
          <t>Low</t>
        </is>
      </c>
      <c r="V3214">
        <f>IF(AND(OR(Dashboard!$C$6="All",E3214=Dashboard!$C$6),OR(Dashboard!$F$6="All",G3214=Dashboard!$F$6),OR(Dashboard!$I$6="All",H3214=Dashboard!$I$6)),1,0)</f>
        <v/>
      </c>
    </row>
    <row r="3215">
      <c r="A3215" t="inlineStr">
        <is>
          <t>PF103206</t>
        </is>
      </c>
      <c r="B3215" s="68" t="n">
        <v>46045</v>
      </c>
      <c r="C3215" s="69" t="n">
        <v>2026</v>
      </c>
      <c r="D3215" t="inlineStr">
        <is>
          <t>Jan</t>
        </is>
      </c>
      <c r="E3215" t="inlineStr">
        <is>
          <t>United States</t>
        </is>
      </c>
      <c r="F3215" t="inlineStr">
        <is>
          <t>USA</t>
        </is>
      </c>
      <c r="G3215" t="inlineStr">
        <is>
          <t>Comirnaty</t>
        </is>
      </c>
      <c r="H3215" t="inlineStr">
        <is>
          <t>Retail pharmacy</t>
        </is>
      </c>
      <c r="I3215" t="inlineStr">
        <is>
          <t>Private insurer</t>
        </is>
      </c>
      <c r="J3215" t="inlineStr">
        <is>
          <t>Priya Nair</t>
        </is>
      </c>
      <c r="K3215" s="70" t="n">
        <v>1601</v>
      </c>
      <c r="L3215" s="71" t="n">
        <v>139.02</v>
      </c>
      <c r="M3215" s="71" t="n">
        <v>222571.02</v>
      </c>
      <c r="N3215" s="71" t="n">
        <v>77899.86</v>
      </c>
      <c r="O3215" s="71" t="n">
        <v>144671.16</v>
      </c>
      <c r="P3215" s="71" t="n">
        <v>64002.28</v>
      </c>
      <c r="Q3215" s="71" t="n">
        <v>80668.88</v>
      </c>
      <c r="R3215" t="inlineStr">
        <is>
          <t>Vaccines</t>
        </is>
      </c>
      <c r="S3215" s="70" t="n">
        <v>1019</v>
      </c>
      <c r="T3215" s="71" t="n">
        <v>38813.31</v>
      </c>
      <c r="U3215" t="inlineStr">
        <is>
          <t>Low</t>
        </is>
      </c>
      <c r="V3215">
        <f>IF(AND(OR(Dashboard!$C$6="All",E3215=Dashboard!$C$6),OR(Dashboard!$F$6="All",G3215=Dashboard!$F$6),OR(Dashboard!$I$6="All",H3215=Dashboard!$I$6)),1,0)</f>
        <v/>
      </c>
    </row>
    <row r="3216">
      <c r="A3216" t="inlineStr">
        <is>
          <t>PF103207</t>
        </is>
      </c>
      <c r="B3216" s="68" t="n">
        <v>46045</v>
      </c>
      <c r="C3216" s="69" t="n">
        <v>2026</v>
      </c>
      <c r="D3216" t="inlineStr">
        <is>
          <t>Jan</t>
        </is>
      </c>
      <c r="E3216" t="inlineStr">
        <is>
          <t>Europe</t>
        </is>
      </c>
      <c r="F3216" t="inlineStr">
        <is>
          <t>Spain</t>
        </is>
      </c>
      <c r="G3216" t="inlineStr">
        <is>
          <t>Prevnar 20</t>
        </is>
      </c>
      <c r="H3216" t="inlineStr">
        <is>
          <t>Retail pharmacy</t>
        </is>
      </c>
      <c r="I3216" t="inlineStr">
        <is>
          <t>Private insurer</t>
        </is>
      </c>
      <c r="J3216" t="inlineStr">
        <is>
          <t>Carlos Silva</t>
        </is>
      </c>
      <c r="K3216" s="70" t="n">
        <v>336</v>
      </c>
      <c r="L3216" s="71" t="n">
        <v>221.05</v>
      </c>
      <c r="M3216" s="71" t="n">
        <v>74272.8</v>
      </c>
      <c r="N3216" s="71" t="n">
        <v>3713.64</v>
      </c>
      <c r="O3216" s="71" t="n">
        <v>70559.16</v>
      </c>
      <c r="P3216" s="71" t="n">
        <v>22512.26</v>
      </c>
      <c r="Q3216" s="71" t="n">
        <v>48046.9</v>
      </c>
      <c r="R3216" t="inlineStr">
        <is>
          <t>Vaccines</t>
        </is>
      </c>
      <c r="S3216" s="70" t="n">
        <v>278</v>
      </c>
      <c r="T3216" s="71" t="n">
        <v>11163.5</v>
      </c>
      <c r="U3216" t="inlineStr">
        <is>
          <t>Low</t>
        </is>
      </c>
      <c r="V3216">
        <f>IF(AND(OR(Dashboard!$C$6="All",E3216=Dashboard!$C$6),OR(Dashboard!$F$6="All",G3216=Dashboard!$F$6),OR(Dashboard!$I$6="All",H3216=Dashboard!$I$6)),1,0)</f>
        <v/>
      </c>
    </row>
    <row r="3217">
      <c r="A3217" t="inlineStr">
        <is>
          <t>PF103208</t>
        </is>
      </c>
      <c r="B3217" s="68" t="n">
        <v>46045</v>
      </c>
      <c r="C3217" s="69" t="n">
        <v>2026</v>
      </c>
      <c r="D3217" t="inlineStr">
        <is>
          <t>Jan</t>
        </is>
      </c>
      <c r="E3217" t="inlineStr">
        <is>
          <t>United States</t>
        </is>
      </c>
      <c r="F3217" t="inlineStr">
        <is>
          <t>USA</t>
        </is>
      </c>
      <c r="G3217" t="inlineStr">
        <is>
          <t>Ibrance</t>
        </is>
      </c>
      <c r="H3217" t="inlineStr">
        <is>
          <t>Hospital</t>
        </is>
      </c>
      <c r="I3217" t="inlineStr">
        <is>
          <t>Private insurer</t>
        </is>
      </c>
      <c r="J3217" t="inlineStr">
        <is>
          <t>Noah Smith</t>
        </is>
      </c>
      <c r="K3217" s="70" t="n">
        <v>616</v>
      </c>
      <c r="L3217" s="71" t="n">
        <v>4390.19</v>
      </c>
      <c r="M3217" s="71" t="n">
        <v>2704357.04</v>
      </c>
      <c r="N3217" s="71" t="n">
        <v>946524.96</v>
      </c>
      <c r="O3217" s="71" t="n">
        <v>1757832.08</v>
      </c>
      <c r="P3217" s="71" t="n">
        <v>262963.8</v>
      </c>
      <c r="Q3217" s="71" t="n">
        <v>1494868.28</v>
      </c>
      <c r="R3217" t="inlineStr">
        <is>
          <t>Oncology</t>
        </is>
      </c>
      <c r="S3217" s="70" t="n">
        <v>576</v>
      </c>
      <c r="T3217" s="71" t="n">
        <v>594292.4300000001</v>
      </c>
      <c r="U3217" t="inlineStr">
        <is>
          <t>High</t>
        </is>
      </c>
      <c r="V3217">
        <f>IF(AND(OR(Dashboard!$C$6="All",E3217=Dashboard!$C$6),OR(Dashboard!$F$6="All",G3217=Dashboard!$F$6),OR(Dashboard!$I$6="All",H3217=Dashboard!$I$6)),1,0)</f>
        <v/>
      </c>
    </row>
    <row r="3218">
      <c r="A3218" t="inlineStr">
        <is>
          <t>PF103209</t>
        </is>
      </c>
      <c r="B3218" s="68" t="n">
        <v>46045</v>
      </c>
      <c r="C3218" s="69" t="n">
        <v>2026</v>
      </c>
      <c r="D3218" t="inlineStr">
        <is>
          <t>Jan</t>
        </is>
      </c>
      <c r="E3218" t="inlineStr">
        <is>
          <t>United States</t>
        </is>
      </c>
      <c r="F3218" t="inlineStr">
        <is>
          <t>USA</t>
        </is>
      </c>
      <c r="G3218" t="inlineStr">
        <is>
          <t>Eliquis</t>
        </is>
      </c>
      <c r="H3218" t="inlineStr">
        <is>
          <t>Retail pharmacy</t>
        </is>
      </c>
      <c r="I3218" t="inlineStr">
        <is>
          <t>Public payer</t>
        </is>
      </c>
      <c r="J3218" t="inlineStr">
        <is>
          <t>Hiroshi Tanaka</t>
        </is>
      </c>
      <c r="K3218" s="70" t="n">
        <v>662</v>
      </c>
      <c r="L3218" s="71" t="n">
        <v>654.8200000000001</v>
      </c>
      <c r="M3218" s="71" t="n">
        <v>433490.84</v>
      </c>
      <c r="N3218" s="71" t="n">
        <v>86698.17</v>
      </c>
      <c r="O3218" s="71" t="n">
        <v>346792.67</v>
      </c>
      <c r="P3218" s="71" t="n">
        <v>49336.86</v>
      </c>
      <c r="Q3218" s="71" t="n">
        <v>297455.81</v>
      </c>
      <c r="R3218" t="inlineStr">
        <is>
          <t>Cardiology</t>
        </is>
      </c>
      <c r="S3218" s="70" t="n">
        <v>488</v>
      </c>
      <c r="T3218" s="71" t="n">
        <v>70561.71000000001</v>
      </c>
      <c r="U3218" t="inlineStr">
        <is>
          <t>High</t>
        </is>
      </c>
      <c r="V3218">
        <f>IF(AND(OR(Dashboard!$C$6="All",E3218=Dashboard!$C$6),OR(Dashboard!$F$6="All",G3218=Dashboard!$F$6),OR(Dashboard!$I$6="All",H3218=Dashboard!$I$6)),1,0)</f>
        <v/>
      </c>
    </row>
    <row r="3219">
      <c r="A3219" t="inlineStr">
        <is>
          <t>PF103210</t>
        </is>
      </c>
      <c r="B3219" s="68" t="n">
        <v>46045</v>
      </c>
      <c r="C3219" s="69" t="n">
        <v>2026</v>
      </c>
      <c r="D3219" t="inlineStr">
        <is>
          <t>Jan</t>
        </is>
      </c>
      <c r="E3219" t="inlineStr">
        <is>
          <t>Europe</t>
        </is>
      </c>
      <c r="F3219" t="inlineStr">
        <is>
          <t>Italy</t>
        </is>
      </c>
      <c r="G3219" t="inlineStr">
        <is>
          <t>Xeljanz</t>
        </is>
      </c>
      <c r="H3219" t="inlineStr">
        <is>
          <t>Retail pharmacy</t>
        </is>
      </c>
      <c r="I3219" t="inlineStr">
        <is>
          <t>Private insurer</t>
        </is>
      </c>
      <c r="J3219" t="inlineStr">
        <is>
          <t>Kofi Mensah</t>
        </is>
      </c>
      <c r="K3219" s="70" t="n">
        <v>2135</v>
      </c>
      <c r="L3219" s="71" t="n">
        <v>1302.95</v>
      </c>
      <c r="M3219" s="71" t="n">
        <v>2781798.25</v>
      </c>
      <c r="N3219" s="71" t="n">
        <v>556359.65</v>
      </c>
      <c r="O3219" s="71" t="n">
        <v>2225438.6</v>
      </c>
      <c r="P3219" s="71" t="n">
        <v>549907.05</v>
      </c>
      <c r="Q3219" s="71" t="n">
        <v>1675531.55</v>
      </c>
      <c r="R3219" t="inlineStr">
        <is>
          <t>Inflammation</t>
        </is>
      </c>
      <c r="S3219" s="70" t="n">
        <v>1657</v>
      </c>
      <c r="T3219" s="71" t="n">
        <v>558399.9399999999</v>
      </c>
      <c r="U3219" t="inlineStr">
        <is>
          <t>High</t>
        </is>
      </c>
      <c r="V3219">
        <f>IF(AND(OR(Dashboard!$C$6="All",E3219=Dashboard!$C$6),OR(Dashboard!$F$6="All",G3219=Dashboard!$F$6),OR(Dashboard!$I$6="All",H3219=Dashboard!$I$6)),1,0)</f>
        <v/>
      </c>
    </row>
    <row r="3220">
      <c r="A3220" t="inlineStr">
        <is>
          <t>PF103211</t>
        </is>
      </c>
      <c r="B3220" s="68" t="n">
        <v>46045</v>
      </c>
      <c r="C3220" s="69" t="n">
        <v>2026</v>
      </c>
      <c r="D3220" t="inlineStr">
        <is>
          <t>Jan</t>
        </is>
      </c>
      <c r="E3220" t="inlineStr">
        <is>
          <t>United States</t>
        </is>
      </c>
      <c r="F3220" t="inlineStr">
        <is>
          <t>USA</t>
        </is>
      </c>
      <c r="G3220" t="inlineStr">
        <is>
          <t>Prevnar 20</t>
        </is>
      </c>
      <c r="H3220" t="inlineStr">
        <is>
          <t>Retail pharmacy</t>
        </is>
      </c>
      <c r="I3220" t="inlineStr">
        <is>
          <t>Private insurer</t>
        </is>
      </c>
      <c r="J3220" t="inlineStr">
        <is>
          <t>Ruhi Shaikh</t>
        </is>
      </c>
      <c r="K3220" s="70" t="n">
        <v>342</v>
      </c>
      <c r="L3220" s="71" t="n">
        <v>405.31</v>
      </c>
      <c r="M3220" s="71" t="n">
        <v>138616.02</v>
      </c>
      <c r="N3220" s="71" t="n">
        <v>41584.81</v>
      </c>
      <c r="O3220" s="71" t="n">
        <v>97031.21000000001</v>
      </c>
      <c r="P3220" s="71" t="n">
        <v>23805.34</v>
      </c>
      <c r="Q3220" s="71" t="n">
        <v>73225.87</v>
      </c>
      <c r="R3220" t="inlineStr">
        <is>
          <t>Vaccines</t>
        </is>
      </c>
      <c r="S3220" s="70" t="n">
        <v>272</v>
      </c>
      <c r="T3220" s="71" t="n">
        <v>27571.47</v>
      </c>
      <c r="U3220" t="inlineStr">
        <is>
          <t>Low</t>
        </is>
      </c>
      <c r="V3220">
        <f>IF(AND(OR(Dashboard!$C$6="All",E3220=Dashboard!$C$6),OR(Dashboard!$F$6="All",G3220=Dashboard!$F$6),OR(Dashboard!$I$6="All",H3220=Dashboard!$I$6)),1,0)</f>
        <v/>
      </c>
    </row>
    <row r="3221">
      <c r="A3221" t="inlineStr">
        <is>
          <t>PF103212</t>
        </is>
      </c>
      <c r="B3221" s="68" t="n">
        <v>46046</v>
      </c>
      <c r="C3221" s="69" t="n">
        <v>2026</v>
      </c>
      <c r="D3221" t="inlineStr">
        <is>
          <t>Jan</t>
        </is>
      </c>
      <c r="E3221" t="inlineStr">
        <is>
          <t>Emerging markets</t>
        </is>
      </c>
      <c r="F3221" t="inlineStr">
        <is>
          <t>Mexico</t>
        </is>
      </c>
      <c r="G3221" t="inlineStr">
        <is>
          <t>Eliquis</t>
        </is>
      </c>
      <c r="H3221" t="inlineStr">
        <is>
          <t>Retail pharmacy</t>
        </is>
      </c>
      <c r="I3221" t="inlineStr">
        <is>
          <t>Public payer</t>
        </is>
      </c>
      <c r="J3221" t="inlineStr">
        <is>
          <t>Noah Smith</t>
        </is>
      </c>
      <c r="K3221" s="70" t="n">
        <v>1014</v>
      </c>
      <c r="L3221" s="71" t="n">
        <v>405.96</v>
      </c>
      <c r="M3221" s="71" t="n">
        <v>411643.44</v>
      </c>
      <c r="N3221" s="71" t="n">
        <v>82328.69</v>
      </c>
      <c r="O3221" s="71" t="n">
        <v>329314.75</v>
      </c>
      <c r="P3221" s="71" t="n">
        <v>79611.88</v>
      </c>
      <c r="Q3221" s="71" t="n">
        <v>249702.87</v>
      </c>
      <c r="R3221" t="inlineStr">
        <is>
          <t>Cardiology</t>
        </is>
      </c>
      <c r="S3221" s="70" t="n">
        <v>854</v>
      </c>
      <c r="T3221" s="71" t="n">
        <v>59192.82</v>
      </c>
      <c r="U3221" t="inlineStr">
        <is>
          <t>High</t>
        </is>
      </c>
      <c r="V3221">
        <f>IF(AND(OR(Dashboard!$C$6="All",E3221=Dashboard!$C$6),OR(Dashboard!$F$6="All",G3221=Dashboard!$F$6),OR(Dashboard!$I$6="All",H3221=Dashboard!$I$6)),1,0)</f>
        <v/>
      </c>
    </row>
    <row r="3222">
      <c r="A3222" t="inlineStr">
        <is>
          <t>PF103213</t>
        </is>
      </c>
      <c r="B3222" s="68" t="n">
        <v>46046</v>
      </c>
      <c r="C3222" s="69" t="n">
        <v>2026</v>
      </c>
      <c r="D3222" t="inlineStr">
        <is>
          <t>Jan</t>
        </is>
      </c>
      <c r="E3222" t="inlineStr">
        <is>
          <t>United States</t>
        </is>
      </c>
      <c r="F3222" t="inlineStr">
        <is>
          <t>USA</t>
        </is>
      </c>
      <c r="G3222" t="inlineStr">
        <is>
          <t>Eliquis</t>
        </is>
      </c>
      <c r="H3222" t="inlineStr">
        <is>
          <t>Hospital</t>
        </is>
      </c>
      <c r="I3222" t="inlineStr">
        <is>
          <t>Private insurer</t>
        </is>
      </c>
      <c r="J3222" t="inlineStr">
        <is>
          <t>Ana Costa</t>
        </is>
      </c>
      <c r="K3222" s="70" t="n">
        <v>737</v>
      </c>
      <c r="L3222" s="71" t="n">
        <v>712.15</v>
      </c>
      <c r="M3222" s="71" t="n">
        <v>524854.55</v>
      </c>
      <c r="N3222" s="71" t="n">
        <v>131213.64</v>
      </c>
      <c r="O3222" s="71" t="n">
        <v>393640.91</v>
      </c>
      <c r="P3222" s="71" t="n">
        <v>53499.33</v>
      </c>
      <c r="Q3222" s="71" t="n">
        <v>340141.58</v>
      </c>
      <c r="R3222" t="inlineStr">
        <is>
          <t>Cardiology</t>
        </is>
      </c>
      <c r="S3222" s="70" t="n">
        <v>631</v>
      </c>
      <c r="T3222" s="71" t="n">
        <v>89780.37</v>
      </c>
      <c r="U3222" t="inlineStr">
        <is>
          <t>High</t>
        </is>
      </c>
      <c r="V3222">
        <f>IF(AND(OR(Dashboard!$C$6="All",E3222=Dashboard!$C$6),OR(Dashboard!$F$6="All",G3222=Dashboard!$F$6),OR(Dashboard!$I$6="All",H3222=Dashboard!$I$6)),1,0)</f>
        <v/>
      </c>
    </row>
    <row r="3223">
      <c r="A3223" t="inlineStr">
        <is>
          <t>PF103214</t>
        </is>
      </c>
      <c r="B3223" s="68" t="n">
        <v>46046</v>
      </c>
      <c r="C3223" s="69" t="n">
        <v>2026</v>
      </c>
      <c r="D3223" t="inlineStr">
        <is>
          <t>Jan</t>
        </is>
      </c>
      <c r="E3223" t="inlineStr">
        <is>
          <t>United States</t>
        </is>
      </c>
      <c r="F3223" t="inlineStr">
        <is>
          <t>USA</t>
        </is>
      </c>
      <c r="G3223" t="inlineStr">
        <is>
          <t>Eliquis</t>
        </is>
      </c>
      <c r="H3223" t="inlineStr">
        <is>
          <t>Hospital</t>
        </is>
      </c>
      <c r="I3223" t="inlineStr">
        <is>
          <t>Self-pay</t>
        </is>
      </c>
      <c r="J3223" t="inlineStr">
        <is>
          <t>Ravindra Patil</t>
        </is>
      </c>
      <c r="K3223" s="70" t="n">
        <v>1776</v>
      </c>
      <c r="L3223" s="71" t="n">
        <v>722.54</v>
      </c>
      <c r="M3223" s="71" t="n">
        <v>1283231.04</v>
      </c>
      <c r="N3223" s="71" t="n">
        <v>320807.76</v>
      </c>
      <c r="O3223" s="71" t="n">
        <v>962423.28</v>
      </c>
      <c r="P3223" s="71" t="n">
        <v>135538.19</v>
      </c>
      <c r="Q3223" s="71" t="n">
        <v>826885.09</v>
      </c>
      <c r="R3223" t="inlineStr">
        <is>
          <t>Cardiology</t>
        </is>
      </c>
      <c r="S3223" s="70" t="n">
        <v>1173</v>
      </c>
      <c r="T3223" s="71" t="n">
        <v>270367.25</v>
      </c>
      <c r="U3223" t="inlineStr">
        <is>
          <t>High</t>
        </is>
      </c>
      <c r="V3223">
        <f>IF(AND(OR(Dashboard!$C$6="All",E3223=Dashboard!$C$6),OR(Dashboard!$F$6="All",G3223=Dashboard!$F$6),OR(Dashboard!$I$6="All",H3223=Dashboard!$I$6)),1,0)</f>
        <v/>
      </c>
    </row>
    <row r="3224">
      <c r="A3224" t="inlineStr">
        <is>
          <t>PF103215</t>
        </is>
      </c>
      <c r="B3224" s="68" t="n">
        <v>46046</v>
      </c>
      <c r="C3224" s="69" t="n">
        <v>2026</v>
      </c>
      <c r="D3224" t="inlineStr">
        <is>
          <t>Jan</t>
        </is>
      </c>
      <c r="E3224" t="inlineStr">
        <is>
          <t>Emerging markets</t>
        </is>
      </c>
      <c r="F3224" t="inlineStr">
        <is>
          <t>China</t>
        </is>
      </c>
      <c r="G3224" t="inlineStr">
        <is>
          <t>Prevnar 20</t>
        </is>
      </c>
      <c r="H3224" t="inlineStr">
        <is>
          <t>Retail pharmacy</t>
        </is>
      </c>
      <c r="I3224" t="inlineStr">
        <is>
          <t>Public payer</t>
        </is>
      </c>
      <c r="J3224" t="inlineStr">
        <is>
          <t>Noah Smith</t>
        </is>
      </c>
      <c r="K3224" s="70" t="n">
        <v>2376</v>
      </c>
      <c r="L3224" s="71" t="n">
        <v>250.04</v>
      </c>
      <c r="M3224" s="71" t="n">
        <v>594095.04</v>
      </c>
      <c r="N3224" s="71" t="n">
        <v>148523.76</v>
      </c>
      <c r="O3224" s="71" t="n">
        <v>445571.28</v>
      </c>
      <c r="P3224" s="71" t="n">
        <v>163139.62</v>
      </c>
      <c r="Q3224" s="71" t="n">
        <v>282431.66</v>
      </c>
      <c r="R3224" t="inlineStr">
        <is>
          <t>Vaccines</t>
        </is>
      </c>
      <c r="S3224" s="70" t="n">
        <v>1502</v>
      </c>
      <c r="T3224" s="71" t="n">
        <v>80998.92</v>
      </c>
      <c r="U3224" t="inlineStr">
        <is>
          <t>Low</t>
        </is>
      </c>
      <c r="V3224">
        <f>IF(AND(OR(Dashboard!$C$6="All",E3224=Dashboard!$C$6),OR(Dashboard!$F$6="All",G3224=Dashboard!$F$6),OR(Dashboard!$I$6="All",H3224=Dashboard!$I$6)),1,0)</f>
        <v/>
      </c>
    </row>
    <row r="3225">
      <c r="A3225" t="inlineStr">
        <is>
          <t>PF103216</t>
        </is>
      </c>
      <c r="B3225" s="68" t="n">
        <v>46046</v>
      </c>
      <c r="C3225" s="69" t="n">
        <v>2026</v>
      </c>
      <c r="D3225" t="inlineStr">
        <is>
          <t>Jan</t>
        </is>
      </c>
      <c r="E3225" t="inlineStr">
        <is>
          <t>Europe</t>
        </is>
      </c>
      <c r="F3225" t="inlineStr">
        <is>
          <t>France</t>
        </is>
      </c>
      <c r="G3225" t="inlineStr">
        <is>
          <t>Ibrance</t>
        </is>
      </c>
      <c r="H3225" t="inlineStr">
        <is>
          <t>Retail pharmacy</t>
        </is>
      </c>
      <c r="I3225" t="inlineStr">
        <is>
          <t>Public payer</t>
        </is>
      </c>
      <c r="J3225" t="inlineStr">
        <is>
          <t>Lucas Martin</t>
        </is>
      </c>
      <c r="K3225" s="70" t="n">
        <v>1459</v>
      </c>
      <c r="L3225" s="71" t="n">
        <v>2931.32</v>
      </c>
      <c r="M3225" s="71" t="n">
        <v>4276795.88</v>
      </c>
      <c r="N3225" s="71" t="n">
        <v>641519.38</v>
      </c>
      <c r="O3225" s="71" t="n">
        <v>3635276.5</v>
      </c>
      <c r="P3225" s="71" t="n">
        <v>631893.09</v>
      </c>
      <c r="Q3225" s="71" t="n">
        <v>3003383.41</v>
      </c>
      <c r="R3225" t="inlineStr">
        <is>
          <t>Oncology</t>
        </is>
      </c>
      <c r="S3225" s="70" t="n">
        <v>949</v>
      </c>
      <c r="T3225" s="71" t="n">
        <v>568105.04</v>
      </c>
      <c r="U3225" t="inlineStr">
        <is>
          <t>High</t>
        </is>
      </c>
      <c r="V3225">
        <f>IF(AND(OR(Dashboard!$C$6="All",E3225=Dashboard!$C$6),OR(Dashboard!$F$6="All",G3225=Dashboard!$F$6),OR(Dashboard!$I$6="All",H3225=Dashboard!$I$6)),1,0)</f>
        <v/>
      </c>
    </row>
    <row r="3226">
      <c r="A3226" t="inlineStr">
        <is>
          <t>PF103217</t>
        </is>
      </c>
      <c r="B3226" s="68" t="n">
        <v>46046</v>
      </c>
      <c r="C3226" s="69" t="n">
        <v>2026</v>
      </c>
      <c r="D3226" t="inlineStr">
        <is>
          <t>Jan</t>
        </is>
      </c>
      <c r="E3226" t="inlineStr">
        <is>
          <t>International developed</t>
        </is>
      </c>
      <c r="F3226" t="inlineStr">
        <is>
          <t>Japan</t>
        </is>
      </c>
      <c r="G3226" t="inlineStr">
        <is>
          <t>Xeljanz</t>
        </is>
      </c>
      <c r="H3226" t="inlineStr">
        <is>
          <t>Government / tender</t>
        </is>
      </c>
      <c r="I3226" t="inlineStr">
        <is>
          <t>Private insurer</t>
        </is>
      </c>
      <c r="J3226" t="inlineStr">
        <is>
          <t>Hiroshi Tanaka</t>
        </is>
      </c>
      <c r="K3226" s="70" t="n">
        <v>1477</v>
      </c>
      <c r="L3226" s="71" t="n">
        <v>1214.92</v>
      </c>
      <c r="M3226" s="71" t="n">
        <v>1794436.84</v>
      </c>
      <c r="N3226" s="71" t="n">
        <v>269165.53</v>
      </c>
      <c r="O3226" s="71" t="n">
        <v>1525271.31</v>
      </c>
      <c r="P3226" s="71" t="n">
        <v>357747.42</v>
      </c>
      <c r="Q3226" s="71" t="n">
        <v>1167523.89</v>
      </c>
      <c r="R3226" t="inlineStr">
        <is>
          <t>Inflammation</t>
        </is>
      </c>
      <c r="S3226" s="70" t="n">
        <v>1426</v>
      </c>
      <c r="T3226" s="71" t="n">
        <v>284676.83</v>
      </c>
      <c r="U3226" t="inlineStr">
        <is>
          <t>High</t>
        </is>
      </c>
      <c r="V3226">
        <f>IF(AND(OR(Dashboard!$C$6="All",E3226=Dashboard!$C$6),OR(Dashboard!$F$6="All",G3226=Dashboard!$F$6),OR(Dashboard!$I$6="All",H3226=Dashboard!$I$6)),1,0)</f>
        <v/>
      </c>
    </row>
    <row r="3227">
      <c r="A3227" t="inlineStr">
        <is>
          <t>PF103218</t>
        </is>
      </c>
      <c r="B3227" s="68" t="n">
        <v>46046</v>
      </c>
      <c r="C3227" s="69" t="n">
        <v>2026</v>
      </c>
      <c r="D3227" t="inlineStr">
        <is>
          <t>Jan</t>
        </is>
      </c>
      <c r="E3227" t="inlineStr">
        <is>
          <t>United States</t>
        </is>
      </c>
      <c r="F3227" t="inlineStr">
        <is>
          <t>USA</t>
        </is>
      </c>
      <c r="G3227" t="inlineStr">
        <is>
          <t>Ibrance</t>
        </is>
      </c>
      <c r="H3227" t="inlineStr">
        <is>
          <t>Hospital</t>
        </is>
      </c>
      <c r="I3227" t="inlineStr">
        <is>
          <t>Private insurer</t>
        </is>
      </c>
      <c r="J3227" t="inlineStr">
        <is>
          <t>Priya Nair</t>
        </is>
      </c>
      <c r="K3227" s="70" t="n">
        <v>962</v>
      </c>
      <c r="L3227" s="71" t="n">
        <v>4289.97</v>
      </c>
      <c r="M3227" s="71" t="n">
        <v>4126951.14</v>
      </c>
      <c r="N3227" s="71" t="n">
        <v>1031737.79</v>
      </c>
      <c r="O3227" s="71" t="n">
        <v>3095213.35</v>
      </c>
      <c r="P3227" s="71" t="n">
        <v>423217.92</v>
      </c>
      <c r="Q3227" s="71" t="n">
        <v>2671995.43</v>
      </c>
      <c r="R3227" t="inlineStr">
        <is>
          <t>Oncology</t>
        </is>
      </c>
      <c r="S3227" s="70" t="n">
        <v>734</v>
      </c>
      <c r="T3227" s="71" t="n">
        <v>523760.92</v>
      </c>
      <c r="U3227" t="inlineStr">
        <is>
          <t>High</t>
        </is>
      </c>
      <c r="V3227">
        <f>IF(AND(OR(Dashboard!$C$6="All",E3227=Dashboard!$C$6),OR(Dashboard!$F$6="All",G3227=Dashboard!$F$6),OR(Dashboard!$I$6="All",H3227=Dashboard!$I$6)),1,0)</f>
        <v/>
      </c>
    </row>
    <row r="3228">
      <c r="A3228" t="inlineStr">
        <is>
          <t>PF103219</t>
        </is>
      </c>
      <c r="B3228" s="68" t="n">
        <v>46046</v>
      </c>
      <c r="C3228" s="69" t="n">
        <v>2026</v>
      </c>
      <c r="D3228" t="inlineStr">
        <is>
          <t>Jan</t>
        </is>
      </c>
      <c r="E3228" t="inlineStr">
        <is>
          <t>United States</t>
        </is>
      </c>
      <c r="F3228" t="inlineStr">
        <is>
          <t>USA</t>
        </is>
      </c>
      <c r="G3228" t="inlineStr">
        <is>
          <t>Eliquis</t>
        </is>
      </c>
      <c r="H3228" t="inlineStr">
        <is>
          <t>Retail pharmacy</t>
        </is>
      </c>
      <c r="I3228" t="inlineStr">
        <is>
          <t>Private insurer</t>
        </is>
      </c>
      <c r="J3228" t="inlineStr">
        <is>
          <t>Aisha Bello</t>
        </is>
      </c>
      <c r="K3228" s="70" t="n">
        <v>2072</v>
      </c>
      <c r="L3228" s="71" t="n">
        <v>758.1900000000001</v>
      </c>
      <c r="M3228" s="71" t="n">
        <v>1570969.68</v>
      </c>
      <c r="N3228" s="71" t="n">
        <v>549839.39</v>
      </c>
      <c r="O3228" s="71" t="n">
        <v>1021130.29</v>
      </c>
      <c r="P3228" s="71" t="n">
        <v>155638.97</v>
      </c>
      <c r="Q3228" s="71" t="n">
        <v>865491.3199999999</v>
      </c>
      <c r="R3228" t="inlineStr">
        <is>
          <t>Cardiology</t>
        </is>
      </c>
      <c r="S3228" s="70" t="n">
        <v>1567</v>
      </c>
      <c r="T3228" s="71" t="n">
        <v>314625.12</v>
      </c>
      <c r="U3228" t="inlineStr">
        <is>
          <t>High</t>
        </is>
      </c>
      <c r="V3228">
        <f>IF(AND(OR(Dashboard!$C$6="All",E3228=Dashboard!$C$6),OR(Dashboard!$F$6="All",G3228=Dashboard!$F$6),OR(Dashboard!$I$6="All",H3228=Dashboard!$I$6)),1,0)</f>
        <v/>
      </c>
    </row>
    <row r="3229">
      <c r="A3229" t="inlineStr">
        <is>
          <t>PF103220</t>
        </is>
      </c>
      <c r="B3229" s="68" t="n">
        <v>46046</v>
      </c>
      <c r="C3229" s="69" t="n">
        <v>2026</v>
      </c>
      <c r="D3229" t="inlineStr">
        <is>
          <t>Jan</t>
        </is>
      </c>
      <c r="E3229" t="inlineStr">
        <is>
          <t>United States</t>
        </is>
      </c>
      <c r="F3229" t="inlineStr">
        <is>
          <t>USA</t>
        </is>
      </c>
      <c r="G3229" t="inlineStr">
        <is>
          <t>Paxlovid</t>
        </is>
      </c>
      <c r="H3229" t="inlineStr">
        <is>
          <t>Hospital</t>
        </is>
      </c>
      <c r="I3229" t="inlineStr">
        <is>
          <t>Public payer</t>
        </is>
      </c>
      <c r="J3229" t="inlineStr">
        <is>
          <t>Sara Rossi</t>
        </is>
      </c>
      <c r="K3229" s="70" t="n">
        <v>720</v>
      </c>
      <c r="L3229" s="71" t="n">
        <v>1508.21</v>
      </c>
      <c r="M3229" s="71" t="n">
        <v>1085911.2</v>
      </c>
      <c r="N3229" s="71" t="n">
        <v>162886.68</v>
      </c>
      <c r="O3229" s="71" t="n">
        <v>923024.52</v>
      </c>
      <c r="P3229" s="71" t="n">
        <v>192654.27</v>
      </c>
      <c r="Q3229" s="71" t="n">
        <v>730370.25</v>
      </c>
      <c r="R3229" t="inlineStr">
        <is>
          <t>Antiviral</t>
        </is>
      </c>
      <c r="S3229" s="70" t="n">
        <v>675</v>
      </c>
      <c r="T3229" s="71" t="n">
        <v>213761.85</v>
      </c>
      <c r="U3229" t="inlineStr">
        <is>
          <t>Low</t>
        </is>
      </c>
      <c r="V3229">
        <f>IF(AND(OR(Dashboard!$C$6="All",E3229=Dashboard!$C$6),OR(Dashboard!$F$6="All",G3229=Dashboard!$F$6),OR(Dashboard!$I$6="All",H3229=Dashboard!$I$6)),1,0)</f>
        <v/>
      </c>
    </row>
    <row r="3230">
      <c r="A3230" t="inlineStr">
        <is>
          <t>PF103221</t>
        </is>
      </c>
      <c r="B3230" s="68" t="n">
        <v>46046</v>
      </c>
      <c r="C3230" s="69" t="n">
        <v>2026</v>
      </c>
      <c r="D3230" t="inlineStr">
        <is>
          <t>Jan</t>
        </is>
      </c>
      <c r="E3230" t="inlineStr">
        <is>
          <t>Europe</t>
        </is>
      </c>
      <c r="F3230" t="inlineStr">
        <is>
          <t>Italy</t>
        </is>
      </c>
      <c r="G3230" t="inlineStr">
        <is>
          <t>Eliquis</t>
        </is>
      </c>
      <c r="H3230" t="inlineStr">
        <is>
          <t>Retail pharmacy</t>
        </is>
      </c>
      <c r="I3230" t="inlineStr">
        <is>
          <t>Private insurer</t>
        </is>
      </c>
      <c r="J3230" t="inlineStr">
        <is>
          <t>Sophie Müller</t>
        </is>
      </c>
      <c r="K3230" s="70" t="n">
        <v>835</v>
      </c>
      <c r="L3230" s="71" t="n">
        <v>412.52</v>
      </c>
      <c r="M3230" s="71" t="n">
        <v>344454.2</v>
      </c>
      <c r="N3230" s="71" t="n">
        <v>17222.71</v>
      </c>
      <c r="O3230" s="71" t="n">
        <v>327231.49</v>
      </c>
      <c r="P3230" s="71" t="n">
        <v>61794.38</v>
      </c>
      <c r="Q3230" s="71" t="n">
        <v>265437.11</v>
      </c>
      <c r="R3230" t="inlineStr">
        <is>
          <t>Cardiology</t>
        </is>
      </c>
      <c r="S3230" s="70" t="n">
        <v>696</v>
      </c>
      <c r="T3230" s="71" t="n">
        <v>53856.37</v>
      </c>
      <c r="U3230" t="inlineStr">
        <is>
          <t>High</t>
        </is>
      </c>
      <c r="V3230">
        <f>IF(AND(OR(Dashboard!$C$6="All",E3230=Dashboard!$C$6),OR(Dashboard!$F$6="All",G3230=Dashboard!$F$6),OR(Dashboard!$I$6="All",H3230=Dashboard!$I$6)),1,0)</f>
        <v/>
      </c>
    </row>
    <row r="3231">
      <c r="A3231" t="inlineStr">
        <is>
          <t>PF103222</t>
        </is>
      </c>
      <c r="B3231" s="68" t="n">
        <v>46046</v>
      </c>
      <c r="C3231" s="69" t="n">
        <v>2026</v>
      </c>
      <c r="D3231" t="inlineStr">
        <is>
          <t>Jan</t>
        </is>
      </c>
      <c r="E3231" t="inlineStr">
        <is>
          <t>Emerging markets</t>
        </is>
      </c>
      <c r="F3231" t="inlineStr">
        <is>
          <t>Mexico</t>
        </is>
      </c>
      <c r="G3231" t="inlineStr">
        <is>
          <t>Abrysvo</t>
        </is>
      </c>
      <c r="H3231" t="inlineStr">
        <is>
          <t>Retail pharmacy</t>
        </is>
      </c>
      <c r="I3231" t="inlineStr">
        <is>
          <t>Public payer</t>
        </is>
      </c>
      <c r="J3231" t="inlineStr">
        <is>
          <t>Omar Haddad</t>
        </is>
      </c>
      <c r="K3231" s="70" t="n">
        <v>2702</v>
      </c>
      <c r="L3231" s="71" t="n">
        <v>301.98</v>
      </c>
      <c r="M3231" s="71" t="n">
        <v>815949.96</v>
      </c>
      <c r="N3231" s="71" t="n">
        <v>203987.49</v>
      </c>
      <c r="O3231" s="71" t="n">
        <v>611962.47</v>
      </c>
      <c r="P3231" s="71" t="n">
        <v>235568.8</v>
      </c>
      <c r="Q3231" s="71" t="n">
        <v>376393.67</v>
      </c>
      <c r="R3231" t="inlineStr">
        <is>
          <t>Vaccines</t>
        </is>
      </c>
      <c r="S3231" s="70" t="n">
        <v>1891</v>
      </c>
      <c r="T3231" s="71" t="n">
        <v>132134.24</v>
      </c>
      <c r="U3231" t="inlineStr">
        <is>
          <t>Low</t>
        </is>
      </c>
      <c r="V3231">
        <f>IF(AND(OR(Dashboard!$C$6="All",E3231=Dashboard!$C$6),OR(Dashboard!$F$6="All",G3231=Dashboard!$F$6),OR(Dashboard!$I$6="All",H3231=Dashboard!$I$6)),1,0)</f>
        <v/>
      </c>
    </row>
    <row r="3232">
      <c r="A3232" t="inlineStr">
        <is>
          <t>PF103223</t>
        </is>
      </c>
      <c r="B3232" s="68" t="n">
        <v>46046</v>
      </c>
      <c r="C3232" s="69" t="n">
        <v>2026</v>
      </c>
      <c r="D3232" t="inlineStr">
        <is>
          <t>Jan</t>
        </is>
      </c>
      <c r="E3232" t="inlineStr">
        <is>
          <t>United States</t>
        </is>
      </c>
      <c r="F3232" t="inlineStr">
        <is>
          <t>USA</t>
        </is>
      </c>
      <c r="G3232" t="inlineStr">
        <is>
          <t>Prevnar 20</t>
        </is>
      </c>
      <c r="H3232" t="inlineStr">
        <is>
          <t>Retail pharmacy</t>
        </is>
      </c>
      <c r="I3232" t="inlineStr">
        <is>
          <t>Private insurer</t>
        </is>
      </c>
      <c r="J3232" t="inlineStr">
        <is>
          <t>Olivia Brown</t>
        </is>
      </c>
      <c r="K3232" s="70" t="n">
        <v>2543</v>
      </c>
      <c r="L3232" s="71" t="n">
        <v>381.83</v>
      </c>
      <c r="M3232" s="71" t="n">
        <v>970993.6899999999</v>
      </c>
      <c r="N3232" s="71" t="n">
        <v>291298.11</v>
      </c>
      <c r="O3232" s="71" t="n">
        <v>679695.58</v>
      </c>
      <c r="P3232" s="71" t="n">
        <v>168549.8</v>
      </c>
      <c r="Q3232" s="71" t="n">
        <v>511145.78</v>
      </c>
      <c r="R3232" t="inlineStr">
        <is>
          <t>Vaccines</t>
        </is>
      </c>
      <c r="S3232" s="70" t="n">
        <v>2131</v>
      </c>
      <c r="T3232" s="71" t="n">
        <v>140265.24</v>
      </c>
      <c r="U3232" t="inlineStr">
        <is>
          <t>Low</t>
        </is>
      </c>
      <c r="V3232">
        <f>IF(AND(OR(Dashboard!$C$6="All",E3232=Dashboard!$C$6),OR(Dashboard!$F$6="All",G3232=Dashboard!$F$6),OR(Dashboard!$I$6="All",H3232=Dashboard!$I$6)),1,0)</f>
        <v/>
      </c>
    </row>
    <row r="3233">
      <c r="A3233" t="inlineStr">
        <is>
          <t>PF103224</t>
        </is>
      </c>
      <c r="B3233" s="68" t="n">
        <v>46046</v>
      </c>
      <c r="C3233" s="69" t="n">
        <v>2026</v>
      </c>
      <c r="D3233" t="inlineStr">
        <is>
          <t>Jan</t>
        </is>
      </c>
      <c r="E3233" t="inlineStr">
        <is>
          <t>Europe</t>
        </is>
      </c>
      <c r="F3233" t="inlineStr">
        <is>
          <t>France</t>
        </is>
      </c>
      <c r="G3233" t="inlineStr">
        <is>
          <t>Eliquis</t>
        </is>
      </c>
      <c r="H3233" t="inlineStr">
        <is>
          <t>Hospital</t>
        </is>
      </c>
      <c r="I3233" t="inlineStr">
        <is>
          <t>Public payer</t>
        </is>
      </c>
      <c r="J3233" t="inlineStr">
        <is>
          <t>Shraddha Kulkarni</t>
        </is>
      </c>
      <c r="K3233" s="70" t="n">
        <v>2368</v>
      </c>
      <c r="L3233" s="71" t="n">
        <v>403.15</v>
      </c>
      <c r="M3233" s="71" t="n">
        <v>954659.2</v>
      </c>
      <c r="N3233" s="71" t="n">
        <v>238664.8</v>
      </c>
      <c r="O3233" s="71" t="n">
        <v>715994.4</v>
      </c>
      <c r="P3233" s="71" t="n">
        <v>180707.71</v>
      </c>
      <c r="Q3233" s="71" t="n">
        <v>535286.6899999999</v>
      </c>
      <c r="R3233" t="inlineStr">
        <is>
          <t>Cardiology</t>
        </is>
      </c>
      <c r="S3233" s="70" t="n">
        <v>1778</v>
      </c>
      <c r="T3233" s="71" t="n">
        <v>157687.93</v>
      </c>
      <c r="U3233" t="inlineStr">
        <is>
          <t>High</t>
        </is>
      </c>
      <c r="V3233">
        <f>IF(AND(OR(Dashboard!$C$6="All",E3233=Dashboard!$C$6),OR(Dashboard!$F$6="All",G3233=Dashboard!$F$6),OR(Dashboard!$I$6="All",H3233=Dashboard!$I$6)),1,0)</f>
        <v/>
      </c>
    </row>
    <row r="3234">
      <c r="A3234" t="inlineStr">
        <is>
          <t>PF103225</t>
        </is>
      </c>
      <c r="B3234" s="68" t="n">
        <v>46046</v>
      </c>
      <c r="C3234" s="69" t="n">
        <v>2026</v>
      </c>
      <c r="D3234" t="inlineStr">
        <is>
          <t>Jan</t>
        </is>
      </c>
      <c r="E3234" t="inlineStr">
        <is>
          <t>United States</t>
        </is>
      </c>
      <c r="F3234" t="inlineStr">
        <is>
          <t>USA</t>
        </is>
      </c>
      <c r="G3234" t="inlineStr">
        <is>
          <t>Eliquis</t>
        </is>
      </c>
      <c r="H3234" t="inlineStr">
        <is>
          <t>Hospital</t>
        </is>
      </c>
      <c r="I3234" t="inlineStr">
        <is>
          <t>Public payer</t>
        </is>
      </c>
      <c r="J3234" t="inlineStr">
        <is>
          <t>Amir Khan</t>
        </is>
      </c>
      <c r="K3234" s="70" t="n">
        <v>2040</v>
      </c>
      <c r="L3234" s="71" t="n">
        <v>664.42</v>
      </c>
      <c r="M3234" s="71" t="n">
        <v>1355416.8</v>
      </c>
      <c r="N3234" s="71" t="n">
        <v>271083.36</v>
      </c>
      <c r="O3234" s="71" t="n">
        <v>1084333.44</v>
      </c>
      <c r="P3234" s="71" t="n">
        <v>154336.84</v>
      </c>
      <c r="Q3234" s="71" t="n">
        <v>929996.6</v>
      </c>
      <c r="R3234" t="inlineStr">
        <is>
          <t>Cardiology</t>
        </is>
      </c>
      <c r="S3234" s="70" t="n">
        <v>1439</v>
      </c>
      <c r="T3234" s="71" t="n">
        <v>244620.05</v>
      </c>
      <c r="U3234" t="inlineStr">
        <is>
          <t>High</t>
        </is>
      </c>
      <c r="V3234">
        <f>IF(AND(OR(Dashboard!$C$6="All",E3234=Dashboard!$C$6),OR(Dashboard!$F$6="All",G3234=Dashboard!$F$6),OR(Dashboard!$I$6="All",H3234=Dashboard!$I$6)),1,0)</f>
        <v/>
      </c>
    </row>
    <row r="3235">
      <c r="A3235" t="inlineStr">
        <is>
          <t>PF103226</t>
        </is>
      </c>
      <c r="B3235" s="68" t="n">
        <v>46047</v>
      </c>
      <c r="C3235" s="69" t="n">
        <v>2026</v>
      </c>
      <c r="D3235" t="inlineStr">
        <is>
          <t>Jan</t>
        </is>
      </c>
      <c r="E3235" t="inlineStr">
        <is>
          <t>Europe</t>
        </is>
      </c>
      <c r="F3235" t="inlineStr">
        <is>
          <t>Italy</t>
        </is>
      </c>
      <c r="G3235" t="inlineStr">
        <is>
          <t>Eliquis</t>
        </is>
      </c>
      <c r="H3235" t="inlineStr">
        <is>
          <t>Government / tender</t>
        </is>
      </c>
      <c r="I3235" t="inlineStr">
        <is>
          <t>Public payer</t>
        </is>
      </c>
      <c r="J3235" t="inlineStr">
        <is>
          <t>Amir Khan</t>
        </is>
      </c>
      <c r="K3235" s="70" t="n">
        <v>1312</v>
      </c>
      <c r="L3235" s="71" t="n">
        <v>469.25</v>
      </c>
      <c r="M3235" s="71" t="n">
        <v>615656</v>
      </c>
      <c r="N3235" s="71" t="n">
        <v>153914</v>
      </c>
      <c r="O3235" s="71" t="n">
        <v>461742</v>
      </c>
      <c r="P3235" s="71" t="n">
        <v>95812.03</v>
      </c>
      <c r="Q3235" s="71" t="n">
        <v>365929.97</v>
      </c>
      <c r="R3235" t="inlineStr">
        <is>
          <t>Cardiology</t>
        </is>
      </c>
      <c r="S3235" s="70" t="n">
        <v>932</v>
      </c>
      <c r="T3235" s="71" t="n">
        <v>107778.91</v>
      </c>
      <c r="U3235" t="inlineStr">
        <is>
          <t>High</t>
        </is>
      </c>
      <c r="V3235">
        <f>IF(AND(OR(Dashboard!$C$6="All",E3235=Dashboard!$C$6),OR(Dashboard!$F$6="All",G3235=Dashboard!$F$6),OR(Dashboard!$I$6="All",H3235=Dashboard!$I$6)),1,0)</f>
        <v/>
      </c>
    </row>
    <row r="3236">
      <c r="A3236" t="inlineStr">
        <is>
          <t>PF103227</t>
        </is>
      </c>
      <c r="B3236" s="68" t="n">
        <v>46047</v>
      </c>
      <c r="C3236" s="69" t="n">
        <v>2026</v>
      </c>
      <c r="D3236" t="inlineStr">
        <is>
          <t>Jan</t>
        </is>
      </c>
      <c r="E3236" t="inlineStr">
        <is>
          <t>United States</t>
        </is>
      </c>
      <c r="F3236" t="inlineStr">
        <is>
          <t>USA</t>
        </is>
      </c>
      <c r="G3236" t="inlineStr">
        <is>
          <t>Comirnaty</t>
        </is>
      </c>
      <c r="H3236" t="inlineStr">
        <is>
          <t>Hospital</t>
        </is>
      </c>
      <c r="I3236" t="inlineStr">
        <is>
          <t>Public payer</t>
        </is>
      </c>
      <c r="J3236" t="inlineStr">
        <is>
          <t>Mei Lin</t>
        </is>
      </c>
      <c r="K3236" s="70" t="n">
        <v>1202</v>
      </c>
      <c r="L3236" s="71" t="n">
        <v>147.18</v>
      </c>
      <c r="M3236" s="71" t="n">
        <v>176910.36</v>
      </c>
      <c r="N3236" s="71" t="n">
        <v>35382.07</v>
      </c>
      <c r="O3236" s="71" t="n">
        <v>141528.29</v>
      </c>
      <c r="P3236" s="71" t="n">
        <v>48018.61</v>
      </c>
      <c r="Q3236" s="71" t="n">
        <v>93509.67999999999</v>
      </c>
      <c r="R3236" t="inlineStr">
        <is>
          <t>Vaccines</t>
        </is>
      </c>
      <c r="S3236" s="70" t="n">
        <v>984</v>
      </c>
      <c r="T3236" s="71" t="n">
        <v>32065.81</v>
      </c>
      <c r="U3236" t="inlineStr">
        <is>
          <t>Low</t>
        </is>
      </c>
      <c r="V3236">
        <f>IF(AND(OR(Dashboard!$C$6="All",E3236=Dashboard!$C$6),OR(Dashboard!$F$6="All",G3236=Dashboard!$F$6),OR(Dashboard!$I$6="All",H3236=Dashboard!$I$6)),1,0)</f>
        <v/>
      </c>
    </row>
    <row r="3237">
      <c r="A3237" t="inlineStr">
        <is>
          <t>PF103228</t>
        </is>
      </c>
      <c r="B3237" s="68" t="n">
        <v>46047</v>
      </c>
      <c r="C3237" s="69" t="n">
        <v>2026</v>
      </c>
      <c r="D3237" t="inlineStr">
        <is>
          <t>Jan</t>
        </is>
      </c>
      <c r="E3237" t="inlineStr">
        <is>
          <t>Emerging markets</t>
        </is>
      </c>
      <c r="F3237" t="inlineStr">
        <is>
          <t>India</t>
        </is>
      </c>
      <c r="G3237" t="inlineStr">
        <is>
          <t>Abrysvo</t>
        </is>
      </c>
      <c r="H3237" t="inlineStr">
        <is>
          <t>Hospital</t>
        </is>
      </c>
      <c r="I3237" t="inlineStr">
        <is>
          <t>Private insurer</t>
        </is>
      </c>
      <c r="J3237" t="inlineStr">
        <is>
          <t>Kofi Mensah</t>
        </is>
      </c>
      <c r="K3237" s="70" t="n">
        <v>2672</v>
      </c>
      <c r="L3237" s="71" t="n">
        <v>334.17</v>
      </c>
      <c r="M3237" s="71" t="n">
        <v>892902.24</v>
      </c>
      <c r="N3237" s="71" t="n">
        <v>223225.56</v>
      </c>
      <c r="O3237" s="71" t="n">
        <v>669676.6800000001</v>
      </c>
      <c r="P3237" s="71" t="n">
        <v>230966.56</v>
      </c>
      <c r="Q3237" s="71" t="n">
        <v>438710.12</v>
      </c>
      <c r="R3237" t="inlineStr">
        <is>
          <t>Vaccines</t>
        </is>
      </c>
      <c r="S3237" s="70" t="n">
        <v>2054</v>
      </c>
      <c r="T3237" s="71" t="n">
        <v>171672.82</v>
      </c>
      <c r="U3237" t="inlineStr">
        <is>
          <t>Low</t>
        </is>
      </c>
      <c r="V3237">
        <f>IF(AND(OR(Dashboard!$C$6="All",E3237=Dashboard!$C$6),OR(Dashboard!$F$6="All",G3237=Dashboard!$F$6),OR(Dashboard!$I$6="All",H3237=Dashboard!$I$6)),1,0)</f>
        <v/>
      </c>
    </row>
    <row r="3238">
      <c r="A3238" t="inlineStr">
        <is>
          <t>PF103229</t>
        </is>
      </c>
      <c r="B3238" s="68" t="n">
        <v>46047</v>
      </c>
      <c r="C3238" s="69" t="n">
        <v>2026</v>
      </c>
      <c r="D3238" t="inlineStr">
        <is>
          <t>Jan</t>
        </is>
      </c>
      <c r="E3238" t="inlineStr">
        <is>
          <t>United States</t>
        </is>
      </c>
      <c r="F3238" t="inlineStr">
        <is>
          <t>USA</t>
        </is>
      </c>
      <c r="G3238" t="inlineStr">
        <is>
          <t>Abrysvo</t>
        </is>
      </c>
      <c r="H3238" t="inlineStr">
        <is>
          <t>Retail pharmacy</t>
        </is>
      </c>
      <c r="I3238" t="inlineStr">
        <is>
          <t>Private insurer</t>
        </is>
      </c>
      <c r="J3238" t="inlineStr">
        <is>
          <t>Amir Khan</t>
        </is>
      </c>
      <c r="K3238" s="70" t="n">
        <v>2152</v>
      </c>
      <c r="L3238" s="71" t="n">
        <v>517.84</v>
      </c>
      <c r="M3238" s="71" t="n">
        <v>1114391.68</v>
      </c>
      <c r="N3238" s="71" t="n">
        <v>167158.75</v>
      </c>
      <c r="O3238" s="71" t="n">
        <v>947232.9300000001</v>
      </c>
      <c r="P3238" s="71" t="n">
        <v>175801.39</v>
      </c>
      <c r="Q3238" s="71" t="n">
        <v>771431.54</v>
      </c>
      <c r="R3238" t="inlineStr">
        <is>
          <t>Vaccines</t>
        </is>
      </c>
      <c r="S3238" s="70" t="n">
        <v>2097</v>
      </c>
      <c r="T3238" s="71" t="n">
        <v>198348.57</v>
      </c>
      <c r="U3238" t="inlineStr">
        <is>
          <t>Low</t>
        </is>
      </c>
      <c r="V3238">
        <f>IF(AND(OR(Dashboard!$C$6="All",E3238=Dashboard!$C$6),OR(Dashboard!$F$6="All",G3238=Dashboard!$F$6),OR(Dashboard!$I$6="All",H3238=Dashboard!$I$6)),1,0)</f>
        <v/>
      </c>
    </row>
    <row r="3239">
      <c r="A3239" t="inlineStr">
        <is>
          <t>PF103230</t>
        </is>
      </c>
      <c r="B3239" s="68" t="n">
        <v>46047</v>
      </c>
      <c r="C3239" s="69" t="n">
        <v>2026</v>
      </c>
      <c r="D3239" t="inlineStr">
        <is>
          <t>Jan</t>
        </is>
      </c>
      <c r="E3239" t="inlineStr">
        <is>
          <t>Emerging markets</t>
        </is>
      </c>
      <c r="F3239" t="inlineStr">
        <is>
          <t>India</t>
        </is>
      </c>
      <c r="G3239" t="inlineStr">
        <is>
          <t>Paxlovid</t>
        </is>
      </c>
      <c r="H3239" t="inlineStr">
        <is>
          <t>Government / tender</t>
        </is>
      </c>
      <c r="I3239" t="inlineStr">
        <is>
          <t>Public payer</t>
        </is>
      </c>
      <c r="J3239" t="inlineStr">
        <is>
          <t>Aisha Bello</t>
        </is>
      </c>
      <c r="K3239" s="70" t="n">
        <v>1659</v>
      </c>
      <c r="L3239" s="71" t="n">
        <v>911.96</v>
      </c>
      <c r="M3239" s="71" t="n">
        <v>1512941.64</v>
      </c>
      <c r="N3239" s="71" t="n">
        <v>226941.25</v>
      </c>
      <c r="O3239" s="71" t="n">
        <v>1286000.39</v>
      </c>
      <c r="P3239" s="71" t="n">
        <v>466948.43</v>
      </c>
      <c r="Q3239" s="71" t="n">
        <v>819051.96</v>
      </c>
      <c r="R3239" t="inlineStr">
        <is>
          <t>Antiviral</t>
        </is>
      </c>
      <c r="S3239" s="70" t="n">
        <v>1648</v>
      </c>
      <c r="T3239" s="71" t="n">
        <v>257615.32</v>
      </c>
      <c r="U3239" t="inlineStr">
        <is>
          <t>Low</t>
        </is>
      </c>
      <c r="V3239">
        <f>IF(AND(OR(Dashboard!$C$6="All",E3239=Dashboard!$C$6),OR(Dashboard!$F$6="All",G3239=Dashboard!$F$6),OR(Dashboard!$I$6="All",H3239=Dashboard!$I$6)),1,0)</f>
        <v/>
      </c>
    </row>
    <row r="3240">
      <c r="A3240" t="inlineStr">
        <is>
          <t>PF103231</t>
        </is>
      </c>
      <c r="B3240" s="68" t="n">
        <v>46047</v>
      </c>
      <c r="C3240" s="69" t="n">
        <v>2026</v>
      </c>
      <c r="D3240" t="inlineStr">
        <is>
          <t>Jan</t>
        </is>
      </c>
      <c r="E3240" t="inlineStr">
        <is>
          <t>Emerging markets</t>
        </is>
      </c>
      <c r="F3240" t="inlineStr">
        <is>
          <t>Brazil</t>
        </is>
      </c>
      <c r="G3240" t="inlineStr">
        <is>
          <t>Eliquis</t>
        </is>
      </c>
      <c r="H3240" t="inlineStr">
        <is>
          <t>Government / tender</t>
        </is>
      </c>
      <c r="I3240" t="inlineStr">
        <is>
          <t>Private insurer</t>
        </is>
      </c>
      <c r="J3240" t="inlineStr">
        <is>
          <t>Hiroshi Tanaka</t>
        </is>
      </c>
      <c r="K3240" s="70" t="n">
        <v>736</v>
      </c>
      <c r="L3240" s="71" t="n">
        <v>437.33</v>
      </c>
      <c r="M3240" s="71" t="n">
        <v>321874.88</v>
      </c>
      <c r="N3240" s="71" t="n">
        <v>64374.98</v>
      </c>
      <c r="O3240" s="71" t="n">
        <v>257499.9</v>
      </c>
      <c r="P3240" s="71" t="n">
        <v>55849.82</v>
      </c>
      <c r="Q3240" s="71" t="n">
        <v>201650.08</v>
      </c>
      <c r="R3240" t="inlineStr">
        <is>
          <t>Cardiology</t>
        </is>
      </c>
      <c r="S3240" s="70" t="n">
        <v>557</v>
      </c>
      <c r="T3240" s="71" t="n">
        <v>47402.73</v>
      </c>
      <c r="U3240" t="inlineStr">
        <is>
          <t>High</t>
        </is>
      </c>
      <c r="V3240">
        <f>IF(AND(OR(Dashboard!$C$6="All",E3240=Dashboard!$C$6),OR(Dashboard!$F$6="All",G3240=Dashboard!$F$6),OR(Dashboard!$I$6="All",H3240=Dashboard!$I$6)),1,0)</f>
        <v/>
      </c>
    </row>
    <row r="3241">
      <c r="A3241" t="inlineStr">
        <is>
          <t>PF103232</t>
        </is>
      </c>
      <c r="B3241" s="68" t="n">
        <v>46047</v>
      </c>
      <c r="C3241" s="69" t="n">
        <v>2026</v>
      </c>
      <c r="D3241" t="inlineStr">
        <is>
          <t>Jan</t>
        </is>
      </c>
      <c r="E3241" t="inlineStr">
        <is>
          <t>United States</t>
        </is>
      </c>
      <c r="F3241" t="inlineStr">
        <is>
          <t>USA</t>
        </is>
      </c>
      <c r="G3241" t="inlineStr">
        <is>
          <t>Xeljanz</t>
        </is>
      </c>
      <c r="H3241" t="inlineStr">
        <is>
          <t>Retail pharmacy</t>
        </is>
      </c>
      <c r="I3241" t="inlineStr">
        <is>
          <t>Private insurer</t>
        </is>
      </c>
      <c r="J3241" t="inlineStr">
        <is>
          <t>Mei Lin</t>
        </is>
      </c>
      <c r="K3241" s="70" t="n">
        <v>548</v>
      </c>
      <c r="L3241" s="71" t="n">
        <v>2092.19</v>
      </c>
      <c r="M3241" s="71" t="n">
        <v>1146520.12</v>
      </c>
      <c r="N3241" s="71" t="n">
        <v>343956.04</v>
      </c>
      <c r="O3241" s="71" t="n">
        <v>802564.08</v>
      </c>
      <c r="P3241" s="71" t="n">
        <v>133925.07</v>
      </c>
      <c r="Q3241" s="71" t="n">
        <v>668639.01</v>
      </c>
      <c r="R3241" t="inlineStr">
        <is>
          <t>Inflammation</t>
        </is>
      </c>
      <c r="S3241" s="70" t="n">
        <v>407</v>
      </c>
      <c r="T3241" s="71" t="n">
        <v>165457.6</v>
      </c>
      <c r="U3241" t="inlineStr">
        <is>
          <t>High</t>
        </is>
      </c>
      <c r="V3241">
        <f>IF(AND(OR(Dashboard!$C$6="All",E3241=Dashboard!$C$6),OR(Dashboard!$F$6="All",G3241=Dashboard!$F$6),OR(Dashboard!$I$6="All",H3241=Dashboard!$I$6)),1,0)</f>
        <v/>
      </c>
    </row>
    <row r="3242">
      <c r="A3242" t="inlineStr">
        <is>
          <t>PF103233</t>
        </is>
      </c>
      <c r="B3242" s="68" t="n">
        <v>46047</v>
      </c>
      <c r="C3242" s="69" t="n">
        <v>2026</v>
      </c>
      <c r="D3242" t="inlineStr">
        <is>
          <t>Jan</t>
        </is>
      </c>
      <c r="E3242" t="inlineStr">
        <is>
          <t>International developed</t>
        </is>
      </c>
      <c r="F3242" t="inlineStr">
        <is>
          <t>Australia</t>
        </is>
      </c>
      <c r="G3242" t="inlineStr">
        <is>
          <t>Vyndaqel</t>
        </is>
      </c>
      <c r="H3242" t="inlineStr">
        <is>
          <t>Hospital</t>
        </is>
      </c>
      <c r="I3242" t="inlineStr">
        <is>
          <t>Private insurer</t>
        </is>
      </c>
      <c r="J3242" t="inlineStr">
        <is>
          <t>Shraddha Kulkarni</t>
        </is>
      </c>
      <c r="K3242" s="70" t="n">
        <v>2429</v>
      </c>
      <c r="L3242" s="71" t="n">
        <v>5658.32</v>
      </c>
      <c r="M3242" s="71" t="n">
        <v>13744059.28</v>
      </c>
      <c r="N3242" s="71" t="n">
        <v>1374405.93</v>
      </c>
      <c r="O3242" s="71" t="n">
        <v>12369653.35</v>
      </c>
      <c r="P3242" s="71" t="n">
        <v>1477205.74</v>
      </c>
      <c r="Q3242" s="71" t="n">
        <v>10892447.61</v>
      </c>
      <c r="R3242" t="inlineStr">
        <is>
          <t>Rare disease</t>
        </is>
      </c>
      <c r="S3242" s="70" t="n">
        <v>1612</v>
      </c>
      <c r="T3242" s="71" t="n">
        <v>2359739.61</v>
      </c>
      <c r="U3242" t="inlineStr">
        <is>
          <t>Medium</t>
        </is>
      </c>
      <c r="V3242">
        <f>IF(AND(OR(Dashboard!$C$6="All",E3242=Dashboard!$C$6),OR(Dashboard!$F$6="All",G3242=Dashboard!$F$6),OR(Dashboard!$I$6="All",H3242=Dashboard!$I$6)),1,0)</f>
        <v/>
      </c>
    </row>
    <row r="3243">
      <c r="A3243" t="inlineStr">
        <is>
          <t>PF103234</t>
        </is>
      </c>
      <c r="B3243" s="68" t="n">
        <v>46047</v>
      </c>
      <c r="C3243" s="69" t="n">
        <v>2026</v>
      </c>
      <c r="D3243" t="inlineStr">
        <is>
          <t>Jan</t>
        </is>
      </c>
      <c r="E3243" t="inlineStr">
        <is>
          <t>International developed</t>
        </is>
      </c>
      <c r="F3243" t="inlineStr">
        <is>
          <t>Canada</t>
        </is>
      </c>
      <c r="G3243" t="inlineStr">
        <is>
          <t>Comirnaty</t>
        </is>
      </c>
      <c r="H3243" t="inlineStr">
        <is>
          <t>Retail pharmacy</t>
        </is>
      </c>
      <c r="I3243" t="inlineStr">
        <is>
          <t>Private insurer</t>
        </is>
      </c>
      <c r="J3243" t="inlineStr">
        <is>
          <t>Ravindra Patil</t>
        </is>
      </c>
      <c r="K3243" s="70" t="n">
        <v>40</v>
      </c>
      <c r="L3243" s="71" t="n">
        <v>93.70999999999999</v>
      </c>
      <c r="M3243" s="71" t="n">
        <v>3748.4</v>
      </c>
      <c r="N3243" s="71" t="n">
        <v>374.84</v>
      </c>
      <c r="O3243" s="71" t="n">
        <v>3373.56</v>
      </c>
      <c r="P3243" s="71" t="n">
        <v>1504.01</v>
      </c>
      <c r="Q3243" s="71" t="n">
        <v>1869.55</v>
      </c>
      <c r="R3243" t="inlineStr">
        <is>
          <t>Vaccines</t>
        </is>
      </c>
      <c r="S3243" s="70" t="n">
        <v>38</v>
      </c>
      <c r="T3243" s="71" t="n">
        <v>630.79</v>
      </c>
      <c r="U3243" t="inlineStr">
        <is>
          <t>Low</t>
        </is>
      </c>
      <c r="V3243">
        <f>IF(AND(OR(Dashboard!$C$6="All",E3243=Dashboard!$C$6),OR(Dashboard!$F$6="All",G3243=Dashboard!$F$6),OR(Dashboard!$I$6="All",H3243=Dashboard!$I$6)),1,0)</f>
        <v/>
      </c>
    </row>
    <row r="3244">
      <c r="A3244" t="inlineStr">
        <is>
          <t>PF103235</t>
        </is>
      </c>
      <c r="B3244" s="68" t="n">
        <v>46047</v>
      </c>
      <c r="C3244" s="69" t="n">
        <v>2026</v>
      </c>
      <c r="D3244" t="inlineStr">
        <is>
          <t>Jan</t>
        </is>
      </c>
      <c r="E3244" t="inlineStr">
        <is>
          <t>United States</t>
        </is>
      </c>
      <c r="F3244" t="inlineStr">
        <is>
          <t>USA</t>
        </is>
      </c>
      <c r="G3244" t="inlineStr">
        <is>
          <t>Xeljanz</t>
        </is>
      </c>
      <c r="H3244" t="inlineStr">
        <is>
          <t>Hospital</t>
        </is>
      </c>
      <c r="I3244" t="inlineStr">
        <is>
          <t>Public payer</t>
        </is>
      </c>
      <c r="J3244" t="inlineStr">
        <is>
          <t>Carlos Silva</t>
        </is>
      </c>
      <c r="K3244" s="70" t="n">
        <v>2302</v>
      </c>
      <c r="L3244" s="71" t="n">
        <v>2055.69</v>
      </c>
      <c r="M3244" s="71" t="n">
        <v>4732198.38</v>
      </c>
      <c r="N3244" s="71" t="n">
        <v>1183049.59</v>
      </c>
      <c r="O3244" s="71" t="n">
        <v>3549148.79</v>
      </c>
      <c r="P3244" s="71" t="n">
        <v>566849.84</v>
      </c>
      <c r="Q3244" s="71" t="n">
        <v>2982298.95</v>
      </c>
      <c r="R3244" t="inlineStr">
        <is>
          <t>Inflammation</t>
        </is>
      </c>
      <c r="S3244" s="70" t="n">
        <v>1472</v>
      </c>
      <c r="T3244" s="71" t="n">
        <v>988087.39</v>
      </c>
      <c r="U3244" t="inlineStr">
        <is>
          <t>High</t>
        </is>
      </c>
      <c r="V3244">
        <f>IF(AND(OR(Dashboard!$C$6="All",E3244=Dashboard!$C$6),OR(Dashboard!$F$6="All",G3244=Dashboard!$F$6),OR(Dashboard!$I$6="All",H3244=Dashboard!$I$6)),1,0)</f>
        <v/>
      </c>
    </row>
    <row r="3245">
      <c r="A3245" t="inlineStr">
        <is>
          <t>PF103236</t>
        </is>
      </c>
      <c r="B3245" s="68" t="n">
        <v>46047</v>
      </c>
      <c r="C3245" s="69" t="n">
        <v>2026</v>
      </c>
      <c r="D3245" t="inlineStr">
        <is>
          <t>Jan</t>
        </is>
      </c>
      <c r="E3245" t="inlineStr">
        <is>
          <t>Emerging markets</t>
        </is>
      </c>
      <c r="F3245" t="inlineStr">
        <is>
          <t>China</t>
        </is>
      </c>
      <c r="G3245" t="inlineStr">
        <is>
          <t>Xeljanz</t>
        </is>
      </c>
      <c r="H3245" t="inlineStr">
        <is>
          <t>Retail pharmacy</t>
        </is>
      </c>
      <c r="I3245" t="inlineStr">
        <is>
          <t>Private insurer</t>
        </is>
      </c>
      <c r="J3245" t="inlineStr">
        <is>
          <t>Omar Haddad</t>
        </is>
      </c>
      <c r="K3245" s="70" t="n">
        <v>281</v>
      </c>
      <c r="L3245" s="71" t="n">
        <v>1232.6</v>
      </c>
      <c r="M3245" s="71" t="n">
        <v>346360.6</v>
      </c>
      <c r="N3245" s="71" t="n">
        <v>69272.12</v>
      </c>
      <c r="O3245" s="71" t="n">
        <v>277088.48</v>
      </c>
      <c r="P3245" s="71" t="n">
        <v>69676.81</v>
      </c>
      <c r="Q3245" s="71" t="n">
        <v>207411.67</v>
      </c>
      <c r="R3245" t="inlineStr">
        <is>
          <t>Inflammation</t>
        </is>
      </c>
      <c r="S3245" s="70" t="n">
        <v>259</v>
      </c>
      <c r="T3245" s="71" t="n">
        <v>72052.31</v>
      </c>
      <c r="U3245" t="inlineStr">
        <is>
          <t>High</t>
        </is>
      </c>
      <c r="V3245">
        <f>IF(AND(OR(Dashboard!$C$6="All",E3245=Dashboard!$C$6),OR(Dashboard!$F$6="All",G3245=Dashboard!$F$6),OR(Dashboard!$I$6="All",H3245=Dashboard!$I$6)),1,0)</f>
        <v/>
      </c>
    </row>
    <row r="3246">
      <c r="A3246" t="inlineStr">
        <is>
          <t>PF103237</t>
        </is>
      </c>
      <c r="B3246" s="68" t="n">
        <v>46048</v>
      </c>
      <c r="C3246" s="69" t="n">
        <v>2026</v>
      </c>
      <c r="D3246" t="inlineStr">
        <is>
          <t>Jan</t>
        </is>
      </c>
      <c r="E3246" t="inlineStr">
        <is>
          <t>United States</t>
        </is>
      </c>
      <c r="F3246" t="inlineStr">
        <is>
          <t>USA</t>
        </is>
      </c>
      <c r="G3246" t="inlineStr">
        <is>
          <t>Eliquis</t>
        </is>
      </c>
      <c r="H3246" t="inlineStr">
        <is>
          <t>Retail pharmacy</t>
        </is>
      </c>
      <c r="I3246" t="inlineStr">
        <is>
          <t>Public payer</t>
        </is>
      </c>
      <c r="J3246" t="inlineStr">
        <is>
          <t>Wei Chen</t>
        </is>
      </c>
      <c r="K3246" s="70" t="n">
        <v>2494</v>
      </c>
      <c r="L3246" s="71" t="n">
        <v>628.12</v>
      </c>
      <c r="M3246" s="71" t="n">
        <v>1566531.28</v>
      </c>
      <c r="N3246" s="71" t="n">
        <v>548285.95</v>
      </c>
      <c r="O3246" s="71" t="n">
        <v>1018245.33</v>
      </c>
      <c r="P3246" s="71" t="n">
        <v>184550.57</v>
      </c>
      <c r="Q3246" s="71" t="n">
        <v>833694.76</v>
      </c>
      <c r="R3246" t="inlineStr">
        <is>
          <t>Cardiology</t>
        </is>
      </c>
      <c r="S3246" s="70" t="n">
        <v>1907</v>
      </c>
      <c r="T3246" s="71" t="n">
        <v>210682.33</v>
      </c>
      <c r="U3246" t="inlineStr">
        <is>
          <t>High</t>
        </is>
      </c>
      <c r="V3246">
        <f>IF(AND(OR(Dashboard!$C$6="All",E3246=Dashboard!$C$6),OR(Dashboard!$F$6="All",G3246=Dashboard!$F$6),OR(Dashboard!$I$6="All",H3246=Dashboard!$I$6)),1,0)</f>
        <v/>
      </c>
    </row>
    <row r="3247">
      <c r="A3247" t="inlineStr">
        <is>
          <t>PF103238</t>
        </is>
      </c>
      <c r="B3247" s="68" t="n">
        <v>46048</v>
      </c>
      <c r="C3247" s="69" t="n">
        <v>2026</v>
      </c>
      <c r="D3247" t="inlineStr">
        <is>
          <t>Jan</t>
        </is>
      </c>
      <c r="E3247" t="inlineStr">
        <is>
          <t>United States</t>
        </is>
      </c>
      <c r="F3247" t="inlineStr">
        <is>
          <t>USA</t>
        </is>
      </c>
      <c r="G3247" t="inlineStr">
        <is>
          <t>Ibrance</t>
        </is>
      </c>
      <c r="H3247" t="inlineStr">
        <is>
          <t>Hospital</t>
        </is>
      </c>
      <c r="I3247" t="inlineStr">
        <is>
          <t>Self-pay</t>
        </is>
      </c>
      <c r="J3247" t="inlineStr">
        <is>
          <t>Ana Costa</t>
        </is>
      </c>
      <c r="K3247" s="70" t="n">
        <v>1295</v>
      </c>
      <c r="L3247" s="71" t="n">
        <v>4946.18</v>
      </c>
      <c r="M3247" s="71" t="n">
        <v>6405303.1</v>
      </c>
      <c r="N3247" s="71" t="n">
        <v>960795.47</v>
      </c>
      <c r="O3247" s="71" t="n">
        <v>5444507.63</v>
      </c>
      <c r="P3247" s="71" t="n">
        <v>563651.3</v>
      </c>
      <c r="Q3247" s="71" t="n">
        <v>4880856.33</v>
      </c>
      <c r="R3247" t="inlineStr">
        <is>
          <t>Oncology</t>
        </is>
      </c>
      <c r="S3247" s="70" t="n">
        <v>896</v>
      </c>
      <c r="T3247" s="71" t="n">
        <v>1341896.6</v>
      </c>
      <c r="U3247" t="inlineStr">
        <is>
          <t>High</t>
        </is>
      </c>
      <c r="V3247">
        <f>IF(AND(OR(Dashboard!$C$6="All",E3247=Dashboard!$C$6),OR(Dashboard!$F$6="All",G3247=Dashboard!$F$6),OR(Dashboard!$I$6="All",H3247=Dashboard!$I$6)),1,0)</f>
        <v/>
      </c>
    </row>
    <row r="3248">
      <c r="A3248" t="inlineStr">
        <is>
          <t>PF103239</t>
        </is>
      </c>
      <c r="B3248" s="68" t="n">
        <v>46048</v>
      </c>
      <c r="C3248" s="69" t="n">
        <v>2026</v>
      </c>
      <c r="D3248" t="inlineStr">
        <is>
          <t>Jan</t>
        </is>
      </c>
      <c r="E3248" t="inlineStr">
        <is>
          <t>International developed</t>
        </is>
      </c>
      <c r="F3248" t="inlineStr">
        <is>
          <t>Japan</t>
        </is>
      </c>
      <c r="G3248" t="inlineStr">
        <is>
          <t>Eliquis</t>
        </is>
      </c>
      <c r="H3248" t="inlineStr">
        <is>
          <t>Retail pharmacy</t>
        </is>
      </c>
      <c r="I3248" t="inlineStr">
        <is>
          <t>Private insurer</t>
        </is>
      </c>
      <c r="J3248" t="inlineStr">
        <is>
          <t>Sara Rossi</t>
        </is>
      </c>
      <c r="K3248" s="70" t="n">
        <v>723</v>
      </c>
      <c r="L3248" s="71" t="n">
        <v>400.5</v>
      </c>
      <c r="M3248" s="71" t="n">
        <v>289561.5</v>
      </c>
      <c r="N3248" s="71" t="n">
        <v>43434.22</v>
      </c>
      <c r="O3248" s="71" t="n">
        <v>246127.28</v>
      </c>
      <c r="P3248" s="71" t="n">
        <v>52696.06</v>
      </c>
      <c r="Q3248" s="71" t="n">
        <v>193431.22</v>
      </c>
      <c r="R3248" t="inlineStr">
        <is>
          <t>Cardiology</t>
        </is>
      </c>
      <c r="S3248" s="70" t="n">
        <v>686</v>
      </c>
      <c r="T3248" s="71" t="n">
        <v>49376.45</v>
      </c>
      <c r="U3248" t="inlineStr">
        <is>
          <t>High</t>
        </is>
      </c>
      <c r="V3248">
        <f>IF(AND(OR(Dashboard!$C$6="All",E3248=Dashboard!$C$6),OR(Dashboard!$F$6="All",G3248=Dashboard!$F$6),OR(Dashboard!$I$6="All",H3248=Dashboard!$I$6)),1,0)</f>
        <v/>
      </c>
    </row>
    <row r="3249">
      <c r="A3249" t="inlineStr">
        <is>
          <t>PF103240</t>
        </is>
      </c>
      <c r="B3249" s="68" t="n">
        <v>46048</v>
      </c>
      <c r="C3249" s="69" t="n">
        <v>2026</v>
      </c>
      <c r="D3249" t="inlineStr">
        <is>
          <t>Jan</t>
        </is>
      </c>
      <c r="E3249" t="inlineStr">
        <is>
          <t>United States</t>
        </is>
      </c>
      <c r="F3249" t="inlineStr">
        <is>
          <t>USA</t>
        </is>
      </c>
      <c r="G3249" t="inlineStr">
        <is>
          <t>Eliquis</t>
        </is>
      </c>
      <c r="H3249" t="inlineStr">
        <is>
          <t>Hospital</t>
        </is>
      </c>
      <c r="I3249" t="inlineStr">
        <is>
          <t>Private insurer</t>
        </is>
      </c>
      <c r="J3249" t="inlineStr">
        <is>
          <t>Shraddha Kulkarni</t>
        </is>
      </c>
      <c r="K3249" s="70" t="n">
        <v>2048</v>
      </c>
      <c r="L3249" s="71" t="n">
        <v>663.37</v>
      </c>
      <c r="M3249" s="71" t="n">
        <v>1358581.76</v>
      </c>
      <c r="N3249" s="71" t="n">
        <v>203787.26</v>
      </c>
      <c r="O3249" s="71" t="n">
        <v>1154794.5</v>
      </c>
      <c r="P3249" s="71" t="n">
        <v>154224.91</v>
      </c>
      <c r="Q3249" s="71" t="n">
        <v>1000569.59</v>
      </c>
      <c r="R3249" t="inlineStr">
        <is>
          <t>Cardiology</t>
        </is>
      </c>
      <c r="S3249" s="70" t="n">
        <v>1373</v>
      </c>
      <c r="T3249" s="71" t="n">
        <v>159832.73</v>
      </c>
      <c r="U3249" t="inlineStr">
        <is>
          <t>High</t>
        </is>
      </c>
      <c r="V3249">
        <f>IF(AND(OR(Dashboard!$C$6="All",E3249=Dashboard!$C$6),OR(Dashboard!$F$6="All",G3249=Dashboard!$F$6),OR(Dashboard!$I$6="All",H3249=Dashboard!$I$6)),1,0)</f>
        <v/>
      </c>
    </row>
    <row r="3250">
      <c r="A3250" t="inlineStr">
        <is>
          <t>PF103241</t>
        </is>
      </c>
      <c r="B3250" s="68" t="n">
        <v>46048</v>
      </c>
      <c r="C3250" s="69" t="n">
        <v>2026</v>
      </c>
      <c r="D3250" t="inlineStr">
        <is>
          <t>Jan</t>
        </is>
      </c>
      <c r="E3250" t="inlineStr">
        <is>
          <t>Europe</t>
        </is>
      </c>
      <c r="F3250" t="inlineStr">
        <is>
          <t>Germany</t>
        </is>
      </c>
      <c r="G3250" t="inlineStr">
        <is>
          <t>Ibrance</t>
        </is>
      </c>
      <c r="H3250" t="inlineStr">
        <is>
          <t>Hospital</t>
        </is>
      </c>
      <c r="I3250" t="inlineStr">
        <is>
          <t>Private insurer</t>
        </is>
      </c>
      <c r="J3250" t="inlineStr">
        <is>
          <t>Yuki Sato</t>
        </is>
      </c>
      <c r="K3250" s="70" t="n">
        <v>2030</v>
      </c>
      <c r="L3250" s="71" t="n">
        <v>2563.67</v>
      </c>
      <c r="M3250" s="71" t="n">
        <v>5204250.1</v>
      </c>
      <c r="N3250" s="71" t="n">
        <v>1040850.02</v>
      </c>
      <c r="O3250" s="71" t="n">
        <v>4163400.08</v>
      </c>
      <c r="P3250" s="71" t="n">
        <v>897398.6899999999</v>
      </c>
      <c r="Q3250" s="71" t="n">
        <v>3266001.39</v>
      </c>
      <c r="R3250" t="inlineStr">
        <is>
          <t>Oncology</t>
        </is>
      </c>
      <c r="S3250" s="70" t="n">
        <v>1507</v>
      </c>
      <c r="T3250" s="71" t="n">
        <v>768901.0699999999</v>
      </c>
      <c r="U3250" t="inlineStr">
        <is>
          <t>High</t>
        </is>
      </c>
      <c r="V3250">
        <f>IF(AND(OR(Dashboard!$C$6="All",E3250=Dashboard!$C$6),OR(Dashboard!$F$6="All",G3250=Dashboard!$F$6),OR(Dashboard!$I$6="All",H3250=Dashboard!$I$6)),1,0)</f>
        <v/>
      </c>
    </row>
    <row r="3251">
      <c r="A3251" t="inlineStr">
        <is>
          <t>PF103242</t>
        </is>
      </c>
      <c r="B3251" s="68" t="n">
        <v>46048</v>
      </c>
      <c r="C3251" s="69" t="n">
        <v>2026</v>
      </c>
      <c r="D3251" t="inlineStr">
        <is>
          <t>Jan</t>
        </is>
      </c>
      <c r="E3251" t="inlineStr">
        <is>
          <t>Emerging markets</t>
        </is>
      </c>
      <c r="F3251" t="inlineStr">
        <is>
          <t>China</t>
        </is>
      </c>
      <c r="G3251" t="inlineStr">
        <is>
          <t>Prevnar 20</t>
        </is>
      </c>
      <c r="H3251" t="inlineStr">
        <is>
          <t>Retail pharmacy</t>
        </is>
      </c>
      <c r="I3251" t="inlineStr">
        <is>
          <t>Public payer</t>
        </is>
      </c>
      <c r="J3251" t="inlineStr">
        <is>
          <t>Noah Smith</t>
        </is>
      </c>
      <c r="K3251" s="70" t="n">
        <v>877</v>
      </c>
      <c r="L3251" s="71" t="n">
        <v>230.41</v>
      </c>
      <c r="M3251" s="71" t="n">
        <v>202069.57</v>
      </c>
      <c r="N3251" s="71" t="n">
        <v>10103.48</v>
      </c>
      <c r="O3251" s="71" t="n">
        <v>191966.09</v>
      </c>
      <c r="P3251" s="71" t="n">
        <v>59738.66</v>
      </c>
      <c r="Q3251" s="71" t="n">
        <v>132227.43</v>
      </c>
      <c r="R3251" t="inlineStr">
        <is>
          <t>Vaccines</t>
        </is>
      </c>
      <c r="S3251" s="70" t="n">
        <v>657</v>
      </c>
      <c r="T3251" s="71" t="n">
        <v>40733.99</v>
      </c>
      <c r="U3251" t="inlineStr">
        <is>
          <t>Low</t>
        </is>
      </c>
      <c r="V3251">
        <f>IF(AND(OR(Dashboard!$C$6="All",E3251=Dashboard!$C$6),OR(Dashboard!$F$6="All",G3251=Dashboard!$F$6),OR(Dashboard!$I$6="All",H3251=Dashboard!$I$6)),1,0)</f>
        <v/>
      </c>
    </row>
    <row r="3252">
      <c r="A3252" t="inlineStr">
        <is>
          <t>PF103243</t>
        </is>
      </c>
      <c r="B3252" s="68" t="n">
        <v>46049</v>
      </c>
      <c r="C3252" s="69" t="n">
        <v>2026</v>
      </c>
      <c r="D3252" t="inlineStr">
        <is>
          <t>Jan</t>
        </is>
      </c>
      <c r="E3252" t="inlineStr">
        <is>
          <t>Europe</t>
        </is>
      </c>
      <c r="F3252" t="inlineStr">
        <is>
          <t>Spain</t>
        </is>
      </c>
      <c r="G3252" t="inlineStr">
        <is>
          <t>Paxlovid</t>
        </is>
      </c>
      <c r="H3252" t="inlineStr">
        <is>
          <t>Government / tender</t>
        </is>
      </c>
      <c r="I3252" t="inlineStr">
        <is>
          <t>Private insurer</t>
        </is>
      </c>
      <c r="J3252" t="inlineStr">
        <is>
          <t>Yuki Sato</t>
        </is>
      </c>
      <c r="K3252" s="70" t="n">
        <v>1784</v>
      </c>
      <c r="L3252" s="71" t="n">
        <v>884.23</v>
      </c>
      <c r="M3252" s="71" t="n">
        <v>1577466.32</v>
      </c>
      <c r="N3252" s="71" t="n">
        <v>157746.63</v>
      </c>
      <c r="O3252" s="71" t="n">
        <v>1419719.69</v>
      </c>
      <c r="P3252" s="71" t="n">
        <v>507981.17</v>
      </c>
      <c r="Q3252" s="71" t="n">
        <v>911738.52</v>
      </c>
      <c r="R3252" t="inlineStr">
        <is>
          <t>Antiviral</t>
        </is>
      </c>
      <c r="S3252" s="70" t="n">
        <v>1218</v>
      </c>
      <c r="T3252" s="71" t="n">
        <v>331587.11</v>
      </c>
      <c r="U3252" t="inlineStr">
        <is>
          <t>Low</t>
        </is>
      </c>
      <c r="V3252">
        <f>IF(AND(OR(Dashboard!$C$6="All",E3252=Dashboard!$C$6),OR(Dashboard!$F$6="All",G3252=Dashboard!$F$6),OR(Dashboard!$I$6="All",H3252=Dashboard!$I$6)),1,0)</f>
        <v/>
      </c>
    </row>
    <row r="3253">
      <c r="A3253" t="inlineStr">
        <is>
          <t>PF103244</t>
        </is>
      </c>
      <c r="B3253" s="68" t="n">
        <v>46049</v>
      </c>
      <c r="C3253" s="69" t="n">
        <v>2026</v>
      </c>
      <c r="D3253" t="inlineStr">
        <is>
          <t>Jan</t>
        </is>
      </c>
      <c r="E3253" t="inlineStr">
        <is>
          <t>Europe</t>
        </is>
      </c>
      <c r="F3253" t="inlineStr">
        <is>
          <t>Germany</t>
        </is>
      </c>
      <c r="G3253" t="inlineStr">
        <is>
          <t>Vyndaqel</t>
        </is>
      </c>
      <c r="H3253" t="inlineStr">
        <is>
          <t>Retail pharmacy</t>
        </is>
      </c>
      <c r="I3253" t="inlineStr">
        <is>
          <t>Private insurer</t>
        </is>
      </c>
      <c r="J3253" t="inlineStr">
        <is>
          <t>Mei Lin</t>
        </is>
      </c>
      <c r="K3253" s="70" t="n">
        <v>823</v>
      </c>
      <c r="L3253" s="71" t="n">
        <v>6073.77</v>
      </c>
      <c r="M3253" s="71" t="n">
        <v>4998712.71</v>
      </c>
      <c r="N3253" s="71" t="n">
        <v>1249678.18</v>
      </c>
      <c r="O3253" s="71" t="n">
        <v>3749034.53</v>
      </c>
      <c r="P3253" s="71" t="n">
        <v>522275.9</v>
      </c>
      <c r="Q3253" s="71" t="n">
        <v>3226758.63</v>
      </c>
      <c r="R3253" t="inlineStr">
        <is>
          <t>Rare disease</t>
        </is>
      </c>
      <c r="S3253" s="70" t="n">
        <v>693</v>
      </c>
      <c r="T3253" s="71" t="n">
        <v>667671.58</v>
      </c>
      <c r="U3253" t="inlineStr">
        <is>
          <t>Medium</t>
        </is>
      </c>
      <c r="V3253">
        <f>IF(AND(OR(Dashboard!$C$6="All",E3253=Dashboard!$C$6),OR(Dashboard!$F$6="All",G3253=Dashboard!$F$6),OR(Dashboard!$I$6="All",H3253=Dashboard!$I$6)),1,0)</f>
        <v/>
      </c>
    </row>
    <row r="3254">
      <c r="A3254" t="inlineStr">
        <is>
          <t>PF103245</t>
        </is>
      </c>
      <c r="B3254" s="68" t="n">
        <v>46049</v>
      </c>
      <c r="C3254" s="69" t="n">
        <v>2026</v>
      </c>
      <c r="D3254" t="inlineStr">
        <is>
          <t>Jan</t>
        </is>
      </c>
      <c r="E3254" t="inlineStr">
        <is>
          <t>Europe</t>
        </is>
      </c>
      <c r="F3254" t="inlineStr">
        <is>
          <t>UK</t>
        </is>
      </c>
      <c r="G3254" t="inlineStr">
        <is>
          <t>Ibrance</t>
        </is>
      </c>
      <c r="H3254" t="inlineStr">
        <is>
          <t>Government / tender</t>
        </is>
      </c>
      <c r="I3254" t="inlineStr">
        <is>
          <t>Public payer</t>
        </is>
      </c>
      <c r="J3254" t="inlineStr">
        <is>
          <t>Noah Smith</t>
        </is>
      </c>
      <c r="K3254" s="70" t="n">
        <v>1069</v>
      </c>
      <c r="L3254" s="71" t="n">
        <v>2904.28</v>
      </c>
      <c r="M3254" s="71" t="n">
        <v>3104675.32</v>
      </c>
      <c r="N3254" s="71" t="n">
        <v>465701.3</v>
      </c>
      <c r="O3254" s="71" t="n">
        <v>2638974.02</v>
      </c>
      <c r="P3254" s="71" t="n">
        <v>483550.14</v>
      </c>
      <c r="Q3254" s="71" t="n">
        <v>2155423.88</v>
      </c>
      <c r="R3254" t="inlineStr">
        <is>
          <t>Oncology</t>
        </is>
      </c>
      <c r="S3254" s="70" t="n">
        <v>873</v>
      </c>
      <c r="T3254" s="71" t="n">
        <v>467834.01</v>
      </c>
      <c r="U3254" t="inlineStr">
        <is>
          <t>High</t>
        </is>
      </c>
      <c r="V3254">
        <f>IF(AND(OR(Dashboard!$C$6="All",E3254=Dashboard!$C$6),OR(Dashboard!$F$6="All",G3254=Dashboard!$F$6),OR(Dashboard!$I$6="All",H3254=Dashboard!$I$6)),1,0)</f>
        <v/>
      </c>
    </row>
    <row r="3255">
      <c r="A3255" t="inlineStr">
        <is>
          <t>PF103246</t>
        </is>
      </c>
      <c r="B3255" s="68" t="n">
        <v>46049</v>
      </c>
      <c r="C3255" s="69" t="n">
        <v>2026</v>
      </c>
      <c r="D3255" t="inlineStr">
        <is>
          <t>Jan</t>
        </is>
      </c>
      <c r="E3255" t="inlineStr">
        <is>
          <t>Emerging markets</t>
        </is>
      </c>
      <c r="F3255" t="inlineStr">
        <is>
          <t>Brazil</t>
        </is>
      </c>
      <c r="G3255" t="inlineStr">
        <is>
          <t>Xeljanz</t>
        </is>
      </c>
      <c r="H3255" t="inlineStr">
        <is>
          <t>Retail pharmacy</t>
        </is>
      </c>
      <c r="I3255" t="inlineStr">
        <is>
          <t>Public payer</t>
        </is>
      </c>
      <c r="J3255" t="inlineStr">
        <is>
          <t>Amir Khan</t>
        </is>
      </c>
      <c r="K3255" s="70" t="n">
        <v>1593</v>
      </c>
      <c r="L3255" s="71" t="n">
        <v>1456.22</v>
      </c>
      <c r="M3255" s="71" t="n">
        <v>2319758.46</v>
      </c>
      <c r="N3255" s="71" t="n">
        <v>115987.92</v>
      </c>
      <c r="O3255" s="71" t="n">
        <v>2203770.54</v>
      </c>
      <c r="P3255" s="71" t="n">
        <v>387620.06</v>
      </c>
      <c r="Q3255" s="71" t="n">
        <v>1816150.48</v>
      </c>
      <c r="R3255" t="inlineStr">
        <is>
          <t>Inflammation</t>
        </is>
      </c>
      <c r="S3255" s="70" t="n">
        <v>1530</v>
      </c>
      <c r="T3255" s="71" t="n">
        <v>396299.73</v>
      </c>
      <c r="U3255" t="inlineStr">
        <is>
          <t>High</t>
        </is>
      </c>
      <c r="V3255">
        <f>IF(AND(OR(Dashboard!$C$6="All",E3255=Dashboard!$C$6),OR(Dashboard!$F$6="All",G3255=Dashboard!$F$6),OR(Dashboard!$I$6="All",H3255=Dashboard!$I$6)),1,0)</f>
        <v/>
      </c>
    </row>
    <row r="3256">
      <c r="A3256" t="inlineStr">
        <is>
          <t>PF103247</t>
        </is>
      </c>
      <c r="B3256" s="68" t="n">
        <v>46049</v>
      </c>
      <c r="C3256" s="69" t="n">
        <v>2026</v>
      </c>
      <c r="D3256" t="inlineStr">
        <is>
          <t>Jan</t>
        </is>
      </c>
      <c r="E3256" t="inlineStr">
        <is>
          <t>Europe</t>
        </is>
      </c>
      <c r="F3256" t="inlineStr">
        <is>
          <t>Spain</t>
        </is>
      </c>
      <c r="G3256" t="inlineStr">
        <is>
          <t>Eliquis</t>
        </is>
      </c>
      <c r="H3256" t="inlineStr">
        <is>
          <t>Retail pharmacy</t>
        </is>
      </c>
      <c r="I3256" t="inlineStr">
        <is>
          <t>Self-pay</t>
        </is>
      </c>
      <c r="J3256" t="inlineStr">
        <is>
          <t>Yuki Sato</t>
        </is>
      </c>
      <c r="K3256" s="70" t="n">
        <v>1248</v>
      </c>
      <c r="L3256" s="71" t="n">
        <v>440.45</v>
      </c>
      <c r="M3256" s="71" t="n">
        <v>549681.6</v>
      </c>
      <c r="N3256" s="71" t="n">
        <v>82452.24000000001</v>
      </c>
      <c r="O3256" s="71" t="n">
        <v>467229.36</v>
      </c>
      <c r="P3256" s="71" t="n">
        <v>92174.75</v>
      </c>
      <c r="Q3256" s="71" t="n">
        <v>375054.61</v>
      </c>
      <c r="R3256" t="inlineStr">
        <is>
          <t>Cardiology</t>
        </is>
      </c>
      <c r="S3256" s="70" t="n">
        <v>1226</v>
      </c>
      <c r="T3256" s="71" t="n">
        <v>87439.23</v>
      </c>
      <c r="U3256" t="inlineStr">
        <is>
          <t>High</t>
        </is>
      </c>
      <c r="V3256">
        <f>IF(AND(OR(Dashboard!$C$6="All",E3256=Dashboard!$C$6),OR(Dashboard!$F$6="All",G3256=Dashboard!$F$6),OR(Dashboard!$I$6="All",H3256=Dashboard!$I$6)),1,0)</f>
        <v/>
      </c>
    </row>
    <row r="3257">
      <c r="A3257" t="inlineStr">
        <is>
          <t>PF103248</t>
        </is>
      </c>
      <c r="B3257" s="68" t="n">
        <v>46049</v>
      </c>
      <c r="C3257" s="69" t="n">
        <v>2026</v>
      </c>
      <c r="D3257" t="inlineStr">
        <is>
          <t>Jan</t>
        </is>
      </c>
      <c r="E3257" t="inlineStr">
        <is>
          <t>United States</t>
        </is>
      </c>
      <c r="F3257" t="inlineStr">
        <is>
          <t>USA</t>
        </is>
      </c>
      <c r="G3257" t="inlineStr">
        <is>
          <t>Vyndaqel</t>
        </is>
      </c>
      <c r="H3257" t="inlineStr">
        <is>
          <t>Retail pharmacy</t>
        </is>
      </c>
      <c r="I3257" t="inlineStr">
        <is>
          <t>Private insurer</t>
        </is>
      </c>
      <c r="J3257" t="inlineStr">
        <is>
          <t>Carlos Silva</t>
        </is>
      </c>
      <c r="K3257" s="70" t="n">
        <v>2065</v>
      </c>
      <c r="L3257" s="71" t="n">
        <v>8413.860000000001</v>
      </c>
      <c r="M3257" s="71" t="n">
        <v>17374620.9</v>
      </c>
      <c r="N3257" s="71" t="n">
        <v>4343655.22</v>
      </c>
      <c r="O3257" s="71" t="n">
        <v>13030965.68</v>
      </c>
      <c r="P3257" s="71" t="n">
        <v>1241839.92</v>
      </c>
      <c r="Q3257" s="71" t="n">
        <v>11789125.76</v>
      </c>
      <c r="R3257" t="inlineStr">
        <is>
          <t>Rare disease</t>
        </is>
      </c>
      <c r="S3257" s="70" t="n">
        <v>1635</v>
      </c>
      <c r="T3257" s="71" t="n">
        <v>2192938.21</v>
      </c>
      <c r="U3257" t="inlineStr">
        <is>
          <t>Medium</t>
        </is>
      </c>
      <c r="V3257">
        <f>IF(AND(OR(Dashboard!$C$6="All",E3257=Dashboard!$C$6),OR(Dashboard!$F$6="All",G3257=Dashboard!$F$6),OR(Dashboard!$I$6="All",H3257=Dashboard!$I$6)),1,0)</f>
        <v/>
      </c>
    </row>
    <row r="3258">
      <c r="A3258" t="inlineStr">
        <is>
          <t>PF103249</t>
        </is>
      </c>
      <c r="B3258" s="68" t="n">
        <v>46050</v>
      </c>
      <c r="C3258" s="69" t="n">
        <v>2026</v>
      </c>
      <c r="D3258" t="inlineStr">
        <is>
          <t>Jan</t>
        </is>
      </c>
      <c r="E3258" t="inlineStr">
        <is>
          <t>United States</t>
        </is>
      </c>
      <c r="F3258" t="inlineStr">
        <is>
          <t>USA</t>
        </is>
      </c>
      <c r="G3258" t="inlineStr">
        <is>
          <t>Eliquis</t>
        </is>
      </c>
      <c r="H3258" t="inlineStr">
        <is>
          <t>Retail pharmacy</t>
        </is>
      </c>
      <c r="I3258" t="inlineStr">
        <is>
          <t>Private insurer</t>
        </is>
      </c>
      <c r="J3258" t="inlineStr">
        <is>
          <t>Noah Smith</t>
        </is>
      </c>
      <c r="K3258" s="70" t="n">
        <v>392</v>
      </c>
      <c r="L3258" s="71" t="n">
        <v>753.34</v>
      </c>
      <c r="M3258" s="71" t="n">
        <v>295309.28</v>
      </c>
      <c r="N3258" s="71" t="n">
        <v>59061.86</v>
      </c>
      <c r="O3258" s="71" t="n">
        <v>236247.42</v>
      </c>
      <c r="P3258" s="71" t="n">
        <v>29690.03</v>
      </c>
      <c r="Q3258" s="71" t="n">
        <v>206557.39</v>
      </c>
      <c r="R3258" t="inlineStr">
        <is>
          <t>Cardiology</t>
        </is>
      </c>
      <c r="S3258" s="70" t="n">
        <v>258</v>
      </c>
      <c r="T3258" s="71" t="n">
        <v>42088.91</v>
      </c>
      <c r="U3258" t="inlineStr">
        <is>
          <t>High</t>
        </is>
      </c>
      <c r="V3258">
        <f>IF(AND(OR(Dashboard!$C$6="All",E3258=Dashboard!$C$6),OR(Dashboard!$F$6="All",G3258=Dashboard!$F$6),OR(Dashboard!$I$6="All",H3258=Dashboard!$I$6)),1,0)</f>
        <v/>
      </c>
    </row>
    <row r="3259">
      <c r="A3259" t="inlineStr">
        <is>
          <t>PF103250</t>
        </is>
      </c>
      <c r="B3259" s="68" t="n">
        <v>46050</v>
      </c>
      <c r="C3259" s="69" t="n">
        <v>2026</v>
      </c>
      <c r="D3259" t="inlineStr">
        <is>
          <t>Jan</t>
        </is>
      </c>
      <c r="E3259" t="inlineStr">
        <is>
          <t>United States</t>
        </is>
      </c>
      <c r="F3259" t="inlineStr">
        <is>
          <t>USA</t>
        </is>
      </c>
      <c r="G3259" t="inlineStr">
        <is>
          <t>Comirnaty</t>
        </is>
      </c>
      <c r="H3259" t="inlineStr">
        <is>
          <t>Hospital</t>
        </is>
      </c>
      <c r="I3259" t="inlineStr">
        <is>
          <t>Private insurer</t>
        </is>
      </c>
      <c r="J3259" t="inlineStr">
        <is>
          <t>Shraddha Kulkarni</t>
        </is>
      </c>
      <c r="K3259" s="70" t="n">
        <v>1806</v>
      </c>
      <c r="L3259" s="71" t="n">
        <v>141.91</v>
      </c>
      <c r="M3259" s="71" t="n">
        <v>256289.46</v>
      </c>
      <c r="N3259" s="71" t="n">
        <v>76886.84</v>
      </c>
      <c r="O3259" s="71" t="n">
        <v>179402.62</v>
      </c>
      <c r="P3259" s="71" t="n">
        <v>70785.24000000001</v>
      </c>
      <c r="Q3259" s="71" t="n">
        <v>108617.38</v>
      </c>
      <c r="R3259" t="inlineStr">
        <is>
          <t>Vaccines</t>
        </is>
      </c>
      <c r="S3259" s="70" t="n">
        <v>1253</v>
      </c>
      <c r="T3259" s="71" t="n">
        <v>62937.81</v>
      </c>
      <c r="U3259" t="inlineStr">
        <is>
          <t>Low</t>
        </is>
      </c>
      <c r="V3259">
        <f>IF(AND(OR(Dashboard!$C$6="All",E3259=Dashboard!$C$6),OR(Dashboard!$F$6="All",G3259=Dashboard!$F$6),OR(Dashboard!$I$6="All",H3259=Dashboard!$I$6)),1,0)</f>
        <v/>
      </c>
    </row>
    <row r="3260">
      <c r="A3260" t="inlineStr">
        <is>
          <t>PF103251</t>
        </is>
      </c>
      <c r="B3260" s="68" t="n">
        <v>46050</v>
      </c>
      <c r="C3260" s="69" t="n">
        <v>2026</v>
      </c>
      <c r="D3260" t="inlineStr">
        <is>
          <t>Jan</t>
        </is>
      </c>
      <c r="E3260" t="inlineStr">
        <is>
          <t>United States</t>
        </is>
      </c>
      <c r="F3260" t="inlineStr">
        <is>
          <t>USA</t>
        </is>
      </c>
      <c r="G3260" t="inlineStr">
        <is>
          <t>Eliquis</t>
        </is>
      </c>
      <c r="H3260" t="inlineStr">
        <is>
          <t>Retail pharmacy</t>
        </is>
      </c>
      <c r="I3260" t="inlineStr">
        <is>
          <t>Self-pay</t>
        </is>
      </c>
      <c r="J3260" t="inlineStr">
        <is>
          <t>Hiroshi Tanaka</t>
        </is>
      </c>
      <c r="K3260" s="70" t="n">
        <v>487</v>
      </c>
      <c r="L3260" s="71" t="n">
        <v>758.12</v>
      </c>
      <c r="M3260" s="71" t="n">
        <v>369204.44</v>
      </c>
      <c r="N3260" s="71" t="n">
        <v>73840.89</v>
      </c>
      <c r="O3260" s="71" t="n">
        <v>295363.55</v>
      </c>
      <c r="P3260" s="71" t="n">
        <v>36067.56</v>
      </c>
      <c r="Q3260" s="71" t="n">
        <v>259295.99</v>
      </c>
      <c r="R3260" t="inlineStr">
        <is>
          <t>Cardiology</t>
        </is>
      </c>
      <c r="S3260" s="70" t="n">
        <v>332</v>
      </c>
      <c r="T3260" s="71" t="n">
        <v>45478.08</v>
      </c>
      <c r="U3260" t="inlineStr">
        <is>
          <t>High</t>
        </is>
      </c>
      <c r="V3260">
        <f>IF(AND(OR(Dashboard!$C$6="All",E3260=Dashboard!$C$6),OR(Dashboard!$F$6="All",G3260=Dashboard!$F$6),OR(Dashboard!$I$6="All",H3260=Dashboard!$I$6)),1,0)</f>
        <v/>
      </c>
    </row>
    <row r="3261">
      <c r="A3261" t="inlineStr">
        <is>
          <t>PF103252</t>
        </is>
      </c>
      <c r="B3261" s="68" t="n">
        <v>46050</v>
      </c>
      <c r="C3261" s="69" t="n">
        <v>2026</v>
      </c>
      <c r="D3261" t="inlineStr">
        <is>
          <t>Jan</t>
        </is>
      </c>
      <c r="E3261" t="inlineStr">
        <is>
          <t>International developed</t>
        </is>
      </c>
      <c r="F3261" t="inlineStr">
        <is>
          <t>Australia</t>
        </is>
      </c>
      <c r="G3261" t="inlineStr">
        <is>
          <t>Eliquis</t>
        </is>
      </c>
      <c r="H3261" t="inlineStr">
        <is>
          <t>Hospital</t>
        </is>
      </c>
      <c r="I3261" t="inlineStr">
        <is>
          <t>Public payer</t>
        </is>
      </c>
      <c r="J3261" t="inlineStr">
        <is>
          <t>Sophie Müller</t>
        </is>
      </c>
      <c r="K3261" s="70" t="n">
        <v>152</v>
      </c>
      <c r="L3261" s="71" t="n">
        <v>472.3</v>
      </c>
      <c r="M3261" s="71" t="n">
        <v>71789.60000000001</v>
      </c>
      <c r="N3261" s="71" t="n">
        <v>17947.4</v>
      </c>
      <c r="O3261" s="71" t="n">
        <v>53842.2</v>
      </c>
      <c r="P3261" s="71" t="n">
        <v>11585.3</v>
      </c>
      <c r="Q3261" s="71" t="n">
        <v>42256.9</v>
      </c>
      <c r="R3261" t="inlineStr">
        <is>
          <t>Cardiology</t>
        </is>
      </c>
      <c r="S3261" s="70" t="n">
        <v>141</v>
      </c>
      <c r="T3261" s="71" t="n">
        <v>13529</v>
      </c>
      <c r="U3261" t="inlineStr">
        <is>
          <t>High</t>
        </is>
      </c>
      <c r="V3261">
        <f>IF(AND(OR(Dashboard!$C$6="All",E3261=Dashboard!$C$6),OR(Dashboard!$F$6="All",G3261=Dashboard!$F$6),OR(Dashboard!$I$6="All",H3261=Dashboard!$I$6)),1,0)</f>
        <v/>
      </c>
    </row>
    <row r="3262">
      <c r="A3262" t="inlineStr">
        <is>
          <t>PF103253</t>
        </is>
      </c>
      <c r="B3262" s="68" t="n">
        <v>46050</v>
      </c>
      <c r="C3262" s="69" t="n">
        <v>2026</v>
      </c>
      <c r="D3262" t="inlineStr">
        <is>
          <t>Jan</t>
        </is>
      </c>
      <c r="E3262" t="inlineStr">
        <is>
          <t>United States</t>
        </is>
      </c>
      <c r="F3262" t="inlineStr">
        <is>
          <t>USA</t>
        </is>
      </c>
      <c r="G3262" t="inlineStr">
        <is>
          <t>Prevnar 20</t>
        </is>
      </c>
      <c r="H3262" t="inlineStr">
        <is>
          <t>Retail pharmacy</t>
        </is>
      </c>
      <c r="I3262" t="inlineStr">
        <is>
          <t>Private insurer</t>
        </is>
      </c>
      <c r="J3262" t="inlineStr">
        <is>
          <t>Wei Chen</t>
        </is>
      </c>
      <c r="K3262" s="70" t="n">
        <v>1473</v>
      </c>
      <c r="L3262" s="71" t="n">
        <v>368.6</v>
      </c>
      <c r="M3262" s="71" t="n">
        <v>542947.8</v>
      </c>
      <c r="N3262" s="71" t="n">
        <v>162884.34</v>
      </c>
      <c r="O3262" s="71" t="n">
        <v>380063.46</v>
      </c>
      <c r="P3262" s="71" t="n">
        <v>99536.10000000001</v>
      </c>
      <c r="Q3262" s="71" t="n">
        <v>280527.36</v>
      </c>
      <c r="R3262" t="inlineStr">
        <is>
          <t>Vaccines</t>
        </is>
      </c>
      <c r="S3262" s="70" t="n">
        <v>1047</v>
      </c>
      <c r="T3262" s="71" t="n">
        <v>72615.08</v>
      </c>
      <c r="U3262" t="inlineStr">
        <is>
          <t>Low</t>
        </is>
      </c>
      <c r="V3262">
        <f>IF(AND(OR(Dashboard!$C$6="All",E3262=Dashboard!$C$6),OR(Dashboard!$F$6="All",G3262=Dashboard!$F$6),OR(Dashboard!$I$6="All",H3262=Dashboard!$I$6)),1,0)</f>
        <v/>
      </c>
    </row>
    <row r="3263">
      <c r="A3263" t="inlineStr">
        <is>
          <t>PF103254</t>
        </is>
      </c>
      <c r="B3263" s="68" t="n">
        <v>46050</v>
      </c>
      <c r="C3263" s="69" t="n">
        <v>2026</v>
      </c>
      <c r="D3263" t="inlineStr">
        <is>
          <t>Jan</t>
        </is>
      </c>
      <c r="E3263" t="inlineStr">
        <is>
          <t>United States</t>
        </is>
      </c>
      <c r="F3263" t="inlineStr">
        <is>
          <t>USA</t>
        </is>
      </c>
      <c r="G3263" t="inlineStr">
        <is>
          <t>Ibrance</t>
        </is>
      </c>
      <c r="H3263" t="inlineStr">
        <is>
          <t>Government / tender</t>
        </is>
      </c>
      <c r="I3263" t="inlineStr">
        <is>
          <t>Public payer</t>
        </is>
      </c>
      <c r="J3263" t="inlineStr">
        <is>
          <t>Sara Rossi</t>
        </is>
      </c>
      <c r="K3263" s="70" t="n">
        <v>293</v>
      </c>
      <c r="L3263" s="71" t="n">
        <v>4563.66</v>
      </c>
      <c r="M3263" s="71" t="n">
        <v>1337152.38</v>
      </c>
      <c r="N3263" s="71" t="n">
        <v>468003.33</v>
      </c>
      <c r="O3263" s="71" t="n">
        <v>869149.05</v>
      </c>
      <c r="P3263" s="71" t="n">
        <v>128405.7</v>
      </c>
      <c r="Q3263" s="71" t="n">
        <v>740743.35</v>
      </c>
      <c r="R3263" t="inlineStr">
        <is>
          <t>Oncology</t>
        </is>
      </c>
      <c r="S3263" s="70" t="n">
        <v>220</v>
      </c>
      <c r="T3263" s="71" t="n">
        <v>219832.69</v>
      </c>
      <c r="U3263" t="inlineStr">
        <is>
          <t>High</t>
        </is>
      </c>
      <c r="V3263">
        <f>IF(AND(OR(Dashboard!$C$6="All",E3263=Dashboard!$C$6),OR(Dashboard!$F$6="All",G3263=Dashboard!$F$6),OR(Dashboard!$I$6="All",H3263=Dashboard!$I$6)),1,0)</f>
        <v/>
      </c>
    </row>
    <row r="3264">
      <c r="A3264" t="inlineStr">
        <is>
          <t>PF103255</t>
        </is>
      </c>
      <c r="B3264" s="68" t="n">
        <v>46050</v>
      </c>
      <c r="C3264" s="69" t="n">
        <v>2026</v>
      </c>
      <c r="D3264" t="inlineStr">
        <is>
          <t>Jan</t>
        </is>
      </c>
      <c r="E3264" t="inlineStr">
        <is>
          <t>Europe</t>
        </is>
      </c>
      <c r="F3264" t="inlineStr">
        <is>
          <t>Italy</t>
        </is>
      </c>
      <c r="G3264" t="inlineStr">
        <is>
          <t>Eliquis</t>
        </is>
      </c>
      <c r="H3264" t="inlineStr">
        <is>
          <t>Hospital</t>
        </is>
      </c>
      <c r="I3264" t="inlineStr">
        <is>
          <t>Private insurer</t>
        </is>
      </c>
      <c r="J3264" t="inlineStr">
        <is>
          <t>Sara Rossi</t>
        </is>
      </c>
      <c r="K3264" s="70" t="n">
        <v>1739</v>
      </c>
      <c r="L3264" s="71" t="n">
        <v>391.99</v>
      </c>
      <c r="M3264" s="71" t="n">
        <v>681670.61</v>
      </c>
      <c r="N3264" s="71" t="n">
        <v>102250.59</v>
      </c>
      <c r="O3264" s="71" t="n">
        <v>579420.02</v>
      </c>
      <c r="P3264" s="71" t="n">
        <v>127306.74</v>
      </c>
      <c r="Q3264" s="71" t="n">
        <v>452113.28</v>
      </c>
      <c r="R3264" t="inlineStr">
        <is>
          <t>Cardiology</t>
        </is>
      </c>
      <c r="S3264" s="70" t="n">
        <v>1613</v>
      </c>
      <c r="T3264" s="71" t="n">
        <v>99129.39</v>
      </c>
      <c r="U3264" t="inlineStr">
        <is>
          <t>High</t>
        </is>
      </c>
      <c r="V3264">
        <f>IF(AND(OR(Dashboard!$C$6="All",E3264=Dashboard!$C$6),OR(Dashboard!$F$6="All",G3264=Dashboard!$F$6),OR(Dashboard!$I$6="All",H3264=Dashboard!$I$6)),1,0)</f>
        <v/>
      </c>
    </row>
    <row r="3265">
      <c r="A3265" t="inlineStr">
        <is>
          <t>PF103256</t>
        </is>
      </c>
      <c r="B3265" s="68" t="n">
        <v>46050</v>
      </c>
      <c r="C3265" s="69" t="n">
        <v>2026</v>
      </c>
      <c r="D3265" t="inlineStr">
        <is>
          <t>Jan</t>
        </is>
      </c>
      <c r="E3265" t="inlineStr">
        <is>
          <t>United States</t>
        </is>
      </c>
      <c r="F3265" t="inlineStr">
        <is>
          <t>USA</t>
        </is>
      </c>
      <c r="G3265" t="inlineStr">
        <is>
          <t>Prevnar 20</t>
        </is>
      </c>
      <c r="H3265" t="inlineStr">
        <is>
          <t>Retail pharmacy</t>
        </is>
      </c>
      <c r="I3265" t="inlineStr">
        <is>
          <t>Private insurer</t>
        </is>
      </c>
      <c r="J3265" t="inlineStr">
        <is>
          <t>Aisha Bello</t>
        </is>
      </c>
      <c r="K3265" s="70" t="n">
        <v>336</v>
      </c>
      <c r="L3265" s="71" t="n">
        <v>405.44</v>
      </c>
      <c r="M3265" s="71" t="n">
        <v>136227.84</v>
      </c>
      <c r="N3265" s="71" t="n">
        <v>20434.18</v>
      </c>
      <c r="O3265" s="71" t="n">
        <v>115793.66</v>
      </c>
      <c r="P3265" s="71" t="n">
        <v>22986.92</v>
      </c>
      <c r="Q3265" s="71" t="n">
        <v>92806.74000000001</v>
      </c>
      <c r="R3265" t="inlineStr">
        <is>
          <t>Vaccines</t>
        </is>
      </c>
      <c r="S3265" s="70" t="n">
        <v>319</v>
      </c>
      <c r="T3265" s="71" t="n">
        <v>25052.04</v>
      </c>
      <c r="U3265" t="inlineStr">
        <is>
          <t>Low</t>
        </is>
      </c>
      <c r="V3265">
        <f>IF(AND(OR(Dashboard!$C$6="All",E3265=Dashboard!$C$6),OR(Dashboard!$F$6="All",G3265=Dashboard!$F$6),OR(Dashboard!$I$6="All",H3265=Dashboard!$I$6)),1,0)</f>
        <v/>
      </c>
    </row>
    <row r="3266">
      <c r="A3266" t="inlineStr">
        <is>
          <t>PF103257</t>
        </is>
      </c>
      <c r="B3266" s="68" t="n">
        <v>46050</v>
      </c>
      <c r="C3266" s="69" t="n">
        <v>2026</v>
      </c>
      <c r="D3266" t="inlineStr">
        <is>
          <t>Jan</t>
        </is>
      </c>
      <c r="E3266" t="inlineStr">
        <is>
          <t>United States</t>
        </is>
      </c>
      <c r="F3266" t="inlineStr">
        <is>
          <t>USA</t>
        </is>
      </c>
      <c r="G3266" t="inlineStr">
        <is>
          <t>Eliquis</t>
        </is>
      </c>
      <c r="H3266" t="inlineStr">
        <is>
          <t>Retail pharmacy</t>
        </is>
      </c>
      <c r="I3266" t="inlineStr">
        <is>
          <t>Self-pay</t>
        </is>
      </c>
      <c r="J3266" t="inlineStr">
        <is>
          <t>Zoya Ahmed</t>
        </is>
      </c>
      <c r="K3266" s="70" t="n">
        <v>93</v>
      </c>
      <c r="L3266" s="71" t="n">
        <v>630.3200000000001</v>
      </c>
      <c r="M3266" s="71" t="n">
        <v>58619.76</v>
      </c>
      <c r="N3266" s="71" t="n">
        <v>11723.95</v>
      </c>
      <c r="O3266" s="71" t="n">
        <v>46895.81</v>
      </c>
      <c r="P3266" s="71" t="n">
        <v>6813.71</v>
      </c>
      <c r="Q3266" s="71" t="n">
        <v>40082.1</v>
      </c>
      <c r="R3266" t="inlineStr">
        <is>
          <t>Cardiology</t>
        </is>
      </c>
      <c r="S3266" s="70" t="n">
        <v>60</v>
      </c>
      <c r="T3266" s="71" t="n">
        <v>11450.2</v>
      </c>
      <c r="U3266" t="inlineStr">
        <is>
          <t>High</t>
        </is>
      </c>
      <c r="V3266">
        <f>IF(AND(OR(Dashboard!$C$6="All",E3266=Dashboard!$C$6),OR(Dashboard!$F$6="All",G3266=Dashboard!$F$6),OR(Dashboard!$I$6="All",H3266=Dashboard!$I$6)),1,0)</f>
        <v/>
      </c>
    </row>
    <row r="3267">
      <c r="A3267" t="inlineStr">
        <is>
          <t>PF103258</t>
        </is>
      </c>
      <c r="B3267" s="68" t="n">
        <v>46054</v>
      </c>
      <c r="C3267" s="69" t="n">
        <v>2026</v>
      </c>
      <c r="D3267" t="inlineStr">
        <is>
          <t>Feb</t>
        </is>
      </c>
      <c r="E3267" t="inlineStr">
        <is>
          <t>United States</t>
        </is>
      </c>
      <c r="F3267" t="inlineStr">
        <is>
          <t>USA</t>
        </is>
      </c>
      <c r="G3267" t="inlineStr">
        <is>
          <t>Ibrance</t>
        </is>
      </c>
      <c r="H3267" t="inlineStr">
        <is>
          <t>Government / tender</t>
        </is>
      </c>
      <c r="I3267" t="inlineStr">
        <is>
          <t>Private insurer</t>
        </is>
      </c>
      <c r="J3267" t="inlineStr">
        <is>
          <t>Amir Khan</t>
        </is>
      </c>
      <c r="K3267" s="70" t="n">
        <v>2525</v>
      </c>
      <c r="L3267" s="71" t="n">
        <v>4534.58</v>
      </c>
      <c r="M3267" s="71" t="n">
        <v>11449814.5</v>
      </c>
      <c r="N3267" s="71" t="n">
        <v>1717472.18</v>
      </c>
      <c r="O3267" s="71" t="n">
        <v>9732342.32</v>
      </c>
      <c r="P3267" s="71" t="n">
        <v>1112111.9</v>
      </c>
      <c r="Q3267" s="71" t="n">
        <v>8620230.42</v>
      </c>
      <c r="R3267" t="inlineStr">
        <is>
          <t>Oncology</t>
        </is>
      </c>
      <c r="S3267" s="70" t="n">
        <v>2342</v>
      </c>
      <c r="T3267" s="71" t="n">
        <v>1682041.89</v>
      </c>
      <c r="U3267" t="inlineStr">
        <is>
          <t>High</t>
        </is>
      </c>
      <c r="V3267">
        <f>IF(AND(OR(Dashboard!$C$6="All",E3267=Dashboard!$C$6),OR(Dashboard!$F$6="All",G3267=Dashboard!$F$6),OR(Dashboard!$I$6="All",H3267=Dashboard!$I$6)),1,0)</f>
        <v/>
      </c>
    </row>
    <row r="3268">
      <c r="A3268" t="inlineStr">
        <is>
          <t>PF103259</t>
        </is>
      </c>
      <c r="B3268" s="68" t="n">
        <v>46054</v>
      </c>
      <c r="C3268" s="69" t="n">
        <v>2026</v>
      </c>
      <c r="D3268" t="inlineStr">
        <is>
          <t>Feb</t>
        </is>
      </c>
      <c r="E3268" t="inlineStr">
        <is>
          <t>Europe</t>
        </is>
      </c>
      <c r="F3268" t="inlineStr">
        <is>
          <t>Italy</t>
        </is>
      </c>
      <c r="G3268" t="inlineStr">
        <is>
          <t>Xeljanz</t>
        </is>
      </c>
      <c r="H3268" t="inlineStr">
        <is>
          <t>Retail pharmacy</t>
        </is>
      </c>
      <c r="I3268" t="inlineStr">
        <is>
          <t>Self-pay</t>
        </is>
      </c>
      <c r="J3268" t="inlineStr">
        <is>
          <t>Zoya Ahmed</t>
        </is>
      </c>
      <c r="K3268" s="70" t="n">
        <v>1505</v>
      </c>
      <c r="L3268" s="71" t="n">
        <v>1371.94</v>
      </c>
      <c r="M3268" s="71" t="n">
        <v>2064769.7</v>
      </c>
      <c r="N3268" s="71" t="n">
        <v>206476.97</v>
      </c>
      <c r="O3268" s="71" t="n">
        <v>1858292.73</v>
      </c>
      <c r="P3268" s="71" t="n">
        <v>377467.75</v>
      </c>
      <c r="Q3268" s="71" t="n">
        <v>1480824.98</v>
      </c>
      <c r="R3268" t="inlineStr">
        <is>
          <t>Inflammation</t>
        </is>
      </c>
      <c r="S3268" s="70" t="n">
        <v>1299</v>
      </c>
      <c r="T3268" s="71" t="n">
        <v>446378.37</v>
      </c>
      <c r="U3268" t="inlineStr">
        <is>
          <t>High</t>
        </is>
      </c>
      <c r="V3268">
        <f>IF(AND(OR(Dashboard!$C$6="All",E3268=Dashboard!$C$6),OR(Dashboard!$F$6="All",G3268=Dashboard!$F$6),OR(Dashboard!$I$6="All",H3268=Dashboard!$I$6)),1,0)</f>
        <v/>
      </c>
    </row>
    <row r="3269">
      <c r="A3269" t="inlineStr">
        <is>
          <t>PF103260</t>
        </is>
      </c>
      <c r="B3269" s="68" t="n">
        <v>46054</v>
      </c>
      <c r="C3269" s="69" t="n">
        <v>2026</v>
      </c>
      <c r="D3269" t="inlineStr">
        <is>
          <t>Feb</t>
        </is>
      </c>
      <c r="E3269" t="inlineStr">
        <is>
          <t>United States</t>
        </is>
      </c>
      <c r="F3269" t="inlineStr">
        <is>
          <t>USA</t>
        </is>
      </c>
      <c r="G3269" t="inlineStr">
        <is>
          <t>Paxlovid</t>
        </is>
      </c>
      <c r="H3269" t="inlineStr">
        <is>
          <t>Hospital</t>
        </is>
      </c>
      <c r="I3269" t="inlineStr">
        <is>
          <t>Public payer</t>
        </is>
      </c>
      <c r="J3269" t="inlineStr">
        <is>
          <t>Olivia Brown</t>
        </is>
      </c>
      <c r="K3269" s="70" t="n">
        <v>1962</v>
      </c>
      <c r="L3269" s="71" t="n">
        <v>1519.78</v>
      </c>
      <c r="M3269" s="71" t="n">
        <v>2981808.36</v>
      </c>
      <c r="N3269" s="71" t="n">
        <v>894542.51</v>
      </c>
      <c r="O3269" s="71" t="n">
        <v>2087265.85</v>
      </c>
      <c r="P3269" s="71" t="n">
        <v>525903.47</v>
      </c>
      <c r="Q3269" s="71" t="n">
        <v>1561362.38</v>
      </c>
      <c r="R3269" t="inlineStr">
        <is>
          <t>Antiviral</t>
        </is>
      </c>
      <c r="S3269" s="70" t="n">
        <v>1483</v>
      </c>
      <c r="T3269" s="71" t="n">
        <v>448392.73</v>
      </c>
      <c r="U3269" t="inlineStr">
        <is>
          <t>Low</t>
        </is>
      </c>
      <c r="V3269">
        <f>IF(AND(OR(Dashboard!$C$6="All",E3269=Dashboard!$C$6),OR(Dashboard!$F$6="All",G3269=Dashboard!$F$6),OR(Dashboard!$I$6="All",H3269=Dashboard!$I$6)),1,0)</f>
        <v/>
      </c>
    </row>
    <row r="3270">
      <c r="A3270" t="inlineStr">
        <is>
          <t>PF103261</t>
        </is>
      </c>
      <c r="B3270" s="68" t="n">
        <v>46054</v>
      </c>
      <c r="C3270" s="69" t="n">
        <v>2026</v>
      </c>
      <c r="D3270" t="inlineStr">
        <is>
          <t>Feb</t>
        </is>
      </c>
      <c r="E3270" t="inlineStr">
        <is>
          <t>United States</t>
        </is>
      </c>
      <c r="F3270" t="inlineStr">
        <is>
          <t>USA</t>
        </is>
      </c>
      <c r="G3270" t="inlineStr">
        <is>
          <t>Comirnaty</t>
        </is>
      </c>
      <c r="H3270" t="inlineStr">
        <is>
          <t>Government / tender</t>
        </is>
      </c>
      <c r="I3270" t="inlineStr">
        <is>
          <t>Public payer</t>
        </is>
      </c>
      <c r="J3270" t="inlineStr">
        <is>
          <t>Aisha Bello</t>
        </is>
      </c>
      <c r="K3270" s="70" t="n">
        <v>1191</v>
      </c>
      <c r="L3270" s="71" t="n">
        <v>133.37</v>
      </c>
      <c r="M3270" s="71" t="n">
        <v>158843.67</v>
      </c>
      <c r="N3270" s="71" t="n">
        <v>47653.1</v>
      </c>
      <c r="O3270" s="71" t="n">
        <v>111190.57</v>
      </c>
      <c r="P3270" s="71" t="n">
        <v>44567.91</v>
      </c>
      <c r="Q3270" s="71" t="n">
        <v>66622.66</v>
      </c>
      <c r="R3270" t="inlineStr">
        <is>
          <t>Vaccines</t>
        </is>
      </c>
      <c r="S3270" s="70" t="n">
        <v>941</v>
      </c>
      <c r="T3270" s="71" t="n">
        <v>39687.4</v>
      </c>
      <c r="U3270" t="inlineStr">
        <is>
          <t>Low</t>
        </is>
      </c>
      <c r="V3270">
        <f>IF(AND(OR(Dashboard!$C$6="All",E3270=Dashboard!$C$6),OR(Dashboard!$F$6="All",G3270=Dashboard!$F$6),OR(Dashboard!$I$6="All",H3270=Dashboard!$I$6)),1,0)</f>
        <v/>
      </c>
    </row>
    <row r="3271">
      <c r="A3271" t="inlineStr">
        <is>
          <t>PF103262</t>
        </is>
      </c>
      <c r="B3271" s="68" t="n">
        <v>46054</v>
      </c>
      <c r="C3271" s="69" t="n">
        <v>2026</v>
      </c>
      <c r="D3271" t="inlineStr">
        <is>
          <t>Feb</t>
        </is>
      </c>
      <c r="E3271" t="inlineStr">
        <is>
          <t>United States</t>
        </is>
      </c>
      <c r="F3271" t="inlineStr">
        <is>
          <t>USA</t>
        </is>
      </c>
      <c r="G3271" t="inlineStr">
        <is>
          <t>Abrysvo</t>
        </is>
      </c>
      <c r="H3271" t="inlineStr">
        <is>
          <t>Hospital</t>
        </is>
      </c>
      <c r="I3271" t="inlineStr">
        <is>
          <t>Public payer</t>
        </is>
      </c>
      <c r="J3271" t="inlineStr">
        <is>
          <t>Carlos Silva</t>
        </is>
      </c>
      <c r="K3271" s="70" t="n">
        <v>1965</v>
      </c>
      <c r="L3271" s="71" t="n">
        <v>518.52</v>
      </c>
      <c r="M3271" s="71" t="n">
        <v>1018891.8</v>
      </c>
      <c r="N3271" s="71" t="n">
        <v>305667.54</v>
      </c>
      <c r="O3271" s="71" t="n">
        <v>713224.26</v>
      </c>
      <c r="P3271" s="71" t="n">
        <v>159787.18</v>
      </c>
      <c r="Q3271" s="71" t="n">
        <v>553437.08</v>
      </c>
      <c r="R3271" t="inlineStr">
        <is>
          <t>Vaccines</t>
        </is>
      </c>
      <c r="S3271" s="70" t="n">
        <v>1822</v>
      </c>
      <c r="T3271" s="71" t="n">
        <v>113570.49</v>
      </c>
      <c r="U3271" t="inlineStr">
        <is>
          <t>Low</t>
        </is>
      </c>
      <c r="V3271">
        <f>IF(AND(OR(Dashboard!$C$6="All",E3271=Dashboard!$C$6),OR(Dashboard!$F$6="All",G3271=Dashboard!$F$6),OR(Dashboard!$I$6="All",H3271=Dashboard!$I$6)),1,0)</f>
        <v/>
      </c>
    </row>
    <row r="3272">
      <c r="A3272" t="inlineStr">
        <is>
          <t>PF103263</t>
        </is>
      </c>
      <c r="B3272" s="68" t="n">
        <v>46054</v>
      </c>
      <c r="C3272" s="69" t="n">
        <v>2026</v>
      </c>
      <c r="D3272" t="inlineStr">
        <is>
          <t>Feb</t>
        </is>
      </c>
      <c r="E3272" t="inlineStr">
        <is>
          <t>International developed</t>
        </is>
      </c>
      <c r="F3272" t="inlineStr">
        <is>
          <t>Canada</t>
        </is>
      </c>
      <c r="G3272" t="inlineStr">
        <is>
          <t>Vyndaqel</t>
        </is>
      </c>
      <c r="H3272" t="inlineStr">
        <is>
          <t>Retail pharmacy</t>
        </is>
      </c>
      <c r="I3272" t="inlineStr">
        <is>
          <t>Private insurer</t>
        </is>
      </c>
      <c r="J3272" t="inlineStr">
        <is>
          <t>Shraddha Kulkarni</t>
        </is>
      </c>
      <c r="K3272" s="70" t="n">
        <v>2367</v>
      </c>
      <c r="L3272" s="71" t="n">
        <v>5873.38</v>
      </c>
      <c r="M3272" s="71" t="n">
        <v>13902290.46</v>
      </c>
      <c r="N3272" s="71" t="n">
        <v>2085343.57</v>
      </c>
      <c r="O3272" s="71" t="n">
        <v>11816946.89</v>
      </c>
      <c r="P3272" s="71" t="n">
        <v>1496936.61</v>
      </c>
      <c r="Q3272" s="71" t="n">
        <v>10320010.28</v>
      </c>
      <c r="R3272" t="inlineStr">
        <is>
          <t>Rare disease</t>
        </is>
      </c>
      <c r="S3272" s="70" t="n">
        <v>1844</v>
      </c>
      <c r="T3272" s="71" t="n">
        <v>2508620.69</v>
      </c>
      <c r="U3272" t="inlineStr">
        <is>
          <t>Medium</t>
        </is>
      </c>
      <c r="V3272">
        <f>IF(AND(OR(Dashboard!$C$6="All",E3272=Dashboard!$C$6),OR(Dashboard!$F$6="All",G3272=Dashboard!$F$6),OR(Dashboard!$I$6="All",H3272=Dashboard!$I$6)),1,0)</f>
        <v/>
      </c>
    </row>
    <row r="3273">
      <c r="A3273" t="inlineStr">
        <is>
          <t>PF103264</t>
        </is>
      </c>
      <c r="B3273" s="68" t="n">
        <v>46054</v>
      </c>
      <c r="C3273" s="69" t="n">
        <v>2026</v>
      </c>
      <c r="D3273" t="inlineStr">
        <is>
          <t>Feb</t>
        </is>
      </c>
      <c r="E3273" t="inlineStr">
        <is>
          <t>International developed</t>
        </is>
      </c>
      <c r="F3273" t="inlineStr">
        <is>
          <t>Japan</t>
        </is>
      </c>
      <c r="G3273" t="inlineStr">
        <is>
          <t>Prevnar 20</t>
        </is>
      </c>
      <c r="H3273" t="inlineStr">
        <is>
          <t>Retail pharmacy</t>
        </is>
      </c>
      <c r="I3273" t="inlineStr">
        <is>
          <t>Public payer</t>
        </is>
      </c>
      <c r="J3273" t="inlineStr">
        <is>
          <t>Amir Khan</t>
        </is>
      </c>
      <c r="K3273" s="70" t="n">
        <v>2256</v>
      </c>
      <c r="L3273" s="71" t="n">
        <v>249.66</v>
      </c>
      <c r="M3273" s="71" t="n">
        <v>563232.96</v>
      </c>
      <c r="N3273" s="71" t="n">
        <v>112646.59</v>
      </c>
      <c r="O3273" s="71" t="n">
        <v>450586.37</v>
      </c>
      <c r="P3273" s="71" t="n">
        <v>158874.85</v>
      </c>
      <c r="Q3273" s="71" t="n">
        <v>291711.52</v>
      </c>
      <c r="R3273" t="inlineStr">
        <is>
          <t>Vaccines</t>
        </is>
      </c>
      <c r="S3273" s="70" t="n">
        <v>1691</v>
      </c>
      <c r="T3273" s="71" t="n">
        <v>87920.75999999999</v>
      </c>
      <c r="U3273" t="inlineStr">
        <is>
          <t>Low</t>
        </is>
      </c>
      <c r="V3273">
        <f>IF(AND(OR(Dashboard!$C$6="All",E3273=Dashboard!$C$6),OR(Dashboard!$F$6="All",G3273=Dashboard!$F$6),OR(Dashboard!$I$6="All",H3273=Dashboard!$I$6)),1,0)</f>
        <v/>
      </c>
    </row>
    <row r="3274">
      <c r="A3274" t="inlineStr">
        <is>
          <t>PF103265</t>
        </is>
      </c>
      <c r="B3274" s="68" t="n">
        <v>46054</v>
      </c>
      <c r="C3274" s="69" t="n">
        <v>2026</v>
      </c>
      <c r="D3274" t="inlineStr">
        <is>
          <t>Feb</t>
        </is>
      </c>
      <c r="E3274" t="inlineStr">
        <is>
          <t>United States</t>
        </is>
      </c>
      <c r="F3274" t="inlineStr">
        <is>
          <t>USA</t>
        </is>
      </c>
      <c r="G3274" t="inlineStr">
        <is>
          <t>Abrysvo</t>
        </is>
      </c>
      <c r="H3274" t="inlineStr">
        <is>
          <t>Retail pharmacy</t>
        </is>
      </c>
      <c r="I3274" t="inlineStr">
        <is>
          <t>Private insurer</t>
        </is>
      </c>
      <c r="J3274" t="inlineStr">
        <is>
          <t>Zoya Ahmed</t>
        </is>
      </c>
      <c r="K3274" s="70" t="n">
        <v>1212</v>
      </c>
      <c r="L3274" s="71" t="n">
        <v>517.16</v>
      </c>
      <c r="M3274" s="71" t="n">
        <v>626797.92</v>
      </c>
      <c r="N3274" s="71" t="n">
        <v>156699.48</v>
      </c>
      <c r="O3274" s="71" t="n">
        <v>470098.44</v>
      </c>
      <c r="P3274" s="71" t="n">
        <v>100690.57</v>
      </c>
      <c r="Q3274" s="71" t="n">
        <v>369407.87</v>
      </c>
      <c r="R3274" t="inlineStr">
        <is>
          <t>Vaccines</t>
        </is>
      </c>
      <c r="S3274" s="70" t="n">
        <v>1185</v>
      </c>
      <c r="T3274" s="71" t="n">
        <v>76908.88</v>
      </c>
      <c r="U3274" t="inlineStr">
        <is>
          <t>Low</t>
        </is>
      </c>
      <c r="V3274">
        <f>IF(AND(OR(Dashboard!$C$6="All",E3274=Dashboard!$C$6),OR(Dashboard!$F$6="All",G3274=Dashboard!$F$6),OR(Dashboard!$I$6="All",H3274=Dashboard!$I$6)),1,0)</f>
        <v/>
      </c>
    </row>
    <row r="3275">
      <c r="A3275" t="inlineStr">
        <is>
          <t>PF103266</t>
        </is>
      </c>
      <c r="B3275" s="68" t="n">
        <v>46054</v>
      </c>
      <c r="C3275" s="69" t="n">
        <v>2026</v>
      </c>
      <c r="D3275" t="inlineStr">
        <is>
          <t>Feb</t>
        </is>
      </c>
      <c r="E3275" t="inlineStr">
        <is>
          <t>United States</t>
        </is>
      </c>
      <c r="F3275" t="inlineStr">
        <is>
          <t>USA</t>
        </is>
      </c>
      <c r="G3275" t="inlineStr">
        <is>
          <t>Abrysvo</t>
        </is>
      </c>
      <c r="H3275" t="inlineStr">
        <is>
          <t>Hospital</t>
        </is>
      </c>
      <c r="I3275" t="inlineStr">
        <is>
          <t>Private insurer</t>
        </is>
      </c>
      <c r="J3275" t="inlineStr">
        <is>
          <t>Yuki Sato</t>
        </is>
      </c>
      <c r="K3275" s="70" t="n">
        <v>1406</v>
      </c>
      <c r="L3275" s="71" t="n">
        <v>519.13</v>
      </c>
      <c r="M3275" s="71" t="n">
        <v>729896.78</v>
      </c>
      <c r="N3275" s="71" t="n">
        <v>218969.03</v>
      </c>
      <c r="O3275" s="71" t="n">
        <v>510927.75</v>
      </c>
      <c r="P3275" s="71" t="n">
        <v>114672.62</v>
      </c>
      <c r="Q3275" s="71" t="n">
        <v>396255.13</v>
      </c>
      <c r="R3275" t="inlineStr">
        <is>
          <t>Vaccines</t>
        </is>
      </c>
      <c r="S3275" s="70" t="n">
        <v>1043</v>
      </c>
      <c r="T3275" s="71" t="n">
        <v>79671.41</v>
      </c>
      <c r="U3275" t="inlineStr">
        <is>
          <t>Low</t>
        </is>
      </c>
      <c r="V3275">
        <f>IF(AND(OR(Dashboard!$C$6="All",E3275=Dashboard!$C$6),OR(Dashboard!$F$6="All",G3275=Dashboard!$F$6),OR(Dashboard!$I$6="All",H3275=Dashboard!$I$6)),1,0)</f>
        <v/>
      </c>
    </row>
    <row r="3276">
      <c r="A3276" t="inlineStr">
        <is>
          <t>PF103267</t>
        </is>
      </c>
      <c r="B3276" s="68" t="n">
        <v>46054</v>
      </c>
      <c r="C3276" s="69" t="n">
        <v>2026</v>
      </c>
      <c r="D3276" t="inlineStr">
        <is>
          <t>Feb</t>
        </is>
      </c>
      <c r="E3276" t="inlineStr">
        <is>
          <t>Europe</t>
        </is>
      </c>
      <c r="F3276" t="inlineStr">
        <is>
          <t>Germany</t>
        </is>
      </c>
      <c r="G3276" t="inlineStr">
        <is>
          <t>Xeljanz</t>
        </is>
      </c>
      <c r="H3276" t="inlineStr">
        <is>
          <t>Hospital</t>
        </is>
      </c>
      <c r="I3276" t="inlineStr">
        <is>
          <t>Public payer</t>
        </is>
      </c>
      <c r="J3276" t="inlineStr">
        <is>
          <t>Wei Chen</t>
        </is>
      </c>
      <c r="K3276" s="70" t="n">
        <v>1220</v>
      </c>
      <c r="L3276" s="71" t="n">
        <v>1352.36</v>
      </c>
      <c r="M3276" s="71" t="n">
        <v>1649879.2</v>
      </c>
      <c r="N3276" s="71" t="n">
        <v>82493.96000000001</v>
      </c>
      <c r="O3276" s="71" t="n">
        <v>1567385.24</v>
      </c>
      <c r="P3276" s="71" t="n">
        <v>305363.12</v>
      </c>
      <c r="Q3276" s="71" t="n">
        <v>1262022.12</v>
      </c>
      <c r="R3276" t="inlineStr">
        <is>
          <t>Inflammation</t>
        </is>
      </c>
      <c r="S3276" s="70" t="n">
        <v>839</v>
      </c>
      <c r="T3276" s="71" t="n">
        <v>278311.34</v>
      </c>
      <c r="U3276" t="inlineStr">
        <is>
          <t>High</t>
        </is>
      </c>
      <c r="V3276">
        <f>IF(AND(OR(Dashboard!$C$6="All",E3276=Dashboard!$C$6),OR(Dashboard!$F$6="All",G3276=Dashboard!$F$6),OR(Dashboard!$I$6="All",H3276=Dashboard!$I$6)),1,0)</f>
        <v/>
      </c>
    </row>
    <row r="3277">
      <c r="A3277" t="inlineStr">
        <is>
          <t>PF103268</t>
        </is>
      </c>
      <c r="B3277" s="68" t="n">
        <v>46055</v>
      </c>
      <c r="C3277" s="69" t="n">
        <v>2026</v>
      </c>
      <c r="D3277" t="inlineStr">
        <is>
          <t>Feb</t>
        </is>
      </c>
      <c r="E3277" t="inlineStr">
        <is>
          <t>Emerging markets</t>
        </is>
      </c>
      <c r="F3277" t="inlineStr">
        <is>
          <t>China</t>
        </is>
      </c>
      <c r="G3277" t="inlineStr">
        <is>
          <t>Ibrance</t>
        </is>
      </c>
      <c r="H3277" t="inlineStr">
        <is>
          <t>Hospital</t>
        </is>
      </c>
      <c r="I3277" t="inlineStr">
        <is>
          <t>Private insurer</t>
        </is>
      </c>
      <c r="J3277" t="inlineStr">
        <is>
          <t>Noah Smith</t>
        </is>
      </c>
      <c r="K3277" s="70" t="n">
        <v>1383</v>
      </c>
      <c r="L3277" s="71" t="n">
        <v>2898.2</v>
      </c>
      <c r="M3277" s="71" t="n">
        <v>4008210.6</v>
      </c>
      <c r="N3277" s="71" t="n">
        <v>400821.06</v>
      </c>
      <c r="O3277" s="71" t="n">
        <v>3607389.54</v>
      </c>
      <c r="P3277" s="71" t="n">
        <v>588821.74</v>
      </c>
      <c r="Q3277" s="71" t="n">
        <v>3018567.8</v>
      </c>
      <c r="R3277" t="inlineStr">
        <is>
          <t>Oncology</t>
        </is>
      </c>
      <c r="S3277" s="70" t="n">
        <v>1058</v>
      </c>
      <c r="T3277" s="71" t="n">
        <v>765037.1</v>
      </c>
      <c r="U3277" t="inlineStr">
        <is>
          <t>High</t>
        </is>
      </c>
      <c r="V3277">
        <f>IF(AND(OR(Dashboard!$C$6="All",E3277=Dashboard!$C$6),OR(Dashboard!$F$6="All",G3277=Dashboard!$F$6),OR(Dashboard!$I$6="All",H3277=Dashboard!$I$6)),1,0)</f>
        <v/>
      </c>
    </row>
    <row r="3278">
      <c r="A3278" t="inlineStr">
        <is>
          <t>PF103269</t>
        </is>
      </c>
      <c r="B3278" s="68" t="n">
        <v>46055</v>
      </c>
      <c r="C3278" s="69" t="n">
        <v>2026</v>
      </c>
      <c r="D3278" t="inlineStr">
        <is>
          <t>Feb</t>
        </is>
      </c>
      <c r="E3278" t="inlineStr">
        <is>
          <t>Europe</t>
        </is>
      </c>
      <c r="F3278" t="inlineStr">
        <is>
          <t>Germany</t>
        </is>
      </c>
      <c r="G3278" t="inlineStr">
        <is>
          <t>Abrysvo</t>
        </is>
      </c>
      <c r="H3278" t="inlineStr">
        <is>
          <t>Hospital</t>
        </is>
      </c>
      <c r="I3278" t="inlineStr">
        <is>
          <t>Private insurer</t>
        </is>
      </c>
      <c r="J3278" t="inlineStr">
        <is>
          <t>Aisha Bello</t>
        </is>
      </c>
      <c r="K3278" s="70" t="n">
        <v>991</v>
      </c>
      <c r="L3278" s="71" t="n">
        <v>308.82</v>
      </c>
      <c r="M3278" s="71" t="n">
        <v>306040.62</v>
      </c>
      <c r="N3278" s="71" t="n">
        <v>15302.03</v>
      </c>
      <c r="O3278" s="71" t="n">
        <v>290738.59</v>
      </c>
      <c r="P3278" s="71" t="n">
        <v>83645.89999999999</v>
      </c>
      <c r="Q3278" s="71" t="n">
        <v>207092.69</v>
      </c>
      <c r="R3278" t="inlineStr">
        <is>
          <t>Vaccines</t>
        </is>
      </c>
      <c r="S3278" s="70" t="n">
        <v>743</v>
      </c>
      <c r="T3278" s="71" t="n">
        <v>38581.25</v>
      </c>
      <c r="U3278" t="inlineStr">
        <is>
          <t>Low</t>
        </is>
      </c>
      <c r="V3278">
        <f>IF(AND(OR(Dashboard!$C$6="All",E3278=Dashboard!$C$6),OR(Dashboard!$F$6="All",G3278=Dashboard!$F$6),OR(Dashboard!$I$6="All",H3278=Dashboard!$I$6)),1,0)</f>
        <v/>
      </c>
    </row>
    <row r="3279">
      <c r="A3279" t="inlineStr">
        <is>
          <t>PF103270</t>
        </is>
      </c>
      <c r="B3279" s="68" t="n">
        <v>46055</v>
      </c>
      <c r="C3279" s="69" t="n">
        <v>2026</v>
      </c>
      <c r="D3279" t="inlineStr">
        <is>
          <t>Feb</t>
        </is>
      </c>
      <c r="E3279" t="inlineStr">
        <is>
          <t>Emerging markets</t>
        </is>
      </c>
      <c r="F3279" t="inlineStr">
        <is>
          <t>India</t>
        </is>
      </c>
      <c r="G3279" t="inlineStr">
        <is>
          <t>Ibrance</t>
        </is>
      </c>
      <c r="H3279" t="inlineStr">
        <is>
          <t>Hospital</t>
        </is>
      </c>
      <c r="I3279" t="inlineStr">
        <is>
          <t>Public payer</t>
        </is>
      </c>
      <c r="J3279" t="inlineStr">
        <is>
          <t>Kofi Mensah</t>
        </is>
      </c>
      <c r="K3279" s="70" t="n">
        <v>2508</v>
      </c>
      <c r="L3279" s="71" t="n">
        <v>2778.23</v>
      </c>
      <c r="M3279" s="71" t="n">
        <v>6967800.84</v>
      </c>
      <c r="N3279" s="71" t="n">
        <v>1741950.21</v>
      </c>
      <c r="O3279" s="71" t="n">
        <v>5225850.63</v>
      </c>
      <c r="P3279" s="71" t="n">
        <v>1080956.49</v>
      </c>
      <c r="Q3279" s="71" t="n">
        <v>4144894.14</v>
      </c>
      <c r="R3279" t="inlineStr">
        <is>
          <t>Oncology</t>
        </is>
      </c>
      <c r="S3279" s="70" t="n">
        <v>1991</v>
      </c>
      <c r="T3279" s="71" t="n">
        <v>1000483.49</v>
      </c>
      <c r="U3279" t="inlineStr">
        <is>
          <t>High</t>
        </is>
      </c>
      <c r="V3279">
        <f>IF(AND(OR(Dashboard!$C$6="All",E3279=Dashboard!$C$6),OR(Dashboard!$F$6="All",G3279=Dashboard!$F$6),OR(Dashboard!$I$6="All",H3279=Dashboard!$I$6)),1,0)</f>
        <v/>
      </c>
    </row>
    <row r="3280">
      <c r="A3280" t="inlineStr">
        <is>
          <t>PF103271</t>
        </is>
      </c>
      <c r="B3280" s="68" t="n">
        <v>46055</v>
      </c>
      <c r="C3280" s="69" t="n">
        <v>2026</v>
      </c>
      <c r="D3280" t="inlineStr">
        <is>
          <t>Feb</t>
        </is>
      </c>
      <c r="E3280" t="inlineStr">
        <is>
          <t>Europe</t>
        </is>
      </c>
      <c r="F3280" t="inlineStr">
        <is>
          <t>Spain</t>
        </is>
      </c>
      <c r="G3280" t="inlineStr">
        <is>
          <t>Eliquis</t>
        </is>
      </c>
      <c r="H3280" t="inlineStr">
        <is>
          <t>Hospital</t>
        </is>
      </c>
      <c r="I3280" t="inlineStr">
        <is>
          <t>Self-pay</t>
        </is>
      </c>
      <c r="J3280" t="inlineStr">
        <is>
          <t>Zoya Ahmed</t>
        </is>
      </c>
      <c r="K3280" s="70" t="n">
        <v>794</v>
      </c>
      <c r="L3280" s="71" t="n">
        <v>444.06</v>
      </c>
      <c r="M3280" s="71" t="n">
        <v>352583.64</v>
      </c>
      <c r="N3280" s="71" t="n">
        <v>35258.36</v>
      </c>
      <c r="O3280" s="71" t="n">
        <v>317325.28</v>
      </c>
      <c r="P3280" s="71" t="n">
        <v>60772.17</v>
      </c>
      <c r="Q3280" s="71" t="n">
        <v>256553.11</v>
      </c>
      <c r="R3280" t="inlineStr">
        <is>
          <t>Cardiology</t>
        </is>
      </c>
      <c r="S3280" s="70" t="n">
        <v>624</v>
      </c>
      <c r="T3280" s="71" t="n">
        <v>75271.7</v>
      </c>
      <c r="U3280" t="inlineStr">
        <is>
          <t>High</t>
        </is>
      </c>
      <c r="V3280">
        <f>IF(AND(OR(Dashboard!$C$6="All",E3280=Dashboard!$C$6),OR(Dashboard!$F$6="All",G3280=Dashboard!$F$6),OR(Dashboard!$I$6="All",H3280=Dashboard!$I$6)),1,0)</f>
        <v/>
      </c>
    </row>
    <row r="3281">
      <c r="A3281" t="inlineStr">
        <is>
          <t>PF103272</t>
        </is>
      </c>
      <c r="B3281" s="68" t="n">
        <v>46055</v>
      </c>
      <c r="C3281" s="69" t="n">
        <v>2026</v>
      </c>
      <c r="D3281" t="inlineStr">
        <is>
          <t>Feb</t>
        </is>
      </c>
      <c r="E3281" t="inlineStr">
        <is>
          <t>United States</t>
        </is>
      </c>
      <c r="F3281" t="inlineStr">
        <is>
          <t>USA</t>
        </is>
      </c>
      <c r="G3281" t="inlineStr">
        <is>
          <t>Comirnaty</t>
        </is>
      </c>
      <c r="H3281" t="inlineStr">
        <is>
          <t>Retail pharmacy</t>
        </is>
      </c>
      <c r="I3281" t="inlineStr">
        <is>
          <t>Public payer</t>
        </is>
      </c>
      <c r="J3281" t="inlineStr">
        <is>
          <t>Omar Haddad</t>
        </is>
      </c>
      <c r="K3281" s="70" t="n">
        <v>441</v>
      </c>
      <c r="L3281" s="71" t="n">
        <v>134.65</v>
      </c>
      <c r="M3281" s="71" t="n">
        <v>59380.65</v>
      </c>
      <c r="N3281" s="71" t="n">
        <v>8907.1</v>
      </c>
      <c r="O3281" s="71" t="n">
        <v>50473.55</v>
      </c>
      <c r="P3281" s="71" t="n">
        <v>16944.14</v>
      </c>
      <c r="Q3281" s="71" t="n">
        <v>33529.41</v>
      </c>
      <c r="R3281" t="inlineStr">
        <is>
          <t>Vaccines</t>
        </is>
      </c>
      <c r="S3281" s="70" t="n">
        <v>435</v>
      </c>
      <c r="T3281" s="71" t="n">
        <v>14288.88</v>
      </c>
      <c r="U3281" t="inlineStr">
        <is>
          <t>Low</t>
        </is>
      </c>
      <c r="V3281">
        <f>IF(AND(OR(Dashboard!$C$6="All",E3281=Dashboard!$C$6),OR(Dashboard!$F$6="All",G3281=Dashboard!$F$6),OR(Dashboard!$I$6="All",H3281=Dashboard!$I$6)),1,0)</f>
        <v/>
      </c>
    </row>
    <row r="3282">
      <c r="A3282" t="inlineStr">
        <is>
          <t>PF103273</t>
        </is>
      </c>
      <c r="B3282" s="68" t="n">
        <v>46055</v>
      </c>
      <c r="C3282" s="69" t="n">
        <v>2026</v>
      </c>
      <c r="D3282" t="inlineStr">
        <is>
          <t>Feb</t>
        </is>
      </c>
      <c r="E3282" t="inlineStr">
        <is>
          <t>United States</t>
        </is>
      </c>
      <c r="F3282" t="inlineStr">
        <is>
          <t>USA</t>
        </is>
      </c>
      <c r="G3282" t="inlineStr">
        <is>
          <t>Prevnar 20</t>
        </is>
      </c>
      <c r="H3282" t="inlineStr">
        <is>
          <t>Hospital</t>
        </is>
      </c>
      <c r="I3282" t="inlineStr">
        <is>
          <t>Private insurer</t>
        </is>
      </c>
      <c r="J3282" t="inlineStr">
        <is>
          <t>Yuki Sato</t>
        </is>
      </c>
      <c r="K3282" s="70" t="n">
        <v>1046</v>
      </c>
      <c r="L3282" s="71" t="n">
        <v>401.42</v>
      </c>
      <c r="M3282" s="71" t="n">
        <v>419885.32</v>
      </c>
      <c r="N3282" s="71" t="n">
        <v>125965.6</v>
      </c>
      <c r="O3282" s="71" t="n">
        <v>293919.72</v>
      </c>
      <c r="P3282" s="71" t="n">
        <v>69816.48</v>
      </c>
      <c r="Q3282" s="71" t="n">
        <v>224103.24</v>
      </c>
      <c r="R3282" t="inlineStr">
        <is>
          <t>Vaccines</t>
        </is>
      </c>
      <c r="S3282" s="70" t="n">
        <v>758</v>
      </c>
      <c r="T3282" s="71" t="n">
        <v>77731.91</v>
      </c>
      <c r="U3282" t="inlineStr">
        <is>
          <t>Low</t>
        </is>
      </c>
      <c r="V3282">
        <f>IF(AND(OR(Dashboard!$C$6="All",E3282=Dashboard!$C$6),OR(Dashboard!$F$6="All",G3282=Dashboard!$F$6),OR(Dashboard!$I$6="All",H3282=Dashboard!$I$6)),1,0)</f>
        <v/>
      </c>
    </row>
    <row r="3283">
      <c r="A3283" t="inlineStr">
        <is>
          <t>PF103274</t>
        </is>
      </c>
      <c r="B3283" s="68" t="n">
        <v>46055</v>
      </c>
      <c r="C3283" s="69" t="n">
        <v>2026</v>
      </c>
      <c r="D3283" t="inlineStr">
        <is>
          <t>Feb</t>
        </is>
      </c>
      <c r="E3283" t="inlineStr">
        <is>
          <t>United States</t>
        </is>
      </c>
      <c r="F3283" t="inlineStr">
        <is>
          <t>USA</t>
        </is>
      </c>
      <c r="G3283" t="inlineStr">
        <is>
          <t>Prevnar 20</t>
        </is>
      </c>
      <c r="H3283" t="inlineStr">
        <is>
          <t>Hospital</t>
        </is>
      </c>
      <c r="I3283" t="inlineStr">
        <is>
          <t>Private insurer</t>
        </is>
      </c>
      <c r="J3283" t="inlineStr">
        <is>
          <t>Arjun Mehta</t>
        </is>
      </c>
      <c r="K3283" s="70" t="n">
        <v>978</v>
      </c>
      <c r="L3283" s="71" t="n">
        <v>404.82</v>
      </c>
      <c r="M3283" s="71" t="n">
        <v>395913.96</v>
      </c>
      <c r="N3283" s="71" t="n">
        <v>59387.09</v>
      </c>
      <c r="O3283" s="71" t="n">
        <v>336526.87</v>
      </c>
      <c r="P3283" s="71" t="n">
        <v>66566.13</v>
      </c>
      <c r="Q3283" s="71" t="n">
        <v>269960.74</v>
      </c>
      <c r="R3283" t="inlineStr">
        <is>
          <t>Vaccines</t>
        </is>
      </c>
      <c r="S3283" s="70" t="n">
        <v>872</v>
      </c>
      <c r="T3283" s="71" t="n">
        <v>80474.42999999999</v>
      </c>
      <c r="U3283" t="inlineStr">
        <is>
          <t>Low</t>
        </is>
      </c>
      <c r="V3283">
        <f>IF(AND(OR(Dashboard!$C$6="All",E3283=Dashboard!$C$6),OR(Dashboard!$F$6="All",G3283=Dashboard!$F$6),OR(Dashboard!$I$6="All",H3283=Dashboard!$I$6)),1,0)</f>
        <v/>
      </c>
    </row>
    <row r="3284">
      <c r="A3284" t="inlineStr">
        <is>
          <t>PF103275</t>
        </is>
      </c>
      <c r="B3284" s="68" t="n">
        <v>46055</v>
      </c>
      <c r="C3284" s="69" t="n">
        <v>2026</v>
      </c>
      <c r="D3284" t="inlineStr">
        <is>
          <t>Feb</t>
        </is>
      </c>
      <c r="E3284" t="inlineStr">
        <is>
          <t>Europe</t>
        </is>
      </c>
      <c r="F3284" t="inlineStr">
        <is>
          <t>France</t>
        </is>
      </c>
      <c r="G3284" t="inlineStr">
        <is>
          <t>Eliquis</t>
        </is>
      </c>
      <c r="H3284" t="inlineStr">
        <is>
          <t>Retail pharmacy</t>
        </is>
      </c>
      <c r="I3284" t="inlineStr">
        <is>
          <t>Public payer</t>
        </is>
      </c>
      <c r="J3284" t="inlineStr">
        <is>
          <t>Olivia Brown</t>
        </is>
      </c>
      <c r="K3284" s="70" t="n">
        <v>1422</v>
      </c>
      <c r="L3284" s="71" t="n">
        <v>475.3</v>
      </c>
      <c r="M3284" s="71" t="n">
        <v>675876.6</v>
      </c>
      <c r="N3284" s="71" t="n">
        <v>101381.49</v>
      </c>
      <c r="O3284" s="71" t="n">
        <v>574495.11</v>
      </c>
      <c r="P3284" s="71" t="n">
        <v>110272.61</v>
      </c>
      <c r="Q3284" s="71" t="n">
        <v>464222.5</v>
      </c>
      <c r="R3284" t="inlineStr">
        <is>
          <t>Cardiology</t>
        </is>
      </c>
      <c r="S3284" s="70" t="n">
        <v>1148</v>
      </c>
      <c r="T3284" s="71" t="n">
        <v>138190.61</v>
      </c>
      <c r="U3284" t="inlineStr">
        <is>
          <t>High</t>
        </is>
      </c>
      <c r="V3284">
        <f>IF(AND(OR(Dashboard!$C$6="All",E3284=Dashboard!$C$6),OR(Dashboard!$F$6="All",G3284=Dashboard!$F$6),OR(Dashboard!$I$6="All",H3284=Dashboard!$I$6)),1,0)</f>
        <v/>
      </c>
    </row>
    <row r="3285">
      <c r="A3285" t="inlineStr">
        <is>
          <t>PF103276</t>
        </is>
      </c>
      <c r="B3285" s="68" t="n">
        <v>46055</v>
      </c>
      <c r="C3285" s="69" t="n">
        <v>2026</v>
      </c>
      <c r="D3285" t="inlineStr">
        <is>
          <t>Feb</t>
        </is>
      </c>
      <c r="E3285" t="inlineStr">
        <is>
          <t>Europe</t>
        </is>
      </c>
      <c r="F3285" t="inlineStr">
        <is>
          <t>UK</t>
        </is>
      </c>
      <c r="G3285" t="inlineStr">
        <is>
          <t>Prevnar 20</t>
        </is>
      </c>
      <c r="H3285" t="inlineStr">
        <is>
          <t>Retail pharmacy</t>
        </is>
      </c>
      <c r="I3285" t="inlineStr">
        <is>
          <t>Public payer</t>
        </is>
      </c>
      <c r="J3285" t="inlineStr">
        <is>
          <t>Omar Haddad</t>
        </is>
      </c>
      <c r="K3285" s="70" t="n">
        <v>1243</v>
      </c>
      <c r="L3285" s="71" t="n">
        <v>220.59</v>
      </c>
      <c r="M3285" s="71" t="n">
        <v>274193.37</v>
      </c>
      <c r="N3285" s="71" t="n">
        <v>68548.34</v>
      </c>
      <c r="O3285" s="71" t="n">
        <v>205645.03</v>
      </c>
      <c r="P3285" s="71" t="n">
        <v>83572.28</v>
      </c>
      <c r="Q3285" s="71" t="n">
        <v>122072.75</v>
      </c>
      <c r="R3285" t="inlineStr">
        <is>
          <t>Vaccines</t>
        </is>
      </c>
      <c r="S3285" s="70" t="n">
        <v>778</v>
      </c>
      <c r="T3285" s="71" t="n">
        <v>52478.61</v>
      </c>
      <c r="U3285" t="inlineStr">
        <is>
          <t>Low</t>
        </is>
      </c>
      <c r="V3285">
        <f>IF(AND(OR(Dashboard!$C$6="All",E3285=Dashboard!$C$6),OR(Dashboard!$F$6="All",G3285=Dashboard!$F$6),OR(Dashboard!$I$6="All",H3285=Dashboard!$I$6)),1,0)</f>
        <v/>
      </c>
    </row>
    <row r="3286">
      <c r="A3286" t="inlineStr">
        <is>
          <t>PF103277</t>
        </is>
      </c>
      <c r="B3286" s="68" t="n">
        <v>46055</v>
      </c>
      <c r="C3286" s="69" t="n">
        <v>2026</v>
      </c>
      <c r="D3286" t="inlineStr">
        <is>
          <t>Feb</t>
        </is>
      </c>
      <c r="E3286" t="inlineStr">
        <is>
          <t>International developed</t>
        </is>
      </c>
      <c r="F3286" t="inlineStr">
        <is>
          <t>Canada</t>
        </is>
      </c>
      <c r="G3286" t="inlineStr">
        <is>
          <t>Comirnaty</t>
        </is>
      </c>
      <c r="H3286" t="inlineStr">
        <is>
          <t>Retail pharmacy</t>
        </is>
      </c>
      <c r="I3286" t="inlineStr">
        <is>
          <t>Self-pay</t>
        </is>
      </c>
      <c r="J3286" t="inlineStr">
        <is>
          <t>Noah Smith</t>
        </is>
      </c>
      <c r="K3286" s="70" t="n">
        <v>1256</v>
      </c>
      <c r="L3286" s="71" t="n">
        <v>88.87</v>
      </c>
      <c r="M3286" s="71" t="n">
        <v>111620.72</v>
      </c>
      <c r="N3286" s="71" t="n">
        <v>5581.04</v>
      </c>
      <c r="O3286" s="71" t="n">
        <v>106039.68</v>
      </c>
      <c r="P3286" s="71" t="n">
        <v>49374.7</v>
      </c>
      <c r="Q3286" s="71" t="n">
        <v>56664.98</v>
      </c>
      <c r="R3286" t="inlineStr">
        <is>
          <t>Vaccines</t>
        </is>
      </c>
      <c r="S3286" s="70" t="n">
        <v>1222</v>
      </c>
      <c r="T3286" s="71" t="n">
        <v>18100.07</v>
      </c>
      <c r="U3286" t="inlineStr">
        <is>
          <t>Low</t>
        </is>
      </c>
      <c r="V3286">
        <f>IF(AND(OR(Dashboard!$C$6="All",E3286=Dashboard!$C$6),OR(Dashboard!$F$6="All",G3286=Dashboard!$F$6),OR(Dashboard!$I$6="All",H3286=Dashboard!$I$6)),1,0)</f>
        <v/>
      </c>
    </row>
    <row r="3287">
      <c r="A3287" t="inlineStr">
        <is>
          <t>PF103278</t>
        </is>
      </c>
      <c r="B3287" s="68" t="n">
        <v>46056</v>
      </c>
      <c r="C3287" s="69" t="n">
        <v>2026</v>
      </c>
      <c r="D3287" t="inlineStr">
        <is>
          <t>Feb</t>
        </is>
      </c>
      <c r="E3287" t="inlineStr">
        <is>
          <t>International developed</t>
        </is>
      </c>
      <c r="F3287" t="inlineStr">
        <is>
          <t>Japan</t>
        </is>
      </c>
      <c r="G3287" t="inlineStr">
        <is>
          <t>Paxlovid</t>
        </is>
      </c>
      <c r="H3287" t="inlineStr">
        <is>
          <t>Government / tender</t>
        </is>
      </c>
      <c r="I3287" t="inlineStr">
        <is>
          <t>Public payer</t>
        </is>
      </c>
      <c r="J3287" t="inlineStr">
        <is>
          <t>Yuki Sato</t>
        </is>
      </c>
      <c r="K3287" s="70" t="n">
        <v>143</v>
      </c>
      <c r="L3287" s="71" t="n">
        <v>947.4299999999999</v>
      </c>
      <c r="M3287" s="71" t="n">
        <v>135482.49</v>
      </c>
      <c r="N3287" s="71" t="n">
        <v>13548.25</v>
      </c>
      <c r="O3287" s="71" t="n">
        <v>121934.24</v>
      </c>
      <c r="P3287" s="71" t="n">
        <v>40627.13</v>
      </c>
      <c r="Q3287" s="71" t="n">
        <v>81307.11</v>
      </c>
      <c r="R3287" t="inlineStr">
        <is>
          <t>Antiviral</t>
        </is>
      </c>
      <c r="S3287" s="70" t="n">
        <v>138</v>
      </c>
      <c r="T3287" s="71" t="n">
        <v>21513.66</v>
      </c>
      <c r="U3287" t="inlineStr">
        <is>
          <t>Low</t>
        </is>
      </c>
      <c r="V3287">
        <f>IF(AND(OR(Dashboard!$C$6="All",E3287=Dashboard!$C$6),OR(Dashboard!$F$6="All",G3287=Dashboard!$F$6),OR(Dashboard!$I$6="All",H3287=Dashboard!$I$6)),1,0)</f>
        <v/>
      </c>
    </row>
    <row r="3288">
      <c r="A3288" t="inlineStr">
        <is>
          <t>PF103279</t>
        </is>
      </c>
      <c r="B3288" s="68" t="n">
        <v>46056</v>
      </c>
      <c r="C3288" s="69" t="n">
        <v>2026</v>
      </c>
      <c r="D3288" t="inlineStr">
        <is>
          <t>Feb</t>
        </is>
      </c>
      <c r="E3288" t="inlineStr">
        <is>
          <t>Emerging markets</t>
        </is>
      </c>
      <c r="F3288" t="inlineStr">
        <is>
          <t>China</t>
        </is>
      </c>
      <c r="G3288" t="inlineStr">
        <is>
          <t>Comirnaty</t>
        </is>
      </c>
      <c r="H3288" t="inlineStr">
        <is>
          <t>Retail pharmacy</t>
        </is>
      </c>
      <c r="I3288" t="inlineStr">
        <is>
          <t>Public payer</t>
        </is>
      </c>
      <c r="J3288" t="inlineStr">
        <is>
          <t>Mei Lin</t>
        </is>
      </c>
      <c r="K3288" s="70" t="n">
        <v>1958</v>
      </c>
      <c r="L3288" s="71" t="n">
        <v>86.84999999999999</v>
      </c>
      <c r="M3288" s="71" t="n">
        <v>170052.3</v>
      </c>
      <c r="N3288" s="71" t="n">
        <v>25507.84</v>
      </c>
      <c r="O3288" s="71" t="n">
        <v>144544.46</v>
      </c>
      <c r="P3288" s="71" t="n">
        <v>76071.67</v>
      </c>
      <c r="Q3288" s="71" t="n">
        <v>68472.78999999999</v>
      </c>
      <c r="R3288" t="inlineStr">
        <is>
          <t>Vaccines</t>
        </is>
      </c>
      <c r="S3288" s="70" t="n">
        <v>1667</v>
      </c>
      <c r="T3288" s="71" t="n">
        <v>34178.26</v>
      </c>
      <c r="U3288" t="inlineStr">
        <is>
          <t>Low</t>
        </is>
      </c>
      <c r="V3288">
        <f>IF(AND(OR(Dashboard!$C$6="All",E3288=Dashboard!$C$6),OR(Dashboard!$F$6="All",G3288=Dashboard!$F$6),OR(Dashboard!$I$6="All",H3288=Dashboard!$I$6)),1,0)</f>
        <v/>
      </c>
    </row>
    <row r="3289">
      <c r="A3289" t="inlineStr">
        <is>
          <t>PF103280</t>
        </is>
      </c>
      <c r="B3289" s="68" t="n">
        <v>46056</v>
      </c>
      <c r="C3289" s="69" t="n">
        <v>2026</v>
      </c>
      <c r="D3289" t="inlineStr">
        <is>
          <t>Feb</t>
        </is>
      </c>
      <c r="E3289" t="inlineStr">
        <is>
          <t>International developed</t>
        </is>
      </c>
      <c r="F3289" t="inlineStr">
        <is>
          <t>Canada</t>
        </is>
      </c>
      <c r="G3289" t="inlineStr">
        <is>
          <t>Eliquis</t>
        </is>
      </c>
      <c r="H3289" t="inlineStr">
        <is>
          <t>Retail pharmacy</t>
        </is>
      </c>
      <c r="I3289" t="inlineStr">
        <is>
          <t>Private insurer</t>
        </is>
      </c>
      <c r="J3289" t="inlineStr">
        <is>
          <t>Mei Lin</t>
        </is>
      </c>
      <c r="K3289" s="70" t="n">
        <v>1692</v>
      </c>
      <c r="L3289" s="71" t="n">
        <v>453.6</v>
      </c>
      <c r="M3289" s="71" t="n">
        <v>767491.2</v>
      </c>
      <c r="N3289" s="71" t="n">
        <v>153498.24</v>
      </c>
      <c r="O3289" s="71" t="n">
        <v>613992.96</v>
      </c>
      <c r="P3289" s="71" t="n">
        <v>129424.69</v>
      </c>
      <c r="Q3289" s="71" t="n">
        <v>484568.27</v>
      </c>
      <c r="R3289" t="inlineStr">
        <is>
          <t>Cardiology</t>
        </is>
      </c>
      <c r="S3289" s="70" t="n">
        <v>1516</v>
      </c>
      <c r="T3289" s="71" t="n">
        <v>113307.2</v>
      </c>
      <c r="U3289" t="inlineStr">
        <is>
          <t>High</t>
        </is>
      </c>
      <c r="V3289">
        <f>IF(AND(OR(Dashboard!$C$6="All",E3289=Dashboard!$C$6),OR(Dashboard!$F$6="All",G3289=Dashboard!$F$6),OR(Dashboard!$I$6="All",H3289=Dashboard!$I$6)),1,0)</f>
        <v/>
      </c>
    </row>
    <row r="3290">
      <c r="A3290" t="inlineStr">
        <is>
          <t>PF103281</t>
        </is>
      </c>
      <c r="B3290" s="68" t="n">
        <v>46056</v>
      </c>
      <c r="C3290" s="69" t="n">
        <v>2026</v>
      </c>
      <c r="D3290" t="inlineStr">
        <is>
          <t>Feb</t>
        </is>
      </c>
      <c r="E3290" t="inlineStr">
        <is>
          <t>United States</t>
        </is>
      </c>
      <c r="F3290" t="inlineStr">
        <is>
          <t>USA</t>
        </is>
      </c>
      <c r="G3290" t="inlineStr">
        <is>
          <t>Prevnar 20</t>
        </is>
      </c>
      <c r="H3290" t="inlineStr">
        <is>
          <t>Retail pharmacy</t>
        </is>
      </c>
      <c r="I3290" t="inlineStr">
        <is>
          <t>Private insurer</t>
        </is>
      </c>
      <c r="J3290" t="inlineStr">
        <is>
          <t>Sophie Müller</t>
        </is>
      </c>
      <c r="K3290" s="70" t="n">
        <v>1318</v>
      </c>
      <c r="L3290" s="71" t="n">
        <v>380.35</v>
      </c>
      <c r="M3290" s="71" t="n">
        <v>501301.3</v>
      </c>
      <c r="N3290" s="71" t="n">
        <v>150390.39</v>
      </c>
      <c r="O3290" s="71" t="n">
        <v>350910.91</v>
      </c>
      <c r="P3290" s="71" t="n">
        <v>94228.25</v>
      </c>
      <c r="Q3290" s="71" t="n">
        <v>256682.66</v>
      </c>
      <c r="R3290" t="inlineStr">
        <is>
          <t>Vaccines</t>
        </is>
      </c>
      <c r="S3290" s="70" t="n">
        <v>944</v>
      </c>
      <c r="T3290" s="71" t="n">
        <v>84599.03999999999</v>
      </c>
      <c r="U3290" t="inlineStr">
        <is>
          <t>Low</t>
        </is>
      </c>
      <c r="V3290">
        <f>IF(AND(OR(Dashboard!$C$6="All",E3290=Dashboard!$C$6),OR(Dashboard!$F$6="All",G3290=Dashboard!$F$6),OR(Dashboard!$I$6="All",H3290=Dashboard!$I$6)),1,0)</f>
        <v/>
      </c>
    </row>
    <row r="3291">
      <c r="A3291" t="inlineStr">
        <is>
          <t>PF103282</t>
        </is>
      </c>
      <c r="B3291" s="68" t="n">
        <v>46056</v>
      </c>
      <c r="C3291" s="69" t="n">
        <v>2026</v>
      </c>
      <c r="D3291" t="inlineStr">
        <is>
          <t>Feb</t>
        </is>
      </c>
      <c r="E3291" t="inlineStr">
        <is>
          <t>International developed</t>
        </is>
      </c>
      <c r="F3291" t="inlineStr">
        <is>
          <t>Japan</t>
        </is>
      </c>
      <c r="G3291" t="inlineStr">
        <is>
          <t>Prevnar 20</t>
        </is>
      </c>
      <c r="H3291" t="inlineStr">
        <is>
          <t>Retail pharmacy</t>
        </is>
      </c>
      <c r="I3291" t="inlineStr">
        <is>
          <t>Private insurer</t>
        </is>
      </c>
      <c r="J3291" t="inlineStr">
        <is>
          <t>Omar Haddad</t>
        </is>
      </c>
      <c r="K3291" s="70" t="n">
        <v>2713</v>
      </c>
      <c r="L3291" s="71" t="n">
        <v>232.24</v>
      </c>
      <c r="M3291" s="71" t="n">
        <v>630067.12</v>
      </c>
      <c r="N3291" s="71" t="n">
        <v>126013.42</v>
      </c>
      <c r="O3291" s="71" t="n">
        <v>504053.7</v>
      </c>
      <c r="P3291" s="71" t="n">
        <v>191693.58</v>
      </c>
      <c r="Q3291" s="71" t="n">
        <v>312360.12</v>
      </c>
      <c r="R3291" t="inlineStr">
        <is>
          <t>Vaccines</t>
        </is>
      </c>
      <c r="S3291" s="70" t="n">
        <v>2213</v>
      </c>
      <c r="T3291" s="71" t="n">
        <v>134030.5</v>
      </c>
      <c r="U3291" t="inlineStr">
        <is>
          <t>Low</t>
        </is>
      </c>
      <c r="V3291">
        <f>IF(AND(OR(Dashboard!$C$6="All",E3291=Dashboard!$C$6),OR(Dashboard!$F$6="All",G3291=Dashboard!$F$6),OR(Dashboard!$I$6="All",H3291=Dashboard!$I$6)),1,0)</f>
        <v/>
      </c>
    </row>
    <row r="3292">
      <c r="A3292" t="inlineStr">
        <is>
          <t>PF103283</t>
        </is>
      </c>
      <c r="B3292" s="68" t="n">
        <v>46056</v>
      </c>
      <c r="C3292" s="69" t="n">
        <v>2026</v>
      </c>
      <c r="D3292" t="inlineStr">
        <is>
          <t>Feb</t>
        </is>
      </c>
      <c r="E3292" t="inlineStr">
        <is>
          <t>United States</t>
        </is>
      </c>
      <c r="F3292" t="inlineStr">
        <is>
          <t>USA</t>
        </is>
      </c>
      <c r="G3292" t="inlineStr">
        <is>
          <t>Comirnaty</t>
        </is>
      </c>
      <c r="H3292" t="inlineStr">
        <is>
          <t>Hospital</t>
        </is>
      </c>
      <c r="I3292" t="inlineStr">
        <is>
          <t>Self-pay</t>
        </is>
      </c>
      <c r="J3292" t="inlineStr">
        <is>
          <t>Aisha Bello</t>
        </is>
      </c>
      <c r="K3292" s="70" t="n">
        <v>920</v>
      </c>
      <c r="L3292" s="71" t="n">
        <v>136.14</v>
      </c>
      <c r="M3292" s="71" t="n">
        <v>125248.8</v>
      </c>
      <c r="N3292" s="71" t="n">
        <v>31312.2</v>
      </c>
      <c r="O3292" s="71" t="n">
        <v>93936.60000000001</v>
      </c>
      <c r="P3292" s="71" t="n">
        <v>34467.85</v>
      </c>
      <c r="Q3292" s="71" t="n">
        <v>59468.75</v>
      </c>
      <c r="R3292" t="inlineStr">
        <is>
          <t>Vaccines</t>
        </is>
      </c>
      <c r="S3292" s="70" t="n">
        <v>638</v>
      </c>
      <c r="T3292" s="71" t="n">
        <v>27302.34</v>
      </c>
      <c r="U3292" t="inlineStr">
        <is>
          <t>Low</t>
        </is>
      </c>
      <c r="V3292">
        <f>IF(AND(OR(Dashboard!$C$6="All",E3292=Dashboard!$C$6),OR(Dashboard!$F$6="All",G3292=Dashboard!$F$6),OR(Dashboard!$I$6="All",H3292=Dashboard!$I$6)),1,0)</f>
        <v/>
      </c>
    </row>
    <row r="3293">
      <c r="A3293" t="inlineStr">
        <is>
          <t>PF103284</t>
        </is>
      </c>
      <c r="B3293" s="68" t="n">
        <v>46056</v>
      </c>
      <c r="C3293" s="69" t="n">
        <v>2026</v>
      </c>
      <c r="D3293" t="inlineStr">
        <is>
          <t>Feb</t>
        </is>
      </c>
      <c r="E3293" t="inlineStr">
        <is>
          <t>Emerging markets</t>
        </is>
      </c>
      <c r="F3293" t="inlineStr">
        <is>
          <t>Mexico</t>
        </is>
      </c>
      <c r="G3293" t="inlineStr">
        <is>
          <t>Abrysvo</t>
        </is>
      </c>
      <c r="H3293" t="inlineStr">
        <is>
          <t>Retail pharmacy</t>
        </is>
      </c>
      <c r="I3293" t="inlineStr">
        <is>
          <t>Public payer</t>
        </is>
      </c>
      <c r="J3293" t="inlineStr">
        <is>
          <t>Shraddha Kulkarni</t>
        </is>
      </c>
      <c r="K3293" s="70" t="n">
        <v>1567</v>
      </c>
      <c r="L3293" s="71" t="n">
        <v>305.72</v>
      </c>
      <c r="M3293" s="71" t="n">
        <v>479063.24</v>
      </c>
      <c r="N3293" s="71" t="n">
        <v>23953.16</v>
      </c>
      <c r="O3293" s="71" t="n">
        <v>455110.08</v>
      </c>
      <c r="P3293" s="71" t="n">
        <v>128540.43</v>
      </c>
      <c r="Q3293" s="71" t="n">
        <v>326569.65</v>
      </c>
      <c r="R3293" t="inlineStr">
        <is>
          <t>Vaccines</t>
        </is>
      </c>
      <c r="S3293" s="70" t="n">
        <v>1343</v>
      </c>
      <c r="T3293" s="71" t="n">
        <v>76191.96000000001</v>
      </c>
      <c r="U3293" t="inlineStr">
        <is>
          <t>Low</t>
        </is>
      </c>
      <c r="V3293">
        <f>IF(AND(OR(Dashboard!$C$6="All",E3293=Dashboard!$C$6),OR(Dashboard!$F$6="All",G3293=Dashboard!$F$6),OR(Dashboard!$I$6="All",H3293=Dashboard!$I$6)),1,0)</f>
        <v/>
      </c>
    </row>
    <row r="3294">
      <c r="A3294" t="inlineStr">
        <is>
          <t>PF103285</t>
        </is>
      </c>
      <c r="B3294" s="68" t="n">
        <v>46056</v>
      </c>
      <c r="C3294" s="69" t="n">
        <v>2026</v>
      </c>
      <c r="D3294" t="inlineStr">
        <is>
          <t>Feb</t>
        </is>
      </c>
      <c r="E3294" t="inlineStr">
        <is>
          <t>Europe</t>
        </is>
      </c>
      <c r="F3294" t="inlineStr">
        <is>
          <t>Germany</t>
        </is>
      </c>
      <c r="G3294" t="inlineStr">
        <is>
          <t>Eliquis</t>
        </is>
      </c>
      <c r="H3294" t="inlineStr">
        <is>
          <t>Hospital</t>
        </is>
      </c>
      <c r="I3294" t="inlineStr">
        <is>
          <t>Public payer</t>
        </is>
      </c>
      <c r="J3294" t="inlineStr">
        <is>
          <t>Arjun Mehta</t>
        </is>
      </c>
      <c r="K3294" s="70" t="n">
        <v>574</v>
      </c>
      <c r="L3294" s="71" t="n">
        <v>434.92</v>
      </c>
      <c r="M3294" s="71" t="n">
        <v>249644.08</v>
      </c>
      <c r="N3294" s="71" t="n">
        <v>62411.02</v>
      </c>
      <c r="O3294" s="71" t="n">
        <v>187233.06</v>
      </c>
      <c r="P3294" s="71" t="n">
        <v>42257.54</v>
      </c>
      <c r="Q3294" s="71" t="n">
        <v>144975.52</v>
      </c>
      <c r="R3294" t="inlineStr">
        <is>
          <t>Cardiology</t>
        </is>
      </c>
      <c r="S3294" s="70" t="n">
        <v>453</v>
      </c>
      <c r="T3294" s="71" t="n">
        <v>39779.14</v>
      </c>
      <c r="U3294" t="inlineStr">
        <is>
          <t>High</t>
        </is>
      </c>
      <c r="V3294">
        <f>IF(AND(OR(Dashboard!$C$6="All",E3294=Dashboard!$C$6),OR(Dashboard!$F$6="All",G3294=Dashboard!$F$6),OR(Dashboard!$I$6="All",H3294=Dashboard!$I$6)),1,0)</f>
        <v/>
      </c>
    </row>
    <row r="3295">
      <c r="A3295" t="inlineStr">
        <is>
          <t>PF103286</t>
        </is>
      </c>
      <c r="B3295" s="68" t="n">
        <v>46056</v>
      </c>
      <c r="C3295" s="69" t="n">
        <v>2026</v>
      </c>
      <c r="D3295" t="inlineStr">
        <is>
          <t>Feb</t>
        </is>
      </c>
      <c r="E3295" t="inlineStr">
        <is>
          <t>United States</t>
        </is>
      </c>
      <c r="F3295" t="inlineStr">
        <is>
          <t>USA</t>
        </is>
      </c>
      <c r="G3295" t="inlineStr">
        <is>
          <t>Prevnar 20</t>
        </is>
      </c>
      <c r="H3295" t="inlineStr">
        <is>
          <t>Retail pharmacy</t>
        </is>
      </c>
      <c r="I3295" t="inlineStr">
        <is>
          <t>Private insurer</t>
        </is>
      </c>
      <c r="J3295" t="inlineStr">
        <is>
          <t>Olivia Brown</t>
        </is>
      </c>
      <c r="K3295" s="70" t="n">
        <v>2059</v>
      </c>
      <c r="L3295" s="71" t="n">
        <v>346.67</v>
      </c>
      <c r="M3295" s="71" t="n">
        <v>713793.53</v>
      </c>
      <c r="N3295" s="71" t="n">
        <v>107069.03</v>
      </c>
      <c r="O3295" s="71" t="n">
        <v>606724.5</v>
      </c>
      <c r="P3295" s="71" t="n">
        <v>139264.01</v>
      </c>
      <c r="Q3295" s="71" t="n">
        <v>467460.49</v>
      </c>
      <c r="R3295" t="inlineStr">
        <is>
          <t>Vaccines</t>
        </is>
      </c>
      <c r="S3295" s="70" t="n">
        <v>1744</v>
      </c>
      <c r="T3295" s="71" t="n">
        <v>116838.05</v>
      </c>
      <c r="U3295" t="inlineStr">
        <is>
          <t>Low</t>
        </is>
      </c>
      <c r="V3295">
        <f>IF(AND(OR(Dashboard!$C$6="All",E3295=Dashboard!$C$6),OR(Dashboard!$F$6="All",G3295=Dashboard!$F$6),OR(Dashboard!$I$6="All",H3295=Dashboard!$I$6)),1,0)</f>
        <v/>
      </c>
    </row>
    <row r="3296">
      <c r="A3296" t="inlineStr">
        <is>
          <t>PF103287</t>
        </is>
      </c>
      <c r="B3296" s="68" t="n">
        <v>46056</v>
      </c>
      <c r="C3296" s="69" t="n">
        <v>2026</v>
      </c>
      <c r="D3296" t="inlineStr">
        <is>
          <t>Feb</t>
        </is>
      </c>
      <c r="E3296" t="inlineStr">
        <is>
          <t>Europe</t>
        </is>
      </c>
      <c r="F3296" t="inlineStr">
        <is>
          <t>Spain</t>
        </is>
      </c>
      <c r="G3296" t="inlineStr">
        <is>
          <t>Eliquis</t>
        </is>
      </c>
      <c r="H3296" t="inlineStr">
        <is>
          <t>Government / tender</t>
        </is>
      </c>
      <c r="I3296" t="inlineStr">
        <is>
          <t>Public payer</t>
        </is>
      </c>
      <c r="J3296" t="inlineStr">
        <is>
          <t>Fatima Al-Saud</t>
        </is>
      </c>
      <c r="K3296" s="70" t="n">
        <v>805</v>
      </c>
      <c r="L3296" s="71" t="n">
        <v>470.32</v>
      </c>
      <c r="M3296" s="71" t="n">
        <v>378607.6</v>
      </c>
      <c r="N3296" s="71" t="n">
        <v>18930.38</v>
      </c>
      <c r="O3296" s="71" t="n">
        <v>359677.22</v>
      </c>
      <c r="P3296" s="71" t="n">
        <v>62098.72</v>
      </c>
      <c r="Q3296" s="71" t="n">
        <v>297578.5</v>
      </c>
      <c r="R3296" t="inlineStr">
        <is>
          <t>Cardiology</t>
        </is>
      </c>
      <c r="S3296" s="70" t="n">
        <v>767</v>
      </c>
      <c r="T3296" s="71" t="n">
        <v>53978.24</v>
      </c>
      <c r="U3296" t="inlineStr">
        <is>
          <t>High</t>
        </is>
      </c>
      <c r="V3296">
        <f>IF(AND(OR(Dashboard!$C$6="All",E3296=Dashboard!$C$6),OR(Dashboard!$F$6="All",G3296=Dashboard!$F$6),OR(Dashboard!$I$6="All",H3296=Dashboard!$I$6)),1,0)</f>
        <v/>
      </c>
    </row>
    <row r="3297">
      <c r="A3297" t="inlineStr">
        <is>
          <t>PF103288</t>
        </is>
      </c>
      <c r="B3297" s="68" t="n">
        <v>46056</v>
      </c>
      <c r="C3297" s="69" t="n">
        <v>2026</v>
      </c>
      <c r="D3297" t="inlineStr">
        <is>
          <t>Feb</t>
        </is>
      </c>
      <c r="E3297" t="inlineStr">
        <is>
          <t>Emerging markets</t>
        </is>
      </c>
      <c r="F3297" t="inlineStr">
        <is>
          <t>India</t>
        </is>
      </c>
      <c r="G3297" t="inlineStr">
        <is>
          <t>Ibrance</t>
        </is>
      </c>
      <c r="H3297" t="inlineStr">
        <is>
          <t>Retail pharmacy</t>
        </is>
      </c>
      <c r="I3297" t="inlineStr">
        <is>
          <t>Public payer</t>
        </is>
      </c>
      <c r="J3297" t="inlineStr">
        <is>
          <t>Emma Clarke</t>
        </is>
      </c>
      <c r="K3297" s="70" t="n">
        <v>2050</v>
      </c>
      <c r="L3297" s="71" t="n">
        <v>2824.45</v>
      </c>
      <c r="M3297" s="71" t="n">
        <v>5790122.5</v>
      </c>
      <c r="N3297" s="71" t="n">
        <v>289506.12</v>
      </c>
      <c r="O3297" s="71" t="n">
        <v>5500616.38</v>
      </c>
      <c r="P3297" s="71" t="n">
        <v>897570.14</v>
      </c>
      <c r="Q3297" s="71" t="n">
        <v>4603046.24</v>
      </c>
      <c r="R3297" t="inlineStr">
        <is>
          <t>Oncology</t>
        </is>
      </c>
      <c r="S3297" s="70" t="n">
        <v>1603</v>
      </c>
      <c r="T3297" s="71" t="n">
        <v>1150853.46</v>
      </c>
      <c r="U3297" t="inlineStr">
        <is>
          <t>High</t>
        </is>
      </c>
      <c r="V3297">
        <f>IF(AND(OR(Dashboard!$C$6="All",E3297=Dashboard!$C$6),OR(Dashboard!$F$6="All",G3297=Dashboard!$F$6),OR(Dashboard!$I$6="All",H3297=Dashboard!$I$6)),1,0)</f>
        <v/>
      </c>
    </row>
    <row r="3298">
      <c r="A3298" t="inlineStr">
        <is>
          <t>PF103289</t>
        </is>
      </c>
      <c r="B3298" s="68" t="n">
        <v>46056</v>
      </c>
      <c r="C3298" s="69" t="n">
        <v>2026</v>
      </c>
      <c r="D3298" t="inlineStr">
        <is>
          <t>Feb</t>
        </is>
      </c>
      <c r="E3298" t="inlineStr">
        <is>
          <t>International developed</t>
        </is>
      </c>
      <c r="F3298" t="inlineStr">
        <is>
          <t>Canada</t>
        </is>
      </c>
      <c r="G3298" t="inlineStr">
        <is>
          <t>Ibrance</t>
        </is>
      </c>
      <c r="H3298" t="inlineStr">
        <is>
          <t>Retail pharmacy</t>
        </is>
      </c>
      <c r="I3298" t="inlineStr">
        <is>
          <t>Public payer</t>
        </is>
      </c>
      <c r="J3298" t="inlineStr">
        <is>
          <t>Priya Nair</t>
        </is>
      </c>
      <c r="K3298" s="70" t="n">
        <v>2405</v>
      </c>
      <c r="L3298" s="71" t="n">
        <v>2934.53</v>
      </c>
      <c r="M3298" s="71" t="n">
        <v>7057544.65</v>
      </c>
      <c r="N3298" s="71" t="n">
        <v>352877.23</v>
      </c>
      <c r="O3298" s="71" t="n">
        <v>6704667.42</v>
      </c>
      <c r="P3298" s="71" t="n">
        <v>1034554.36</v>
      </c>
      <c r="Q3298" s="71" t="n">
        <v>5670113.06</v>
      </c>
      <c r="R3298" t="inlineStr">
        <is>
          <t>Oncology</t>
        </is>
      </c>
      <c r="S3298" s="70" t="n">
        <v>2189</v>
      </c>
      <c r="T3298" s="71" t="n">
        <v>974181.33</v>
      </c>
      <c r="U3298" t="inlineStr">
        <is>
          <t>High</t>
        </is>
      </c>
      <c r="V3298">
        <f>IF(AND(OR(Dashboard!$C$6="All",E3298=Dashboard!$C$6),OR(Dashboard!$F$6="All",G3298=Dashboard!$F$6),OR(Dashboard!$I$6="All",H3298=Dashboard!$I$6)),1,0)</f>
        <v/>
      </c>
    </row>
    <row r="3299">
      <c r="A3299" t="inlineStr">
        <is>
          <t>PF103290</t>
        </is>
      </c>
      <c r="B3299" s="68" t="n">
        <v>46057</v>
      </c>
      <c r="C3299" s="69" t="n">
        <v>2026</v>
      </c>
      <c r="D3299" t="inlineStr">
        <is>
          <t>Feb</t>
        </is>
      </c>
      <c r="E3299" t="inlineStr">
        <is>
          <t>Europe</t>
        </is>
      </c>
      <c r="F3299" t="inlineStr">
        <is>
          <t>UK</t>
        </is>
      </c>
      <c r="G3299" t="inlineStr">
        <is>
          <t>Paxlovid</t>
        </is>
      </c>
      <c r="H3299" t="inlineStr">
        <is>
          <t>Government / tender</t>
        </is>
      </c>
      <c r="I3299" t="inlineStr">
        <is>
          <t>Public payer</t>
        </is>
      </c>
      <c r="J3299" t="inlineStr">
        <is>
          <t>Sophie Müller</t>
        </is>
      </c>
      <c r="K3299" s="70" t="n">
        <v>1231</v>
      </c>
      <c r="L3299" s="71" t="n">
        <v>924.48</v>
      </c>
      <c r="M3299" s="71" t="n">
        <v>1138034.88</v>
      </c>
      <c r="N3299" s="71" t="n">
        <v>56901.74</v>
      </c>
      <c r="O3299" s="71" t="n">
        <v>1081133.14</v>
      </c>
      <c r="P3299" s="71" t="n">
        <v>350011.26</v>
      </c>
      <c r="Q3299" s="71" t="n">
        <v>731121.88</v>
      </c>
      <c r="R3299" t="inlineStr">
        <is>
          <t>Antiviral</t>
        </is>
      </c>
      <c r="S3299" s="70" t="n">
        <v>1229</v>
      </c>
      <c r="T3299" s="71" t="n">
        <v>213902.51</v>
      </c>
      <c r="U3299" t="inlineStr">
        <is>
          <t>Low</t>
        </is>
      </c>
      <c r="V3299">
        <f>IF(AND(OR(Dashboard!$C$6="All",E3299=Dashboard!$C$6),OR(Dashboard!$F$6="All",G3299=Dashboard!$F$6),OR(Dashboard!$I$6="All",H3299=Dashboard!$I$6)),1,0)</f>
        <v/>
      </c>
    </row>
    <row r="3300">
      <c r="A3300" t="inlineStr">
        <is>
          <t>PF103291</t>
        </is>
      </c>
      <c r="B3300" s="68" t="n">
        <v>46057</v>
      </c>
      <c r="C3300" s="69" t="n">
        <v>2026</v>
      </c>
      <c r="D3300" t="inlineStr">
        <is>
          <t>Feb</t>
        </is>
      </c>
      <c r="E3300" t="inlineStr">
        <is>
          <t>United States</t>
        </is>
      </c>
      <c r="F3300" t="inlineStr">
        <is>
          <t>USA</t>
        </is>
      </c>
      <c r="G3300" t="inlineStr">
        <is>
          <t>Comirnaty</t>
        </is>
      </c>
      <c r="H3300" t="inlineStr">
        <is>
          <t>Government / tender</t>
        </is>
      </c>
      <c r="I3300" t="inlineStr">
        <is>
          <t>Public payer</t>
        </is>
      </c>
      <c r="J3300" t="inlineStr">
        <is>
          <t>Arjun Mehta</t>
        </is>
      </c>
      <c r="K3300" s="70" t="n">
        <v>1196</v>
      </c>
      <c r="L3300" s="71" t="n">
        <v>148.22</v>
      </c>
      <c r="M3300" s="71" t="n">
        <v>177271.12</v>
      </c>
      <c r="N3300" s="71" t="n">
        <v>53181.34</v>
      </c>
      <c r="O3300" s="71" t="n">
        <v>124089.78</v>
      </c>
      <c r="P3300" s="71" t="n">
        <v>45009.9</v>
      </c>
      <c r="Q3300" s="71" t="n">
        <v>79079.88</v>
      </c>
      <c r="R3300" t="inlineStr">
        <is>
          <t>Vaccines</t>
        </is>
      </c>
      <c r="S3300" s="70" t="n">
        <v>779</v>
      </c>
      <c r="T3300" s="71" t="n">
        <v>34545.67</v>
      </c>
      <c r="U3300" t="inlineStr">
        <is>
          <t>Low</t>
        </is>
      </c>
      <c r="V3300">
        <f>IF(AND(OR(Dashboard!$C$6="All",E3300=Dashboard!$C$6),OR(Dashboard!$F$6="All",G3300=Dashboard!$F$6),OR(Dashboard!$I$6="All",H3300=Dashboard!$I$6)),1,0)</f>
        <v/>
      </c>
    </row>
    <row r="3301">
      <c r="A3301" t="inlineStr">
        <is>
          <t>PF103292</t>
        </is>
      </c>
      <c r="B3301" s="68" t="n">
        <v>46057</v>
      </c>
      <c r="C3301" s="69" t="n">
        <v>2026</v>
      </c>
      <c r="D3301" t="inlineStr">
        <is>
          <t>Feb</t>
        </is>
      </c>
      <c r="E3301" t="inlineStr">
        <is>
          <t>United States</t>
        </is>
      </c>
      <c r="F3301" t="inlineStr">
        <is>
          <t>USA</t>
        </is>
      </c>
      <c r="G3301" t="inlineStr">
        <is>
          <t>Eliquis</t>
        </is>
      </c>
      <c r="H3301" t="inlineStr">
        <is>
          <t>Hospital</t>
        </is>
      </c>
      <c r="I3301" t="inlineStr">
        <is>
          <t>Public payer</t>
        </is>
      </c>
      <c r="J3301" t="inlineStr">
        <is>
          <t>Zoya Ahmed</t>
        </is>
      </c>
      <c r="K3301" s="70" t="n">
        <v>1978</v>
      </c>
      <c r="L3301" s="71" t="n">
        <v>744.11</v>
      </c>
      <c r="M3301" s="71" t="n">
        <v>1471849.58</v>
      </c>
      <c r="N3301" s="71" t="n">
        <v>294369.92</v>
      </c>
      <c r="O3301" s="71" t="n">
        <v>1177479.66</v>
      </c>
      <c r="P3301" s="71" t="n">
        <v>152828.62</v>
      </c>
      <c r="Q3301" s="71" t="n">
        <v>1024651.04</v>
      </c>
      <c r="R3301" t="inlineStr">
        <is>
          <t>Cardiology</t>
        </is>
      </c>
      <c r="S3301" s="70" t="n">
        <v>1320</v>
      </c>
      <c r="T3301" s="71" t="n">
        <v>308165.56</v>
      </c>
      <c r="U3301" t="inlineStr">
        <is>
          <t>High</t>
        </is>
      </c>
      <c r="V3301">
        <f>IF(AND(OR(Dashboard!$C$6="All",E3301=Dashboard!$C$6),OR(Dashboard!$F$6="All",G3301=Dashboard!$F$6),OR(Dashboard!$I$6="All",H3301=Dashboard!$I$6)),1,0)</f>
        <v/>
      </c>
    </row>
    <row r="3302">
      <c r="A3302" t="inlineStr">
        <is>
          <t>PF103293</t>
        </is>
      </c>
      <c r="B3302" s="68" t="n">
        <v>46057</v>
      </c>
      <c r="C3302" s="69" t="n">
        <v>2026</v>
      </c>
      <c r="D3302" t="inlineStr">
        <is>
          <t>Feb</t>
        </is>
      </c>
      <c r="E3302" t="inlineStr">
        <is>
          <t>United States</t>
        </is>
      </c>
      <c r="F3302" t="inlineStr">
        <is>
          <t>USA</t>
        </is>
      </c>
      <c r="G3302" t="inlineStr">
        <is>
          <t>Prevnar 20</t>
        </is>
      </c>
      <c r="H3302" t="inlineStr">
        <is>
          <t>Government / tender</t>
        </is>
      </c>
      <c r="I3302" t="inlineStr">
        <is>
          <t>Public payer</t>
        </is>
      </c>
      <c r="J3302" t="inlineStr">
        <is>
          <t>Olivia Brown</t>
        </is>
      </c>
      <c r="K3302" s="70" t="n">
        <v>1115</v>
      </c>
      <c r="L3302" s="71" t="n">
        <v>347.49</v>
      </c>
      <c r="M3302" s="71" t="n">
        <v>387451.35</v>
      </c>
      <c r="N3302" s="71" t="n">
        <v>77490.27</v>
      </c>
      <c r="O3302" s="71" t="n">
        <v>309961.08</v>
      </c>
      <c r="P3302" s="71" t="n">
        <v>75019.81</v>
      </c>
      <c r="Q3302" s="71" t="n">
        <v>234941.27</v>
      </c>
      <c r="R3302" t="inlineStr">
        <is>
          <t>Vaccines</t>
        </is>
      </c>
      <c r="S3302" s="70" t="n">
        <v>746</v>
      </c>
      <c r="T3302" s="71" t="n">
        <v>68684.97</v>
      </c>
      <c r="U3302" t="inlineStr">
        <is>
          <t>Low</t>
        </is>
      </c>
      <c r="V3302">
        <f>IF(AND(OR(Dashboard!$C$6="All",E3302=Dashboard!$C$6),OR(Dashboard!$F$6="All",G3302=Dashboard!$F$6),OR(Dashboard!$I$6="All",H3302=Dashboard!$I$6)),1,0)</f>
        <v/>
      </c>
    </row>
    <row r="3303">
      <c r="A3303" t="inlineStr">
        <is>
          <t>PF103294</t>
        </is>
      </c>
      <c r="B3303" s="68" t="n">
        <v>46057</v>
      </c>
      <c r="C3303" s="69" t="n">
        <v>2026</v>
      </c>
      <c r="D3303" t="inlineStr">
        <is>
          <t>Feb</t>
        </is>
      </c>
      <c r="E3303" t="inlineStr">
        <is>
          <t>United States</t>
        </is>
      </c>
      <c r="F3303" t="inlineStr">
        <is>
          <t>USA</t>
        </is>
      </c>
      <c r="G3303" t="inlineStr">
        <is>
          <t>Eliquis</t>
        </is>
      </c>
      <c r="H3303" t="inlineStr">
        <is>
          <t>Hospital</t>
        </is>
      </c>
      <c r="I3303" t="inlineStr">
        <is>
          <t>Self-pay</t>
        </is>
      </c>
      <c r="J3303" t="inlineStr">
        <is>
          <t>Omar Haddad</t>
        </is>
      </c>
      <c r="K3303" s="70" t="n">
        <v>1375</v>
      </c>
      <c r="L3303" s="71" t="n">
        <v>746.34</v>
      </c>
      <c r="M3303" s="71" t="n">
        <v>1026217.5</v>
      </c>
      <c r="N3303" s="71" t="n">
        <v>153932.63</v>
      </c>
      <c r="O3303" s="71" t="n">
        <v>872284.87</v>
      </c>
      <c r="P3303" s="71" t="n">
        <v>107147.68</v>
      </c>
      <c r="Q3303" s="71" t="n">
        <v>765137.1899999999</v>
      </c>
      <c r="R3303" t="inlineStr">
        <is>
          <t>Cardiology</t>
        </is>
      </c>
      <c r="S3303" s="70" t="n">
        <v>1119</v>
      </c>
      <c r="T3303" s="71" t="n">
        <v>125636.6</v>
      </c>
      <c r="U3303" t="inlineStr">
        <is>
          <t>High</t>
        </is>
      </c>
      <c r="V3303">
        <f>IF(AND(OR(Dashboard!$C$6="All",E3303=Dashboard!$C$6),OR(Dashboard!$F$6="All",G3303=Dashboard!$F$6),OR(Dashboard!$I$6="All",H3303=Dashboard!$I$6)),1,0)</f>
        <v/>
      </c>
    </row>
    <row r="3304">
      <c r="A3304" t="inlineStr">
        <is>
          <t>PF103295</t>
        </is>
      </c>
      <c r="B3304" s="68" t="n">
        <v>46057</v>
      </c>
      <c r="C3304" s="69" t="n">
        <v>2026</v>
      </c>
      <c r="D3304" t="inlineStr">
        <is>
          <t>Feb</t>
        </is>
      </c>
      <c r="E3304" t="inlineStr">
        <is>
          <t>Europe</t>
        </is>
      </c>
      <c r="F3304" t="inlineStr">
        <is>
          <t>France</t>
        </is>
      </c>
      <c r="G3304" t="inlineStr">
        <is>
          <t>Eliquis</t>
        </is>
      </c>
      <c r="H3304" t="inlineStr">
        <is>
          <t>Retail pharmacy</t>
        </is>
      </c>
      <c r="I3304" t="inlineStr">
        <is>
          <t>Self-pay</t>
        </is>
      </c>
      <c r="J3304" t="inlineStr">
        <is>
          <t>Arjun Mehta</t>
        </is>
      </c>
      <c r="K3304" s="70" t="n">
        <v>465</v>
      </c>
      <c r="L3304" s="71" t="n">
        <v>436.3</v>
      </c>
      <c r="M3304" s="71" t="n">
        <v>202879.5</v>
      </c>
      <c r="N3304" s="71" t="n">
        <v>30431.92</v>
      </c>
      <c r="O3304" s="71" t="n">
        <v>172447.58</v>
      </c>
      <c r="P3304" s="71" t="n">
        <v>34589.31</v>
      </c>
      <c r="Q3304" s="71" t="n">
        <v>137858.27</v>
      </c>
      <c r="R3304" t="inlineStr">
        <is>
          <t>Cardiology</t>
        </is>
      </c>
      <c r="S3304" s="70" t="n">
        <v>423</v>
      </c>
      <c r="T3304" s="71" t="n">
        <v>35227.21</v>
      </c>
      <c r="U3304" t="inlineStr">
        <is>
          <t>High</t>
        </is>
      </c>
      <c r="V3304">
        <f>IF(AND(OR(Dashboard!$C$6="All",E3304=Dashboard!$C$6),OR(Dashboard!$F$6="All",G3304=Dashboard!$F$6),OR(Dashboard!$I$6="All",H3304=Dashboard!$I$6)),1,0)</f>
        <v/>
      </c>
    </row>
    <row r="3305">
      <c r="A3305" t="inlineStr">
        <is>
          <t>PF103296</t>
        </is>
      </c>
      <c r="B3305" s="68" t="n">
        <v>46057</v>
      </c>
      <c r="C3305" s="69" t="n">
        <v>2026</v>
      </c>
      <c r="D3305" t="inlineStr">
        <is>
          <t>Feb</t>
        </is>
      </c>
      <c r="E3305" t="inlineStr">
        <is>
          <t>United States</t>
        </is>
      </c>
      <c r="F3305" t="inlineStr">
        <is>
          <t>USA</t>
        </is>
      </c>
      <c r="G3305" t="inlineStr">
        <is>
          <t>Paxlovid</t>
        </is>
      </c>
      <c r="H3305" t="inlineStr">
        <is>
          <t>Government / tender</t>
        </is>
      </c>
      <c r="I3305" t="inlineStr">
        <is>
          <t>Private insurer</t>
        </is>
      </c>
      <c r="J3305" t="inlineStr">
        <is>
          <t>Priya Nair</t>
        </is>
      </c>
      <c r="K3305" s="70" t="n">
        <v>472</v>
      </c>
      <c r="L3305" s="71" t="n">
        <v>1554.73</v>
      </c>
      <c r="M3305" s="71" t="n">
        <v>733832.5600000001</v>
      </c>
      <c r="N3305" s="71" t="n">
        <v>256841.4</v>
      </c>
      <c r="O3305" s="71" t="n">
        <v>476991.16</v>
      </c>
      <c r="P3305" s="71" t="n">
        <v>131878.3</v>
      </c>
      <c r="Q3305" s="71" t="n">
        <v>345112.86</v>
      </c>
      <c r="R3305" t="inlineStr">
        <is>
          <t>Antiviral</t>
        </is>
      </c>
      <c r="S3305" s="70" t="n">
        <v>464</v>
      </c>
      <c r="T3305" s="71" t="n">
        <v>149543.09</v>
      </c>
      <c r="U3305" t="inlineStr">
        <is>
          <t>Low</t>
        </is>
      </c>
      <c r="V3305">
        <f>IF(AND(OR(Dashboard!$C$6="All",E3305=Dashboard!$C$6),OR(Dashboard!$F$6="All",G3305=Dashboard!$F$6),OR(Dashboard!$I$6="All",H3305=Dashboard!$I$6)),1,0)</f>
        <v/>
      </c>
    </row>
    <row r="3306">
      <c r="A3306" t="inlineStr">
        <is>
          <t>PF103297</t>
        </is>
      </c>
      <c r="B3306" s="68" t="n">
        <v>46057</v>
      </c>
      <c r="C3306" s="69" t="n">
        <v>2026</v>
      </c>
      <c r="D3306" t="inlineStr">
        <is>
          <t>Feb</t>
        </is>
      </c>
      <c r="E3306" t="inlineStr">
        <is>
          <t>Europe</t>
        </is>
      </c>
      <c r="F3306" t="inlineStr">
        <is>
          <t>France</t>
        </is>
      </c>
      <c r="G3306" t="inlineStr">
        <is>
          <t>Prevnar 20</t>
        </is>
      </c>
      <c r="H3306" t="inlineStr">
        <is>
          <t>Retail pharmacy</t>
        </is>
      </c>
      <c r="I3306" t="inlineStr">
        <is>
          <t>Private insurer</t>
        </is>
      </c>
      <c r="J3306" t="inlineStr">
        <is>
          <t>Ana Costa</t>
        </is>
      </c>
      <c r="K3306" s="70" t="n">
        <v>951</v>
      </c>
      <c r="L3306" s="71" t="n">
        <v>245.43</v>
      </c>
      <c r="M3306" s="71" t="n">
        <v>233403.93</v>
      </c>
      <c r="N3306" s="71" t="n">
        <v>11670.2</v>
      </c>
      <c r="O3306" s="71" t="n">
        <v>221733.73</v>
      </c>
      <c r="P3306" s="71" t="n">
        <v>68148.66</v>
      </c>
      <c r="Q3306" s="71" t="n">
        <v>153585.07</v>
      </c>
      <c r="R3306" t="inlineStr">
        <is>
          <t>Vaccines</t>
        </is>
      </c>
      <c r="S3306" s="70" t="n">
        <v>752</v>
      </c>
      <c r="T3306" s="71" t="n">
        <v>29329.7</v>
      </c>
      <c r="U3306" t="inlineStr">
        <is>
          <t>Low</t>
        </is>
      </c>
      <c r="V3306">
        <f>IF(AND(OR(Dashboard!$C$6="All",E3306=Dashboard!$C$6),OR(Dashboard!$F$6="All",G3306=Dashboard!$F$6),OR(Dashboard!$I$6="All",H3306=Dashboard!$I$6)),1,0)</f>
        <v/>
      </c>
    </row>
    <row r="3307">
      <c r="A3307" t="inlineStr">
        <is>
          <t>PF103298</t>
        </is>
      </c>
      <c r="B3307" s="68" t="n">
        <v>46057</v>
      </c>
      <c r="C3307" s="69" t="n">
        <v>2026</v>
      </c>
      <c r="D3307" t="inlineStr">
        <is>
          <t>Feb</t>
        </is>
      </c>
      <c r="E3307" t="inlineStr">
        <is>
          <t>Europe</t>
        </is>
      </c>
      <c r="F3307" t="inlineStr">
        <is>
          <t>Germany</t>
        </is>
      </c>
      <c r="G3307" t="inlineStr">
        <is>
          <t>Comirnaty</t>
        </is>
      </c>
      <c r="H3307" t="inlineStr">
        <is>
          <t>Retail pharmacy</t>
        </is>
      </c>
      <c r="I3307" t="inlineStr">
        <is>
          <t>Private insurer</t>
        </is>
      </c>
      <c r="J3307" t="inlineStr">
        <is>
          <t>Yuki Sato</t>
        </is>
      </c>
      <c r="K3307" s="70" t="n">
        <v>535</v>
      </c>
      <c r="L3307" s="71" t="n">
        <v>94.38</v>
      </c>
      <c r="M3307" s="71" t="n">
        <v>50493.3</v>
      </c>
      <c r="N3307" s="71" t="n">
        <v>12623.33</v>
      </c>
      <c r="O3307" s="71" t="n">
        <v>37869.97</v>
      </c>
      <c r="P3307" s="71" t="n">
        <v>20384.45</v>
      </c>
      <c r="Q3307" s="71" t="n">
        <v>17485.52</v>
      </c>
      <c r="R3307" t="inlineStr">
        <is>
          <t>Vaccines</t>
        </is>
      </c>
      <c r="S3307" s="70" t="n">
        <v>341</v>
      </c>
      <c r="T3307" s="71" t="n">
        <v>8354.940000000001</v>
      </c>
      <c r="U3307" t="inlineStr">
        <is>
          <t>Low</t>
        </is>
      </c>
      <c r="V3307">
        <f>IF(AND(OR(Dashboard!$C$6="All",E3307=Dashboard!$C$6),OR(Dashboard!$F$6="All",G3307=Dashboard!$F$6),OR(Dashboard!$I$6="All",H3307=Dashboard!$I$6)),1,0)</f>
        <v/>
      </c>
    </row>
    <row r="3308">
      <c r="A3308" t="inlineStr">
        <is>
          <t>PF103299</t>
        </is>
      </c>
      <c r="B3308" s="68" t="n">
        <v>46057</v>
      </c>
      <c r="C3308" s="69" t="n">
        <v>2026</v>
      </c>
      <c r="D3308" t="inlineStr">
        <is>
          <t>Feb</t>
        </is>
      </c>
      <c r="E3308" t="inlineStr">
        <is>
          <t>United States</t>
        </is>
      </c>
      <c r="F3308" t="inlineStr">
        <is>
          <t>USA</t>
        </is>
      </c>
      <c r="G3308" t="inlineStr">
        <is>
          <t>Eliquis</t>
        </is>
      </c>
      <c r="H3308" t="inlineStr">
        <is>
          <t>Retail pharmacy</t>
        </is>
      </c>
      <c r="I3308" t="inlineStr">
        <is>
          <t>Public payer</t>
        </is>
      </c>
      <c r="J3308" t="inlineStr">
        <is>
          <t>Arjun Mehta</t>
        </is>
      </c>
      <c r="K3308" s="70" t="n">
        <v>665</v>
      </c>
      <c r="L3308" s="71" t="n">
        <v>666.45</v>
      </c>
      <c r="M3308" s="71" t="n">
        <v>443189.25</v>
      </c>
      <c r="N3308" s="71" t="n">
        <v>66478.39</v>
      </c>
      <c r="O3308" s="71" t="n">
        <v>376710.86</v>
      </c>
      <c r="P3308" s="71" t="n">
        <v>51276.83</v>
      </c>
      <c r="Q3308" s="71" t="n">
        <v>325434.03</v>
      </c>
      <c r="R3308" t="inlineStr">
        <is>
          <t>Cardiology</t>
        </is>
      </c>
      <c r="S3308" s="70" t="n">
        <v>574</v>
      </c>
      <c r="T3308" s="71" t="n">
        <v>83566.07000000001</v>
      </c>
      <c r="U3308" t="inlineStr">
        <is>
          <t>High</t>
        </is>
      </c>
      <c r="V3308">
        <f>IF(AND(OR(Dashboard!$C$6="All",E3308=Dashboard!$C$6),OR(Dashboard!$F$6="All",G3308=Dashboard!$F$6),OR(Dashboard!$I$6="All",H3308=Dashboard!$I$6)),1,0)</f>
        <v/>
      </c>
    </row>
    <row r="3309">
      <c r="A3309" t="inlineStr">
        <is>
          <t>PF103300</t>
        </is>
      </c>
      <c r="B3309" s="68" t="n">
        <v>46057</v>
      </c>
      <c r="C3309" s="69" t="n">
        <v>2026</v>
      </c>
      <c r="D3309" t="inlineStr">
        <is>
          <t>Feb</t>
        </is>
      </c>
      <c r="E3309" t="inlineStr">
        <is>
          <t>United States</t>
        </is>
      </c>
      <c r="F3309" t="inlineStr">
        <is>
          <t>USA</t>
        </is>
      </c>
      <c r="G3309" t="inlineStr">
        <is>
          <t>Prevnar 20</t>
        </is>
      </c>
      <c r="H3309" t="inlineStr">
        <is>
          <t>Hospital</t>
        </is>
      </c>
      <c r="I3309" t="inlineStr">
        <is>
          <t>Public payer</t>
        </is>
      </c>
      <c r="J3309" t="inlineStr">
        <is>
          <t>Liam O'Brien</t>
        </is>
      </c>
      <c r="K3309" s="70" t="n">
        <v>2217</v>
      </c>
      <c r="L3309" s="71" t="n">
        <v>404.87</v>
      </c>
      <c r="M3309" s="71" t="n">
        <v>897596.79</v>
      </c>
      <c r="N3309" s="71" t="n">
        <v>314158.88</v>
      </c>
      <c r="O3309" s="71" t="n">
        <v>583437.91</v>
      </c>
      <c r="P3309" s="71" t="n">
        <v>153218.73</v>
      </c>
      <c r="Q3309" s="71" t="n">
        <v>430219.18</v>
      </c>
      <c r="R3309" t="inlineStr">
        <is>
          <t>Vaccines</t>
        </is>
      </c>
      <c r="S3309" s="70" t="n">
        <v>1783</v>
      </c>
      <c r="T3309" s="71" t="n">
        <v>183661.6</v>
      </c>
      <c r="U3309" t="inlineStr">
        <is>
          <t>Low</t>
        </is>
      </c>
      <c r="V3309">
        <f>IF(AND(OR(Dashboard!$C$6="All",E3309=Dashboard!$C$6),OR(Dashboard!$F$6="All",G3309=Dashboard!$F$6),OR(Dashboard!$I$6="All",H3309=Dashboard!$I$6)),1,0)</f>
        <v/>
      </c>
    </row>
    <row r="3310">
      <c r="A3310" t="inlineStr">
        <is>
          <t>PF103301</t>
        </is>
      </c>
      <c r="B3310" s="68" t="n">
        <v>46057</v>
      </c>
      <c r="C3310" s="69" t="n">
        <v>2026</v>
      </c>
      <c r="D3310" t="inlineStr">
        <is>
          <t>Feb</t>
        </is>
      </c>
      <c r="E3310" t="inlineStr">
        <is>
          <t>Emerging markets</t>
        </is>
      </c>
      <c r="F3310" t="inlineStr">
        <is>
          <t>Mexico</t>
        </is>
      </c>
      <c r="G3310" t="inlineStr">
        <is>
          <t>Abrysvo</t>
        </is>
      </c>
      <c r="H3310" t="inlineStr">
        <is>
          <t>Retail pharmacy</t>
        </is>
      </c>
      <c r="I3310" t="inlineStr">
        <is>
          <t>Private insurer</t>
        </is>
      </c>
      <c r="J3310" t="inlineStr">
        <is>
          <t>Emma Clarke</t>
        </is>
      </c>
      <c r="K3310" s="70" t="n">
        <v>2123</v>
      </c>
      <c r="L3310" s="71" t="n">
        <v>305.29</v>
      </c>
      <c r="M3310" s="71" t="n">
        <v>648130.67</v>
      </c>
      <c r="N3310" s="71" t="n">
        <v>162032.67</v>
      </c>
      <c r="O3310" s="71" t="n">
        <v>486098</v>
      </c>
      <c r="P3310" s="71" t="n">
        <v>180418.44</v>
      </c>
      <c r="Q3310" s="71" t="n">
        <v>305679.56</v>
      </c>
      <c r="R3310" t="inlineStr">
        <is>
          <t>Vaccines</t>
        </is>
      </c>
      <c r="S3310" s="70" t="n">
        <v>1535</v>
      </c>
      <c r="T3310" s="71" t="n">
        <v>105702.18</v>
      </c>
      <c r="U3310" t="inlineStr">
        <is>
          <t>Low</t>
        </is>
      </c>
      <c r="V3310">
        <f>IF(AND(OR(Dashboard!$C$6="All",E3310=Dashboard!$C$6),OR(Dashboard!$F$6="All",G3310=Dashboard!$F$6),OR(Dashboard!$I$6="All",H3310=Dashboard!$I$6)),1,0)</f>
        <v/>
      </c>
    </row>
    <row r="3311">
      <c r="A3311" t="inlineStr">
        <is>
          <t>PF103302</t>
        </is>
      </c>
      <c r="B3311" s="68" t="n">
        <v>46057</v>
      </c>
      <c r="C3311" s="69" t="n">
        <v>2026</v>
      </c>
      <c r="D3311" t="inlineStr">
        <is>
          <t>Feb</t>
        </is>
      </c>
      <c r="E3311" t="inlineStr">
        <is>
          <t>Emerging markets</t>
        </is>
      </c>
      <c r="F3311" t="inlineStr">
        <is>
          <t>India</t>
        </is>
      </c>
      <c r="G3311" t="inlineStr">
        <is>
          <t>Abrysvo</t>
        </is>
      </c>
      <c r="H3311" t="inlineStr">
        <is>
          <t>Hospital</t>
        </is>
      </c>
      <c r="I3311" t="inlineStr">
        <is>
          <t>Private insurer</t>
        </is>
      </c>
      <c r="J3311" t="inlineStr">
        <is>
          <t>Hiroshi Tanaka</t>
        </is>
      </c>
      <c r="K3311" s="70" t="n">
        <v>2492</v>
      </c>
      <c r="L3311" s="71" t="n">
        <v>295.12</v>
      </c>
      <c r="M3311" s="71" t="n">
        <v>735439.04</v>
      </c>
      <c r="N3311" s="71" t="n">
        <v>110315.86</v>
      </c>
      <c r="O3311" s="71" t="n">
        <v>625123.1800000001</v>
      </c>
      <c r="P3311" s="71" t="n">
        <v>201368.59</v>
      </c>
      <c r="Q3311" s="71" t="n">
        <v>423754.59</v>
      </c>
      <c r="R3311" t="inlineStr">
        <is>
          <t>Vaccines</t>
        </is>
      </c>
      <c r="S3311" s="70" t="n">
        <v>2208</v>
      </c>
      <c r="T3311" s="71" t="n">
        <v>95047.61</v>
      </c>
      <c r="U3311" t="inlineStr">
        <is>
          <t>Low</t>
        </is>
      </c>
      <c r="V3311">
        <f>IF(AND(OR(Dashboard!$C$6="All",E3311=Dashboard!$C$6),OR(Dashboard!$F$6="All",G3311=Dashboard!$F$6),OR(Dashboard!$I$6="All",H3311=Dashboard!$I$6)),1,0)</f>
        <v/>
      </c>
    </row>
    <row r="3312">
      <c r="A3312" t="inlineStr">
        <is>
          <t>PF103303</t>
        </is>
      </c>
      <c r="B3312" s="68" t="n">
        <v>46058</v>
      </c>
      <c r="C3312" s="69" t="n">
        <v>2026</v>
      </c>
      <c r="D3312" t="inlineStr">
        <is>
          <t>Feb</t>
        </is>
      </c>
      <c r="E3312" t="inlineStr">
        <is>
          <t>International developed</t>
        </is>
      </c>
      <c r="F3312" t="inlineStr">
        <is>
          <t>Australia</t>
        </is>
      </c>
      <c r="G3312" t="inlineStr">
        <is>
          <t>Eliquis</t>
        </is>
      </c>
      <c r="H3312" t="inlineStr">
        <is>
          <t>Retail pharmacy</t>
        </is>
      </c>
      <c r="I3312" t="inlineStr">
        <is>
          <t>Public payer</t>
        </is>
      </c>
      <c r="J3312" t="inlineStr">
        <is>
          <t>Priya Nair</t>
        </is>
      </c>
      <c r="K3312" s="70" t="n">
        <v>379</v>
      </c>
      <c r="L3312" s="71" t="n">
        <v>403.94</v>
      </c>
      <c r="M3312" s="71" t="n">
        <v>153093.26</v>
      </c>
      <c r="N3312" s="71" t="n">
        <v>15309.33</v>
      </c>
      <c r="O3312" s="71" t="n">
        <v>137783.93</v>
      </c>
      <c r="P3312" s="71" t="n">
        <v>29764.76</v>
      </c>
      <c r="Q3312" s="71" t="n">
        <v>108019.17</v>
      </c>
      <c r="R3312" t="inlineStr">
        <is>
          <t>Cardiology</t>
        </is>
      </c>
      <c r="S3312" s="70" t="n">
        <v>261</v>
      </c>
      <c r="T3312" s="71" t="n">
        <v>27487.42</v>
      </c>
      <c r="U3312" t="inlineStr">
        <is>
          <t>High</t>
        </is>
      </c>
      <c r="V3312">
        <f>IF(AND(OR(Dashboard!$C$6="All",E3312=Dashboard!$C$6),OR(Dashboard!$F$6="All",G3312=Dashboard!$F$6),OR(Dashboard!$I$6="All",H3312=Dashboard!$I$6)),1,0)</f>
        <v/>
      </c>
    </row>
    <row r="3313">
      <c r="A3313" t="inlineStr">
        <is>
          <t>PF103304</t>
        </is>
      </c>
      <c r="B3313" s="68" t="n">
        <v>46058</v>
      </c>
      <c r="C3313" s="69" t="n">
        <v>2026</v>
      </c>
      <c r="D3313" t="inlineStr">
        <is>
          <t>Feb</t>
        </is>
      </c>
      <c r="E3313" t="inlineStr">
        <is>
          <t>Europe</t>
        </is>
      </c>
      <c r="F3313" t="inlineStr">
        <is>
          <t>UK</t>
        </is>
      </c>
      <c r="G3313" t="inlineStr">
        <is>
          <t>Abrysvo</t>
        </is>
      </c>
      <c r="H3313" t="inlineStr">
        <is>
          <t>Government / tender</t>
        </is>
      </c>
      <c r="I3313" t="inlineStr">
        <is>
          <t>Private insurer</t>
        </is>
      </c>
      <c r="J3313" t="inlineStr">
        <is>
          <t>Ana Costa</t>
        </is>
      </c>
      <c r="K3313" s="70" t="n">
        <v>2812</v>
      </c>
      <c r="L3313" s="71" t="n">
        <v>289.09</v>
      </c>
      <c r="M3313" s="71" t="n">
        <v>812921.08</v>
      </c>
      <c r="N3313" s="71" t="n">
        <v>121938.16</v>
      </c>
      <c r="O3313" s="71" t="n">
        <v>690982.92</v>
      </c>
      <c r="P3313" s="71" t="n">
        <v>238861.44</v>
      </c>
      <c r="Q3313" s="71" t="n">
        <v>452121.48</v>
      </c>
      <c r="R3313" t="inlineStr">
        <is>
          <t>Vaccines</t>
        </is>
      </c>
      <c r="S3313" s="70" t="n">
        <v>2505</v>
      </c>
      <c r="T3313" s="71" t="n">
        <v>144321.19</v>
      </c>
      <c r="U3313" t="inlineStr">
        <is>
          <t>Low</t>
        </is>
      </c>
      <c r="V3313">
        <f>IF(AND(OR(Dashboard!$C$6="All",E3313=Dashboard!$C$6),OR(Dashboard!$F$6="All",G3313=Dashboard!$F$6),OR(Dashboard!$I$6="All",H3313=Dashboard!$I$6)),1,0)</f>
        <v/>
      </c>
    </row>
    <row r="3314">
      <c r="A3314" t="inlineStr">
        <is>
          <t>PF103305</t>
        </is>
      </c>
      <c r="B3314" s="68" t="n">
        <v>46058</v>
      </c>
      <c r="C3314" s="69" t="n">
        <v>2026</v>
      </c>
      <c r="D3314" t="inlineStr">
        <is>
          <t>Feb</t>
        </is>
      </c>
      <c r="E3314" t="inlineStr">
        <is>
          <t>United States</t>
        </is>
      </c>
      <c r="F3314" t="inlineStr">
        <is>
          <t>USA</t>
        </is>
      </c>
      <c r="G3314" t="inlineStr">
        <is>
          <t>Eliquis</t>
        </is>
      </c>
      <c r="H3314" t="inlineStr">
        <is>
          <t>Retail pharmacy</t>
        </is>
      </c>
      <c r="I3314" t="inlineStr">
        <is>
          <t>Private insurer</t>
        </is>
      </c>
      <c r="J3314" t="inlineStr">
        <is>
          <t>Fatima Al-Saud</t>
        </is>
      </c>
      <c r="K3314" s="70" t="n">
        <v>1883</v>
      </c>
      <c r="L3314" s="71" t="n">
        <v>754.11</v>
      </c>
      <c r="M3314" s="71" t="n">
        <v>1419989.13</v>
      </c>
      <c r="N3314" s="71" t="n">
        <v>283997.83</v>
      </c>
      <c r="O3314" s="71" t="n">
        <v>1135991.3</v>
      </c>
      <c r="P3314" s="71" t="n">
        <v>144640.05</v>
      </c>
      <c r="Q3314" s="71" t="n">
        <v>991351.25</v>
      </c>
      <c r="R3314" t="inlineStr">
        <is>
          <t>Cardiology</t>
        </is>
      </c>
      <c r="S3314" s="70" t="n">
        <v>1509</v>
      </c>
      <c r="T3314" s="71" t="n">
        <v>209013.8</v>
      </c>
      <c r="U3314" t="inlineStr">
        <is>
          <t>High</t>
        </is>
      </c>
      <c r="V3314">
        <f>IF(AND(OR(Dashboard!$C$6="All",E3314=Dashboard!$C$6),OR(Dashboard!$F$6="All",G3314=Dashboard!$F$6),OR(Dashboard!$I$6="All",H3314=Dashboard!$I$6)),1,0)</f>
        <v/>
      </c>
    </row>
    <row r="3315">
      <c r="A3315" t="inlineStr">
        <is>
          <t>PF103306</t>
        </is>
      </c>
      <c r="B3315" s="68" t="n">
        <v>46058</v>
      </c>
      <c r="C3315" s="69" t="n">
        <v>2026</v>
      </c>
      <c r="D3315" t="inlineStr">
        <is>
          <t>Feb</t>
        </is>
      </c>
      <c r="E3315" t="inlineStr">
        <is>
          <t>Emerging markets</t>
        </is>
      </c>
      <c r="F3315" t="inlineStr">
        <is>
          <t>Brazil</t>
        </is>
      </c>
      <c r="G3315" t="inlineStr">
        <is>
          <t>Comirnaty</t>
        </is>
      </c>
      <c r="H3315" t="inlineStr">
        <is>
          <t>Hospital</t>
        </is>
      </c>
      <c r="I3315" t="inlineStr">
        <is>
          <t>Private insurer</t>
        </is>
      </c>
      <c r="J3315" t="inlineStr">
        <is>
          <t>Priya Nair</t>
        </is>
      </c>
      <c r="K3315" s="70" t="n">
        <v>187</v>
      </c>
      <c r="L3315" s="71" t="n">
        <v>83.81</v>
      </c>
      <c r="M3315" s="71" t="n">
        <v>15672.47</v>
      </c>
      <c r="N3315" s="71" t="n">
        <v>3918.12</v>
      </c>
      <c r="O3315" s="71" t="n">
        <v>11754.35</v>
      </c>
      <c r="P3315" s="71" t="n">
        <v>7454.16</v>
      </c>
      <c r="Q3315" s="71" t="n">
        <v>4300.19</v>
      </c>
      <c r="R3315" t="inlineStr">
        <is>
          <t>Vaccines</t>
        </is>
      </c>
      <c r="S3315" s="70" t="n">
        <v>146</v>
      </c>
      <c r="T3315" s="71" t="n">
        <v>2347.47</v>
      </c>
      <c r="U3315" t="inlineStr">
        <is>
          <t>Low</t>
        </is>
      </c>
      <c r="V3315">
        <f>IF(AND(OR(Dashboard!$C$6="All",E3315=Dashboard!$C$6),OR(Dashboard!$F$6="All",G3315=Dashboard!$F$6),OR(Dashboard!$I$6="All",H3315=Dashboard!$I$6)),1,0)</f>
        <v/>
      </c>
    </row>
    <row r="3316">
      <c r="A3316" t="inlineStr">
        <is>
          <t>PF103307</t>
        </is>
      </c>
      <c r="B3316" s="68" t="n">
        <v>46058</v>
      </c>
      <c r="C3316" s="69" t="n">
        <v>2026</v>
      </c>
      <c r="D3316" t="inlineStr">
        <is>
          <t>Feb</t>
        </is>
      </c>
      <c r="E3316" t="inlineStr">
        <is>
          <t>Europe</t>
        </is>
      </c>
      <c r="F3316" t="inlineStr">
        <is>
          <t>Spain</t>
        </is>
      </c>
      <c r="G3316" t="inlineStr">
        <is>
          <t>Vyndaqel</t>
        </is>
      </c>
      <c r="H3316" t="inlineStr">
        <is>
          <t>Retail pharmacy</t>
        </is>
      </c>
      <c r="I3316" t="inlineStr">
        <is>
          <t>Private insurer</t>
        </is>
      </c>
      <c r="J3316" t="inlineStr">
        <is>
          <t>Hiroshi Tanaka</t>
        </is>
      </c>
      <c r="K3316" s="70" t="n">
        <v>2693</v>
      </c>
      <c r="L3316" s="71" t="n">
        <v>5968.05</v>
      </c>
      <c r="M3316" s="71" t="n">
        <v>16071958.65</v>
      </c>
      <c r="N3316" s="71" t="n">
        <v>803597.9300000001</v>
      </c>
      <c r="O3316" s="71" t="n">
        <v>15268360.72</v>
      </c>
      <c r="P3316" s="71" t="n">
        <v>1649372.1</v>
      </c>
      <c r="Q3316" s="71" t="n">
        <v>13618988.62</v>
      </c>
      <c r="R3316" t="inlineStr">
        <is>
          <t>Rare disease</t>
        </is>
      </c>
      <c r="S3316" s="70" t="n">
        <v>2328</v>
      </c>
      <c r="T3316" s="71" t="n">
        <v>2032352.04</v>
      </c>
      <c r="U3316" t="inlineStr">
        <is>
          <t>Medium</t>
        </is>
      </c>
      <c r="V3316">
        <f>IF(AND(OR(Dashboard!$C$6="All",E3316=Dashboard!$C$6),OR(Dashboard!$F$6="All",G3316=Dashboard!$F$6),OR(Dashboard!$I$6="All",H3316=Dashboard!$I$6)),1,0)</f>
        <v/>
      </c>
    </row>
    <row r="3317">
      <c r="A3317" t="inlineStr">
        <is>
          <t>PF103308</t>
        </is>
      </c>
      <c r="B3317" s="68" t="n">
        <v>46058</v>
      </c>
      <c r="C3317" s="69" t="n">
        <v>2026</v>
      </c>
      <c r="D3317" t="inlineStr">
        <is>
          <t>Feb</t>
        </is>
      </c>
      <c r="E3317" t="inlineStr">
        <is>
          <t>International developed</t>
        </is>
      </c>
      <c r="F3317" t="inlineStr">
        <is>
          <t>Japan</t>
        </is>
      </c>
      <c r="G3317" t="inlineStr">
        <is>
          <t>Vyndaqel</t>
        </is>
      </c>
      <c r="H3317" t="inlineStr">
        <is>
          <t>Retail pharmacy</t>
        </is>
      </c>
      <c r="I3317" t="inlineStr">
        <is>
          <t>Private insurer</t>
        </is>
      </c>
      <c r="J3317" t="inlineStr">
        <is>
          <t>Ana Costa</t>
        </is>
      </c>
      <c r="K3317" s="70" t="n">
        <v>2945</v>
      </c>
      <c r="L3317" s="71" t="n">
        <v>5887.38</v>
      </c>
      <c r="M3317" s="71" t="n">
        <v>17338334.1</v>
      </c>
      <c r="N3317" s="71" t="n">
        <v>866916.71</v>
      </c>
      <c r="O3317" s="71" t="n">
        <v>16471417.39</v>
      </c>
      <c r="P3317" s="71" t="n">
        <v>1772417.14</v>
      </c>
      <c r="Q3317" s="71" t="n">
        <v>14699000.25</v>
      </c>
      <c r="R3317" t="inlineStr">
        <is>
          <t>Rare disease</t>
        </is>
      </c>
      <c r="S3317" s="70" t="n">
        <v>2566</v>
      </c>
      <c r="T3317" s="71" t="n">
        <v>2289098.99</v>
      </c>
      <c r="U3317" t="inlineStr">
        <is>
          <t>Medium</t>
        </is>
      </c>
      <c r="V3317">
        <f>IF(AND(OR(Dashboard!$C$6="All",E3317=Dashboard!$C$6),OR(Dashboard!$F$6="All",G3317=Dashboard!$F$6),OR(Dashboard!$I$6="All",H3317=Dashboard!$I$6)),1,0)</f>
        <v/>
      </c>
    </row>
    <row r="3318">
      <c r="A3318" t="inlineStr">
        <is>
          <t>PF103309</t>
        </is>
      </c>
      <c r="B3318" s="68" t="n">
        <v>46058</v>
      </c>
      <c r="C3318" s="69" t="n">
        <v>2026</v>
      </c>
      <c r="D3318" t="inlineStr">
        <is>
          <t>Feb</t>
        </is>
      </c>
      <c r="E3318" t="inlineStr">
        <is>
          <t>United States</t>
        </is>
      </c>
      <c r="F3318" t="inlineStr">
        <is>
          <t>USA</t>
        </is>
      </c>
      <c r="G3318" t="inlineStr">
        <is>
          <t>Prevnar 20</t>
        </is>
      </c>
      <c r="H3318" t="inlineStr">
        <is>
          <t>Hospital</t>
        </is>
      </c>
      <c r="I3318" t="inlineStr">
        <is>
          <t>Public payer</t>
        </is>
      </c>
      <c r="J3318" t="inlineStr">
        <is>
          <t>Arjun Mehta</t>
        </is>
      </c>
      <c r="K3318" s="70" t="n">
        <v>125</v>
      </c>
      <c r="L3318" s="71" t="n">
        <v>338.82</v>
      </c>
      <c r="M3318" s="71" t="n">
        <v>42352.5</v>
      </c>
      <c r="N3318" s="71" t="n">
        <v>12705.75</v>
      </c>
      <c r="O3318" s="71" t="n">
        <v>29646.75</v>
      </c>
      <c r="P3318" s="71" t="n">
        <v>8900.85</v>
      </c>
      <c r="Q3318" s="71" t="n">
        <v>20745.9</v>
      </c>
      <c r="R3318" t="inlineStr">
        <is>
          <t>Vaccines</t>
        </is>
      </c>
      <c r="S3318" s="70" t="n">
        <v>80</v>
      </c>
      <c r="T3318" s="71" t="n">
        <v>7620.37</v>
      </c>
      <c r="U3318" t="inlineStr">
        <is>
          <t>Low</t>
        </is>
      </c>
      <c r="V3318">
        <f>IF(AND(OR(Dashboard!$C$6="All",E3318=Dashboard!$C$6),OR(Dashboard!$F$6="All",G3318=Dashboard!$F$6),OR(Dashboard!$I$6="All",H3318=Dashboard!$I$6)),1,0)</f>
        <v/>
      </c>
    </row>
    <row r="3319">
      <c r="A3319" t="inlineStr">
        <is>
          <t>PF103310</t>
        </is>
      </c>
      <c r="B3319" s="68" t="n">
        <v>46059</v>
      </c>
      <c r="C3319" s="69" t="n">
        <v>2026</v>
      </c>
      <c r="D3319" t="inlineStr">
        <is>
          <t>Feb</t>
        </is>
      </c>
      <c r="E3319" t="inlineStr">
        <is>
          <t>Emerging markets</t>
        </is>
      </c>
      <c r="F3319" t="inlineStr">
        <is>
          <t>India</t>
        </is>
      </c>
      <c r="G3319" t="inlineStr">
        <is>
          <t>Xeljanz</t>
        </is>
      </c>
      <c r="H3319" t="inlineStr">
        <is>
          <t>Hospital</t>
        </is>
      </c>
      <c r="I3319" t="inlineStr">
        <is>
          <t>Public payer</t>
        </is>
      </c>
      <c r="J3319" t="inlineStr">
        <is>
          <t>Kofi Mensah</t>
        </is>
      </c>
      <c r="K3319" s="70" t="n">
        <v>1675</v>
      </c>
      <c r="L3319" s="71" t="n">
        <v>1445.71</v>
      </c>
      <c r="M3319" s="71" t="n">
        <v>2421564.25</v>
      </c>
      <c r="N3319" s="71" t="n">
        <v>605391.0600000001</v>
      </c>
      <c r="O3319" s="71" t="n">
        <v>1816173.19</v>
      </c>
      <c r="P3319" s="71" t="n">
        <v>415974.2</v>
      </c>
      <c r="Q3319" s="71" t="n">
        <v>1400198.99</v>
      </c>
      <c r="R3319" t="inlineStr">
        <is>
          <t>Inflammation</t>
        </is>
      </c>
      <c r="S3319" s="70" t="n">
        <v>1104</v>
      </c>
      <c r="T3319" s="71" t="n">
        <v>368273.09</v>
      </c>
      <c r="U3319" t="inlineStr">
        <is>
          <t>High</t>
        </is>
      </c>
      <c r="V3319">
        <f>IF(AND(OR(Dashboard!$C$6="All",E3319=Dashboard!$C$6),OR(Dashboard!$F$6="All",G3319=Dashboard!$F$6),OR(Dashboard!$I$6="All",H3319=Dashboard!$I$6)),1,0)</f>
        <v/>
      </c>
    </row>
    <row r="3320">
      <c r="A3320" t="inlineStr">
        <is>
          <t>PF103311</t>
        </is>
      </c>
      <c r="B3320" s="68" t="n">
        <v>46059</v>
      </c>
      <c r="C3320" s="69" t="n">
        <v>2026</v>
      </c>
      <c r="D3320" t="inlineStr">
        <is>
          <t>Feb</t>
        </is>
      </c>
      <c r="E3320" t="inlineStr">
        <is>
          <t>Europe</t>
        </is>
      </c>
      <c r="F3320" t="inlineStr">
        <is>
          <t>Italy</t>
        </is>
      </c>
      <c r="G3320" t="inlineStr">
        <is>
          <t>Prevnar 20</t>
        </is>
      </c>
      <c r="H3320" t="inlineStr">
        <is>
          <t>Hospital</t>
        </is>
      </c>
      <c r="I3320" t="inlineStr">
        <is>
          <t>Self-pay</t>
        </is>
      </c>
      <c r="J3320" t="inlineStr">
        <is>
          <t>Aisha Bello</t>
        </is>
      </c>
      <c r="K3320" s="70" t="n">
        <v>102</v>
      </c>
      <c r="L3320" s="71" t="n">
        <v>229.55</v>
      </c>
      <c r="M3320" s="71" t="n">
        <v>23414.1</v>
      </c>
      <c r="N3320" s="71" t="n">
        <v>4682.82</v>
      </c>
      <c r="O3320" s="71" t="n">
        <v>18731.28</v>
      </c>
      <c r="P3320" s="71" t="n">
        <v>6849.34</v>
      </c>
      <c r="Q3320" s="71" t="n">
        <v>11881.94</v>
      </c>
      <c r="R3320" t="inlineStr">
        <is>
          <t>Vaccines</t>
        </is>
      </c>
      <c r="S3320" s="70" t="n">
        <v>100</v>
      </c>
      <c r="T3320" s="71" t="n">
        <v>3475.92</v>
      </c>
      <c r="U3320" t="inlineStr">
        <is>
          <t>Low</t>
        </is>
      </c>
      <c r="V3320">
        <f>IF(AND(OR(Dashboard!$C$6="All",E3320=Dashboard!$C$6),OR(Dashboard!$F$6="All",G3320=Dashboard!$F$6),OR(Dashboard!$I$6="All",H3320=Dashboard!$I$6)),1,0)</f>
        <v/>
      </c>
    </row>
    <row r="3321">
      <c r="A3321" t="inlineStr">
        <is>
          <t>PF103312</t>
        </is>
      </c>
      <c r="B3321" s="68" t="n">
        <v>46059</v>
      </c>
      <c r="C3321" s="69" t="n">
        <v>2026</v>
      </c>
      <c r="D3321" t="inlineStr">
        <is>
          <t>Feb</t>
        </is>
      </c>
      <c r="E3321" t="inlineStr">
        <is>
          <t>Emerging markets</t>
        </is>
      </c>
      <c r="F3321" t="inlineStr">
        <is>
          <t>India</t>
        </is>
      </c>
      <c r="G3321" t="inlineStr">
        <is>
          <t>Comirnaty</t>
        </is>
      </c>
      <c r="H3321" t="inlineStr">
        <is>
          <t>Retail pharmacy</t>
        </is>
      </c>
      <c r="I3321" t="inlineStr">
        <is>
          <t>Private insurer</t>
        </is>
      </c>
      <c r="J3321" t="inlineStr">
        <is>
          <t>Emma Clarke</t>
        </is>
      </c>
      <c r="K3321" s="70" t="n">
        <v>2003</v>
      </c>
      <c r="L3321" s="71" t="n">
        <v>90.22</v>
      </c>
      <c r="M3321" s="71" t="n">
        <v>180710.66</v>
      </c>
      <c r="N3321" s="71" t="n">
        <v>45177.67</v>
      </c>
      <c r="O3321" s="71" t="n">
        <v>135532.99</v>
      </c>
      <c r="P3321" s="71" t="n">
        <v>78704.84</v>
      </c>
      <c r="Q3321" s="71" t="n">
        <v>56828.15</v>
      </c>
      <c r="R3321" t="inlineStr">
        <is>
          <t>Vaccines</t>
        </is>
      </c>
      <c r="S3321" s="70" t="n">
        <v>1973</v>
      </c>
      <c r="T3321" s="71" t="n">
        <v>37050.4</v>
      </c>
      <c r="U3321" t="inlineStr">
        <is>
          <t>Low</t>
        </is>
      </c>
      <c r="V3321">
        <f>IF(AND(OR(Dashboard!$C$6="All",E3321=Dashboard!$C$6),OR(Dashboard!$F$6="All",G3321=Dashboard!$F$6),OR(Dashboard!$I$6="All",H3321=Dashboard!$I$6)),1,0)</f>
        <v/>
      </c>
    </row>
    <row r="3322">
      <c r="A3322" t="inlineStr">
        <is>
          <t>PF103313</t>
        </is>
      </c>
      <c r="B3322" s="68" t="n">
        <v>46059</v>
      </c>
      <c r="C3322" s="69" t="n">
        <v>2026</v>
      </c>
      <c r="D3322" t="inlineStr">
        <is>
          <t>Feb</t>
        </is>
      </c>
      <c r="E3322" t="inlineStr">
        <is>
          <t>Europe</t>
        </is>
      </c>
      <c r="F3322" t="inlineStr">
        <is>
          <t>France</t>
        </is>
      </c>
      <c r="G3322" t="inlineStr">
        <is>
          <t>Comirnaty</t>
        </is>
      </c>
      <c r="H3322" t="inlineStr">
        <is>
          <t>Retail pharmacy</t>
        </is>
      </c>
      <c r="I3322" t="inlineStr">
        <is>
          <t>Private insurer</t>
        </is>
      </c>
      <c r="J3322" t="inlineStr">
        <is>
          <t>Sophie Müller</t>
        </is>
      </c>
      <c r="K3322" s="70" t="n">
        <v>1210</v>
      </c>
      <c r="L3322" s="71" t="n">
        <v>83.7</v>
      </c>
      <c r="M3322" s="71" t="n">
        <v>101277</v>
      </c>
      <c r="N3322" s="71" t="n">
        <v>20255.4</v>
      </c>
      <c r="O3322" s="71" t="n">
        <v>81021.60000000001</v>
      </c>
      <c r="P3322" s="71" t="n">
        <v>47972.56</v>
      </c>
      <c r="Q3322" s="71" t="n">
        <v>33049.04</v>
      </c>
      <c r="R3322" t="inlineStr">
        <is>
          <t>Vaccines</t>
        </is>
      </c>
      <c r="S3322" s="70" t="n">
        <v>1071</v>
      </c>
      <c r="T3322" s="71" t="n">
        <v>27539.24</v>
      </c>
      <c r="U3322" t="inlineStr">
        <is>
          <t>Low</t>
        </is>
      </c>
      <c r="V3322">
        <f>IF(AND(OR(Dashboard!$C$6="All",E3322=Dashboard!$C$6),OR(Dashboard!$F$6="All",G3322=Dashboard!$F$6),OR(Dashboard!$I$6="All",H3322=Dashboard!$I$6)),1,0)</f>
        <v/>
      </c>
    </row>
    <row r="3323">
      <c r="A3323" t="inlineStr">
        <is>
          <t>PF103314</t>
        </is>
      </c>
      <c r="B3323" s="68" t="n">
        <v>46059</v>
      </c>
      <c r="C3323" s="69" t="n">
        <v>2026</v>
      </c>
      <c r="D3323" t="inlineStr">
        <is>
          <t>Feb</t>
        </is>
      </c>
      <c r="E3323" t="inlineStr">
        <is>
          <t>Emerging markets</t>
        </is>
      </c>
      <c r="F3323" t="inlineStr">
        <is>
          <t>India</t>
        </is>
      </c>
      <c r="G3323" t="inlineStr">
        <is>
          <t>Paxlovid</t>
        </is>
      </c>
      <c r="H3323" t="inlineStr">
        <is>
          <t>Retail pharmacy</t>
        </is>
      </c>
      <c r="I3323" t="inlineStr">
        <is>
          <t>Private insurer</t>
        </is>
      </c>
      <c r="J3323" t="inlineStr">
        <is>
          <t>Mei Lin</t>
        </is>
      </c>
      <c r="K3323" s="70" t="n">
        <v>1089</v>
      </c>
      <c r="L3323" s="71" t="n">
        <v>950.1900000000001</v>
      </c>
      <c r="M3323" s="71" t="n">
        <v>1034756.91</v>
      </c>
      <c r="N3323" s="71" t="n">
        <v>51737.85</v>
      </c>
      <c r="O3323" s="71" t="n">
        <v>983019.0600000001</v>
      </c>
      <c r="P3323" s="71" t="n">
        <v>306129.31</v>
      </c>
      <c r="Q3323" s="71" t="n">
        <v>676889.75</v>
      </c>
      <c r="R3323" t="inlineStr">
        <is>
          <t>Antiviral</t>
        </is>
      </c>
      <c r="S3323" s="70" t="n">
        <v>796</v>
      </c>
      <c r="T3323" s="71" t="n">
        <v>217413.16</v>
      </c>
      <c r="U3323" t="inlineStr">
        <is>
          <t>Low</t>
        </is>
      </c>
      <c r="V3323">
        <f>IF(AND(OR(Dashboard!$C$6="All",E3323=Dashboard!$C$6),OR(Dashboard!$F$6="All",G3323=Dashboard!$F$6),OR(Dashboard!$I$6="All",H3323=Dashboard!$I$6)),1,0)</f>
        <v/>
      </c>
    </row>
    <row r="3324">
      <c r="A3324" t="inlineStr">
        <is>
          <t>PF103315</t>
        </is>
      </c>
      <c r="B3324" s="68" t="n">
        <v>46059</v>
      </c>
      <c r="C3324" s="69" t="n">
        <v>2026</v>
      </c>
      <c r="D3324" t="inlineStr">
        <is>
          <t>Feb</t>
        </is>
      </c>
      <c r="E3324" t="inlineStr">
        <is>
          <t>Europe</t>
        </is>
      </c>
      <c r="F3324" t="inlineStr">
        <is>
          <t>Italy</t>
        </is>
      </c>
      <c r="G3324" t="inlineStr">
        <is>
          <t>Eliquis</t>
        </is>
      </c>
      <c r="H3324" t="inlineStr">
        <is>
          <t>Hospital</t>
        </is>
      </c>
      <c r="I3324" t="inlineStr">
        <is>
          <t>Public payer</t>
        </is>
      </c>
      <c r="J3324" t="inlineStr">
        <is>
          <t>Liam O'Brien</t>
        </is>
      </c>
      <c r="K3324" s="70" t="n">
        <v>1480</v>
      </c>
      <c r="L3324" s="71" t="n">
        <v>394.43</v>
      </c>
      <c r="M3324" s="71" t="n">
        <v>583756.4</v>
      </c>
      <c r="N3324" s="71" t="n">
        <v>58375.64</v>
      </c>
      <c r="O3324" s="71" t="n">
        <v>525380.76</v>
      </c>
      <c r="P3324" s="71" t="n">
        <v>112949</v>
      </c>
      <c r="Q3324" s="71" t="n">
        <v>412431.76</v>
      </c>
      <c r="R3324" t="inlineStr">
        <is>
          <t>Cardiology</t>
        </is>
      </c>
      <c r="S3324" s="70" t="n">
        <v>1368</v>
      </c>
      <c r="T3324" s="71" t="n">
        <v>75445.44</v>
      </c>
      <c r="U3324" t="inlineStr">
        <is>
          <t>High</t>
        </is>
      </c>
      <c r="V3324">
        <f>IF(AND(OR(Dashboard!$C$6="All",E3324=Dashboard!$C$6),OR(Dashboard!$F$6="All",G3324=Dashboard!$F$6),OR(Dashboard!$I$6="All",H3324=Dashboard!$I$6)),1,0)</f>
        <v/>
      </c>
    </row>
    <row r="3325">
      <c r="A3325" t="inlineStr">
        <is>
          <t>PF103316</t>
        </is>
      </c>
      <c r="B3325" s="68" t="n">
        <v>46059</v>
      </c>
      <c r="C3325" s="69" t="n">
        <v>2026</v>
      </c>
      <c r="D3325" t="inlineStr">
        <is>
          <t>Feb</t>
        </is>
      </c>
      <c r="E3325" t="inlineStr">
        <is>
          <t>United States</t>
        </is>
      </c>
      <c r="F3325" t="inlineStr">
        <is>
          <t>USA</t>
        </is>
      </c>
      <c r="G3325" t="inlineStr">
        <is>
          <t>Ibrance</t>
        </is>
      </c>
      <c r="H3325" t="inlineStr">
        <is>
          <t>Hospital</t>
        </is>
      </c>
      <c r="I3325" t="inlineStr">
        <is>
          <t>Private insurer</t>
        </is>
      </c>
      <c r="J3325" t="inlineStr">
        <is>
          <t>Carlos Silva</t>
        </is>
      </c>
      <c r="K3325" s="70" t="n">
        <v>2550</v>
      </c>
      <c r="L3325" s="71" t="n">
        <v>4938.53</v>
      </c>
      <c r="M3325" s="71" t="n">
        <v>12593251.5</v>
      </c>
      <c r="N3325" s="71" t="n">
        <v>4407638.02</v>
      </c>
      <c r="O3325" s="71" t="n">
        <v>8185613.48</v>
      </c>
      <c r="P3325" s="71" t="n">
        <v>1110903.38</v>
      </c>
      <c r="Q3325" s="71" t="n">
        <v>7074710.1</v>
      </c>
      <c r="R3325" t="inlineStr">
        <is>
          <t>Oncology</t>
        </is>
      </c>
      <c r="S3325" s="70" t="n">
        <v>1968</v>
      </c>
      <c r="T3325" s="71" t="n">
        <v>1826073.33</v>
      </c>
      <c r="U3325" t="inlineStr">
        <is>
          <t>High</t>
        </is>
      </c>
      <c r="V3325">
        <f>IF(AND(OR(Dashboard!$C$6="All",E3325=Dashboard!$C$6),OR(Dashboard!$F$6="All",G3325=Dashboard!$F$6),OR(Dashboard!$I$6="All",H3325=Dashboard!$I$6)),1,0)</f>
        <v/>
      </c>
    </row>
    <row r="3326">
      <c r="A3326" t="inlineStr">
        <is>
          <t>PF103317</t>
        </is>
      </c>
      <c r="B3326" s="68" t="n">
        <v>46059</v>
      </c>
      <c r="C3326" s="69" t="n">
        <v>2026</v>
      </c>
      <c r="D3326" t="inlineStr">
        <is>
          <t>Feb</t>
        </is>
      </c>
      <c r="E3326" t="inlineStr">
        <is>
          <t>International developed</t>
        </is>
      </c>
      <c r="F3326" t="inlineStr">
        <is>
          <t>Australia</t>
        </is>
      </c>
      <c r="G3326" t="inlineStr">
        <is>
          <t>Eliquis</t>
        </is>
      </c>
      <c r="H3326" t="inlineStr">
        <is>
          <t>Retail pharmacy</t>
        </is>
      </c>
      <c r="I3326" t="inlineStr">
        <is>
          <t>Public payer</t>
        </is>
      </c>
      <c r="J3326" t="inlineStr">
        <is>
          <t>Kofi Mensah</t>
        </is>
      </c>
      <c r="K3326" s="70" t="n">
        <v>1853</v>
      </c>
      <c r="L3326" s="71" t="n">
        <v>417.86</v>
      </c>
      <c r="M3326" s="71" t="n">
        <v>774294.58</v>
      </c>
      <c r="N3326" s="71" t="n">
        <v>38714.73</v>
      </c>
      <c r="O3326" s="71" t="n">
        <v>735579.85</v>
      </c>
      <c r="P3326" s="71" t="n">
        <v>136067.45</v>
      </c>
      <c r="Q3326" s="71" t="n">
        <v>599512.4</v>
      </c>
      <c r="R3326" t="inlineStr">
        <is>
          <t>Cardiology</t>
        </is>
      </c>
      <c r="S3326" s="70" t="n">
        <v>1414</v>
      </c>
      <c r="T3326" s="71" t="n">
        <v>111091.7</v>
      </c>
      <c r="U3326" t="inlineStr">
        <is>
          <t>High</t>
        </is>
      </c>
      <c r="V3326">
        <f>IF(AND(OR(Dashboard!$C$6="All",E3326=Dashboard!$C$6),OR(Dashboard!$F$6="All",G3326=Dashboard!$F$6),OR(Dashboard!$I$6="All",H3326=Dashboard!$I$6)),1,0)</f>
        <v/>
      </c>
    </row>
    <row r="3327">
      <c r="A3327" t="inlineStr">
        <is>
          <t>PF103318</t>
        </is>
      </c>
      <c r="B3327" s="68" t="n">
        <v>46060</v>
      </c>
      <c r="C3327" s="69" t="n">
        <v>2026</v>
      </c>
      <c r="D3327" t="inlineStr">
        <is>
          <t>Feb</t>
        </is>
      </c>
      <c r="E3327" t="inlineStr">
        <is>
          <t>Emerging markets</t>
        </is>
      </c>
      <c r="F3327" t="inlineStr">
        <is>
          <t>Brazil</t>
        </is>
      </c>
      <c r="G3327" t="inlineStr">
        <is>
          <t>Eliquis</t>
        </is>
      </c>
      <c r="H3327" t="inlineStr">
        <is>
          <t>Retail pharmacy</t>
        </is>
      </c>
      <c r="I3327" t="inlineStr">
        <is>
          <t>Public payer</t>
        </is>
      </c>
      <c r="J3327" t="inlineStr">
        <is>
          <t>Carlos Silva</t>
        </is>
      </c>
      <c r="K3327" s="70" t="n">
        <v>1723</v>
      </c>
      <c r="L3327" s="71" t="n">
        <v>449.11</v>
      </c>
      <c r="M3327" s="71" t="n">
        <v>773816.53</v>
      </c>
      <c r="N3327" s="71" t="n">
        <v>38690.83</v>
      </c>
      <c r="O3327" s="71" t="n">
        <v>735125.7</v>
      </c>
      <c r="P3327" s="71" t="n">
        <v>125960.27</v>
      </c>
      <c r="Q3327" s="71" t="n">
        <v>609165.4300000001</v>
      </c>
      <c r="R3327" t="inlineStr">
        <is>
          <t>Cardiology</t>
        </is>
      </c>
      <c r="S3327" s="70" t="n">
        <v>1461</v>
      </c>
      <c r="T3327" s="71" t="n">
        <v>154580.03</v>
      </c>
      <c r="U3327" t="inlineStr">
        <is>
          <t>High</t>
        </is>
      </c>
      <c r="V3327">
        <f>IF(AND(OR(Dashboard!$C$6="All",E3327=Dashboard!$C$6),OR(Dashboard!$F$6="All",G3327=Dashboard!$F$6),OR(Dashboard!$I$6="All",H3327=Dashboard!$I$6)),1,0)</f>
        <v/>
      </c>
    </row>
    <row r="3328">
      <c r="A3328" t="inlineStr">
        <is>
          <t>PF103319</t>
        </is>
      </c>
      <c r="B3328" s="68" t="n">
        <v>46060</v>
      </c>
      <c r="C3328" s="69" t="n">
        <v>2026</v>
      </c>
      <c r="D3328" t="inlineStr">
        <is>
          <t>Feb</t>
        </is>
      </c>
      <c r="E3328" t="inlineStr">
        <is>
          <t>United States</t>
        </is>
      </c>
      <c r="F3328" t="inlineStr">
        <is>
          <t>USA</t>
        </is>
      </c>
      <c r="G3328" t="inlineStr">
        <is>
          <t>Abrysvo</t>
        </is>
      </c>
      <c r="H3328" t="inlineStr">
        <is>
          <t>Retail pharmacy</t>
        </is>
      </c>
      <c r="I3328" t="inlineStr">
        <is>
          <t>Private insurer</t>
        </is>
      </c>
      <c r="J3328" t="inlineStr">
        <is>
          <t>Omar Haddad</t>
        </is>
      </c>
      <c r="K3328" s="70" t="n">
        <v>1994</v>
      </c>
      <c r="L3328" s="71" t="n">
        <v>540.33</v>
      </c>
      <c r="M3328" s="71" t="n">
        <v>1077418.02</v>
      </c>
      <c r="N3328" s="71" t="n">
        <v>161612.7</v>
      </c>
      <c r="O3328" s="71" t="n">
        <v>915805.3199999999</v>
      </c>
      <c r="P3328" s="71" t="n">
        <v>173401.21</v>
      </c>
      <c r="Q3328" s="71" t="n">
        <v>742404.11</v>
      </c>
      <c r="R3328" t="inlineStr">
        <is>
          <t>Vaccines</t>
        </is>
      </c>
      <c r="S3328" s="70" t="n">
        <v>1354</v>
      </c>
      <c r="T3328" s="71" t="n">
        <v>132381.73</v>
      </c>
      <c r="U3328" t="inlineStr">
        <is>
          <t>Low</t>
        </is>
      </c>
      <c r="V3328">
        <f>IF(AND(OR(Dashboard!$C$6="All",E3328=Dashboard!$C$6),OR(Dashboard!$F$6="All",G3328=Dashboard!$F$6),OR(Dashboard!$I$6="All",H3328=Dashboard!$I$6)),1,0)</f>
        <v/>
      </c>
    </row>
    <row r="3329">
      <c r="A3329" t="inlineStr">
        <is>
          <t>PF103320</t>
        </is>
      </c>
      <c r="B3329" s="68" t="n">
        <v>46060</v>
      </c>
      <c r="C3329" s="69" t="n">
        <v>2026</v>
      </c>
      <c r="D3329" t="inlineStr">
        <is>
          <t>Feb</t>
        </is>
      </c>
      <c r="E3329" t="inlineStr">
        <is>
          <t>Emerging markets</t>
        </is>
      </c>
      <c r="F3329" t="inlineStr">
        <is>
          <t>Brazil</t>
        </is>
      </c>
      <c r="G3329" t="inlineStr">
        <is>
          <t>Xeljanz</t>
        </is>
      </c>
      <c r="H3329" t="inlineStr">
        <is>
          <t>Retail pharmacy</t>
        </is>
      </c>
      <c r="I3329" t="inlineStr">
        <is>
          <t>Public payer</t>
        </is>
      </c>
      <c r="J3329" t="inlineStr">
        <is>
          <t>Noah Smith</t>
        </is>
      </c>
      <c r="K3329" s="70" t="n">
        <v>1515</v>
      </c>
      <c r="L3329" s="71" t="n">
        <v>1338.79</v>
      </c>
      <c r="M3329" s="71" t="n">
        <v>2028266.85</v>
      </c>
      <c r="N3329" s="71" t="n">
        <v>202826.69</v>
      </c>
      <c r="O3329" s="71" t="n">
        <v>1825440.16</v>
      </c>
      <c r="P3329" s="71" t="n">
        <v>392661.36</v>
      </c>
      <c r="Q3329" s="71" t="n">
        <v>1432778.8</v>
      </c>
      <c r="R3329" t="inlineStr">
        <is>
          <t>Inflammation</t>
        </is>
      </c>
      <c r="S3329" s="70" t="n">
        <v>1276</v>
      </c>
      <c r="T3329" s="71" t="n">
        <v>349217.44</v>
      </c>
      <c r="U3329" t="inlineStr">
        <is>
          <t>High</t>
        </is>
      </c>
      <c r="V3329">
        <f>IF(AND(OR(Dashboard!$C$6="All",E3329=Dashboard!$C$6),OR(Dashboard!$F$6="All",G3329=Dashboard!$F$6),OR(Dashboard!$I$6="All",H3329=Dashboard!$I$6)),1,0)</f>
        <v/>
      </c>
    </row>
    <row r="3330">
      <c r="A3330" t="inlineStr">
        <is>
          <t>PF103321</t>
        </is>
      </c>
      <c r="B3330" s="68" t="n">
        <v>46060</v>
      </c>
      <c r="C3330" s="69" t="n">
        <v>2026</v>
      </c>
      <c r="D3330" t="inlineStr">
        <is>
          <t>Feb</t>
        </is>
      </c>
      <c r="E3330" t="inlineStr">
        <is>
          <t>United States</t>
        </is>
      </c>
      <c r="F3330" t="inlineStr">
        <is>
          <t>USA</t>
        </is>
      </c>
      <c r="G3330" t="inlineStr">
        <is>
          <t>Prevnar 20</t>
        </is>
      </c>
      <c r="H3330" t="inlineStr">
        <is>
          <t>Hospital</t>
        </is>
      </c>
      <c r="I3330" t="inlineStr">
        <is>
          <t>Private insurer</t>
        </is>
      </c>
      <c r="J3330" t="inlineStr">
        <is>
          <t>Sara Rossi</t>
        </is>
      </c>
      <c r="K3330" s="70" t="n">
        <v>1601</v>
      </c>
      <c r="L3330" s="71" t="n">
        <v>374.49</v>
      </c>
      <c r="M3330" s="71" t="n">
        <v>599558.49</v>
      </c>
      <c r="N3330" s="71" t="n">
        <v>119911.7</v>
      </c>
      <c r="O3330" s="71" t="n">
        <v>479646.79</v>
      </c>
      <c r="P3330" s="71" t="n">
        <v>108251.25</v>
      </c>
      <c r="Q3330" s="71" t="n">
        <v>371395.54</v>
      </c>
      <c r="R3330" t="inlineStr">
        <is>
          <t>Vaccines</t>
        </is>
      </c>
      <c r="S3330" s="70" t="n">
        <v>1027</v>
      </c>
      <c r="T3330" s="71" t="n">
        <v>124682.83</v>
      </c>
      <c r="U3330" t="inlineStr">
        <is>
          <t>Low</t>
        </is>
      </c>
      <c r="V3330">
        <f>IF(AND(OR(Dashboard!$C$6="All",E3330=Dashboard!$C$6),OR(Dashboard!$F$6="All",G3330=Dashboard!$F$6),OR(Dashboard!$I$6="All",H3330=Dashboard!$I$6)),1,0)</f>
        <v/>
      </c>
    </row>
    <row r="3331">
      <c r="A3331" t="inlineStr">
        <is>
          <t>PF103322</t>
        </is>
      </c>
      <c r="B3331" s="68" t="n">
        <v>46060</v>
      </c>
      <c r="C3331" s="69" t="n">
        <v>2026</v>
      </c>
      <c r="D3331" t="inlineStr">
        <is>
          <t>Feb</t>
        </is>
      </c>
      <c r="E3331" t="inlineStr">
        <is>
          <t>Europe</t>
        </is>
      </c>
      <c r="F3331" t="inlineStr">
        <is>
          <t>UK</t>
        </is>
      </c>
      <c r="G3331" t="inlineStr">
        <is>
          <t>Prevnar 20</t>
        </is>
      </c>
      <c r="H3331" t="inlineStr">
        <is>
          <t>Government / tender</t>
        </is>
      </c>
      <c r="I3331" t="inlineStr">
        <is>
          <t>Public payer</t>
        </is>
      </c>
      <c r="J3331" t="inlineStr">
        <is>
          <t>Ruhi Shaikh</t>
        </is>
      </c>
      <c r="K3331" s="70" t="n">
        <v>1373</v>
      </c>
      <c r="L3331" s="71" t="n">
        <v>222.02</v>
      </c>
      <c r="M3331" s="71" t="n">
        <v>304833.46</v>
      </c>
      <c r="N3331" s="71" t="n">
        <v>60966.69</v>
      </c>
      <c r="O3331" s="71" t="n">
        <v>243866.77</v>
      </c>
      <c r="P3331" s="71" t="n">
        <v>97532.03999999999</v>
      </c>
      <c r="Q3331" s="71" t="n">
        <v>146334.73</v>
      </c>
      <c r="R3331" t="inlineStr">
        <is>
          <t>Vaccines</t>
        </is>
      </c>
      <c r="S3331" s="70" t="n">
        <v>932</v>
      </c>
      <c r="T3331" s="71" t="n">
        <v>58659.72</v>
      </c>
      <c r="U3331" t="inlineStr">
        <is>
          <t>Low</t>
        </is>
      </c>
      <c r="V3331">
        <f>IF(AND(OR(Dashboard!$C$6="All",E3331=Dashboard!$C$6),OR(Dashboard!$F$6="All",G3331=Dashboard!$F$6),OR(Dashboard!$I$6="All",H3331=Dashboard!$I$6)),1,0)</f>
        <v/>
      </c>
    </row>
    <row r="3332">
      <c r="A3332" t="inlineStr">
        <is>
          <t>PF103323</t>
        </is>
      </c>
      <c r="B3332" s="68" t="n">
        <v>46060</v>
      </c>
      <c r="C3332" s="69" t="n">
        <v>2026</v>
      </c>
      <c r="D3332" t="inlineStr">
        <is>
          <t>Feb</t>
        </is>
      </c>
      <c r="E3332" t="inlineStr">
        <is>
          <t>United States</t>
        </is>
      </c>
      <c r="F3332" t="inlineStr">
        <is>
          <t>USA</t>
        </is>
      </c>
      <c r="G3332" t="inlineStr">
        <is>
          <t>Abrysvo</t>
        </is>
      </c>
      <c r="H3332" t="inlineStr">
        <is>
          <t>Hospital</t>
        </is>
      </c>
      <c r="I3332" t="inlineStr">
        <is>
          <t>Self-pay</t>
        </is>
      </c>
      <c r="J3332" t="inlineStr">
        <is>
          <t>Emma Clarke</t>
        </is>
      </c>
      <c r="K3332" s="70" t="n">
        <v>1876</v>
      </c>
      <c r="L3332" s="71" t="n">
        <v>494.08</v>
      </c>
      <c r="M3332" s="71" t="n">
        <v>926894.08</v>
      </c>
      <c r="N3332" s="71" t="n">
        <v>324412.93</v>
      </c>
      <c r="O3332" s="71" t="n">
        <v>602481.15</v>
      </c>
      <c r="P3332" s="71" t="n">
        <v>158358.49</v>
      </c>
      <c r="Q3332" s="71" t="n">
        <v>444122.66</v>
      </c>
      <c r="R3332" t="inlineStr">
        <is>
          <t>Vaccines</t>
        </is>
      </c>
      <c r="S3332" s="70" t="n">
        <v>1425</v>
      </c>
      <c r="T3332" s="71" t="n">
        <v>148528.72</v>
      </c>
      <c r="U3332" t="inlineStr">
        <is>
          <t>Low</t>
        </is>
      </c>
      <c r="V3332">
        <f>IF(AND(OR(Dashboard!$C$6="All",E3332=Dashboard!$C$6),OR(Dashboard!$F$6="All",G3332=Dashboard!$F$6),OR(Dashboard!$I$6="All",H3332=Dashboard!$I$6)),1,0)</f>
        <v/>
      </c>
    </row>
    <row r="3333">
      <c r="A3333" t="inlineStr">
        <is>
          <t>PF103324</t>
        </is>
      </c>
      <c r="B3333" s="68" t="n">
        <v>46060</v>
      </c>
      <c r="C3333" s="69" t="n">
        <v>2026</v>
      </c>
      <c r="D3333" t="inlineStr">
        <is>
          <t>Feb</t>
        </is>
      </c>
      <c r="E3333" t="inlineStr">
        <is>
          <t>United States</t>
        </is>
      </c>
      <c r="F3333" t="inlineStr">
        <is>
          <t>USA</t>
        </is>
      </c>
      <c r="G3333" t="inlineStr">
        <is>
          <t>Eliquis</t>
        </is>
      </c>
      <c r="H3333" t="inlineStr">
        <is>
          <t>Government / tender</t>
        </is>
      </c>
      <c r="I3333" t="inlineStr">
        <is>
          <t>Public payer</t>
        </is>
      </c>
      <c r="J3333" t="inlineStr">
        <is>
          <t>Aisha Bello</t>
        </is>
      </c>
      <c r="K3333" s="70" t="n">
        <v>1466</v>
      </c>
      <c r="L3333" s="71" t="n">
        <v>642.8</v>
      </c>
      <c r="M3333" s="71" t="n">
        <v>942344.8</v>
      </c>
      <c r="N3333" s="71" t="n">
        <v>188468.96</v>
      </c>
      <c r="O3333" s="71" t="n">
        <v>753875.84</v>
      </c>
      <c r="P3333" s="71" t="n">
        <v>114863.49</v>
      </c>
      <c r="Q3333" s="71" t="n">
        <v>639012.35</v>
      </c>
      <c r="R3333" t="inlineStr">
        <is>
          <t>Cardiology</t>
        </is>
      </c>
      <c r="S3333" s="70" t="n">
        <v>1276</v>
      </c>
      <c r="T3333" s="71" t="n">
        <v>147828.7</v>
      </c>
      <c r="U3333" t="inlineStr">
        <is>
          <t>High</t>
        </is>
      </c>
      <c r="V3333">
        <f>IF(AND(OR(Dashboard!$C$6="All",E3333=Dashboard!$C$6),OR(Dashboard!$F$6="All",G3333=Dashboard!$F$6),OR(Dashboard!$I$6="All",H3333=Dashboard!$I$6)),1,0)</f>
        <v/>
      </c>
    </row>
    <row r="3334">
      <c r="A3334" t="inlineStr">
        <is>
          <t>PF103325</t>
        </is>
      </c>
      <c r="B3334" s="68" t="n">
        <v>46061</v>
      </c>
      <c r="C3334" s="69" t="n">
        <v>2026</v>
      </c>
      <c r="D3334" t="inlineStr">
        <is>
          <t>Feb</t>
        </is>
      </c>
      <c r="E3334" t="inlineStr">
        <is>
          <t>International developed</t>
        </is>
      </c>
      <c r="F3334" t="inlineStr">
        <is>
          <t>Australia</t>
        </is>
      </c>
      <c r="G3334" t="inlineStr">
        <is>
          <t>Xeljanz</t>
        </is>
      </c>
      <c r="H3334" t="inlineStr">
        <is>
          <t>Government / tender</t>
        </is>
      </c>
      <c r="I3334" t="inlineStr">
        <is>
          <t>Private insurer</t>
        </is>
      </c>
      <c r="J3334" t="inlineStr">
        <is>
          <t>Aisha Bello</t>
        </is>
      </c>
      <c r="K3334" s="70" t="n">
        <v>391</v>
      </c>
      <c r="L3334" s="71" t="n">
        <v>1274.62</v>
      </c>
      <c r="M3334" s="71" t="n">
        <v>498376.42</v>
      </c>
      <c r="N3334" s="71" t="n">
        <v>49837.64</v>
      </c>
      <c r="O3334" s="71" t="n">
        <v>448538.78</v>
      </c>
      <c r="P3334" s="71" t="n">
        <v>95832.53</v>
      </c>
      <c r="Q3334" s="71" t="n">
        <v>352706.25</v>
      </c>
      <c r="R3334" t="inlineStr">
        <is>
          <t>Inflammation</t>
        </is>
      </c>
      <c r="S3334" s="70" t="n">
        <v>255</v>
      </c>
      <c r="T3334" s="71" t="n">
        <v>88012.94</v>
      </c>
      <c r="U3334" t="inlineStr">
        <is>
          <t>High</t>
        </is>
      </c>
      <c r="V3334">
        <f>IF(AND(OR(Dashboard!$C$6="All",E3334=Dashboard!$C$6),OR(Dashboard!$F$6="All",G3334=Dashboard!$F$6),OR(Dashboard!$I$6="All",H3334=Dashboard!$I$6)),1,0)</f>
        <v/>
      </c>
    </row>
    <row r="3335">
      <c r="A3335" t="inlineStr">
        <is>
          <t>PF103326</t>
        </is>
      </c>
      <c r="B3335" s="68" t="n">
        <v>46061</v>
      </c>
      <c r="C3335" s="69" t="n">
        <v>2026</v>
      </c>
      <c r="D3335" t="inlineStr">
        <is>
          <t>Feb</t>
        </is>
      </c>
      <c r="E3335" t="inlineStr">
        <is>
          <t>United States</t>
        </is>
      </c>
      <c r="F3335" t="inlineStr">
        <is>
          <t>USA</t>
        </is>
      </c>
      <c r="G3335" t="inlineStr">
        <is>
          <t>Paxlovid</t>
        </is>
      </c>
      <c r="H3335" t="inlineStr">
        <is>
          <t>Hospital</t>
        </is>
      </c>
      <c r="I3335" t="inlineStr">
        <is>
          <t>Public payer</t>
        </is>
      </c>
      <c r="J3335" t="inlineStr">
        <is>
          <t>Lucas Martin</t>
        </is>
      </c>
      <c r="K3335" s="70" t="n">
        <v>634</v>
      </c>
      <c r="L3335" s="71" t="n">
        <v>1491.98</v>
      </c>
      <c r="M3335" s="71" t="n">
        <v>945915.3199999999</v>
      </c>
      <c r="N3335" s="71" t="n">
        <v>189183.06</v>
      </c>
      <c r="O3335" s="71" t="n">
        <v>756732.26</v>
      </c>
      <c r="P3335" s="71" t="n">
        <v>170872.8</v>
      </c>
      <c r="Q3335" s="71" t="n">
        <v>585859.46</v>
      </c>
      <c r="R3335" t="inlineStr">
        <is>
          <t>Antiviral</t>
        </is>
      </c>
      <c r="S3335" s="70" t="n">
        <v>419</v>
      </c>
      <c r="T3335" s="71" t="n">
        <v>208297.46</v>
      </c>
      <c r="U3335" t="inlineStr">
        <is>
          <t>Low</t>
        </is>
      </c>
      <c r="V3335">
        <f>IF(AND(OR(Dashboard!$C$6="All",E3335=Dashboard!$C$6),OR(Dashboard!$F$6="All",G3335=Dashboard!$F$6),OR(Dashboard!$I$6="All",H3335=Dashboard!$I$6)),1,0)</f>
        <v/>
      </c>
    </row>
    <row r="3336">
      <c r="A3336" t="inlineStr">
        <is>
          <t>PF103327</t>
        </is>
      </c>
      <c r="B3336" s="68" t="n">
        <v>46061</v>
      </c>
      <c r="C3336" s="69" t="n">
        <v>2026</v>
      </c>
      <c r="D3336" t="inlineStr">
        <is>
          <t>Feb</t>
        </is>
      </c>
      <c r="E3336" t="inlineStr">
        <is>
          <t>International developed</t>
        </is>
      </c>
      <c r="F3336" t="inlineStr">
        <is>
          <t>Australia</t>
        </is>
      </c>
      <c r="G3336" t="inlineStr">
        <is>
          <t>Xeljanz</t>
        </is>
      </c>
      <c r="H3336" t="inlineStr">
        <is>
          <t>Hospital</t>
        </is>
      </c>
      <c r="I3336" t="inlineStr">
        <is>
          <t>Private insurer</t>
        </is>
      </c>
      <c r="J3336" t="inlineStr">
        <is>
          <t>Sara Rossi</t>
        </is>
      </c>
      <c r="K3336" s="70" t="n">
        <v>1928</v>
      </c>
      <c r="L3336" s="71" t="n">
        <v>1340.03</v>
      </c>
      <c r="M3336" s="71" t="n">
        <v>2583577.84</v>
      </c>
      <c r="N3336" s="71" t="n">
        <v>129178.89</v>
      </c>
      <c r="O3336" s="71" t="n">
        <v>2454398.95</v>
      </c>
      <c r="P3336" s="71" t="n">
        <v>497882.9</v>
      </c>
      <c r="Q3336" s="71" t="n">
        <v>1956516.05</v>
      </c>
      <c r="R3336" t="inlineStr">
        <is>
          <t>Inflammation</t>
        </is>
      </c>
      <c r="S3336" s="70" t="n">
        <v>1742</v>
      </c>
      <c r="T3336" s="71" t="n">
        <v>521160.76</v>
      </c>
      <c r="U3336" t="inlineStr">
        <is>
          <t>High</t>
        </is>
      </c>
      <c r="V3336">
        <f>IF(AND(OR(Dashboard!$C$6="All",E3336=Dashboard!$C$6),OR(Dashboard!$F$6="All",G3336=Dashboard!$F$6),OR(Dashboard!$I$6="All",H3336=Dashboard!$I$6)),1,0)</f>
        <v/>
      </c>
    </row>
    <row r="3337">
      <c r="A3337" t="inlineStr">
        <is>
          <t>PF103328</t>
        </is>
      </c>
      <c r="B3337" s="68" t="n">
        <v>46061</v>
      </c>
      <c r="C3337" s="69" t="n">
        <v>2026</v>
      </c>
      <c r="D3337" t="inlineStr">
        <is>
          <t>Feb</t>
        </is>
      </c>
      <c r="E3337" t="inlineStr">
        <is>
          <t>Europe</t>
        </is>
      </c>
      <c r="F3337" t="inlineStr">
        <is>
          <t>France</t>
        </is>
      </c>
      <c r="G3337" t="inlineStr">
        <is>
          <t>Paxlovid</t>
        </is>
      </c>
      <c r="H3337" t="inlineStr">
        <is>
          <t>Retail pharmacy</t>
        </is>
      </c>
      <c r="I3337" t="inlineStr">
        <is>
          <t>Private insurer</t>
        </is>
      </c>
      <c r="J3337" t="inlineStr">
        <is>
          <t>Ravindra Patil</t>
        </is>
      </c>
      <c r="K3337" s="70" t="n">
        <v>848</v>
      </c>
      <c r="L3337" s="71" t="n">
        <v>847.84</v>
      </c>
      <c r="M3337" s="71" t="n">
        <v>718968.3199999999</v>
      </c>
      <c r="N3337" s="71" t="n">
        <v>71896.83</v>
      </c>
      <c r="O3337" s="71" t="n">
        <v>647071.49</v>
      </c>
      <c r="P3337" s="71" t="n">
        <v>225954.38</v>
      </c>
      <c r="Q3337" s="71" t="n">
        <v>421117.11</v>
      </c>
      <c r="R3337" t="inlineStr">
        <is>
          <t>Antiviral</t>
        </is>
      </c>
      <c r="S3337" s="70" t="n">
        <v>807</v>
      </c>
      <c r="T3337" s="71" t="n">
        <v>174291.99</v>
      </c>
      <c r="U3337" t="inlineStr">
        <is>
          <t>Low</t>
        </is>
      </c>
      <c r="V3337">
        <f>IF(AND(OR(Dashboard!$C$6="All",E3337=Dashboard!$C$6),OR(Dashboard!$F$6="All",G3337=Dashboard!$F$6),OR(Dashboard!$I$6="All",H3337=Dashboard!$I$6)),1,0)</f>
        <v/>
      </c>
    </row>
    <row r="3338">
      <c r="A3338" t="inlineStr">
        <is>
          <t>PF103329</t>
        </is>
      </c>
      <c r="B3338" s="68" t="n">
        <v>46061</v>
      </c>
      <c r="C3338" s="69" t="n">
        <v>2026</v>
      </c>
      <c r="D3338" t="inlineStr">
        <is>
          <t>Feb</t>
        </is>
      </c>
      <c r="E3338" t="inlineStr">
        <is>
          <t>Emerging markets</t>
        </is>
      </c>
      <c r="F3338" t="inlineStr">
        <is>
          <t>Brazil</t>
        </is>
      </c>
      <c r="G3338" t="inlineStr">
        <is>
          <t>Paxlovid</t>
        </is>
      </c>
      <c r="H3338" t="inlineStr">
        <is>
          <t>Retail pharmacy</t>
        </is>
      </c>
      <c r="I3338" t="inlineStr">
        <is>
          <t>Self-pay</t>
        </is>
      </c>
      <c r="J3338" t="inlineStr">
        <is>
          <t>Omar Haddad</t>
        </is>
      </c>
      <c r="K3338" s="70" t="n">
        <v>1104</v>
      </c>
      <c r="L3338" s="71" t="n">
        <v>851.5599999999999</v>
      </c>
      <c r="M3338" s="71" t="n">
        <v>940122.24</v>
      </c>
      <c r="N3338" s="71" t="n">
        <v>47006.11</v>
      </c>
      <c r="O3338" s="71" t="n">
        <v>893116.13</v>
      </c>
      <c r="P3338" s="71" t="n">
        <v>301194.75</v>
      </c>
      <c r="Q3338" s="71" t="n">
        <v>591921.38</v>
      </c>
      <c r="R3338" t="inlineStr">
        <is>
          <t>Antiviral</t>
        </is>
      </c>
      <c r="S3338" s="70" t="n">
        <v>987</v>
      </c>
      <c r="T3338" s="71" t="n">
        <v>193201.15</v>
      </c>
      <c r="U3338" t="inlineStr">
        <is>
          <t>Low</t>
        </is>
      </c>
      <c r="V3338">
        <f>IF(AND(OR(Dashboard!$C$6="All",E3338=Dashboard!$C$6),OR(Dashboard!$F$6="All",G3338=Dashboard!$F$6),OR(Dashboard!$I$6="All",H3338=Dashboard!$I$6)),1,0)</f>
        <v/>
      </c>
    </row>
    <row r="3339">
      <c r="A3339" t="inlineStr">
        <is>
          <t>PF103330</t>
        </is>
      </c>
      <c r="B3339" s="68" t="n">
        <v>46061</v>
      </c>
      <c r="C3339" s="69" t="n">
        <v>2026</v>
      </c>
      <c r="D3339" t="inlineStr">
        <is>
          <t>Feb</t>
        </is>
      </c>
      <c r="E3339" t="inlineStr">
        <is>
          <t>United States</t>
        </is>
      </c>
      <c r="F3339" t="inlineStr">
        <is>
          <t>USA</t>
        </is>
      </c>
      <c r="G3339" t="inlineStr">
        <is>
          <t>Eliquis</t>
        </is>
      </c>
      <c r="H3339" t="inlineStr">
        <is>
          <t>Hospital</t>
        </is>
      </c>
      <c r="I3339" t="inlineStr">
        <is>
          <t>Public payer</t>
        </is>
      </c>
      <c r="J3339" t="inlineStr">
        <is>
          <t>Ana Costa</t>
        </is>
      </c>
      <c r="K3339" s="70" t="n">
        <v>789</v>
      </c>
      <c r="L3339" s="71" t="n">
        <v>665.16</v>
      </c>
      <c r="M3339" s="71" t="n">
        <v>524811.24</v>
      </c>
      <c r="N3339" s="71" t="n">
        <v>78721.69</v>
      </c>
      <c r="O3339" s="71" t="n">
        <v>446089.55</v>
      </c>
      <c r="P3339" s="71" t="n">
        <v>58887.1</v>
      </c>
      <c r="Q3339" s="71" t="n">
        <v>387202.45</v>
      </c>
      <c r="R3339" t="inlineStr">
        <is>
          <t>Cardiology</t>
        </is>
      </c>
      <c r="S3339" s="70" t="n">
        <v>721</v>
      </c>
      <c r="T3339" s="71" t="n">
        <v>77518.75999999999</v>
      </c>
      <c r="U3339" t="inlineStr">
        <is>
          <t>High</t>
        </is>
      </c>
      <c r="V3339">
        <f>IF(AND(OR(Dashboard!$C$6="All",E3339=Dashboard!$C$6),OR(Dashboard!$F$6="All",G3339=Dashboard!$F$6),OR(Dashboard!$I$6="All",H3339=Dashboard!$I$6)),1,0)</f>
        <v/>
      </c>
    </row>
    <row r="3340">
      <c r="A3340" t="inlineStr">
        <is>
          <t>PF103331</t>
        </is>
      </c>
      <c r="B3340" s="68" t="n">
        <v>46061</v>
      </c>
      <c r="C3340" s="69" t="n">
        <v>2026</v>
      </c>
      <c r="D3340" t="inlineStr">
        <is>
          <t>Feb</t>
        </is>
      </c>
      <c r="E3340" t="inlineStr">
        <is>
          <t>Emerging markets</t>
        </is>
      </c>
      <c r="F3340" t="inlineStr">
        <is>
          <t>Mexico</t>
        </is>
      </c>
      <c r="G3340" t="inlineStr">
        <is>
          <t>Eliquis</t>
        </is>
      </c>
      <c r="H3340" t="inlineStr">
        <is>
          <t>Government / tender</t>
        </is>
      </c>
      <c r="I3340" t="inlineStr">
        <is>
          <t>Private insurer</t>
        </is>
      </c>
      <c r="J3340" t="inlineStr">
        <is>
          <t>Omar Haddad</t>
        </is>
      </c>
      <c r="K3340" s="70" t="n">
        <v>2518</v>
      </c>
      <c r="L3340" s="71" t="n">
        <v>432</v>
      </c>
      <c r="M3340" s="71" t="n">
        <v>1087776</v>
      </c>
      <c r="N3340" s="71" t="n">
        <v>54388.8</v>
      </c>
      <c r="O3340" s="71" t="n">
        <v>1033387.2</v>
      </c>
      <c r="P3340" s="71" t="n">
        <v>184415.97</v>
      </c>
      <c r="Q3340" s="71" t="n">
        <v>848971.23</v>
      </c>
      <c r="R3340" t="inlineStr">
        <is>
          <t>Cardiology</t>
        </is>
      </c>
      <c r="S3340" s="70" t="n">
        <v>1807</v>
      </c>
      <c r="T3340" s="71" t="n">
        <v>204053.3</v>
      </c>
      <c r="U3340" t="inlineStr">
        <is>
          <t>High</t>
        </is>
      </c>
      <c r="V3340">
        <f>IF(AND(OR(Dashboard!$C$6="All",E3340=Dashboard!$C$6),OR(Dashboard!$F$6="All",G3340=Dashboard!$F$6),OR(Dashboard!$I$6="All",H3340=Dashboard!$I$6)),1,0)</f>
        <v/>
      </c>
    </row>
    <row r="3341">
      <c r="A3341" t="inlineStr">
        <is>
          <t>PF103332</t>
        </is>
      </c>
      <c r="B3341" s="68" t="n">
        <v>46061</v>
      </c>
      <c r="C3341" s="69" t="n">
        <v>2026</v>
      </c>
      <c r="D3341" t="inlineStr">
        <is>
          <t>Feb</t>
        </is>
      </c>
      <c r="E3341" t="inlineStr">
        <is>
          <t>Emerging markets</t>
        </is>
      </c>
      <c r="F3341" t="inlineStr">
        <is>
          <t>Brazil</t>
        </is>
      </c>
      <c r="G3341" t="inlineStr">
        <is>
          <t>Vyndaqel</t>
        </is>
      </c>
      <c r="H3341" t="inlineStr">
        <is>
          <t>Government / tender</t>
        </is>
      </c>
      <c r="I3341" t="inlineStr">
        <is>
          <t>Self-pay</t>
        </is>
      </c>
      <c r="J3341" t="inlineStr">
        <is>
          <t>Aisha Bello</t>
        </is>
      </c>
      <c r="K3341" s="70" t="n">
        <v>2949</v>
      </c>
      <c r="L3341" s="71" t="n">
        <v>5207.61</v>
      </c>
      <c r="M3341" s="71" t="n">
        <v>15357241.89</v>
      </c>
      <c r="N3341" s="71" t="n">
        <v>3071448.38</v>
      </c>
      <c r="O3341" s="71" t="n">
        <v>12285793.51</v>
      </c>
      <c r="P3341" s="71" t="n">
        <v>1794535.1</v>
      </c>
      <c r="Q3341" s="71" t="n">
        <v>10491258.41</v>
      </c>
      <c r="R3341" t="inlineStr">
        <is>
          <t>Rare disease</t>
        </is>
      </c>
      <c r="S3341" s="70" t="n">
        <v>2080</v>
      </c>
      <c r="T3341" s="71" t="n">
        <v>2755964.46</v>
      </c>
      <c r="U3341" t="inlineStr">
        <is>
          <t>Medium</t>
        </is>
      </c>
      <c r="V3341">
        <f>IF(AND(OR(Dashboard!$C$6="All",E3341=Dashboard!$C$6),OR(Dashboard!$F$6="All",G3341=Dashboard!$F$6),OR(Dashboard!$I$6="All",H3341=Dashboard!$I$6)),1,0)</f>
        <v/>
      </c>
    </row>
    <row r="3342">
      <c r="A3342" t="inlineStr">
        <is>
          <t>PF103333</t>
        </is>
      </c>
      <c r="B3342" s="68" t="n">
        <v>46061</v>
      </c>
      <c r="C3342" s="69" t="n">
        <v>2026</v>
      </c>
      <c r="D3342" t="inlineStr">
        <is>
          <t>Feb</t>
        </is>
      </c>
      <c r="E3342" t="inlineStr">
        <is>
          <t>United States</t>
        </is>
      </c>
      <c r="F3342" t="inlineStr">
        <is>
          <t>USA</t>
        </is>
      </c>
      <c r="G3342" t="inlineStr">
        <is>
          <t>Paxlovid</t>
        </is>
      </c>
      <c r="H3342" t="inlineStr">
        <is>
          <t>Hospital</t>
        </is>
      </c>
      <c r="I3342" t="inlineStr">
        <is>
          <t>Public payer</t>
        </is>
      </c>
      <c r="J3342" t="inlineStr">
        <is>
          <t>Omar Haddad</t>
        </is>
      </c>
      <c r="K3342" s="70" t="n">
        <v>508</v>
      </c>
      <c r="L3342" s="71" t="n">
        <v>1326.39</v>
      </c>
      <c r="M3342" s="71" t="n">
        <v>673806.12</v>
      </c>
      <c r="N3342" s="71" t="n">
        <v>168451.53</v>
      </c>
      <c r="O3342" s="71" t="n">
        <v>505354.59</v>
      </c>
      <c r="P3342" s="71" t="n">
        <v>139373.62</v>
      </c>
      <c r="Q3342" s="71" t="n">
        <v>365980.97</v>
      </c>
      <c r="R3342" t="inlineStr">
        <is>
          <t>Antiviral</t>
        </is>
      </c>
      <c r="S3342" s="70" t="n">
        <v>396</v>
      </c>
      <c r="T3342" s="71" t="n">
        <v>149436.14</v>
      </c>
      <c r="U3342" t="inlineStr">
        <is>
          <t>Low</t>
        </is>
      </c>
      <c r="V3342">
        <f>IF(AND(OR(Dashboard!$C$6="All",E3342=Dashboard!$C$6),OR(Dashboard!$F$6="All",G3342=Dashboard!$F$6),OR(Dashboard!$I$6="All",H3342=Dashboard!$I$6)),1,0)</f>
        <v/>
      </c>
    </row>
    <row r="3343">
      <c r="A3343" t="inlineStr">
        <is>
          <t>PF103334</t>
        </is>
      </c>
      <c r="B3343" s="68" t="n">
        <v>46061</v>
      </c>
      <c r="C3343" s="69" t="n">
        <v>2026</v>
      </c>
      <c r="D3343" t="inlineStr">
        <is>
          <t>Feb</t>
        </is>
      </c>
      <c r="E3343" t="inlineStr">
        <is>
          <t>Europe</t>
        </is>
      </c>
      <c r="F3343" t="inlineStr">
        <is>
          <t>UK</t>
        </is>
      </c>
      <c r="G3343" t="inlineStr">
        <is>
          <t>Eliquis</t>
        </is>
      </c>
      <c r="H3343" t="inlineStr">
        <is>
          <t>Government / tender</t>
        </is>
      </c>
      <c r="I3343" t="inlineStr">
        <is>
          <t>Private insurer</t>
        </is>
      </c>
      <c r="J3343" t="inlineStr">
        <is>
          <t>Ana Costa</t>
        </is>
      </c>
      <c r="K3343" s="70" t="n">
        <v>1717</v>
      </c>
      <c r="L3343" s="71" t="n">
        <v>410.6</v>
      </c>
      <c r="M3343" s="71" t="n">
        <v>705000.2</v>
      </c>
      <c r="N3343" s="71" t="n">
        <v>105750.03</v>
      </c>
      <c r="O3343" s="71" t="n">
        <v>599250.17</v>
      </c>
      <c r="P3343" s="71" t="n">
        <v>132010.75</v>
      </c>
      <c r="Q3343" s="71" t="n">
        <v>467239.42</v>
      </c>
      <c r="R3343" t="inlineStr">
        <is>
          <t>Cardiology</t>
        </is>
      </c>
      <c r="S3343" s="70" t="n">
        <v>1508</v>
      </c>
      <c r="T3343" s="71" t="n">
        <v>94964.17</v>
      </c>
      <c r="U3343" t="inlineStr">
        <is>
          <t>High</t>
        </is>
      </c>
      <c r="V3343">
        <f>IF(AND(OR(Dashboard!$C$6="All",E3343=Dashboard!$C$6),OR(Dashboard!$F$6="All",G3343=Dashboard!$F$6),OR(Dashboard!$I$6="All",H3343=Dashboard!$I$6)),1,0)</f>
        <v/>
      </c>
    </row>
    <row r="3344">
      <c r="A3344" t="inlineStr">
        <is>
          <t>PF103335</t>
        </is>
      </c>
      <c r="B3344" s="68" t="n">
        <v>46061</v>
      </c>
      <c r="C3344" s="69" t="n">
        <v>2026</v>
      </c>
      <c r="D3344" t="inlineStr">
        <is>
          <t>Feb</t>
        </is>
      </c>
      <c r="E3344" t="inlineStr">
        <is>
          <t>United States</t>
        </is>
      </c>
      <c r="F3344" t="inlineStr">
        <is>
          <t>USA</t>
        </is>
      </c>
      <c r="G3344" t="inlineStr">
        <is>
          <t>Abrysvo</t>
        </is>
      </c>
      <c r="H3344" t="inlineStr">
        <is>
          <t>Government / tender</t>
        </is>
      </c>
      <c r="I3344" t="inlineStr">
        <is>
          <t>Private insurer</t>
        </is>
      </c>
      <c r="J3344" t="inlineStr">
        <is>
          <t>Mei Lin</t>
        </is>
      </c>
      <c r="K3344" s="70" t="n">
        <v>2559</v>
      </c>
      <c r="L3344" s="71" t="n">
        <v>477.51</v>
      </c>
      <c r="M3344" s="71" t="n">
        <v>1221948.09</v>
      </c>
      <c r="N3344" s="71" t="n">
        <v>366584.43</v>
      </c>
      <c r="O3344" s="71" t="n">
        <v>855363.66</v>
      </c>
      <c r="P3344" s="71" t="n">
        <v>222076.19</v>
      </c>
      <c r="Q3344" s="71" t="n">
        <v>633287.47</v>
      </c>
      <c r="R3344" t="inlineStr">
        <is>
          <t>Vaccines</t>
        </is>
      </c>
      <c r="S3344" s="70" t="n">
        <v>2349</v>
      </c>
      <c r="T3344" s="71" t="n">
        <v>154144.29</v>
      </c>
      <c r="U3344" t="inlineStr">
        <is>
          <t>Low</t>
        </is>
      </c>
      <c r="V3344">
        <f>IF(AND(OR(Dashboard!$C$6="All",E3344=Dashboard!$C$6),OR(Dashboard!$F$6="All",G3344=Dashboard!$F$6),OR(Dashboard!$I$6="All",H3344=Dashboard!$I$6)),1,0)</f>
        <v/>
      </c>
    </row>
    <row r="3345">
      <c r="A3345" t="inlineStr">
        <is>
          <t>PF103336</t>
        </is>
      </c>
      <c r="B3345" s="68" t="n">
        <v>46061</v>
      </c>
      <c r="C3345" s="69" t="n">
        <v>2026</v>
      </c>
      <c r="D3345" t="inlineStr">
        <is>
          <t>Feb</t>
        </is>
      </c>
      <c r="E3345" t="inlineStr">
        <is>
          <t>Emerging markets</t>
        </is>
      </c>
      <c r="F3345" t="inlineStr">
        <is>
          <t>China</t>
        </is>
      </c>
      <c r="G3345" t="inlineStr">
        <is>
          <t>Eliquis</t>
        </is>
      </c>
      <c r="H3345" t="inlineStr">
        <is>
          <t>Hospital</t>
        </is>
      </c>
      <c r="I3345" t="inlineStr">
        <is>
          <t>Public payer</t>
        </is>
      </c>
      <c r="J3345" t="inlineStr">
        <is>
          <t>Omar Haddad</t>
        </is>
      </c>
      <c r="K3345" s="70" t="n">
        <v>955</v>
      </c>
      <c r="L3345" s="71" t="n">
        <v>459.13</v>
      </c>
      <c r="M3345" s="71" t="n">
        <v>438469.15</v>
      </c>
      <c r="N3345" s="71" t="n">
        <v>65770.37</v>
      </c>
      <c r="O3345" s="71" t="n">
        <v>372698.78</v>
      </c>
      <c r="P3345" s="71" t="n">
        <v>72683.31</v>
      </c>
      <c r="Q3345" s="71" t="n">
        <v>300015.47</v>
      </c>
      <c r="R3345" t="inlineStr">
        <is>
          <t>Cardiology</t>
        </is>
      </c>
      <c r="S3345" s="70" t="n">
        <v>607</v>
      </c>
      <c r="T3345" s="71" t="n">
        <v>54611.18</v>
      </c>
      <c r="U3345" t="inlineStr">
        <is>
          <t>High</t>
        </is>
      </c>
      <c r="V3345">
        <f>IF(AND(OR(Dashboard!$C$6="All",E3345=Dashboard!$C$6),OR(Dashboard!$F$6="All",G3345=Dashboard!$F$6),OR(Dashboard!$I$6="All",H3345=Dashboard!$I$6)),1,0)</f>
        <v/>
      </c>
    </row>
    <row r="3346">
      <c r="A3346" t="inlineStr">
        <is>
          <t>PF103337</t>
        </is>
      </c>
      <c r="B3346" s="68" t="n">
        <v>46061</v>
      </c>
      <c r="C3346" s="69" t="n">
        <v>2026</v>
      </c>
      <c r="D3346" t="inlineStr">
        <is>
          <t>Feb</t>
        </is>
      </c>
      <c r="E3346" t="inlineStr">
        <is>
          <t>Emerging markets</t>
        </is>
      </c>
      <c r="F3346" t="inlineStr">
        <is>
          <t>Brazil</t>
        </is>
      </c>
      <c r="G3346" t="inlineStr">
        <is>
          <t>Prevnar 20</t>
        </is>
      </c>
      <c r="H3346" t="inlineStr">
        <is>
          <t>Retail pharmacy</t>
        </is>
      </c>
      <c r="I3346" t="inlineStr">
        <is>
          <t>Private insurer</t>
        </is>
      </c>
      <c r="J3346" t="inlineStr">
        <is>
          <t>Liam O'Brien</t>
        </is>
      </c>
      <c r="K3346" s="70" t="n">
        <v>2168</v>
      </c>
      <c r="L3346" s="71" t="n">
        <v>211.99</v>
      </c>
      <c r="M3346" s="71" t="n">
        <v>459594.32</v>
      </c>
      <c r="N3346" s="71" t="n">
        <v>114898.58</v>
      </c>
      <c r="O3346" s="71" t="n">
        <v>344695.74</v>
      </c>
      <c r="P3346" s="71" t="n">
        <v>150356.95</v>
      </c>
      <c r="Q3346" s="71" t="n">
        <v>194338.79</v>
      </c>
      <c r="R3346" t="inlineStr">
        <is>
          <t>Vaccines</t>
        </is>
      </c>
      <c r="S3346" s="70" t="n">
        <v>2041</v>
      </c>
      <c r="T3346" s="71" t="n">
        <v>94438.35000000001</v>
      </c>
      <c r="U3346" t="inlineStr">
        <is>
          <t>Low</t>
        </is>
      </c>
      <c r="V3346">
        <f>IF(AND(OR(Dashboard!$C$6="All",E3346=Dashboard!$C$6),OR(Dashboard!$F$6="All",G3346=Dashboard!$F$6),OR(Dashboard!$I$6="All",H3346=Dashboard!$I$6)),1,0)</f>
        <v/>
      </c>
    </row>
    <row r="3347">
      <c r="A3347" t="inlineStr">
        <is>
          <t>PF103338</t>
        </is>
      </c>
      <c r="B3347" s="68" t="n">
        <v>46061</v>
      </c>
      <c r="C3347" s="69" t="n">
        <v>2026</v>
      </c>
      <c r="D3347" t="inlineStr">
        <is>
          <t>Feb</t>
        </is>
      </c>
      <c r="E3347" t="inlineStr">
        <is>
          <t>United States</t>
        </is>
      </c>
      <c r="F3347" t="inlineStr">
        <is>
          <t>USA</t>
        </is>
      </c>
      <c r="G3347" t="inlineStr">
        <is>
          <t>Xeljanz</t>
        </is>
      </c>
      <c r="H3347" t="inlineStr">
        <is>
          <t>Hospital</t>
        </is>
      </c>
      <c r="I3347" t="inlineStr">
        <is>
          <t>Public payer</t>
        </is>
      </c>
      <c r="J3347" t="inlineStr">
        <is>
          <t>Omar Haddad</t>
        </is>
      </c>
      <c r="K3347" s="70" t="n">
        <v>2447</v>
      </c>
      <c r="L3347" s="71" t="n">
        <v>2199.13</v>
      </c>
      <c r="M3347" s="71" t="n">
        <v>5381271.11</v>
      </c>
      <c r="N3347" s="71" t="n">
        <v>1614381.33</v>
      </c>
      <c r="O3347" s="71" t="n">
        <v>3766889.78</v>
      </c>
      <c r="P3347" s="71" t="n">
        <v>628576.3199999999</v>
      </c>
      <c r="Q3347" s="71" t="n">
        <v>3138313.46</v>
      </c>
      <c r="R3347" t="inlineStr">
        <is>
          <t>Inflammation</t>
        </is>
      </c>
      <c r="S3347" s="70" t="n">
        <v>1852</v>
      </c>
      <c r="T3347" s="71" t="n">
        <v>1189262.69</v>
      </c>
      <c r="U3347" t="inlineStr">
        <is>
          <t>High</t>
        </is>
      </c>
      <c r="V3347">
        <f>IF(AND(OR(Dashboard!$C$6="All",E3347=Dashboard!$C$6),OR(Dashboard!$F$6="All",G3347=Dashboard!$F$6),OR(Dashboard!$I$6="All",H3347=Dashboard!$I$6)),1,0)</f>
        <v/>
      </c>
    </row>
    <row r="3348">
      <c r="A3348" t="inlineStr">
        <is>
          <t>PF103339</t>
        </is>
      </c>
      <c r="B3348" s="68" t="n">
        <v>46062</v>
      </c>
      <c r="C3348" s="69" t="n">
        <v>2026</v>
      </c>
      <c r="D3348" t="inlineStr">
        <is>
          <t>Feb</t>
        </is>
      </c>
      <c r="E3348" t="inlineStr">
        <is>
          <t>United States</t>
        </is>
      </c>
      <c r="F3348" t="inlineStr">
        <is>
          <t>USA</t>
        </is>
      </c>
      <c r="G3348" t="inlineStr">
        <is>
          <t>Eliquis</t>
        </is>
      </c>
      <c r="H3348" t="inlineStr">
        <is>
          <t>Hospital</t>
        </is>
      </c>
      <c r="I3348" t="inlineStr">
        <is>
          <t>Self-pay</t>
        </is>
      </c>
      <c r="J3348" t="inlineStr">
        <is>
          <t>Amir Khan</t>
        </is>
      </c>
      <c r="K3348" s="70" t="n">
        <v>1544</v>
      </c>
      <c r="L3348" s="71" t="n">
        <v>624.3</v>
      </c>
      <c r="M3348" s="71" t="n">
        <v>963919.2</v>
      </c>
      <c r="N3348" s="71" t="n">
        <v>337371.72</v>
      </c>
      <c r="O3348" s="71" t="n">
        <v>626547.48</v>
      </c>
      <c r="P3348" s="71" t="n">
        <v>112387.93</v>
      </c>
      <c r="Q3348" s="71" t="n">
        <v>514159.55</v>
      </c>
      <c r="R3348" t="inlineStr">
        <is>
          <t>Cardiology</t>
        </is>
      </c>
      <c r="S3348" s="70" t="n">
        <v>1035</v>
      </c>
      <c r="T3348" s="71" t="n">
        <v>187920.85</v>
      </c>
      <c r="U3348" t="inlineStr">
        <is>
          <t>High</t>
        </is>
      </c>
      <c r="V3348">
        <f>IF(AND(OR(Dashboard!$C$6="All",E3348=Dashboard!$C$6),OR(Dashboard!$F$6="All",G3348=Dashboard!$F$6),OR(Dashboard!$I$6="All",H3348=Dashboard!$I$6)),1,0)</f>
        <v/>
      </c>
    </row>
    <row r="3349">
      <c r="A3349" t="inlineStr">
        <is>
          <t>PF103340</t>
        </is>
      </c>
      <c r="B3349" s="68" t="n">
        <v>46062</v>
      </c>
      <c r="C3349" s="69" t="n">
        <v>2026</v>
      </c>
      <c r="D3349" t="inlineStr">
        <is>
          <t>Feb</t>
        </is>
      </c>
      <c r="E3349" t="inlineStr">
        <is>
          <t>United States</t>
        </is>
      </c>
      <c r="F3349" t="inlineStr">
        <is>
          <t>USA</t>
        </is>
      </c>
      <c r="G3349" t="inlineStr">
        <is>
          <t>Vyndaqel</t>
        </is>
      </c>
      <c r="H3349" t="inlineStr">
        <is>
          <t>Hospital</t>
        </is>
      </c>
      <c r="I3349" t="inlineStr">
        <is>
          <t>Private insurer</t>
        </is>
      </c>
      <c r="J3349" t="inlineStr">
        <is>
          <t>Hiroshi Tanaka</t>
        </is>
      </c>
      <c r="K3349" s="70" t="n">
        <v>2576</v>
      </c>
      <c r="L3349" s="71" t="n">
        <v>9223.620000000001</v>
      </c>
      <c r="M3349" s="71" t="n">
        <v>23760045.12</v>
      </c>
      <c r="N3349" s="71" t="n">
        <v>7128013.54</v>
      </c>
      <c r="O3349" s="71" t="n">
        <v>16632031.58</v>
      </c>
      <c r="P3349" s="71" t="n">
        <v>1621720.16</v>
      </c>
      <c r="Q3349" s="71" t="n">
        <v>15010311.42</v>
      </c>
      <c r="R3349" t="inlineStr">
        <is>
          <t>Rare disease</t>
        </is>
      </c>
      <c r="S3349" s="70" t="n">
        <v>1721</v>
      </c>
      <c r="T3349" s="71" t="n">
        <v>3352619.45</v>
      </c>
      <c r="U3349" t="inlineStr">
        <is>
          <t>Medium</t>
        </is>
      </c>
      <c r="V3349">
        <f>IF(AND(OR(Dashboard!$C$6="All",E3349=Dashboard!$C$6),OR(Dashboard!$F$6="All",G3349=Dashboard!$F$6),OR(Dashboard!$I$6="All",H3349=Dashboard!$I$6)),1,0)</f>
        <v/>
      </c>
    </row>
    <row r="3350">
      <c r="A3350" t="inlineStr">
        <is>
          <t>PF103341</t>
        </is>
      </c>
      <c r="B3350" s="68" t="n">
        <v>46062</v>
      </c>
      <c r="C3350" s="69" t="n">
        <v>2026</v>
      </c>
      <c r="D3350" t="inlineStr">
        <is>
          <t>Feb</t>
        </is>
      </c>
      <c r="E3350" t="inlineStr">
        <is>
          <t>International developed</t>
        </is>
      </c>
      <c r="F3350" t="inlineStr">
        <is>
          <t>Canada</t>
        </is>
      </c>
      <c r="G3350" t="inlineStr">
        <is>
          <t>Eliquis</t>
        </is>
      </c>
      <c r="H3350" t="inlineStr">
        <is>
          <t>Retail pharmacy</t>
        </is>
      </c>
      <c r="I3350" t="inlineStr">
        <is>
          <t>Private insurer</t>
        </is>
      </c>
      <c r="J3350" t="inlineStr">
        <is>
          <t>Emma Clarke</t>
        </is>
      </c>
      <c r="K3350" s="70" t="n">
        <v>408</v>
      </c>
      <c r="L3350" s="71" t="n">
        <v>437.01</v>
      </c>
      <c r="M3350" s="71" t="n">
        <v>178300.08</v>
      </c>
      <c r="N3350" s="71" t="n">
        <v>8915</v>
      </c>
      <c r="O3350" s="71" t="n">
        <v>169385.08</v>
      </c>
      <c r="P3350" s="71" t="n">
        <v>29643.68</v>
      </c>
      <c r="Q3350" s="71" t="n">
        <v>139741.4</v>
      </c>
      <c r="R3350" t="inlineStr">
        <is>
          <t>Cardiology</t>
        </is>
      </c>
      <c r="S3350" s="70" t="n">
        <v>406</v>
      </c>
      <c r="T3350" s="71" t="n">
        <v>35486.69</v>
      </c>
      <c r="U3350" t="inlineStr">
        <is>
          <t>High</t>
        </is>
      </c>
      <c r="V3350">
        <f>IF(AND(OR(Dashboard!$C$6="All",E3350=Dashboard!$C$6),OR(Dashboard!$F$6="All",G3350=Dashboard!$F$6),OR(Dashboard!$I$6="All",H3350=Dashboard!$I$6)),1,0)</f>
        <v/>
      </c>
    </row>
    <row r="3351">
      <c r="A3351" t="inlineStr">
        <is>
          <t>PF103342</t>
        </is>
      </c>
      <c r="B3351" s="68" t="n">
        <v>46062</v>
      </c>
      <c r="C3351" s="69" t="n">
        <v>2026</v>
      </c>
      <c r="D3351" t="inlineStr">
        <is>
          <t>Feb</t>
        </is>
      </c>
      <c r="E3351" t="inlineStr">
        <is>
          <t>Emerging markets</t>
        </is>
      </c>
      <c r="F3351" t="inlineStr">
        <is>
          <t>India</t>
        </is>
      </c>
      <c r="G3351" t="inlineStr">
        <is>
          <t>Paxlovid</t>
        </is>
      </c>
      <c r="H3351" t="inlineStr">
        <is>
          <t>Hospital</t>
        </is>
      </c>
      <c r="I3351" t="inlineStr">
        <is>
          <t>Public payer</t>
        </is>
      </c>
      <c r="J3351" t="inlineStr">
        <is>
          <t>Carlos Silva</t>
        </is>
      </c>
      <c r="K3351" s="70" t="n">
        <v>986</v>
      </c>
      <c r="L3351" s="71" t="n">
        <v>952.7</v>
      </c>
      <c r="M3351" s="71" t="n">
        <v>939362.2</v>
      </c>
      <c r="N3351" s="71" t="n">
        <v>187872.44</v>
      </c>
      <c r="O3351" s="71" t="n">
        <v>751489.76</v>
      </c>
      <c r="P3351" s="71" t="n">
        <v>276886.01</v>
      </c>
      <c r="Q3351" s="71" t="n">
        <v>474603.75</v>
      </c>
      <c r="R3351" t="inlineStr">
        <is>
          <t>Antiviral</t>
        </is>
      </c>
      <c r="S3351" s="70" t="n">
        <v>848</v>
      </c>
      <c r="T3351" s="71" t="n">
        <v>201230.75</v>
      </c>
      <c r="U3351" t="inlineStr">
        <is>
          <t>Low</t>
        </is>
      </c>
      <c r="V3351">
        <f>IF(AND(OR(Dashboard!$C$6="All",E3351=Dashboard!$C$6),OR(Dashboard!$F$6="All",G3351=Dashboard!$F$6),OR(Dashboard!$I$6="All",H3351=Dashboard!$I$6)),1,0)</f>
        <v/>
      </c>
    </row>
    <row r="3352">
      <c r="A3352" t="inlineStr">
        <is>
          <t>PF103343</t>
        </is>
      </c>
      <c r="B3352" s="68" t="n">
        <v>46062</v>
      </c>
      <c r="C3352" s="69" t="n">
        <v>2026</v>
      </c>
      <c r="D3352" t="inlineStr">
        <is>
          <t>Feb</t>
        </is>
      </c>
      <c r="E3352" t="inlineStr">
        <is>
          <t>United States</t>
        </is>
      </c>
      <c r="F3352" t="inlineStr">
        <is>
          <t>USA</t>
        </is>
      </c>
      <c r="G3352" t="inlineStr">
        <is>
          <t>Abrysvo</t>
        </is>
      </c>
      <c r="H3352" t="inlineStr">
        <is>
          <t>Government / tender</t>
        </is>
      </c>
      <c r="I3352" t="inlineStr">
        <is>
          <t>Private insurer</t>
        </is>
      </c>
      <c r="J3352" t="inlineStr">
        <is>
          <t>Priya Nair</t>
        </is>
      </c>
      <c r="K3352" s="70" t="n">
        <v>741</v>
      </c>
      <c r="L3352" s="71" t="n">
        <v>529.29</v>
      </c>
      <c r="M3352" s="71" t="n">
        <v>392203.89</v>
      </c>
      <c r="N3352" s="71" t="n">
        <v>78440.78</v>
      </c>
      <c r="O3352" s="71" t="n">
        <v>313763.11</v>
      </c>
      <c r="P3352" s="71" t="n">
        <v>64285.61</v>
      </c>
      <c r="Q3352" s="71" t="n">
        <v>249477.5</v>
      </c>
      <c r="R3352" t="inlineStr">
        <is>
          <t>Vaccines</t>
        </is>
      </c>
      <c r="S3352" s="70" t="n">
        <v>636</v>
      </c>
      <c r="T3352" s="71" t="n">
        <v>70796.28999999999</v>
      </c>
      <c r="U3352" t="inlineStr">
        <is>
          <t>Low</t>
        </is>
      </c>
      <c r="V3352">
        <f>IF(AND(OR(Dashboard!$C$6="All",E3352=Dashboard!$C$6),OR(Dashboard!$F$6="All",G3352=Dashboard!$F$6),OR(Dashboard!$I$6="All",H3352=Dashboard!$I$6)),1,0)</f>
        <v/>
      </c>
    </row>
    <row r="3353">
      <c r="A3353" t="inlineStr">
        <is>
          <t>PF103344</t>
        </is>
      </c>
      <c r="B3353" s="68" t="n">
        <v>46062</v>
      </c>
      <c r="C3353" s="69" t="n">
        <v>2026</v>
      </c>
      <c r="D3353" t="inlineStr">
        <is>
          <t>Feb</t>
        </is>
      </c>
      <c r="E3353" t="inlineStr">
        <is>
          <t>United States</t>
        </is>
      </c>
      <c r="F3353" t="inlineStr">
        <is>
          <t>USA</t>
        </is>
      </c>
      <c r="G3353" t="inlineStr">
        <is>
          <t>Prevnar 20</t>
        </is>
      </c>
      <c r="H3353" t="inlineStr">
        <is>
          <t>Hospital</t>
        </is>
      </c>
      <c r="I3353" t="inlineStr">
        <is>
          <t>Public payer</t>
        </is>
      </c>
      <c r="J3353" t="inlineStr">
        <is>
          <t>Lucas Martin</t>
        </is>
      </c>
      <c r="K3353" s="70" t="n">
        <v>2486</v>
      </c>
      <c r="L3353" s="71" t="n">
        <v>397.37</v>
      </c>
      <c r="M3353" s="71" t="n">
        <v>987861.8199999999</v>
      </c>
      <c r="N3353" s="71" t="n">
        <v>246965.45</v>
      </c>
      <c r="O3353" s="71" t="n">
        <v>740896.37</v>
      </c>
      <c r="P3353" s="71" t="n">
        <v>177505.93</v>
      </c>
      <c r="Q3353" s="71" t="n">
        <v>563390.4399999999</v>
      </c>
      <c r="R3353" t="inlineStr">
        <is>
          <t>Vaccines</t>
        </is>
      </c>
      <c r="S3353" s="70" t="n">
        <v>1746</v>
      </c>
      <c r="T3353" s="71" t="n">
        <v>204029.28</v>
      </c>
      <c r="U3353" t="inlineStr">
        <is>
          <t>Low</t>
        </is>
      </c>
      <c r="V3353">
        <f>IF(AND(OR(Dashboard!$C$6="All",E3353=Dashboard!$C$6),OR(Dashboard!$F$6="All",G3353=Dashboard!$F$6),OR(Dashboard!$I$6="All",H3353=Dashboard!$I$6)),1,0)</f>
        <v/>
      </c>
    </row>
    <row r="3354">
      <c r="A3354" t="inlineStr">
        <is>
          <t>PF103345</t>
        </is>
      </c>
      <c r="B3354" s="68" t="n">
        <v>46062</v>
      </c>
      <c r="C3354" s="69" t="n">
        <v>2026</v>
      </c>
      <c r="D3354" t="inlineStr">
        <is>
          <t>Feb</t>
        </is>
      </c>
      <c r="E3354" t="inlineStr">
        <is>
          <t>Europe</t>
        </is>
      </c>
      <c r="F3354" t="inlineStr">
        <is>
          <t>Italy</t>
        </is>
      </c>
      <c r="G3354" t="inlineStr">
        <is>
          <t>Eliquis</t>
        </is>
      </c>
      <c r="H3354" t="inlineStr">
        <is>
          <t>Government / tender</t>
        </is>
      </c>
      <c r="I3354" t="inlineStr">
        <is>
          <t>Private insurer</t>
        </is>
      </c>
      <c r="J3354" t="inlineStr">
        <is>
          <t>Arjun Mehta</t>
        </is>
      </c>
      <c r="K3354" s="70" t="n">
        <v>1045</v>
      </c>
      <c r="L3354" s="71" t="n">
        <v>467.64</v>
      </c>
      <c r="M3354" s="71" t="n">
        <v>488683.8</v>
      </c>
      <c r="N3354" s="71" t="n">
        <v>97736.75999999999</v>
      </c>
      <c r="O3354" s="71" t="n">
        <v>390947.04</v>
      </c>
      <c r="P3354" s="71" t="n">
        <v>80531</v>
      </c>
      <c r="Q3354" s="71" t="n">
        <v>310416.04</v>
      </c>
      <c r="R3354" t="inlineStr">
        <is>
          <t>Cardiology</t>
        </is>
      </c>
      <c r="S3354" s="70" t="n">
        <v>768</v>
      </c>
      <c r="T3354" s="71" t="n">
        <v>97925.3</v>
      </c>
      <c r="U3354" t="inlineStr">
        <is>
          <t>High</t>
        </is>
      </c>
      <c r="V3354">
        <f>IF(AND(OR(Dashboard!$C$6="All",E3354=Dashboard!$C$6),OR(Dashboard!$F$6="All",G3354=Dashboard!$F$6),OR(Dashboard!$I$6="All",H3354=Dashboard!$I$6)),1,0)</f>
        <v/>
      </c>
    </row>
    <row r="3355">
      <c r="A3355" t="inlineStr">
        <is>
          <t>PF103346</t>
        </is>
      </c>
      <c r="B3355" s="68" t="n">
        <v>46063</v>
      </c>
      <c r="C3355" s="69" t="n">
        <v>2026</v>
      </c>
      <c r="D3355" t="inlineStr">
        <is>
          <t>Feb</t>
        </is>
      </c>
      <c r="E3355" t="inlineStr">
        <is>
          <t>Europe</t>
        </is>
      </c>
      <c r="F3355" t="inlineStr">
        <is>
          <t>Germany</t>
        </is>
      </c>
      <c r="G3355" t="inlineStr">
        <is>
          <t>Eliquis</t>
        </is>
      </c>
      <c r="H3355" t="inlineStr">
        <is>
          <t>Hospital</t>
        </is>
      </c>
      <c r="I3355" t="inlineStr">
        <is>
          <t>Public payer</t>
        </is>
      </c>
      <c r="J3355" t="inlineStr">
        <is>
          <t>Yuki Sato</t>
        </is>
      </c>
      <c r="K3355" s="70" t="n">
        <v>824</v>
      </c>
      <c r="L3355" s="71" t="n">
        <v>400.46</v>
      </c>
      <c r="M3355" s="71" t="n">
        <v>329979.04</v>
      </c>
      <c r="N3355" s="71" t="n">
        <v>16498.95</v>
      </c>
      <c r="O3355" s="71" t="n">
        <v>313480.09</v>
      </c>
      <c r="P3355" s="71" t="n">
        <v>63428.11</v>
      </c>
      <c r="Q3355" s="71" t="n">
        <v>250051.98</v>
      </c>
      <c r="R3355" t="inlineStr">
        <is>
          <t>Cardiology</t>
        </is>
      </c>
      <c r="S3355" s="70" t="n">
        <v>517</v>
      </c>
      <c r="T3355" s="71" t="n">
        <v>38633.38</v>
      </c>
      <c r="U3355" t="inlineStr">
        <is>
          <t>High</t>
        </is>
      </c>
      <c r="V3355">
        <f>IF(AND(OR(Dashboard!$C$6="All",E3355=Dashboard!$C$6),OR(Dashboard!$F$6="All",G3355=Dashboard!$F$6),OR(Dashboard!$I$6="All",H3355=Dashboard!$I$6)),1,0)</f>
        <v/>
      </c>
    </row>
    <row r="3356">
      <c r="A3356" t="inlineStr">
        <is>
          <t>PF103347</t>
        </is>
      </c>
      <c r="B3356" s="68" t="n">
        <v>46063</v>
      </c>
      <c r="C3356" s="69" t="n">
        <v>2026</v>
      </c>
      <c r="D3356" t="inlineStr">
        <is>
          <t>Feb</t>
        </is>
      </c>
      <c r="E3356" t="inlineStr">
        <is>
          <t>United States</t>
        </is>
      </c>
      <c r="F3356" t="inlineStr">
        <is>
          <t>USA</t>
        </is>
      </c>
      <c r="G3356" t="inlineStr">
        <is>
          <t>Paxlovid</t>
        </is>
      </c>
      <c r="H3356" t="inlineStr">
        <is>
          <t>Retail pharmacy</t>
        </is>
      </c>
      <c r="I3356" t="inlineStr">
        <is>
          <t>Private insurer</t>
        </is>
      </c>
      <c r="J3356" t="inlineStr">
        <is>
          <t>Wei Chen</t>
        </is>
      </c>
      <c r="K3356" s="70" t="n">
        <v>690</v>
      </c>
      <c r="L3356" s="71" t="n">
        <v>1548.49</v>
      </c>
      <c r="M3356" s="71" t="n">
        <v>1068458.1</v>
      </c>
      <c r="N3356" s="71" t="n">
        <v>373960.34</v>
      </c>
      <c r="O3356" s="71" t="n">
        <v>694497.76</v>
      </c>
      <c r="P3356" s="71" t="n">
        <v>187822.13</v>
      </c>
      <c r="Q3356" s="71" t="n">
        <v>506675.63</v>
      </c>
      <c r="R3356" t="inlineStr">
        <is>
          <t>Antiviral</t>
        </is>
      </c>
      <c r="S3356" s="70" t="n">
        <v>519</v>
      </c>
      <c r="T3356" s="71" t="n">
        <v>173982.79</v>
      </c>
      <c r="U3356" t="inlineStr">
        <is>
          <t>Low</t>
        </is>
      </c>
      <c r="V3356">
        <f>IF(AND(OR(Dashboard!$C$6="All",E3356=Dashboard!$C$6),OR(Dashboard!$F$6="All",G3356=Dashboard!$F$6),OR(Dashboard!$I$6="All",H3356=Dashboard!$I$6)),1,0)</f>
        <v/>
      </c>
    </row>
    <row r="3357">
      <c r="A3357" t="inlineStr">
        <is>
          <t>PF103348</t>
        </is>
      </c>
      <c r="B3357" s="68" t="n">
        <v>46063</v>
      </c>
      <c r="C3357" s="69" t="n">
        <v>2026</v>
      </c>
      <c r="D3357" t="inlineStr">
        <is>
          <t>Feb</t>
        </is>
      </c>
      <c r="E3357" t="inlineStr">
        <is>
          <t>United States</t>
        </is>
      </c>
      <c r="F3357" t="inlineStr">
        <is>
          <t>USA</t>
        </is>
      </c>
      <c r="G3357" t="inlineStr">
        <is>
          <t>Prevnar 20</t>
        </is>
      </c>
      <c r="H3357" t="inlineStr">
        <is>
          <t>Retail pharmacy</t>
        </is>
      </c>
      <c r="I3357" t="inlineStr">
        <is>
          <t>Private insurer</t>
        </is>
      </c>
      <c r="J3357" t="inlineStr">
        <is>
          <t>Lucas Martin</t>
        </is>
      </c>
      <c r="K3357" s="70" t="n">
        <v>562</v>
      </c>
      <c r="L3357" s="71" t="n">
        <v>357.34</v>
      </c>
      <c r="M3357" s="71" t="n">
        <v>200825.08</v>
      </c>
      <c r="N3357" s="71" t="n">
        <v>40165.02</v>
      </c>
      <c r="O3357" s="71" t="n">
        <v>160660.06</v>
      </c>
      <c r="P3357" s="71" t="n">
        <v>37635.35</v>
      </c>
      <c r="Q3357" s="71" t="n">
        <v>123024.71</v>
      </c>
      <c r="R3357" t="inlineStr">
        <is>
          <t>Vaccines</t>
        </is>
      </c>
      <c r="S3357" s="70" t="n">
        <v>454</v>
      </c>
      <c r="T3357" s="71" t="n">
        <v>43115.77</v>
      </c>
      <c r="U3357" t="inlineStr">
        <is>
          <t>Low</t>
        </is>
      </c>
      <c r="V3357">
        <f>IF(AND(OR(Dashboard!$C$6="All",E3357=Dashboard!$C$6),OR(Dashboard!$F$6="All",G3357=Dashboard!$F$6),OR(Dashboard!$I$6="All",H3357=Dashboard!$I$6)),1,0)</f>
        <v/>
      </c>
    </row>
    <row r="3358">
      <c r="A3358" t="inlineStr">
        <is>
          <t>PF103349</t>
        </is>
      </c>
      <c r="B3358" s="68" t="n">
        <v>46063</v>
      </c>
      <c r="C3358" s="69" t="n">
        <v>2026</v>
      </c>
      <c r="D3358" t="inlineStr">
        <is>
          <t>Feb</t>
        </is>
      </c>
      <c r="E3358" t="inlineStr">
        <is>
          <t>Emerging markets</t>
        </is>
      </c>
      <c r="F3358" t="inlineStr">
        <is>
          <t>China</t>
        </is>
      </c>
      <c r="G3358" t="inlineStr">
        <is>
          <t>Ibrance</t>
        </is>
      </c>
      <c r="H3358" t="inlineStr">
        <is>
          <t>Government / tender</t>
        </is>
      </c>
      <c r="I3358" t="inlineStr">
        <is>
          <t>Private insurer</t>
        </is>
      </c>
      <c r="J3358" t="inlineStr">
        <is>
          <t>Wei Chen</t>
        </is>
      </c>
      <c r="K3358" s="70" t="n">
        <v>1758</v>
      </c>
      <c r="L3358" s="71" t="n">
        <v>2749.29</v>
      </c>
      <c r="M3358" s="71" t="n">
        <v>4833251.82</v>
      </c>
      <c r="N3358" s="71" t="n">
        <v>241662.59</v>
      </c>
      <c r="O3358" s="71" t="n">
        <v>4591589.23</v>
      </c>
      <c r="P3358" s="71" t="n">
        <v>755329.04</v>
      </c>
      <c r="Q3358" s="71" t="n">
        <v>3836260.19</v>
      </c>
      <c r="R3358" t="inlineStr">
        <is>
          <t>Oncology</t>
        </is>
      </c>
      <c r="S3358" s="70" t="n">
        <v>1529</v>
      </c>
      <c r="T3358" s="71" t="n">
        <v>1086171.43</v>
      </c>
      <c r="U3358" t="inlineStr">
        <is>
          <t>High</t>
        </is>
      </c>
      <c r="V3358">
        <f>IF(AND(OR(Dashboard!$C$6="All",E3358=Dashboard!$C$6),OR(Dashboard!$F$6="All",G3358=Dashboard!$F$6),OR(Dashboard!$I$6="All",H3358=Dashboard!$I$6)),1,0)</f>
        <v/>
      </c>
    </row>
    <row r="3359">
      <c r="A3359" t="inlineStr">
        <is>
          <t>PF103350</t>
        </is>
      </c>
      <c r="B3359" s="68" t="n">
        <v>46063</v>
      </c>
      <c r="C3359" s="69" t="n">
        <v>2026</v>
      </c>
      <c r="D3359" t="inlineStr">
        <is>
          <t>Feb</t>
        </is>
      </c>
      <c r="E3359" t="inlineStr">
        <is>
          <t>United States</t>
        </is>
      </c>
      <c r="F3359" t="inlineStr">
        <is>
          <t>USA</t>
        </is>
      </c>
      <c r="G3359" t="inlineStr">
        <is>
          <t>Eliquis</t>
        </is>
      </c>
      <c r="H3359" t="inlineStr">
        <is>
          <t>Government / tender</t>
        </is>
      </c>
      <c r="I3359" t="inlineStr">
        <is>
          <t>Public payer</t>
        </is>
      </c>
      <c r="J3359" t="inlineStr">
        <is>
          <t>Sophie Müller</t>
        </is>
      </c>
      <c r="K3359" s="70" t="n">
        <v>349</v>
      </c>
      <c r="L3359" s="71" t="n">
        <v>622.7</v>
      </c>
      <c r="M3359" s="71" t="n">
        <v>217322.3</v>
      </c>
      <c r="N3359" s="71" t="n">
        <v>65196.69</v>
      </c>
      <c r="O3359" s="71" t="n">
        <v>152125.61</v>
      </c>
      <c r="P3359" s="71" t="n">
        <v>26401.84</v>
      </c>
      <c r="Q3359" s="71" t="n">
        <v>125723.77</v>
      </c>
      <c r="R3359" t="inlineStr">
        <is>
          <t>Cardiology</t>
        </is>
      </c>
      <c r="S3359" s="70" t="n">
        <v>231</v>
      </c>
      <c r="T3359" s="71" t="n">
        <v>45615.45</v>
      </c>
      <c r="U3359" t="inlineStr">
        <is>
          <t>High</t>
        </is>
      </c>
      <c r="V3359">
        <f>IF(AND(OR(Dashboard!$C$6="All",E3359=Dashboard!$C$6),OR(Dashboard!$F$6="All",G3359=Dashboard!$F$6),OR(Dashboard!$I$6="All",H3359=Dashboard!$I$6)),1,0)</f>
        <v/>
      </c>
    </row>
    <row r="3360">
      <c r="A3360" t="inlineStr">
        <is>
          <t>PF103351</t>
        </is>
      </c>
      <c r="B3360" s="68" t="n">
        <v>46063</v>
      </c>
      <c r="C3360" s="69" t="n">
        <v>2026</v>
      </c>
      <c r="D3360" t="inlineStr">
        <is>
          <t>Feb</t>
        </is>
      </c>
      <c r="E3360" t="inlineStr">
        <is>
          <t>Europe</t>
        </is>
      </c>
      <c r="F3360" t="inlineStr">
        <is>
          <t>Spain</t>
        </is>
      </c>
      <c r="G3360" t="inlineStr">
        <is>
          <t>Paxlovid</t>
        </is>
      </c>
      <c r="H3360" t="inlineStr">
        <is>
          <t>Government / tender</t>
        </is>
      </c>
      <c r="I3360" t="inlineStr">
        <is>
          <t>Public payer</t>
        </is>
      </c>
      <c r="J3360" t="inlineStr">
        <is>
          <t>Liam O'Brien</t>
        </is>
      </c>
      <c r="K3360" s="70" t="n">
        <v>1440</v>
      </c>
      <c r="L3360" s="71" t="n">
        <v>847.74</v>
      </c>
      <c r="M3360" s="71" t="n">
        <v>1220745.6</v>
      </c>
      <c r="N3360" s="71" t="n">
        <v>122074.56</v>
      </c>
      <c r="O3360" s="71" t="n">
        <v>1098671.04</v>
      </c>
      <c r="P3360" s="71" t="n">
        <v>410536.61</v>
      </c>
      <c r="Q3360" s="71" t="n">
        <v>688134.4300000001</v>
      </c>
      <c r="R3360" t="inlineStr">
        <is>
          <t>Antiviral</t>
        </is>
      </c>
      <c r="S3360" s="70" t="n">
        <v>921</v>
      </c>
      <c r="T3360" s="71" t="n">
        <v>312176.49</v>
      </c>
      <c r="U3360" t="inlineStr">
        <is>
          <t>Low</t>
        </is>
      </c>
      <c r="V3360">
        <f>IF(AND(OR(Dashboard!$C$6="All",E3360=Dashboard!$C$6),OR(Dashboard!$F$6="All",G3360=Dashboard!$F$6),OR(Dashboard!$I$6="All",H3360=Dashboard!$I$6)),1,0)</f>
        <v/>
      </c>
    </row>
    <row r="3361">
      <c r="A3361" t="inlineStr">
        <is>
          <t>PF103352</t>
        </is>
      </c>
      <c r="B3361" s="68" t="n">
        <v>46063</v>
      </c>
      <c r="C3361" s="69" t="n">
        <v>2026</v>
      </c>
      <c r="D3361" t="inlineStr">
        <is>
          <t>Feb</t>
        </is>
      </c>
      <c r="E3361" t="inlineStr">
        <is>
          <t>United States</t>
        </is>
      </c>
      <c r="F3361" t="inlineStr">
        <is>
          <t>USA</t>
        </is>
      </c>
      <c r="G3361" t="inlineStr">
        <is>
          <t>Paxlovid</t>
        </is>
      </c>
      <c r="H3361" t="inlineStr">
        <is>
          <t>Government / tender</t>
        </is>
      </c>
      <c r="I3361" t="inlineStr">
        <is>
          <t>Private insurer</t>
        </is>
      </c>
      <c r="J3361" t="inlineStr">
        <is>
          <t>Carlos Silva</t>
        </is>
      </c>
      <c r="K3361" s="70" t="n">
        <v>664</v>
      </c>
      <c r="L3361" s="71" t="n">
        <v>1551.21</v>
      </c>
      <c r="M3361" s="71" t="n">
        <v>1030003.44</v>
      </c>
      <c r="N3361" s="71" t="n">
        <v>360501.2</v>
      </c>
      <c r="O3361" s="71" t="n">
        <v>669502.24</v>
      </c>
      <c r="P3361" s="71" t="n">
        <v>187792.75</v>
      </c>
      <c r="Q3361" s="71" t="n">
        <v>481709.49</v>
      </c>
      <c r="R3361" t="inlineStr">
        <is>
          <t>Antiviral</t>
        </is>
      </c>
      <c r="S3361" s="70" t="n">
        <v>416</v>
      </c>
      <c r="T3361" s="71" t="n">
        <v>238399.99</v>
      </c>
      <c r="U3361" t="inlineStr">
        <is>
          <t>Low</t>
        </is>
      </c>
      <c r="V3361">
        <f>IF(AND(OR(Dashboard!$C$6="All",E3361=Dashboard!$C$6),OR(Dashboard!$F$6="All",G3361=Dashboard!$F$6),OR(Dashboard!$I$6="All",H3361=Dashboard!$I$6)),1,0)</f>
        <v/>
      </c>
    </row>
    <row r="3362">
      <c r="A3362" t="inlineStr">
        <is>
          <t>PF103353</t>
        </is>
      </c>
      <c r="B3362" s="68" t="n">
        <v>46064</v>
      </c>
      <c r="C3362" s="69" t="n">
        <v>2026</v>
      </c>
      <c r="D3362" t="inlineStr">
        <is>
          <t>Feb</t>
        </is>
      </c>
      <c r="E3362" t="inlineStr">
        <is>
          <t>United States</t>
        </is>
      </c>
      <c r="F3362" t="inlineStr">
        <is>
          <t>USA</t>
        </is>
      </c>
      <c r="G3362" t="inlineStr">
        <is>
          <t>Eliquis</t>
        </is>
      </c>
      <c r="H3362" t="inlineStr">
        <is>
          <t>Retail pharmacy</t>
        </is>
      </c>
      <c r="I3362" t="inlineStr">
        <is>
          <t>Private insurer</t>
        </is>
      </c>
      <c r="J3362" t="inlineStr">
        <is>
          <t>Lucas Martin</t>
        </is>
      </c>
      <c r="K3362" s="70" t="n">
        <v>2604</v>
      </c>
      <c r="L3362" s="71" t="n">
        <v>724.15</v>
      </c>
      <c r="M3362" s="71" t="n">
        <v>1885686.6</v>
      </c>
      <c r="N3362" s="71" t="n">
        <v>377137.32</v>
      </c>
      <c r="O3362" s="71" t="n">
        <v>1508549.28</v>
      </c>
      <c r="P3362" s="71" t="n">
        <v>201146.07</v>
      </c>
      <c r="Q3362" s="71" t="n">
        <v>1307403.21</v>
      </c>
      <c r="R3362" t="inlineStr">
        <is>
          <t>Cardiology</t>
        </is>
      </c>
      <c r="S3362" s="70" t="n">
        <v>2023</v>
      </c>
      <c r="T3362" s="71" t="n">
        <v>366955.73</v>
      </c>
      <c r="U3362" t="inlineStr">
        <is>
          <t>High</t>
        </is>
      </c>
      <c r="V3362">
        <f>IF(AND(OR(Dashboard!$C$6="All",E3362=Dashboard!$C$6),OR(Dashboard!$F$6="All",G3362=Dashboard!$F$6),OR(Dashboard!$I$6="All",H3362=Dashboard!$I$6)),1,0)</f>
        <v/>
      </c>
    </row>
    <row r="3363">
      <c r="A3363" t="inlineStr">
        <is>
          <t>PF103354</t>
        </is>
      </c>
      <c r="B3363" s="68" t="n">
        <v>46064</v>
      </c>
      <c r="C3363" s="69" t="n">
        <v>2026</v>
      </c>
      <c r="D3363" t="inlineStr">
        <is>
          <t>Feb</t>
        </is>
      </c>
      <c r="E3363" t="inlineStr">
        <is>
          <t>Europe</t>
        </is>
      </c>
      <c r="F3363" t="inlineStr">
        <is>
          <t>Spain</t>
        </is>
      </c>
      <c r="G3363" t="inlineStr">
        <is>
          <t>Comirnaty</t>
        </is>
      </c>
      <c r="H3363" t="inlineStr">
        <is>
          <t>Hospital</t>
        </is>
      </c>
      <c r="I3363" t="inlineStr">
        <is>
          <t>Private insurer</t>
        </is>
      </c>
      <c r="J3363" t="inlineStr">
        <is>
          <t>Wei Chen</t>
        </is>
      </c>
      <c r="K3363" s="70" t="n">
        <v>379</v>
      </c>
      <c r="L3363" s="71" t="n">
        <v>86</v>
      </c>
      <c r="M3363" s="71" t="n">
        <v>32594</v>
      </c>
      <c r="N3363" s="71" t="n">
        <v>6518.8</v>
      </c>
      <c r="O3363" s="71" t="n">
        <v>26075.2</v>
      </c>
      <c r="P3363" s="71" t="n">
        <v>14863.02</v>
      </c>
      <c r="Q3363" s="71" t="n">
        <v>11212.18</v>
      </c>
      <c r="R3363" t="inlineStr">
        <is>
          <t>Vaccines</t>
        </is>
      </c>
      <c r="S3363" s="70" t="n">
        <v>330</v>
      </c>
      <c r="T3363" s="71" t="n">
        <v>5238.17</v>
      </c>
      <c r="U3363" t="inlineStr">
        <is>
          <t>Low</t>
        </is>
      </c>
      <c r="V3363">
        <f>IF(AND(OR(Dashboard!$C$6="All",E3363=Dashboard!$C$6),OR(Dashboard!$F$6="All",G3363=Dashboard!$F$6),OR(Dashboard!$I$6="All",H3363=Dashboard!$I$6)),1,0)</f>
        <v/>
      </c>
    </row>
    <row r="3364">
      <c r="A3364" t="inlineStr">
        <is>
          <t>PF103355</t>
        </is>
      </c>
      <c r="B3364" s="68" t="n">
        <v>46064</v>
      </c>
      <c r="C3364" s="69" t="n">
        <v>2026</v>
      </c>
      <c r="D3364" t="inlineStr">
        <is>
          <t>Feb</t>
        </is>
      </c>
      <c r="E3364" t="inlineStr">
        <is>
          <t>International developed</t>
        </is>
      </c>
      <c r="F3364" t="inlineStr">
        <is>
          <t>Japan</t>
        </is>
      </c>
      <c r="G3364" t="inlineStr">
        <is>
          <t>Eliquis</t>
        </is>
      </c>
      <c r="H3364" t="inlineStr">
        <is>
          <t>Retail pharmacy</t>
        </is>
      </c>
      <c r="I3364" t="inlineStr">
        <is>
          <t>Public payer</t>
        </is>
      </c>
      <c r="J3364" t="inlineStr">
        <is>
          <t>Aisha Bello</t>
        </is>
      </c>
      <c r="K3364" s="70" t="n">
        <v>972</v>
      </c>
      <c r="L3364" s="71" t="n">
        <v>423.64</v>
      </c>
      <c r="M3364" s="71" t="n">
        <v>411778.08</v>
      </c>
      <c r="N3364" s="71" t="n">
        <v>20588.9</v>
      </c>
      <c r="O3364" s="71" t="n">
        <v>391189.18</v>
      </c>
      <c r="P3364" s="71" t="n">
        <v>76354.31</v>
      </c>
      <c r="Q3364" s="71" t="n">
        <v>314834.87</v>
      </c>
      <c r="R3364" t="inlineStr">
        <is>
          <t>Cardiology</t>
        </is>
      </c>
      <c r="S3364" s="70" t="n">
        <v>940</v>
      </c>
      <c r="T3364" s="71" t="n">
        <v>65533.88</v>
      </c>
      <c r="U3364" t="inlineStr">
        <is>
          <t>High</t>
        </is>
      </c>
      <c r="V3364">
        <f>IF(AND(OR(Dashboard!$C$6="All",E3364=Dashboard!$C$6),OR(Dashboard!$F$6="All",G3364=Dashboard!$F$6),OR(Dashboard!$I$6="All",H3364=Dashboard!$I$6)),1,0)</f>
        <v/>
      </c>
    </row>
    <row r="3365">
      <c r="A3365" t="inlineStr">
        <is>
          <t>PF103356</t>
        </is>
      </c>
      <c r="B3365" s="68" t="n">
        <v>46064</v>
      </c>
      <c r="C3365" s="69" t="n">
        <v>2026</v>
      </c>
      <c r="D3365" t="inlineStr">
        <is>
          <t>Feb</t>
        </is>
      </c>
      <c r="E3365" t="inlineStr">
        <is>
          <t>United States</t>
        </is>
      </c>
      <c r="F3365" t="inlineStr">
        <is>
          <t>USA</t>
        </is>
      </c>
      <c r="G3365" t="inlineStr">
        <is>
          <t>Abrysvo</t>
        </is>
      </c>
      <c r="H3365" t="inlineStr">
        <is>
          <t>Retail pharmacy</t>
        </is>
      </c>
      <c r="I3365" t="inlineStr">
        <is>
          <t>Public payer</t>
        </is>
      </c>
      <c r="J3365" t="inlineStr">
        <is>
          <t>Kofi Mensah</t>
        </is>
      </c>
      <c r="K3365" s="70" t="n">
        <v>1617</v>
      </c>
      <c r="L3365" s="71" t="n">
        <v>462.12</v>
      </c>
      <c r="M3365" s="71" t="n">
        <v>747248.04</v>
      </c>
      <c r="N3365" s="71" t="n">
        <v>261536.81</v>
      </c>
      <c r="O3365" s="71" t="n">
        <v>485711.23</v>
      </c>
      <c r="P3365" s="71" t="n">
        <v>136649.36</v>
      </c>
      <c r="Q3365" s="71" t="n">
        <v>349061.87</v>
      </c>
      <c r="R3365" t="inlineStr">
        <is>
          <t>Vaccines</t>
        </is>
      </c>
      <c r="S3365" s="70" t="n">
        <v>1482</v>
      </c>
      <c r="T3365" s="71" t="n">
        <v>108908.16</v>
      </c>
      <c r="U3365" t="inlineStr">
        <is>
          <t>Low</t>
        </is>
      </c>
      <c r="V3365">
        <f>IF(AND(OR(Dashboard!$C$6="All",E3365=Dashboard!$C$6),OR(Dashboard!$F$6="All",G3365=Dashboard!$F$6),OR(Dashboard!$I$6="All",H3365=Dashboard!$I$6)),1,0)</f>
        <v/>
      </c>
    </row>
    <row r="3366">
      <c r="A3366" t="inlineStr">
        <is>
          <t>PF103357</t>
        </is>
      </c>
      <c r="B3366" s="68" t="n">
        <v>46064</v>
      </c>
      <c r="C3366" s="69" t="n">
        <v>2026</v>
      </c>
      <c r="D3366" t="inlineStr">
        <is>
          <t>Feb</t>
        </is>
      </c>
      <c r="E3366" t="inlineStr">
        <is>
          <t>United States</t>
        </is>
      </c>
      <c r="F3366" t="inlineStr">
        <is>
          <t>USA</t>
        </is>
      </c>
      <c r="G3366" t="inlineStr">
        <is>
          <t>Paxlovid</t>
        </is>
      </c>
      <c r="H3366" t="inlineStr">
        <is>
          <t>Hospital</t>
        </is>
      </c>
      <c r="I3366" t="inlineStr">
        <is>
          <t>Public payer</t>
        </is>
      </c>
      <c r="J3366" t="inlineStr">
        <is>
          <t>Liam O'Brien</t>
        </is>
      </c>
      <c r="K3366" s="70" t="n">
        <v>1678</v>
      </c>
      <c r="L3366" s="71" t="n">
        <v>1578.56</v>
      </c>
      <c r="M3366" s="71" t="n">
        <v>2648823.68</v>
      </c>
      <c r="N3366" s="71" t="n">
        <v>662205.92</v>
      </c>
      <c r="O3366" s="71" t="n">
        <v>1986617.76</v>
      </c>
      <c r="P3366" s="71" t="n">
        <v>443983.68</v>
      </c>
      <c r="Q3366" s="71" t="n">
        <v>1542634.08</v>
      </c>
      <c r="R3366" t="inlineStr">
        <is>
          <t>Antiviral</t>
        </is>
      </c>
      <c r="S3366" s="70" t="n">
        <v>1121</v>
      </c>
      <c r="T3366" s="71" t="n">
        <v>543238.26</v>
      </c>
      <c r="U3366" t="inlineStr">
        <is>
          <t>Low</t>
        </is>
      </c>
      <c r="V3366">
        <f>IF(AND(OR(Dashboard!$C$6="All",E3366=Dashboard!$C$6),OR(Dashboard!$F$6="All",G3366=Dashboard!$F$6),OR(Dashboard!$I$6="All",H3366=Dashboard!$I$6)),1,0)</f>
        <v/>
      </c>
    </row>
    <row r="3367">
      <c r="A3367" t="inlineStr">
        <is>
          <t>PF103358</t>
        </is>
      </c>
      <c r="B3367" s="68" t="n">
        <v>46064</v>
      </c>
      <c r="C3367" s="69" t="n">
        <v>2026</v>
      </c>
      <c r="D3367" t="inlineStr">
        <is>
          <t>Feb</t>
        </is>
      </c>
      <c r="E3367" t="inlineStr">
        <is>
          <t>Europe</t>
        </is>
      </c>
      <c r="F3367" t="inlineStr">
        <is>
          <t>Italy</t>
        </is>
      </c>
      <c r="G3367" t="inlineStr">
        <is>
          <t>Abrysvo</t>
        </is>
      </c>
      <c r="H3367" t="inlineStr">
        <is>
          <t>Government / tender</t>
        </is>
      </c>
      <c r="I3367" t="inlineStr">
        <is>
          <t>Private insurer</t>
        </is>
      </c>
      <c r="J3367" t="inlineStr">
        <is>
          <t>Omar Haddad</t>
        </is>
      </c>
      <c r="K3367" s="70" t="n">
        <v>2483</v>
      </c>
      <c r="L3367" s="71" t="n">
        <v>332.29</v>
      </c>
      <c r="M3367" s="71" t="n">
        <v>825076.0699999999</v>
      </c>
      <c r="N3367" s="71" t="n">
        <v>123761.41</v>
      </c>
      <c r="O3367" s="71" t="n">
        <v>701314.66</v>
      </c>
      <c r="P3367" s="71" t="n">
        <v>206381.52</v>
      </c>
      <c r="Q3367" s="71" t="n">
        <v>494933.14</v>
      </c>
      <c r="R3367" t="inlineStr">
        <is>
          <t>Vaccines</t>
        </is>
      </c>
      <c r="S3367" s="70" t="n">
        <v>2191</v>
      </c>
      <c r="T3367" s="71" t="n">
        <v>156974.01</v>
      </c>
      <c r="U3367" t="inlineStr">
        <is>
          <t>Low</t>
        </is>
      </c>
      <c r="V3367">
        <f>IF(AND(OR(Dashboard!$C$6="All",E3367=Dashboard!$C$6),OR(Dashboard!$F$6="All",G3367=Dashboard!$F$6),OR(Dashboard!$I$6="All",H3367=Dashboard!$I$6)),1,0)</f>
        <v/>
      </c>
    </row>
    <row r="3368">
      <c r="A3368" t="inlineStr">
        <is>
          <t>PF103359</t>
        </is>
      </c>
      <c r="B3368" s="68" t="n">
        <v>46064</v>
      </c>
      <c r="C3368" s="69" t="n">
        <v>2026</v>
      </c>
      <c r="D3368" t="inlineStr">
        <is>
          <t>Feb</t>
        </is>
      </c>
      <c r="E3368" t="inlineStr">
        <is>
          <t>United States</t>
        </is>
      </c>
      <c r="F3368" t="inlineStr">
        <is>
          <t>USA</t>
        </is>
      </c>
      <c r="G3368" t="inlineStr">
        <is>
          <t>Xeljanz</t>
        </is>
      </c>
      <c r="H3368" t="inlineStr">
        <is>
          <t>Retail pharmacy</t>
        </is>
      </c>
      <c r="I3368" t="inlineStr">
        <is>
          <t>Private insurer</t>
        </is>
      </c>
      <c r="J3368" t="inlineStr">
        <is>
          <t>Amir Khan</t>
        </is>
      </c>
      <c r="K3368" s="70" t="n">
        <v>233</v>
      </c>
      <c r="L3368" s="71" t="n">
        <v>2330.08</v>
      </c>
      <c r="M3368" s="71" t="n">
        <v>542908.64</v>
      </c>
      <c r="N3368" s="71" t="n">
        <v>81436.3</v>
      </c>
      <c r="O3368" s="71" t="n">
        <v>461472.34</v>
      </c>
      <c r="P3368" s="71" t="n">
        <v>59188.65</v>
      </c>
      <c r="Q3368" s="71" t="n">
        <v>402283.69</v>
      </c>
      <c r="R3368" t="inlineStr">
        <is>
          <t>Inflammation</t>
        </is>
      </c>
      <c r="S3368" s="70" t="n">
        <v>196</v>
      </c>
      <c r="T3368" s="71" t="n">
        <v>71755.94</v>
      </c>
      <c r="U3368" t="inlineStr">
        <is>
          <t>High</t>
        </is>
      </c>
      <c r="V3368">
        <f>IF(AND(OR(Dashboard!$C$6="All",E3368=Dashboard!$C$6),OR(Dashboard!$F$6="All",G3368=Dashboard!$F$6),OR(Dashboard!$I$6="All",H3368=Dashboard!$I$6)),1,0)</f>
        <v/>
      </c>
    </row>
    <row r="3369">
      <c r="A3369" t="inlineStr">
        <is>
          <t>PF103360</t>
        </is>
      </c>
      <c r="B3369" s="68" t="n">
        <v>46064</v>
      </c>
      <c r="C3369" s="69" t="n">
        <v>2026</v>
      </c>
      <c r="D3369" t="inlineStr">
        <is>
          <t>Feb</t>
        </is>
      </c>
      <c r="E3369" t="inlineStr">
        <is>
          <t>United States</t>
        </is>
      </c>
      <c r="F3369" t="inlineStr">
        <is>
          <t>USA</t>
        </is>
      </c>
      <c r="G3369" t="inlineStr">
        <is>
          <t>Prevnar 20</t>
        </is>
      </c>
      <c r="H3369" t="inlineStr">
        <is>
          <t>Retail pharmacy</t>
        </is>
      </c>
      <c r="I3369" t="inlineStr">
        <is>
          <t>Private insurer</t>
        </is>
      </c>
      <c r="J3369" t="inlineStr">
        <is>
          <t>Sara Rossi</t>
        </is>
      </c>
      <c r="K3369" s="70" t="n">
        <v>1920</v>
      </c>
      <c r="L3369" s="71" t="n">
        <v>359.93</v>
      </c>
      <c r="M3369" s="71" t="n">
        <v>691065.6</v>
      </c>
      <c r="N3369" s="71" t="n">
        <v>207319.68</v>
      </c>
      <c r="O3369" s="71" t="n">
        <v>483745.92</v>
      </c>
      <c r="P3369" s="71" t="n">
        <v>136145.96</v>
      </c>
      <c r="Q3369" s="71" t="n">
        <v>347599.96</v>
      </c>
      <c r="R3369" t="inlineStr">
        <is>
          <t>Vaccines</t>
        </is>
      </c>
      <c r="S3369" s="70" t="n">
        <v>1711</v>
      </c>
      <c r="T3369" s="71" t="n">
        <v>125143.81</v>
      </c>
      <c r="U3369" t="inlineStr">
        <is>
          <t>Low</t>
        </is>
      </c>
      <c r="V3369">
        <f>IF(AND(OR(Dashboard!$C$6="All",E3369=Dashboard!$C$6),OR(Dashboard!$F$6="All",G3369=Dashboard!$F$6),OR(Dashboard!$I$6="All",H3369=Dashboard!$I$6)),1,0)</f>
        <v/>
      </c>
    </row>
    <row r="3370">
      <c r="A3370" t="inlineStr">
        <is>
          <t>PF103361</t>
        </is>
      </c>
      <c r="B3370" s="68" t="n">
        <v>46064</v>
      </c>
      <c r="C3370" s="69" t="n">
        <v>2026</v>
      </c>
      <c r="D3370" t="inlineStr">
        <is>
          <t>Feb</t>
        </is>
      </c>
      <c r="E3370" t="inlineStr">
        <is>
          <t>Europe</t>
        </is>
      </c>
      <c r="F3370" t="inlineStr">
        <is>
          <t>Italy</t>
        </is>
      </c>
      <c r="G3370" t="inlineStr">
        <is>
          <t>Ibrance</t>
        </is>
      </c>
      <c r="H3370" t="inlineStr">
        <is>
          <t>Hospital</t>
        </is>
      </c>
      <c r="I3370" t="inlineStr">
        <is>
          <t>Public payer</t>
        </is>
      </c>
      <c r="J3370" t="inlineStr">
        <is>
          <t>Wei Chen</t>
        </is>
      </c>
      <c r="K3370" s="70" t="n">
        <v>806</v>
      </c>
      <c r="L3370" s="71" t="n">
        <v>3012.48</v>
      </c>
      <c r="M3370" s="71" t="n">
        <v>2428058.88</v>
      </c>
      <c r="N3370" s="71" t="n">
        <v>485611.78</v>
      </c>
      <c r="O3370" s="71" t="n">
        <v>1942447.1</v>
      </c>
      <c r="P3370" s="71" t="n">
        <v>355896.5</v>
      </c>
      <c r="Q3370" s="71" t="n">
        <v>1586550.6</v>
      </c>
      <c r="R3370" t="inlineStr">
        <is>
          <t>Oncology</t>
        </is>
      </c>
      <c r="S3370" s="70" t="n">
        <v>754</v>
      </c>
      <c r="T3370" s="71" t="n">
        <v>388500.46</v>
      </c>
      <c r="U3370" t="inlineStr">
        <is>
          <t>High</t>
        </is>
      </c>
      <c r="V3370">
        <f>IF(AND(OR(Dashboard!$C$6="All",E3370=Dashboard!$C$6),OR(Dashboard!$F$6="All",G3370=Dashboard!$F$6),OR(Dashboard!$I$6="All",H3370=Dashboard!$I$6)),1,0)</f>
        <v/>
      </c>
    </row>
    <row r="3371">
      <c r="A3371" t="inlineStr">
        <is>
          <t>PF103362</t>
        </is>
      </c>
      <c r="B3371" s="68" t="n">
        <v>46064</v>
      </c>
      <c r="C3371" s="69" t="n">
        <v>2026</v>
      </c>
      <c r="D3371" t="inlineStr">
        <is>
          <t>Feb</t>
        </is>
      </c>
      <c r="E3371" t="inlineStr">
        <is>
          <t>United States</t>
        </is>
      </c>
      <c r="F3371" t="inlineStr">
        <is>
          <t>USA</t>
        </is>
      </c>
      <c r="G3371" t="inlineStr">
        <is>
          <t>Xeljanz</t>
        </is>
      </c>
      <c r="H3371" t="inlineStr">
        <is>
          <t>Government / tender</t>
        </is>
      </c>
      <c r="I3371" t="inlineStr">
        <is>
          <t>Public payer</t>
        </is>
      </c>
      <c r="J3371" t="inlineStr">
        <is>
          <t>Kofi Mensah</t>
        </is>
      </c>
      <c r="K3371" s="70" t="n">
        <v>1774</v>
      </c>
      <c r="L3371" s="71" t="n">
        <v>2110.98</v>
      </c>
      <c r="M3371" s="71" t="n">
        <v>3744878.52</v>
      </c>
      <c r="N3371" s="71" t="n">
        <v>561731.78</v>
      </c>
      <c r="O3371" s="71" t="n">
        <v>3183146.74</v>
      </c>
      <c r="P3371" s="71" t="n">
        <v>452214.22</v>
      </c>
      <c r="Q3371" s="71" t="n">
        <v>2730932.52</v>
      </c>
      <c r="R3371" t="inlineStr">
        <is>
          <t>Inflammation</t>
        </is>
      </c>
      <c r="S3371" s="70" t="n">
        <v>1347</v>
      </c>
      <c r="T3371" s="71" t="n">
        <v>650016.3</v>
      </c>
      <c r="U3371" t="inlineStr">
        <is>
          <t>High</t>
        </is>
      </c>
      <c r="V3371">
        <f>IF(AND(OR(Dashboard!$C$6="All",E3371=Dashboard!$C$6),OR(Dashboard!$F$6="All",G3371=Dashboard!$F$6),OR(Dashboard!$I$6="All",H3371=Dashboard!$I$6)),1,0)</f>
        <v/>
      </c>
    </row>
    <row r="3372">
      <c r="A3372" t="inlineStr">
        <is>
          <t>PF103363</t>
        </is>
      </c>
      <c r="B3372" s="68" t="n">
        <v>46064</v>
      </c>
      <c r="C3372" s="69" t="n">
        <v>2026</v>
      </c>
      <c r="D3372" t="inlineStr">
        <is>
          <t>Feb</t>
        </is>
      </c>
      <c r="E3372" t="inlineStr">
        <is>
          <t>Europe</t>
        </is>
      </c>
      <c r="F3372" t="inlineStr">
        <is>
          <t>Italy</t>
        </is>
      </c>
      <c r="G3372" t="inlineStr">
        <is>
          <t>Ibrance</t>
        </is>
      </c>
      <c r="H3372" t="inlineStr">
        <is>
          <t>Retail pharmacy</t>
        </is>
      </c>
      <c r="I3372" t="inlineStr">
        <is>
          <t>Public payer</t>
        </is>
      </c>
      <c r="J3372" t="inlineStr">
        <is>
          <t>Lucas Martin</t>
        </is>
      </c>
      <c r="K3372" s="70" t="n">
        <v>2504</v>
      </c>
      <c r="L3372" s="71" t="n">
        <v>2846.68</v>
      </c>
      <c r="M3372" s="71" t="n">
        <v>7128086.72</v>
      </c>
      <c r="N3372" s="71" t="n">
        <v>1069213.01</v>
      </c>
      <c r="O3372" s="71" t="n">
        <v>6058873.71</v>
      </c>
      <c r="P3372" s="71" t="n">
        <v>1081951.21</v>
      </c>
      <c r="Q3372" s="71" t="n">
        <v>4976922.5</v>
      </c>
      <c r="R3372" t="inlineStr">
        <is>
          <t>Oncology</t>
        </is>
      </c>
      <c r="S3372" s="70" t="n">
        <v>2340</v>
      </c>
      <c r="T3372" s="71" t="n">
        <v>1033847.86</v>
      </c>
      <c r="U3372" t="inlineStr">
        <is>
          <t>High</t>
        </is>
      </c>
      <c r="V3372">
        <f>IF(AND(OR(Dashboard!$C$6="All",E3372=Dashboard!$C$6),OR(Dashboard!$F$6="All",G3372=Dashboard!$F$6),OR(Dashboard!$I$6="All",H3372=Dashboard!$I$6)),1,0)</f>
        <v/>
      </c>
    </row>
    <row r="3373">
      <c r="A3373" t="inlineStr">
        <is>
          <t>PF103364</t>
        </is>
      </c>
      <c r="B3373" s="68" t="n">
        <v>46065</v>
      </c>
      <c r="C3373" s="69" t="n">
        <v>2026</v>
      </c>
      <c r="D3373" t="inlineStr">
        <is>
          <t>Feb</t>
        </is>
      </c>
      <c r="E3373" t="inlineStr">
        <is>
          <t>United States</t>
        </is>
      </c>
      <c r="F3373" t="inlineStr">
        <is>
          <t>USA</t>
        </is>
      </c>
      <c r="G3373" t="inlineStr">
        <is>
          <t>Paxlovid</t>
        </is>
      </c>
      <c r="H3373" t="inlineStr">
        <is>
          <t>Retail pharmacy</t>
        </is>
      </c>
      <c r="I3373" t="inlineStr">
        <is>
          <t>Public payer</t>
        </is>
      </c>
      <c r="J3373" t="inlineStr">
        <is>
          <t>Carlos Silva</t>
        </is>
      </c>
      <c r="K3373" s="70" t="n">
        <v>1593</v>
      </c>
      <c r="L3373" s="71" t="n">
        <v>1525.73</v>
      </c>
      <c r="M3373" s="71" t="n">
        <v>2430487.89</v>
      </c>
      <c r="N3373" s="71" t="n">
        <v>364573.18</v>
      </c>
      <c r="O3373" s="71" t="n">
        <v>2065914.71</v>
      </c>
      <c r="P3373" s="71" t="n">
        <v>424898.01</v>
      </c>
      <c r="Q3373" s="71" t="n">
        <v>1641016.7</v>
      </c>
      <c r="R3373" t="inlineStr">
        <is>
          <t>Antiviral</t>
        </is>
      </c>
      <c r="S3373" s="70" t="n">
        <v>1580</v>
      </c>
      <c r="T3373" s="71" t="n">
        <v>450742.12</v>
      </c>
      <c r="U3373" t="inlineStr">
        <is>
          <t>Low</t>
        </is>
      </c>
      <c r="V3373">
        <f>IF(AND(OR(Dashboard!$C$6="All",E3373=Dashboard!$C$6),OR(Dashboard!$F$6="All",G3373=Dashboard!$F$6),OR(Dashboard!$I$6="All",H3373=Dashboard!$I$6)),1,0)</f>
        <v/>
      </c>
    </row>
    <row r="3374">
      <c r="A3374" t="inlineStr">
        <is>
          <t>PF103365</t>
        </is>
      </c>
      <c r="B3374" s="68" t="n">
        <v>46065</v>
      </c>
      <c r="C3374" s="69" t="n">
        <v>2026</v>
      </c>
      <c r="D3374" t="inlineStr">
        <is>
          <t>Feb</t>
        </is>
      </c>
      <c r="E3374" t="inlineStr">
        <is>
          <t>Emerging markets</t>
        </is>
      </c>
      <c r="F3374" t="inlineStr">
        <is>
          <t>China</t>
        </is>
      </c>
      <c r="G3374" t="inlineStr">
        <is>
          <t>Eliquis</t>
        </is>
      </c>
      <c r="H3374" t="inlineStr">
        <is>
          <t>Hospital</t>
        </is>
      </c>
      <c r="I3374" t="inlineStr">
        <is>
          <t>Private insurer</t>
        </is>
      </c>
      <c r="J3374" t="inlineStr">
        <is>
          <t>Shraddha Kulkarni</t>
        </is>
      </c>
      <c r="K3374" s="70" t="n">
        <v>478</v>
      </c>
      <c r="L3374" s="71" t="n">
        <v>463.55</v>
      </c>
      <c r="M3374" s="71" t="n">
        <v>221576.9</v>
      </c>
      <c r="N3374" s="71" t="n">
        <v>33236.53</v>
      </c>
      <c r="O3374" s="71" t="n">
        <v>188340.37</v>
      </c>
      <c r="P3374" s="71" t="n">
        <v>36028.46</v>
      </c>
      <c r="Q3374" s="71" t="n">
        <v>152311.91</v>
      </c>
      <c r="R3374" t="inlineStr">
        <is>
          <t>Cardiology</t>
        </is>
      </c>
      <c r="S3374" s="70" t="n">
        <v>456</v>
      </c>
      <c r="T3374" s="71" t="n">
        <v>26348.7</v>
      </c>
      <c r="U3374" t="inlineStr">
        <is>
          <t>High</t>
        </is>
      </c>
      <c r="V3374">
        <f>IF(AND(OR(Dashboard!$C$6="All",E3374=Dashboard!$C$6),OR(Dashboard!$F$6="All",G3374=Dashboard!$F$6),OR(Dashboard!$I$6="All",H3374=Dashboard!$I$6)),1,0)</f>
        <v/>
      </c>
    </row>
    <row r="3375">
      <c r="A3375" t="inlineStr">
        <is>
          <t>PF103366</t>
        </is>
      </c>
      <c r="B3375" s="68" t="n">
        <v>46065</v>
      </c>
      <c r="C3375" s="69" t="n">
        <v>2026</v>
      </c>
      <c r="D3375" t="inlineStr">
        <is>
          <t>Feb</t>
        </is>
      </c>
      <c r="E3375" t="inlineStr">
        <is>
          <t>United States</t>
        </is>
      </c>
      <c r="F3375" t="inlineStr">
        <is>
          <t>USA</t>
        </is>
      </c>
      <c r="G3375" t="inlineStr">
        <is>
          <t>Abrysvo</t>
        </is>
      </c>
      <c r="H3375" t="inlineStr">
        <is>
          <t>Retail pharmacy</t>
        </is>
      </c>
      <c r="I3375" t="inlineStr">
        <is>
          <t>Private insurer</t>
        </is>
      </c>
      <c r="J3375" t="inlineStr">
        <is>
          <t>Sara Rossi</t>
        </is>
      </c>
      <c r="K3375" s="70" t="n">
        <v>1659</v>
      </c>
      <c r="L3375" s="71" t="n">
        <v>511.95</v>
      </c>
      <c r="M3375" s="71" t="n">
        <v>849325.05</v>
      </c>
      <c r="N3375" s="71" t="n">
        <v>169865.01</v>
      </c>
      <c r="O3375" s="71" t="n">
        <v>679460.04</v>
      </c>
      <c r="P3375" s="71" t="n">
        <v>136086.56</v>
      </c>
      <c r="Q3375" s="71" t="n">
        <v>543373.48</v>
      </c>
      <c r="R3375" t="inlineStr">
        <is>
          <t>Vaccines</t>
        </is>
      </c>
      <c r="S3375" s="70" t="n">
        <v>1547</v>
      </c>
      <c r="T3375" s="71" t="n">
        <v>98240.16</v>
      </c>
      <c r="U3375" t="inlineStr">
        <is>
          <t>Low</t>
        </is>
      </c>
      <c r="V3375">
        <f>IF(AND(OR(Dashboard!$C$6="All",E3375=Dashboard!$C$6),OR(Dashboard!$F$6="All",G3375=Dashboard!$F$6),OR(Dashboard!$I$6="All",H3375=Dashboard!$I$6)),1,0)</f>
        <v/>
      </c>
    </row>
    <row r="3376">
      <c r="A3376" t="inlineStr">
        <is>
          <t>PF103367</t>
        </is>
      </c>
      <c r="B3376" s="68" t="n">
        <v>46065</v>
      </c>
      <c r="C3376" s="69" t="n">
        <v>2026</v>
      </c>
      <c r="D3376" t="inlineStr">
        <is>
          <t>Feb</t>
        </is>
      </c>
      <c r="E3376" t="inlineStr">
        <is>
          <t>United States</t>
        </is>
      </c>
      <c r="F3376" t="inlineStr">
        <is>
          <t>USA</t>
        </is>
      </c>
      <c r="G3376" t="inlineStr">
        <is>
          <t>Comirnaty</t>
        </is>
      </c>
      <c r="H3376" t="inlineStr">
        <is>
          <t>Retail pharmacy</t>
        </is>
      </c>
      <c r="I3376" t="inlineStr">
        <is>
          <t>Private insurer</t>
        </is>
      </c>
      <c r="J3376" t="inlineStr">
        <is>
          <t>Hiroshi Tanaka</t>
        </is>
      </c>
      <c r="K3376" s="70" t="n">
        <v>1211</v>
      </c>
      <c r="L3376" s="71" t="n">
        <v>143.3</v>
      </c>
      <c r="M3376" s="71" t="n">
        <v>173536.3</v>
      </c>
      <c r="N3376" s="71" t="n">
        <v>43384.07</v>
      </c>
      <c r="O3376" s="71" t="n">
        <v>130152.23</v>
      </c>
      <c r="P3376" s="71" t="n">
        <v>46379.18</v>
      </c>
      <c r="Q3376" s="71" t="n">
        <v>83773.05</v>
      </c>
      <c r="R3376" t="inlineStr">
        <is>
          <t>Vaccines</t>
        </is>
      </c>
      <c r="S3376" s="70" t="n">
        <v>951</v>
      </c>
      <c r="T3376" s="71" t="n">
        <v>41301.81</v>
      </c>
      <c r="U3376" t="inlineStr">
        <is>
          <t>Low</t>
        </is>
      </c>
      <c r="V3376">
        <f>IF(AND(OR(Dashboard!$C$6="All",E3376=Dashboard!$C$6),OR(Dashboard!$F$6="All",G3376=Dashboard!$F$6),OR(Dashboard!$I$6="All",H3376=Dashboard!$I$6)),1,0)</f>
        <v/>
      </c>
    </row>
    <row r="3377">
      <c r="A3377" t="inlineStr">
        <is>
          <t>PF103368</t>
        </is>
      </c>
      <c r="B3377" s="68" t="n">
        <v>46065</v>
      </c>
      <c r="C3377" s="69" t="n">
        <v>2026</v>
      </c>
      <c r="D3377" t="inlineStr">
        <is>
          <t>Feb</t>
        </is>
      </c>
      <c r="E3377" t="inlineStr">
        <is>
          <t>Europe</t>
        </is>
      </c>
      <c r="F3377" t="inlineStr">
        <is>
          <t>Germany</t>
        </is>
      </c>
      <c r="G3377" t="inlineStr">
        <is>
          <t>Abrysvo</t>
        </is>
      </c>
      <c r="H3377" t="inlineStr">
        <is>
          <t>Government / tender</t>
        </is>
      </c>
      <c r="I3377" t="inlineStr">
        <is>
          <t>Private insurer</t>
        </is>
      </c>
      <c r="J3377" t="inlineStr">
        <is>
          <t>Amir Khan</t>
        </is>
      </c>
      <c r="K3377" s="70" t="n">
        <v>2100</v>
      </c>
      <c r="L3377" s="71" t="n">
        <v>302.2</v>
      </c>
      <c r="M3377" s="71" t="n">
        <v>634620</v>
      </c>
      <c r="N3377" s="71" t="n">
        <v>63462</v>
      </c>
      <c r="O3377" s="71" t="n">
        <v>571158</v>
      </c>
      <c r="P3377" s="71" t="n">
        <v>174484.69</v>
      </c>
      <c r="Q3377" s="71" t="n">
        <v>396673.31</v>
      </c>
      <c r="R3377" t="inlineStr">
        <is>
          <t>Vaccines</t>
        </is>
      </c>
      <c r="S3377" s="70" t="n">
        <v>1704</v>
      </c>
      <c r="T3377" s="71" t="n">
        <v>79131.5</v>
      </c>
      <c r="U3377" t="inlineStr">
        <is>
          <t>Low</t>
        </is>
      </c>
      <c r="V3377">
        <f>IF(AND(OR(Dashboard!$C$6="All",E3377=Dashboard!$C$6),OR(Dashboard!$F$6="All",G3377=Dashboard!$F$6),OR(Dashboard!$I$6="All",H3377=Dashboard!$I$6)),1,0)</f>
        <v/>
      </c>
    </row>
    <row r="3378">
      <c r="A3378" t="inlineStr">
        <is>
          <t>PF103369</t>
        </is>
      </c>
      <c r="B3378" s="68" t="n">
        <v>46065</v>
      </c>
      <c r="C3378" s="69" t="n">
        <v>2026</v>
      </c>
      <c r="D3378" t="inlineStr">
        <is>
          <t>Feb</t>
        </is>
      </c>
      <c r="E3378" t="inlineStr">
        <is>
          <t>International developed</t>
        </is>
      </c>
      <c r="F3378" t="inlineStr">
        <is>
          <t>Japan</t>
        </is>
      </c>
      <c r="G3378" t="inlineStr">
        <is>
          <t>Prevnar 20</t>
        </is>
      </c>
      <c r="H3378" t="inlineStr">
        <is>
          <t>Hospital</t>
        </is>
      </c>
      <c r="I3378" t="inlineStr">
        <is>
          <t>Self-pay</t>
        </is>
      </c>
      <c r="J3378" t="inlineStr">
        <is>
          <t>Priya Nair</t>
        </is>
      </c>
      <c r="K3378" s="70" t="n">
        <v>703</v>
      </c>
      <c r="L3378" s="71" t="n">
        <v>220.79</v>
      </c>
      <c r="M3378" s="71" t="n">
        <v>155215.37</v>
      </c>
      <c r="N3378" s="71" t="n">
        <v>23282.31</v>
      </c>
      <c r="O3378" s="71" t="n">
        <v>131933.06</v>
      </c>
      <c r="P3378" s="71" t="n">
        <v>50399.16</v>
      </c>
      <c r="Q3378" s="71" t="n">
        <v>81533.89999999999</v>
      </c>
      <c r="R3378" t="inlineStr">
        <is>
          <t>Vaccines</t>
        </is>
      </c>
      <c r="S3378" s="70" t="n">
        <v>590</v>
      </c>
      <c r="T3378" s="71" t="n">
        <v>25340.8</v>
      </c>
      <c r="U3378" t="inlineStr">
        <is>
          <t>Low</t>
        </is>
      </c>
      <c r="V3378">
        <f>IF(AND(OR(Dashboard!$C$6="All",E3378=Dashboard!$C$6),OR(Dashboard!$F$6="All",G3378=Dashboard!$F$6),OR(Dashboard!$I$6="All",H3378=Dashboard!$I$6)),1,0)</f>
        <v/>
      </c>
    </row>
    <row r="3379">
      <c r="A3379" t="inlineStr">
        <is>
          <t>PF103370</t>
        </is>
      </c>
      <c r="B3379" s="68" t="n">
        <v>46065</v>
      </c>
      <c r="C3379" s="69" t="n">
        <v>2026</v>
      </c>
      <c r="D3379" t="inlineStr">
        <is>
          <t>Feb</t>
        </is>
      </c>
      <c r="E3379" t="inlineStr">
        <is>
          <t>United States</t>
        </is>
      </c>
      <c r="F3379" t="inlineStr">
        <is>
          <t>USA</t>
        </is>
      </c>
      <c r="G3379" t="inlineStr">
        <is>
          <t>Xeljanz</t>
        </is>
      </c>
      <c r="H3379" t="inlineStr">
        <is>
          <t>Retail pharmacy</t>
        </is>
      </c>
      <c r="I3379" t="inlineStr">
        <is>
          <t>Public payer</t>
        </is>
      </c>
      <c r="J3379" t="inlineStr">
        <is>
          <t>Emma Clarke</t>
        </is>
      </c>
      <c r="K3379" s="70" t="n">
        <v>432</v>
      </c>
      <c r="L3379" s="71" t="n">
        <v>1975.02</v>
      </c>
      <c r="M3379" s="71" t="n">
        <v>853208.64</v>
      </c>
      <c r="N3379" s="71" t="n">
        <v>127981.3</v>
      </c>
      <c r="O3379" s="71" t="n">
        <v>725227.34</v>
      </c>
      <c r="P3379" s="71" t="n">
        <v>107652.26</v>
      </c>
      <c r="Q3379" s="71" t="n">
        <v>617575.08</v>
      </c>
      <c r="R3379" t="inlineStr">
        <is>
          <t>Inflammation</t>
        </is>
      </c>
      <c r="S3379" s="70" t="n">
        <v>324</v>
      </c>
      <c r="T3379" s="71" t="n">
        <v>138247.36</v>
      </c>
      <c r="U3379" t="inlineStr">
        <is>
          <t>High</t>
        </is>
      </c>
      <c r="V3379">
        <f>IF(AND(OR(Dashboard!$C$6="All",E3379=Dashboard!$C$6),OR(Dashboard!$F$6="All",G3379=Dashboard!$F$6),OR(Dashboard!$I$6="All",H3379=Dashboard!$I$6)),1,0)</f>
        <v/>
      </c>
    </row>
    <row r="3380">
      <c r="A3380" t="inlineStr">
        <is>
          <t>PF103371</t>
        </is>
      </c>
      <c r="B3380" s="68" t="n">
        <v>46065</v>
      </c>
      <c r="C3380" s="69" t="n">
        <v>2026</v>
      </c>
      <c r="D3380" t="inlineStr">
        <is>
          <t>Feb</t>
        </is>
      </c>
      <c r="E3380" t="inlineStr">
        <is>
          <t>Europe</t>
        </is>
      </c>
      <c r="F3380" t="inlineStr">
        <is>
          <t>UK</t>
        </is>
      </c>
      <c r="G3380" t="inlineStr">
        <is>
          <t>Comirnaty</t>
        </is>
      </c>
      <c r="H3380" t="inlineStr">
        <is>
          <t>Government / tender</t>
        </is>
      </c>
      <c r="I3380" t="inlineStr">
        <is>
          <t>Self-pay</t>
        </is>
      </c>
      <c r="J3380" t="inlineStr">
        <is>
          <t>Lucas Martin</t>
        </is>
      </c>
      <c r="K3380" s="70" t="n">
        <v>1036</v>
      </c>
      <c r="L3380" s="71" t="n">
        <v>96.38</v>
      </c>
      <c r="M3380" s="71" t="n">
        <v>99849.67999999999</v>
      </c>
      <c r="N3380" s="71" t="n">
        <v>24962.42</v>
      </c>
      <c r="O3380" s="71" t="n">
        <v>74887.25999999999</v>
      </c>
      <c r="P3380" s="71" t="n">
        <v>38632.57</v>
      </c>
      <c r="Q3380" s="71" t="n">
        <v>36254.69</v>
      </c>
      <c r="R3380" t="inlineStr">
        <is>
          <t>Vaccines</t>
        </is>
      </c>
      <c r="S3380" s="70" t="n">
        <v>768</v>
      </c>
      <c r="T3380" s="71" t="n">
        <v>16961.65</v>
      </c>
      <c r="U3380" t="inlineStr">
        <is>
          <t>Low</t>
        </is>
      </c>
      <c r="V3380">
        <f>IF(AND(OR(Dashboard!$C$6="All",E3380=Dashboard!$C$6),OR(Dashboard!$F$6="All",G3380=Dashboard!$F$6),OR(Dashboard!$I$6="All",H3380=Dashboard!$I$6)),1,0)</f>
        <v/>
      </c>
    </row>
    <row r="3381">
      <c r="A3381" t="inlineStr">
        <is>
          <t>PF103372</t>
        </is>
      </c>
      <c r="B3381" s="68" t="n">
        <v>46065</v>
      </c>
      <c r="C3381" s="69" t="n">
        <v>2026</v>
      </c>
      <c r="D3381" t="inlineStr">
        <is>
          <t>Feb</t>
        </is>
      </c>
      <c r="E3381" t="inlineStr">
        <is>
          <t>International developed</t>
        </is>
      </c>
      <c r="F3381" t="inlineStr">
        <is>
          <t>Canada</t>
        </is>
      </c>
      <c r="G3381" t="inlineStr">
        <is>
          <t>Paxlovid</t>
        </is>
      </c>
      <c r="H3381" t="inlineStr">
        <is>
          <t>Retail pharmacy</t>
        </is>
      </c>
      <c r="I3381" t="inlineStr">
        <is>
          <t>Self-pay</t>
        </is>
      </c>
      <c r="J3381" t="inlineStr">
        <is>
          <t>Ana Costa</t>
        </is>
      </c>
      <c r="K3381" s="70" t="n">
        <v>784</v>
      </c>
      <c r="L3381" s="71" t="n">
        <v>895.54</v>
      </c>
      <c r="M3381" s="71" t="n">
        <v>702103.36</v>
      </c>
      <c r="N3381" s="71" t="n">
        <v>140420.67</v>
      </c>
      <c r="O3381" s="71" t="n">
        <v>561682.6899999999</v>
      </c>
      <c r="P3381" s="71" t="n">
        <v>216782</v>
      </c>
      <c r="Q3381" s="71" t="n">
        <v>344900.69</v>
      </c>
      <c r="R3381" t="inlineStr">
        <is>
          <t>Antiviral</t>
        </is>
      </c>
      <c r="S3381" s="70" t="n">
        <v>776</v>
      </c>
      <c r="T3381" s="71" t="n">
        <v>101404.25</v>
      </c>
      <c r="U3381" t="inlineStr">
        <is>
          <t>Low</t>
        </is>
      </c>
      <c r="V3381">
        <f>IF(AND(OR(Dashboard!$C$6="All",E3381=Dashboard!$C$6),OR(Dashboard!$F$6="All",G3381=Dashboard!$F$6),OR(Dashboard!$I$6="All",H3381=Dashboard!$I$6)),1,0)</f>
        <v/>
      </c>
    </row>
    <row r="3382">
      <c r="A3382" t="inlineStr">
        <is>
          <t>PF103373</t>
        </is>
      </c>
      <c r="B3382" s="68" t="n">
        <v>46065</v>
      </c>
      <c r="C3382" s="69" t="n">
        <v>2026</v>
      </c>
      <c r="D3382" t="inlineStr">
        <is>
          <t>Feb</t>
        </is>
      </c>
      <c r="E3382" t="inlineStr">
        <is>
          <t>International developed</t>
        </is>
      </c>
      <c r="F3382" t="inlineStr">
        <is>
          <t>Australia</t>
        </is>
      </c>
      <c r="G3382" t="inlineStr">
        <is>
          <t>Eliquis</t>
        </is>
      </c>
      <c r="H3382" t="inlineStr">
        <is>
          <t>Retail pharmacy</t>
        </is>
      </c>
      <c r="I3382" t="inlineStr">
        <is>
          <t>Public payer</t>
        </is>
      </c>
      <c r="J3382" t="inlineStr">
        <is>
          <t>Sophie Müller</t>
        </is>
      </c>
      <c r="K3382" s="70" t="n">
        <v>305</v>
      </c>
      <c r="L3382" s="71" t="n">
        <v>405.27</v>
      </c>
      <c r="M3382" s="71" t="n">
        <v>123607.35</v>
      </c>
      <c r="N3382" s="71" t="n">
        <v>6180.37</v>
      </c>
      <c r="O3382" s="71" t="n">
        <v>117426.98</v>
      </c>
      <c r="P3382" s="71" t="n">
        <v>23516.17</v>
      </c>
      <c r="Q3382" s="71" t="n">
        <v>93910.81</v>
      </c>
      <c r="R3382" t="inlineStr">
        <is>
          <t>Cardiology</t>
        </is>
      </c>
      <c r="S3382" s="70" t="n">
        <v>277</v>
      </c>
      <c r="T3382" s="71" t="n">
        <v>25559.58</v>
      </c>
      <c r="U3382" t="inlineStr">
        <is>
          <t>High</t>
        </is>
      </c>
      <c r="V3382">
        <f>IF(AND(OR(Dashboard!$C$6="All",E3382=Dashboard!$C$6),OR(Dashboard!$F$6="All",G3382=Dashboard!$F$6),OR(Dashboard!$I$6="All",H3382=Dashboard!$I$6)),1,0)</f>
        <v/>
      </c>
    </row>
    <row r="3383">
      <c r="A3383" t="inlineStr">
        <is>
          <t>PF103374</t>
        </is>
      </c>
      <c r="B3383" s="68" t="n">
        <v>46065</v>
      </c>
      <c r="C3383" s="69" t="n">
        <v>2026</v>
      </c>
      <c r="D3383" t="inlineStr">
        <is>
          <t>Feb</t>
        </is>
      </c>
      <c r="E3383" t="inlineStr">
        <is>
          <t>United States</t>
        </is>
      </c>
      <c r="F3383" t="inlineStr">
        <is>
          <t>USA</t>
        </is>
      </c>
      <c r="G3383" t="inlineStr">
        <is>
          <t>Xeljanz</t>
        </is>
      </c>
      <c r="H3383" t="inlineStr">
        <is>
          <t>Hospital</t>
        </is>
      </c>
      <c r="I3383" t="inlineStr">
        <is>
          <t>Public payer</t>
        </is>
      </c>
      <c r="J3383" t="inlineStr">
        <is>
          <t>Ruhi Shaikh</t>
        </is>
      </c>
      <c r="K3383" s="70" t="n">
        <v>1761</v>
      </c>
      <c r="L3383" s="71" t="n">
        <v>2157.16</v>
      </c>
      <c r="M3383" s="71" t="n">
        <v>3798758.76</v>
      </c>
      <c r="N3383" s="71" t="n">
        <v>949689.6899999999</v>
      </c>
      <c r="O3383" s="71" t="n">
        <v>2849069.07</v>
      </c>
      <c r="P3383" s="71" t="n">
        <v>445809.52</v>
      </c>
      <c r="Q3383" s="71" t="n">
        <v>2403259.55</v>
      </c>
      <c r="R3383" t="inlineStr">
        <is>
          <t>Inflammation</t>
        </is>
      </c>
      <c r="S3383" s="70" t="n">
        <v>1589</v>
      </c>
      <c r="T3383" s="71" t="n">
        <v>823849.84</v>
      </c>
      <c r="U3383" t="inlineStr">
        <is>
          <t>High</t>
        </is>
      </c>
      <c r="V3383">
        <f>IF(AND(OR(Dashboard!$C$6="All",E3383=Dashboard!$C$6),OR(Dashboard!$F$6="All",G3383=Dashboard!$F$6),OR(Dashboard!$I$6="All",H3383=Dashboard!$I$6)),1,0)</f>
        <v/>
      </c>
    </row>
    <row r="3384">
      <c r="A3384" t="inlineStr">
        <is>
          <t>PF103375</t>
        </is>
      </c>
      <c r="B3384" s="68" t="n">
        <v>46065</v>
      </c>
      <c r="C3384" s="69" t="n">
        <v>2026</v>
      </c>
      <c r="D3384" t="inlineStr">
        <is>
          <t>Feb</t>
        </is>
      </c>
      <c r="E3384" t="inlineStr">
        <is>
          <t>Emerging markets</t>
        </is>
      </c>
      <c r="F3384" t="inlineStr">
        <is>
          <t>China</t>
        </is>
      </c>
      <c r="G3384" t="inlineStr">
        <is>
          <t>Xeljanz</t>
        </is>
      </c>
      <c r="H3384" t="inlineStr">
        <is>
          <t>Government / tender</t>
        </is>
      </c>
      <c r="I3384" t="inlineStr">
        <is>
          <t>Private insurer</t>
        </is>
      </c>
      <c r="J3384" t="inlineStr">
        <is>
          <t>Sophie Müller</t>
        </is>
      </c>
      <c r="K3384" s="70" t="n">
        <v>2123</v>
      </c>
      <c r="L3384" s="71" t="n">
        <v>1394.78</v>
      </c>
      <c r="M3384" s="71" t="n">
        <v>2961117.94</v>
      </c>
      <c r="N3384" s="71" t="n">
        <v>148055.9</v>
      </c>
      <c r="O3384" s="71" t="n">
        <v>2813062.04</v>
      </c>
      <c r="P3384" s="71" t="n">
        <v>526505.49</v>
      </c>
      <c r="Q3384" s="71" t="n">
        <v>2286556.55</v>
      </c>
      <c r="R3384" t="inlineStr">
        <is>
          <t>Inflammation</t>
        </is>
      </c>
      <c r="S3384" s="70" t="n">
        <v>1522</v>
      </c>
      <c r="T3384" s="71" t="n">
        <v>534075.87</v>
      </c>
      <c r="U3384" t="inlineStr">
        <is>
          <t>High</t>
        </is>
      </c>
      <c r="V3384">
        <f>IF(AND(OR(Dashboard!$C$6="All",E3384=Dashboard!$C$6),OR(Dashboard!$F$6="All",G3384=Dashboard!$F$6),OR(Dashboard!$I$6="All",H3384=Dashboard!$I$6)),1,0)</f>
        <v/>
      </c>
    </row>
    <row r="3385">
      <c r="A3385" t="inlineStr">
        <is>
          <t>PF103376</t>
        </is>
      </c>
      <c r="B3385" s="68" t="n">
        <v>46065</v>
      </c>
      <c r="C3385" s="69" t="n">
        <v>2026</v>
      </c>
      <c r="D3385" t="inlineStr">
        <is>
          <t>Feb</t>
        </is>
      </c>
      <c r="E3385" t="inlineStr">
        <is>
          <t>International developed</t>
        </is>
      </c>
      <c r="F3385" t="inlineStr">
        <is>
          <t>Japan</t>
        </is>
      </c>
      <c r="G3385" t="inlineStr">
        <is>
          <t>Eliquis</t>
        </is>
      </c>
      <c r="H3385" t="inlineStr">
        <is>
          <t>Hospital</t>
        </is>
      </c>
      <c r="I3385" t="inlineStr">
        <is>
          <t>Public payer</t>
        </is>
      </c>
      <c r="J3385" t="inlineStr">
        <is>
          <t>Lucas Martin</t>
        </is>
      </c>
      <c r="K3385" s="70" t="n">
        <v>928</v>
      </c>
      <c r="L3385" s="71" t="n">
        <v>467.93</v>
      </c>
      <c r="M3385" s="71" t="n">
        <v>434239.04</v>
      </c>
      <c r="N3385" s="71" t="n">
        <v>108559.76</v>
      </c>
      <c r="O3385" s="71" t="n">
        <v>325679.28</v>
      </c>
      <c r="P3385" s="71" t="n">
        <v>72420.35000000001</v>
      </c>
      <c r="Q3385" s="71" t="n">
        <v>253258.93</v>
      </c>
      <c r="R3385" t="inlineStr">
        <is>
          <t>Cardiology</t>
        </is>
      </c>
      <c r="S3385" s="70" t="n">
        <v>924</v>
      </c>
      <c r="T3385" s="71" t="n">
        <v>56242.61</v>
      </c>
      <c r="U3385" t="inlineStr">
        <is>
          <t>High</t>
        </is>
      </c>
      <c r="V3385">
        <f>IF(AND(OR(Dashboard!$C$6="All",E3385=Dashboard!$C$6),OR(Dashboard!$F$6="All",G3385=Dashboard!$F$6),OR(Dashboard!$I$6="All",H3385=Dashboard!$I$6)),1,0)</f>
        <v/>
      </c>
    </row>
    <row r="3386">
      <c r="A3386" t="inlineStr">
        <is>
          <t>PF103377</t>
        </is>
      </c>
      <c r="B3386" s="68" t="n">
        <v>46065</v>
      </c>
      <c r="C3386" s="69" t="n">
        <v>2026</v>
      </c>
      <c r="D3386" t="inlineStr">
        <is>
          <t>Feb</t>
        </is>
      </c>
      <c r="E3386" t="inlineStr">
        <is>
          <t>Europe</t>
        </is>
      </c>
      <c r="F3386" t="inlineStr">
        <is>
          <t>Spain</t>
        </is>
      </c>
      <c r="G3386" t="inlineStr">
        <is>
          <t>Paxlovid</t>
        </is>
      </c>
      <c r="H3386" t="inlineStr">
        <is>
          <t>Hospital</t>
        </is>
      </c>
      <c r="I3386" t="inlineStr">
        <is>
          <t>Private insurer</t>
        </is>
      </c>
      <c r="J3386" t="inlineStr">
        <is>
          <t>Amir Khan</t>
        </is>
      </c>
      <c r="K3386" s="70" t="n">
        <v>258</v>
      </c>
      <c r="L3386" s="71" t="n">
        <v>907.8099999999999</v>
      </c>
      <c r="M3386" s="71" t="n">
        <v>234214.98</v>
      </c>
      <c r="N3386" s="71" t="n">
        <v>11710.75</v>
      </c>
      <c r="O3386" s="71" t="n">
        <v>222504.23</v>
      </c>
      <c r="P3386" s="71" t="n">
        <v>71001.07000000001</v>
      </c>
      <c r="Q3386" s="71" t="n">
        <v>151503.16</v>
      </c>
      <c r="R3386" t="inlineStr">
        <is>
          <t>Antiviral</t>
        </is>
      </c>
      <c r="S3386" s="70" t="n">
        <v>212</v>
      </c>
      <c r="T3386" s="71" t="n">
        <v>44922.77</v>
      </c>
      <c r="U3386" t="inlineStr">
        <is>
          <t>Low</t>
        </is>
      </c>
      <c r="V3386">
        <f>IF(AND(OR(Dashboard!$C$6="All",E3386=Dashboard!$C$6),OR(Dashboard!$F$6="All",G3386=Dashboard!$F$6),OR(Dashboard!$I$6="All",H3386=Dashboard!$I$6)),1,0)</f>
        <v/>
      </c>
    </row>
    <row r="3387">
      <c r="A3387" t="inlineStr">
        <is>
          <t>PF103378</t>
        </is>
      </c>
      <c r="B3387" s="68" t="n">
        <v>46065</v>
      </c>
      <c r="C3387" s="69" t="n">
        <v>2026</v>
      </c>
      <c r="D3387" t="inlineStr">
        <is>
          <t>Feb</t>
        </is>
      </c>
      <c r="E3387" t="inlineStr">
        <is>
          <t>United States</t>
        </is>
      </c>
      <c r="F3387" t="inlineStr">
        <is>
          <t>USA</t>
        </is>
      </c>
      <c r="G3387" t="inlineStr">
        <is>
          <t>Xeljanz</t>
        </is>
      </c>
      <c r="H3387" t="inlineStr">
        <is>
          <t>Government / tender</t>
        </is>
      </c>
      <c r="I3387" t="inlineStr">
        <is>
          <t>Public payer</t>
        </is>
      </c>
      <c r="J3387" t="inlineStr">
        <is>
          <t>Fatima Al-Saud</t>
        </is>
      </c>
      <c r="K3387" s="70" t="n">
        <v>1480</v>
      </c>
      <c r="L3387" s="71" t="n">
        <v>2016.01</v>
      </c>
      <c r="M3387" s="71" t="n">
        <v>2983694.8</v>
      </c>
      <c r="N3387" s="71" t="n">
        <v>895108.4399999999</v>
      </c>
      <c r="O3387" s="71" t="n">
        <v>2088586.36</v>
      </c>
      <c r="P3387" s="71" t="n">
        <v>365653.11</v>
      </c>
      <c r="Q3387" s="71" t="n">
        <v>1722933.25</v>
      </c>
      <c r="R3387" t="inlineStr">
        <is>
          <t>Inflammation</t>
        </is>
      </c>
      <c r="S3387" s="70" t="n">
        <v>1028</v>
      </c>
      <c r="T3387" s="71" t="n">
        <v>658441.4300000001</v>
      </c>
      <c r="U3387" t="inlineStr">
        <is>
          <t>High</t>
        </is>
      </c>
      <c r="V3387">
        <f>IF(AND(OR(Dashboard!$C$6="All",E3387=Dashboard!$C$6),OR(Dashboard!$F$6="All",G3387=Dashboard!$F$6),OR(Dashboard!$I$6="All",H3387=Dashboard!$I$6)),1,0)</f>
        <v/>
      </c>
    </row>
    <row r="3388">
      <c r="A3388" t="inlineStr">
        <is>
          <t>PF103379</t>
        </is>
      </c>
      <c r="B3388" s="68" t="n">
        <v>46065</v>
      </c>
      <c r="C3388" s="69" t="n">
        <v>2026</v>
      </c>
      <c r="D3388" t="inlineStr">
        <is>
          <t>Feb</t>
        </is>
      </c>
      <c r="E3388" t="inlineStr">
        <is>
          <t>International developed</t>
        </is>
      </c>
      <c r="F3388" t="inlineStr">
        <is>
          <t>Canada</t>
        </is>
      </c>
      <c r="G3388" t="inlineStr">
        <is>
          <t>Comirnaty</t>
        </is>
      </c>
      <c r="H3388" t="inlineStr">
        <is>
          <t>Retail pharmacy</t>
        </is>
      </c>
      <c r="I3388" t="inlineStr">
        <is>
          <t>Public payer</t>
        </is>
      </c>
      <c r="J3388" t="inlineStr">
        <is>
          <t>Carlos Silva</t>
        </is>
      </c>
      <c r="K3388" s="70" t="n">
        <v>1142</v>
      </c>
      <c r="L3388" s="71" t="n">
        <v>80.94</v>
      </c>
      <c r="M3388" s="71" t="n">
        <v>92433.48</v>
      </c>
      <c r="N3388" s="71" t="n">
        <v>18486.7</v>
      </c>
      <c r="O3388" s="71" t="n">
        <v>73946.78</v>
      </c>
      <c r="P3388" s="71" t="n">
        <v>42801.48</v>
      </c>
      <c r="Q3388" s="71" t="n">
        <v>31145.3</v>
      </c>
      <c r="R3388" t="inlineStr">
        <is>
          <t>Vaccines</t>
        </is>
      </c>
      <c r="S3388" s="70" t="n">
        <v>968</v>
      </c>
      <c r="T3388" s="71" t="n">
        <v>18328.57</v>
      </c>
      <c r="U3388" t="inlineStr">
        <is>
          <t>Low</t>
        </is>
      </c>
      <c r="V3388">
        <f>IF(AND(OR(Dashboard!$C$6="All",E3388=Dashboard!$C$6),OR(Dashboard!$F$6="All",G3388=Dashboard!$F$6),OR(Dashboard!$I$6="All",H3388=Dashboard!$I$6)),1,0)</f>
        <v/>
      </c>
    </row>
    <row r="3389">
      <c r="A3389" t="inlineStr">
        <is>
          <t>PF103380</t>
        </is>
      </c>
      <c r="B3389" s="68" t="n">
        <v>46065</v>
      </c>
      <c r="C3389" s="69" t="n">
        <v>2026</v>
      </c>
      <c r="D3389" t="inlineStr">
        <is>
          <t>Feb</t>
        </is>
      </c>
      <c r="E3389" t="inlineStr">
        <is>
          <t>Europe</t>
        </is>
      </c>
      <c r="F3389" t="inlineStr">
        <is>
          <t>France</t>
        </is>
      </c>
      <c r="G3389" t="inlineStr">
        <is>
          <t>Prevnar 20</t>
        </is>
      </c>
      <c r="H3389" t="inlineStr">
        <is>
          <t>Government / tender</t>
        </is>
      </c>
      <c r="I3389" t="inlineStr">
        <is>
          <t>Private insurer</t>
        </is>
      </c>
      <c r="J3389" t="inlineStr">
        <is>
          <t>Arjun Mehta</t>
        </is>
      </c>
      <c r="K3389" s="70" t="n">
        <v>1026</v>
      </c>
      <c r="L3389" s="71" t="n">
        <v>238.95</v>
      </c>
      <c r="M3389" s="71" t="n">
        <v>245162.7</v>
      </c>
      <c r="N3389" s="71" t="n">
        <v>61290.68</v>
      </c>
      <c r="O3389" s="71" t="n">
        <v>183872.02</v>
      </c>
      <c r="P3389" s="71" t="n">
        <v>70517.67999999999</v>
      </c>
      <c r="Q3389" s="71" t="n">
        <v>113354.34</v>
      </c>
      <c r="R3389" t="inlineStr">
        <is>
          <t>Vaccines</t>
        </is>
      </c>
      <c r="S3389" s="70" t="n">
        <v>853</v>
      </c>
      <c r="T3389" s="71" t="n">
        <v>52760.38</v>
      </c>
      <c r="U3389" t="inlineStr">
        <is>
          <t>Low</t>
        </is>
      </c>
      <c r="V3389">
        <f>IF(AND(OR(Dashboard!$C$6="All",E3389=Dashboard!$C$6),OR(Dashboard!$F$6="All",G3389=Dashboard!$F$6),OR(Dashboard!$I$6="All",H3389=Dashboard!$I$6)),1,0)</f>
        <v/>
      </c>
    </row>
    <row r="3390">
      <c r="A3390" t="inlineStr">
        <is>
          <t>PF103381</t>
        </is>
      </c>
      <c r="B3390" s="68" t="n">
        <v>46065</v>
      </c>
      <c r="C3390" s="69" t="n">
        <v>2026</v>
      </c>
      <c r="D3390" t="inlineStr">
        <is>
          <t>Feb</t>
        </is>
      </c>
      <c r="E3390" t="inlineStr">
        <is>
          <t>United States</t>
        </is>
      </c>
      <c r="F3390" t="inlineStr">
        <is>
          <t>USA</t>
        </is>
      </c>
      <c r="G3390" t="inlineStr">
        <is>
          <t>Eliquis</t>
        </is>
      </c>
      <c r="H3390" t="inlineStr">
        <is>
          <t>Hospital</t>
        </is>
      </c>
      <c r="I3390" t="inlineStr">
        <is>
          <t>Self-pay</t>
        </is>
      </c>
      <c r="J3390" t="inlineStr">
        <is>
          <t>Olivia Brown</t>
        </is>
      </c>
      <c r="K3390" s="70" t="n">
        <v>182</v>
      </c>
      <c r="L3390" s="71" t="n">
        <v>726.35</v>
      </c>
      <c r="M3390" s="71" t="n">
        <v>132195.7</v>
      </c>
      <c r="N3390" s="71" t="n">
        <v>46268.5</v>
      </c>
      <c r="O3390" s="71" t="n">
        <v>85927.2</v>
      </c>
      <c r="P3390" s="71" t="n">
        <v>13626.17</v>
      </c>
      <c r="Q3390" s="71" t="n">
        <v>72301.03</v>
      </c>
      <c r="R3390" t="inlineStr">
        <is>
          <t>Cardiology</t>
        </is>
      </c>
      <c r="S3390" s="70" t="n">
        <v>129</v>
      </c>
      <c r="T3390" s="71" t="n">
        <v>17738.58</v>
      </c>
      <c r="U3390" t="inlineStr">
        <is>
          <t>High</t>
        </is>
      </c>
      <c r="V3390">
        <f>IF(AND(OR(Dashboard!$C$6="All",E3390=Dashboard!$C$6),OR(Dashboard!$F$6="All",G3390=Dashboard!$F$6),OR(Dashboard!$I$6="All",H3390=Dashboard!$I$6)),1,0)</f>
        <v/>
      </c>
    </row>
    <row r="3391">
      <c r="A3391" t="inlineStr">
        <is>
          <t>PF103382</t>
        </is>
      </c>
      <c r="B3391" s="68" t="n">
        <v>46065</v>
      </c>
      <c r="C3391" s="69" t="n">
        <v>2026</v>
      </c>
      <c r="D3391" t="inlineStr">
        <is>
          <t>Feb</t>
        </is>
      </c>
      <c r="E3391" t="inlineStr">
        <is>
          <t>United States</t>
        </is>
      </c>
      <c r="F3391" t="inlineStr">
        <is>
          <t>USA</t>
        </is>
      </c>
      <c r="G3391" t="inlineStr">
        <is>
          <t>Eliquis</t>
        </is>
      </c>
      <c r="H3391" t="inlineStr">
        <is>
          <t>Hospital</t>
        </is>
      </c>
      <c r="I3391" t="inlineStr">
        <is>
          <t>Public payer</t>
        </is>
      </c>
      <c r="J3391" t="inlineStr">
        <is>
          <t>Hiroshi Tanaka</t>
        </is>
      </c>
      <c r="K3391" s="70" t="n">
        <v>851</v>
      </c>
      <c r="L3391" s="71" t="n">
        <v>668.08</v>
      </c>
      <c r="M3391" s="71" t="n">
        <v>568536.08</v>
      </c>
      <c r="N3391" s="71" t="n">
        <v>170560.82</v>
      </c>
      <c r="O3391" s="71" t="n">
        <v>397975.26</v>
      </c>
      <c r="P3391" s="71" t="n">
        <v>62841.82</v>
      </c>
      <c r="Q3391" s="71" t="n">
        <v>335133.44</v>
      </c>
      <c r="R3391" t="inlineStr">
        <is>
          <t>Cardiology</t>
        </is>
      </c>
      <c r="S3391" s="70" t="n">
        <v>610</v>
      </c>
      <c r="T3391" s="71" t="n">
        <v>78002.32000000001</v>
      </c>
      <c r="U3391" t="inlineStr">
        <is>
          <t>High</t>
        </is>
      </c>
      <c r="V3391">
        <f>IF(AND(OR(Dashboard!$C$6="All",E3391=Dashboard!$C$6),OR(Dashboard!$F$6="All",G3391=Dashboard!$F$6),OR(Dashboard!$I$6="All",H3391=Dashboard!$I$6)),1,0)</f>
        <v/>
      </c>
    </row>
    <row r="3392">
      <c r="A3392" t="inlineStr">
        <is>
          <t>PF103383</t>
        </is>
      </c>
      <c r="B3392" s="68" t="n">
        <v>46065</v>
      </c>
      <c r="C3392" s="69" t="n">
        <v>2026</v>
      </c>
      <c r="D3392" t="inlineStr">
        <is>
          <t>Feb</t>
        </is>
      </c>
      <c r="E3392" t="inlineStr">
        <is>
          <t>United States</t>
        </is>
      </c>
      <c r="F3392" t="inlineStr">
        <is>
          <t>USA</t>
        </is>
      </c>
      <c r="G3392" t="inlineStr">
        <is>
          <t>Prevnar 20</t>
        </is>
      </c>
      <c r="H3392" t="inlineStr">
        <is>
          <t>Hospital</t>
        </is>
      </c>
      <c r="I3392" t="inlineStr">
        <is>
          <t>Private insurer</t>
        </is>
      </c>
      <c r="J3392" t="inlineStr">
        <is>
          <t>Carlos Silva</t>
        </is>
      </c>
      <c r="K3392" s="70" t="n">
        <v>1087</v>
      </c>
      <c r="L3392" s="71" t="n">
        <v>401.97</v>
      </c>
      <c r="M3392" s="71" t="n">
        <v>436941.39</v>
      </c>
      <c r="N3392" s="71" t="n">
        <v>131082.42</v>
      </c>
      <c r="O3392" s="71" t="n">
        <v>305858.97</v>
      </c>
      <c r="P3392" s="71" t="n">
        <v>72938.64999999999</v>
      </c>
      <c r="Q3392" s="71" t="n">
        <v>232920.32</v>
      </c>
      <c r="R3392" t="inlineStr">
        <is>
          <t>Vaccines</t>
        </is>
      </c>
      <c r="S3392" s="70" t="n">
        <v>836</v>
      </c>
      <c r="T3392" s="71" t="n">
        <v>68412.25999999999</v>
      </c>
      <c r="U3392" t="inlineStr">
        <is>
          <t>Low</t>
        </is>
      </c>
      <c r="V3392">
        <f>IF(AND(OR(Dashboard!$C$6="All",E3392=Dashboard!$C$6),OR(Dashboard!$F$6="All",G3392=Dashboard!$F$6),OR(Dashboard!$I$6="All",H3392=Dashboard!$I$6)),1,0)</f>
        <v/>
      </c>
    </row>
    <row r="3393">
      <c r="A3393" t="inlineStr">
        <is>
          <t>PF103384</t>
        </is>
      </c>
      <c r="B3393" s="68" t="n">
        <v>46065</v>
      </c>
      <c r="C3393" s="69" t="n">
        <v>2026</v>
      </c>
      <c r="D3393" t="inlineStr">
        <is>
          <t>Feb</t>
        </is>
      </c>
      <c r="E3393" t="inlineStr">
        <is>
          <t>Emerging markets</t>
        </is>
      </c>
      <c r="F3393" t="inlineStr">
        <is>
          <t>China</t>
        </is>
      </c>
      <c r="G3393" t="inlineStr">
        <is>
          <t>Paxlovid</t>
        </is>
      </c>
      <c r="H3393" t="inlineStr">
        <is>
          <t>Hospital</t>
        </is>
      </c>
      <c r="I3393" t="inlineStr">
        <is>
          <t>Public payer</t>
        </is>
      </c>
      <c r="J3393" t="inlineStr">
        <is>
          <t>Wei Chen</t>
        </is>
      </c>
      <c r="K3393" s="70" t="n">
        <v>336</v>
      </c>
      <c r="L3393" s="71" t="n">
        <v>865.77</v>
      </c>
      <c r="M3393" s="71" t="n">
        <v>290898.72</v>
      </c>
      <c r="N3393" s="71" t="n">
        <v>43634.81</v>
      </c>
      <c r="O3393" s="71" t="n">
        <v>247263.91</v>
      </c>
      <c r="P3393" s="71" t="n">
        <v>95950.58</v>
      </c>
      <c r="Q3393" s="71" t="n">
        <v>151313.33</v>
      </c>
      <c r="R3393" t="inlineStr">
        <is>
          <t>Antiviral</t>
        </is>
      </c>
      <c r="S3393" s="70" t="n">
        <v>328</v>
      </c>
      <c r="T3393" s="71" t="n">
        <v>52169.32</v>
      </c>
      <c r="U3393" t="inlineStr">
        <is>
          <t>Low</t>
        </is>
      </c>
      <c r="V3393">
        <f>IF(AND(OR(Dashboard!$C$6="All",E3393=Dashboard!$C$6),OR(Dashboard!$F$6="All",G3393=Dashboard!$F$6),OR(Dashboard!$I$6="All",H3393=Dashboard!$I$6)),1,0)</f>
        <v/>
      </c>
    </row>
    <row r="3394">
      <c r="A3394" t="inlineStr">
        <is>
          <t>PF103385</t>
        </is>
      </c>
      <c r="B3394" s="68" t="n">
        <v>46066</v>
      </c>
      <c r="C3394" s="69" t="n">
        <v>2026</v>
      </c>
      <c r="D3394" t="inlineStr">
        <is>
          <t>Feb</t>
        </is>
      </c>
      <c r="E3394" t="inlineStr">
        <is>
          <t>United States</t>
        </is>
      </c>
      <c r="F3394" t="inlineStr">
        <is>
          <t>USA</t>
        </is>
      </c>
      <c r="G3394" t="inlineStr">
        <is>
          <t>Ibrance</t>
        </is>
      </c>
      <c r="H3394" t="inlineStr">
        <is>
          <t>Government / tender</t>
        </is>
      </c>
      <c r="I3394" t="inlineStr">
        <is>
          <t>Public payer</t>
        </is>
      </c>
      <c r="J3394" t="inlineStr">
        <is>
          <t>Omar Haddad</t>
        </is>
      </c>
      <c r="K3394" s="70" t="n">
        <v>2134</v>
      </c>
      <c r="L3394" s="71" t="n">
        <v>4720.36</v>
      </c>
      <c r="M3394" s="71" t="n">
        <v>10073248.24</v>
      </c>
      <c r="N3394" s="71" t="n">
        <v>3525636.88</v>
      </c>
      <c r="O3394" s="71" t="n">
        <v>6547611.36</v>
      </c>
      <c r="P3394" s="71" t="n">
        <v>907361.08</v>
      </c>
      <c r="Q3394" s="71" t="n">
        <v>5640250.28</v>
      </c>
      <c r="R3394" t="inlineStr">
        <is>
          <t>Oncology</t>
        </is>
      </c>
      <c r="S3394" s="70" t="n">
        <v>1490</v>
      </c>
      <c r="T3394" s="71" t="n">
        <v>1526174.1</v>
      </c>
      <c r="U3394" t="inlineStr">
        <is>
          <t>High</t>
        </is>
      </c>
      <c r="V3394">
        <f>IF(AND(OR(Dashboard!$C$6="All",E3394=Dashboard!$C$6),OR(Dashboard!$F$6="All",G3394=Dashboard!$F$6),OR(Dashboard!$I$6="All",H3394=Dashboard!$I$6)),1,0)</f>
        <v/>
      </c>
    </row>
    <row r="3395">
      <c r="A3395" t="inlineStr">
        <is>
          <t>PF103386</t>
        </is>
      </c>
      <c r="B3395" s="68" t="n">
        <v>46066</v>
      </c>
      <c r="C3395" s="69" t="n">
        <v>2026</v>
      </c>
      <c r="D3395" t="inlineStr">
        <is>
          <t>Feb</t>
        </is>
      </c>
      <c r="E3395" t="inlineStr">
        <is>
          <t>United States</t>
        </is>
      </c>
      <c r="F3395" t="inlineStr">
        <is>
          <t>USA</t>
        </is>
      </c>
      <c r="G3395" t="inlineStr">
        <is>
          <t>Ibrance</t>
        </is>
      </c>
      <c r="H3395" t="inlineStr">
        <is>
          <t>Hospital</t>
        </is>
      </c>
      <c r="I3395" t="inlineStr">
        <is>
          <t>Private insurer</t>
        </is>
      </c>
      <c r="J3395" t="inlineStr">
        <is>
          <t>Hiroshi Tanaka</t>
        </is>
      </c>
      <c r="K3395" s="70" t="n">
        <v>1169</v>
      </c>
      <c r="L3395" s="71" t="n">
        <v>4745.27</v>
      </c>
      <c r="M3395" s="71" t="n">
        <v>5547220.63</v>
      </c>
      <c r="N3395" s="71" t="n">
        <v>832083.09</v>
      </c>
      <c r="O3395" s="71" t="n">
        <v>4715137.54</v>
      </c>
      <c r="P3395" s="71" t="n">
        <v>524164.91</v>
      </c>
      <c r="Q3395" s="71" t="n">
        <v>4190972.63</v>
      </c>
      <c r="R3395" t="inlineStr">
        <is>
          <t>Oncology</t>
        </is>
      </c>
      <c r="S3395" s="70" t="n">
        <v>972</v>
      </c>
      <c r="T3395" s="71" t="n">
        <v>1082797.83</v>
      </c>
      <c r="U3395" t="inlineStr">
        <is>
          <t>High</t>
        </is>
      </c>
      <c r="V3395">
        <f>IF(AND(OR(Dashboard!$C$6="All",E3395=Dashboard!$C$6),OR(Dashboard!$F$6="All",G3395=Dashboard!$F$6),OR(Dashboard!$I$6="All",H3395=Dashboard!$I$6)),1,0)</f>
        <v/>
      </c>
    </row>
    <row r="3396">
      <c r="A3396" t="inlineStr">
        <is>
          <t>PF103387</t>
        </is>
      </c>
      <c r="B3396" s="68" t="n">
        <v>46066</v>
      </c>
      <c r="C3396" s="69" t="n">
        <v>2026</v>
      </c>
      <c r="D3396" t="inlineStr">
        <is>
          <t>Feb</t>
        </is>
      </c>
      <c r="E3396" t="inlineStr">
        <is>
          <t>United States</t>
        </is>
      </c>
      <c r="F3396" t="inlineStr">
        <is>
          <t>USA</t>
        </is>
      </c>
      <c r="G3396" t="inlineStr">
        <is>
          <t>Eliquis</t>
        </is>
      </c>
      <c r="H3396" t="inlineStr">
        <is>
          <t>Retail pharmacy</t>
        </is>
      </c>
      <c r="I3396" t="inlineStr">
        <is>
          <t>Public payer</t>
        </is>
      </c>
      <c r="J3396" t="inlineStr">
        <is>
          <t>Ravindra Patil</t>
        </is>
      </c>
      <c r="K3396" s="70" t="n">
        <v>2557</v>
      </c>
      <c r="L3396" s="71" t="n">
        <v>709.02</v>
      </c>
      <c r="M3396" s="71" t="n">
        <v>1812964.14</v>
      </c>
      <c r="N3396" s="71" t="n">
        <v>362592.83</v>
      </c>
      <c r="O3396" s="71" t="n">
        <v>1450371.31</v>
      </c>
      <c r="P3396" s="71" t="n">
        <v>189397.49</v>
      </c>
      <c r="Q3396" s="71" t="n">
        <v>1260973.82</v>
      </c>
      <c r="R3396" t="inlineStr">
        <is>
          <t>Cardiology</t>
        </is>
      </c>
      <c r="S3396" s="70" t="n">
        <v>1637</v>
      </c>
      <c r="T3396" s="71" t="n">
        <v>347715.32</v>
      </c>
      <c r="U3396" t="inlineStr">
        <is>
          <t>High</t>
        </is>
      </c>
      <c r="V3396">
        <f>IF(AND(OR(Dashboard!$C$6="All",E3396=Dashboard!$C$6),OR(Dashboard!$F$6="All",G3396=Dashboard!$F$6),OR(Dashboard!$I$6="All",H3396=Dashboard!$I$6)),1,0)</f>
        <v/>
      </c>
    </row>
    <row r="3397">
      <c r="A3397" t="inlineStr">
        <is>
          <t>PF103388</t>
        </is>
      </c>
      <c r="B3397" s="68" t="n">
        <v>46066</v>
      </c>
      <c r="C3397" s="69" t="n">
        <v>2026</v>
      </c>
      <c r="D3397" t="inlineStr">
        <is>
          <t>Feb</t>
        </is>
      </c>
      <c r="E3397" t="inlineStr">
        <is>
          <t>United States</t>
        </is>
      </c>
      <c r="F3397" t="inlineStr">
        <is>
          <t>USA</t>
        </is>
      </c>
      <c r="G3397" t="inlineStr">
        <is>
          <t>Ibrance</t>
        </is>
      </c>
      <c r="H3397" t="inlineStr">
        <is>
          <t>Retail pharmacy</t>
        </is>
      </c>
      <c r="I3397" t="inlineStr">
        <is>
          <t>Private insurer</t>
        </is>
      </c>
      <c r="J3397" t="inlineStr">
        <is>
          <t>Sara Rossi</t>
        </is>
      </c>
      <c r="K3397" s="70" t="n">
        <v>270</v>
      </c>
      <c r="L3397" s="71" t="n">
        <v>4847.88</v>
      </c>
      <c r="M3397" s="71" t="n">
        <v>1308927.6</v>
      </c>
      <c r="N3397" s="71" t="n">
        <v>327231.9</v>
      </c>
      <c r="O3397" s="71" t="n">
        <v>981695.7</v>
      </c>
      <c r="P3397" s="71" t="n">
        <v>116909.63</v>
      </c>
      <c r="Q3397" s="71" t="n">
        <v>864786.0699999999</v>
      </c>
      <c r="R3397" t="inlineStr">
        <is>
          <t>Oncology</t>
        </is>
      </c>
      <c r="S3397" s="70" t="n">
        <v>228</v>
      </c>
      <c r="T3397" s="71" t="n">
        <v>186227.16</v>
      </c>
      <c r="U3397" t="inlineStr">
        <is>
          <t>High</t>
        </is>
      </c>
      <c r="V3397">
        <f>IF(AND(OR(Dashboard!$C$6="All",E3397=Dashboard!$C$6),OR(Dashboard!$F$6="All",G3397=Dashboard!$F$6),OR(Dashboard!$I$6="All",H3397=Dashboard!$I$6)),1,0)</f>
        <v/>
      </c>
    </row>
    <row r="3398">
      <c r="A3398" t="inlineStr">
        <is>
          <t>PF103389</t>
        </is>
      </c>
      <c r="B3398" s="68" t="n">
        <v>46066</v>
      </c>
      <c r="C3398" s="69" t="n">
        <v>2026</v>
      </c>
      <c r="D3398" t="inlineStr">
        <is>
          <t>Feb</t>
        </is>
      </c>
      <c r="E3398" t="inlineStr">
        <is>
          <t>Emerging markets</t>
        </is>
      </c>
      <c r="F3398" t="inlineStr">
        <is>
          <t>Mexico</t>
        </is>
      </c>
      <c r="G3398" t="inlineStr">
        <is>
          <t>Comirnaty</t>
        </is>
      </c>
      <c r="H3398" t="inlineStr">
        <is>
          <t>Retail pharmacy</t>
        </is>
      </c>
      <c r="I3398" t="inlineStr">
        <is>
          <t>Private insurer</t>
        </is>
      </c>
      <c r="J3398" t="inlineStr">
        <is>
          <t>Zoya Ahmed</t>
        </is>
      </c>
      <c r="K3398" s="70" t="n">
        <v>1510</v>
      </c>
      <c r="L3398" s="71" t="n">
        <v>80.2</v>
      </c>
      <c r="M3398" s="71" t="n">
        <v>121102</v>
      </c>
      <c r="N3398" s="71" t="n">
        <v>18165.3</v>
      </c>
      <c r="O3398" s="71" t="n">
        <v>102936.7</v>
      </c>
      <c r="P3398" s="71" t="n">
        <v>59670.5</v>
      </c>
      <c r="Q3398" s="71" t="n">
        <v>43266.2</v>
      </c>
      <c r="R3398" t="inlineStr">
        <is>
          <t>Vaccines</t>
        </is>
      </c>
      <c r="S3398" s="70" t="n">
        <v>1404</v>
      </c>
      <c r="T3398" s="71" t="n">
        <v>21059.2</v>
      </c>
      <c r="U3398" t="inlineStr">
        <is>
          <t>Low</t>
        </is>
      </c>
      <c r="V3398">
        <f>IF(AND(OR(Dashboard!$C$6="All",E3398=Dashboard!$C$6),OR(Dashboard!$F$6="All",G3398=Dashboard!$F$6),OR(Dashboard!$I$6="All",H3398=Dashboard!$I$6)),1,0)</f>
        <v/>
      </c>
    </row>
    <row r="3399">
      <c r="A3399" t="inlineStr">
        <is>
          <t>PF103390</t>
        </is>
      </c>
      <c r="B3399" s="68" t="n">
        <v>46066</v>
      </c>
      <c r="C3399" s="69" t="n">
        <v>2026</v>
      </c>
      <c r="D3399" t="inlineStr">
        <is>
          <t>Feb</t>
        </is>
      </c>
      <c r="E3399" t="inlineStr">
        <is>
          <t>International developed</t>
        </is>
      </c>
      <c r="F3399" t="inlineStr">
        <is>
          <t>Australia</t>
        </is>
      </c>
      <c r="G3399" t="inlineStr">
        <is>
          <t>Prevnar 20</t>
        </is>
      </c>
      <c r="H3399" t="inlineStr">
        <is>
          <t>Government / tender</t>
        </is>
      </c>
      <c r="I3399" t="inlineStr">
        <is>
          <t>Self-pay</t>
        </is>
      </c>
      <c r="J3399" t="inlineStr">
        <is>
          <t>Sara Rossi</t>
        </is>
      </c>
      <c r="K3399" s="70" t="n">
        <v>1341</v>
      </c>
      <c r="L3399" s="71" t="n">
        <v>245.99</v>
      </c>
      <c r="M3399" s="71" t="n">
        <v>329872.59</v>
      </c>
      <c r="N3399" s="71" t="n">
        <v>16493.63</v>
      </c>
      <c r="O3399" s="71" t="n">
        <v>313378.96</v>
      </c>
      <c r="P3399" s="71" t="n">
        <v>89766.19</v>
      </c>
      <c r="Q3399" s="71" t="n">
        <v>223612.77</v>
      </c>
      <c r="R3399" t="inlineStr">
        <is>
          <t>Vaccines</t>
        </is>
      </c>
      <c r="S3399" s="70" t="n">
        <v>1340</v>
      </c>
      <c r="T3399" s="71" t="n">
        <v>66108.13</v>
      </c>
      <c r="U3399" t="inlineStr">
        <is>
          <t>Low</t>
        </is>
      </c>
      <c r="V3399">
        <f>IF(AND(OR(Dashboard!$C$6="All",E3399=Dashboard!$C$6),OR(Dashboard!$F$6="All",G3399=Dashboard!$F$6),OR(Dashboard!$I$6="All",H3399=Dashboard!$I$6)),1,0)</f>
        <v/>
      </c>
    </row>
    <row r="3400">
      <c r="A3400" t="inlineStr">
        <is>
          <t>PF103391</t>
        </is>
      </c>
      <c r="B3400" s="68" t="n">
        <v>46067</v>
      </c>
      <c r="C3400" s="69" t="n">
        <v>2026</v>
      </c>
      <c r="D3400" t="inlineStr">
        <is>
          <t>Feb</t>
        </is>
      </c>
      <c r="E3400" t="inlineStr">
        <is>
          <t>Europe</t>
        </is>
      </c>
      <c r="F3400" t="inlineStr">
        <is>
          <t>UK</t>
        </is>
      </c>
      <c r="G3400" t="inlineStr">
        <is>
          <t>Comirnaty</t>
        </is>
      </c>
      <c r="H3400" t="inlineStr">
        <is>
          <t>Hospital</t>
        </is>
      </c>
      <c r="I3400" t="inlineStr">
        <is>
          <t>Self-pay</t>
        </is>
      </c>
      <c r="J3400" t="inlineStr">
        <is>
          <t>Fatima Al-Saud</t>
        </is>
      </c>
      <c r="K3400" s="70" t="n">
        <v>953</v>
      </c>
      <c r="L3400" s="71" t="n">
        <v>87.2</v>
      </c>
      <c r="M3400" s="71" t="n">
        <v>83101.60000000001</v>
      </c>
      <c r="N3400" s="71" t="n">
        <v>8310.16</v>
      </c>
      <c r="O3400" s="71" t="n">
        <v>74791.44</v>
      </c>
      <c r="P3400" s="71" t="n">
        <v>35310.18</v>
      </c>
      <c r="Q3400" s="71" t="n">
        <v>39481.26</v>
      </c>
      <c r="R3400" t="inlineStr">
        <is>
          <t>Vaccines</t>
        </is>
      </c>
      <c r="S3400" s="70" t="n">
        <v>640</v>
      </c>
      <c r="T3400" s="71" t="n">
        <v>13896.51</v>
      </c>
      <c r="U3400" t="inlineStr">
        <is>
          <t>Low</t>
        </is>
      </c>
      <c r="V3400">
        <f>IF(AND(OR(Dashboard!$C$6="All",E3400=Dashboard!$C$6),OR(Dashboard!$F$6="All",G3400=Dashboard!$F$6),OR(Dashboard!$I$6="All",H3400=Dashboard!$I$6)),1,0)</f>
        <v/>
      </c>
    </row>
    <row r="3401">
      <c r="A3401" t="inlineStr">
        <is>
          <t>PF103392</t>
        </is>
      </c>
      <c r="B3401" s="68" t="n">
        <v>46067</v>
      </c>
      <c r="C3401" s="69" t="n">
        <v>2026</v>
      </c>
      <c r="D3401" t="inlineStr">
        <is>
          <t>Feb</t>
        </is>
      </c>
      <c r="E3401" t="inlineStr">
        <is>
          <t>Europe</t>
        </is>
      </c>
      <c r="F3401" t="inlineStr">
        <is>
          <t>Spain</t>
        </is>
      </c>
      <c r="G3401" t="inlineStr">
        <is>
          <t>Paxlovid</t>
        </is>
      </c>
      <c r="H3401" t="inlineStr">
        <is>
          <t>Retail pharmacy</t>
        </is>
      </c>
      <c r="I3401" t="inlineStr">
        <is>
          <t>Private insurer</t>
        </is>
      </c>
      <c r="J3401" t="inlineStr">
        <is>
          <t>Omar Haddad</t>
        </is>
      </c>
      <c r="K3401" s="70" t="n">
        <v>79</v>
      </c>
      <c r="L3401" s="71" t="n">
        <v>894.78</v>
      </c>
      <c r="M3401" s="71" t="n">
        <v>70687.62</v>
      </c>
      <c r="N3401" s="71" t="n">
        <v>7068.76</v>
      </c>
      <c r="O3401" s="71" t="n">
        <v>63618.86</v>
      </c>
      <c r="P3401" s="71" t="n">
        <v>22467.19</v>
      </c>
      <c r="Q3401" s="71" t="n">
        <v>41151.67</v>
      </c>
      <c r="R3401" t="inlineStr">
        <is>
          <t>Antiviral</t>
        </is>
      </c>
      <c r="S3401" s="70" t="n">
        <v>53</v>
      </c>
      <c r="T3401" s="71" t="n">
        <v>15474.54</v>
      </c>
      <c r="U3401" t="inlineStr">
        <is>
          <t>Low</t>
        </is>
      </c>
      <c r="V3401">
        <f>IF(AND(OR(Dashboard!$C$6="All",E3401=Dashboard!$C$6),OR(Dashboard!$F$6="All",G3401=Dashboard!$F$6),OR(Dashboard!$I$6="All",H3401=Dashboard!$I$6)),1,0)</f>
        <v/>
      </c>
    </row>
    <row r="3402">
      <c r="A3402" t="inlineStr">
        <is>
          <t>PF103393</t>
        </is>
      </c>
      <c r="B3402" s="68" t="n">
        <v>46067</v>
      </c>
      <c r="C3402" s="69" t="n">
        <v>2026</v>
      </c>
      <c r="D3402" t="inlineStr">
        <is>
          <t>Feb</t>
        </is>
      </c>
      <c r="E3402" t="inlineStr">
        <is>
          <t>International developed</t>
        </is>
      </c>
      <c r="F3402" t="inlineStr">
        <is>
          <t>Australia</t>
        </is>
      </c>
      <c r="G3402" t="inlineStr">
        <is>
          <t>Eliquis</t>
        </is>
      </c>
      <c r="H3402" t="inlineStr">
        <is>
          <t>Retail pharmacy</t>
        </is>
      </c>
      <c r="I3402" t="inlineStr">
        <is>
          <t>Private insurer</t>
        </is>
      </c>
      <c r="J3402" t="inlineStr">
        <is>
          <t>Arjun Mehta</t>
        </is>
      </c>
      <c r="K3402" s="70" t="n">
        <v>701</v>
      </c>
      <c r="L3402" s="71" t="n">
        <v>436.12</v>
      </c>
      <c r="M3402" s="71" t="n">
        <v>305720.12</v>
      </c>
      <c r="N3402" s="71" t="n">
        <v>30572.01</v>
      </c>
      <c r="O3402" s="71" t="n">
        <v>275148.11</v>
      </c>
      <c r="P3402" s="71" t="n">
        <v>54581.23</v>
      </c>
      <c r="Q3402" s="71" t="n">
        <v>220566.88</v>
      </c>
      <c r="R3402" t="inlineStr">
        <is>
          <t>Cardiology</t>
        </is>
      </c>
      <c r="S3402" s="70" t="n">
        <v>537</v>
      </c>
      <c r="T3402" s="71" t="n">
        <v>47255.93</v>
      </c>
      <c r="U3402" t="inlineStr">
        <is>
          <t>High</t>
        </is>
      </c>
      <c r="V3402">
        <f>IF(AND(OR(Dashboard!$C$6="All",E3402=Dashboard!$C$6),OR(Dashboard!$F$6="All",G3402=Dashboard!$F$6),OR(Dashboard!$I$6="All",H3402=Dashboard!$I$6)),1,0)</f>
        <v/>
      </c>
    </row>
    <row r="3403">
      <c r="A3403" t="inlineStr">
        <is>
          <t>PF103394</t>
        </is>
      </c>
      <c r="B3403" s="68" t="n">
        <v>46067</v>
      </c>
      <c r="C3403" s="69" t="n">
        <v>2026</v>
      </c>
      <c r="D3403" t="inlineStr">
        <is>
          <t>Feb</t>
        </is>
      </c>
      <c r="E3403" t="inlineStr">
        <is>
          <t>United States</t>
        </is>
      </c>
      <c r="F3403" t="inlineStr">
        <is>
          <t>USA</t>
        </is>
      </c>
      <c r="G3403" t="inlineStr">
        <is>
          <t>Prevnar 20</t>
        </is>
      </c>
      <c r="H3403" t="inlineStr">
        <is>
          <t>Government / tender</t>
        </is>
      </c>
      <c r="I3403" t="inlineStr">
        <is>
          <t>Private insurer</t>
        </is>
      </c>
      <c r="J3403" t="inlineStr">
        <is>
          <t>Arjun Mehta</t>
        </is>
      </c>
      <c r="K3403" s="70" t="n">
        <v>956</v>
      </c>
      <c r="L3403" s="71" t="n">
        <v>356.88</v>
      </c>
      <c r="M3403" s="71" t="n">
        <v>341177.28</v>
      </c>
      <c r="N3403" s="71" t="n">
        <v>85294.32000000001</v>
      </c>
      <c r="O3403" s="71" t="n">
        <v>255882.96</v>
      </c>
      <c r="P3403" s="71" t="n">
        <v>64164.88</v>
      </c>
      <c r="Q3403" s="71" t="n">
        <v>191718.08</v>
      </c>
      <c r="R3403" t="inlineStr">
        <is>
          <t>Vaccines</t>
        </is>
      </c>
      <c r="S3403" s="70" t="n">
        <v>724</v>
      </c>
      <c r="T3403" s="71" t="n">
        <v>41015</v>
      </c>
      <c r="U3403" t="inlineStr">
        <is>
          <t>Low</t>
        </is>
      </c>
      <c r="V3403">
        <f>IF(AND(OR(Dashboard!$C$6="All",E3403=Dashboard!$C$6),OR(Dashboard!$F$6="All",G3403=Dashboard!$F$6),OR(Dashboard!$I$6="All",H3403=Dashboard!$I$6)),1,0)</f>
        <v/>
      </c>
    </row>
    <row r="3404">
      <c r="A3404" t="inlineStr">
        <is>
          <t>PF103395</t>
        </is>
      </c>
      <c r="B3404" s="68" t="n">
        <v>46067</v>
      </c>
      <c r="C3404" s="69" t="n">
        <v>2026</v>
      </c>
      <c r="D3404" t="inlineStr">
        <is>
          <t>Feb</t>
        </is>
      </c>
      <c r="E3404" t="inlineStr">
        <is>
          <t>International developed</t>
        </is>
      </c>
      <c r="F3404" t="inlineStr">
        <is>
          <t>Japan</t>
        </is>
      </c>
      <c r="G3404" t="inlineStr">
        <is>
          <t>Prevnar 20</t>
        </is>
      </c>
      <c r="H3404" t="inlineStr">
        <is>
          <t>Government / tender</t>
        </is>
      </c>
      <c r="I3404" t="inlineStr">
        <is>
          <t>Private insurer</t>
        </is>
      </c>
      <c r="J3404" t="inlineStr">
        <is>
          <t>Sara Rossi</t>
        </is>
      </c>
      <c r="K3404" s="70" t="n">
        <v>1771</v>
      </c>
      <c r="L3404" s="71" t="n">
        <v>253.5</v>
      </c>
      <c r="M3404" s="71" t="n">
        <v>448948.5</v>
      </c>
      <c r="N3404" s="71" t="n">
        <v>22447.43</v>
      </c>
      <c r="O3404" s="71" t="n">
        <v>426501.07</v>
      </c>
      <c r="P3404" s="71" t="n">
        <v>119864.79</v>
      </c>
      <c r="Q3404" s="71" t="n">
        <v>306636.28</v>
      </c>
      <c r="R3404" t="inlineStr">
        <is>
          <t>Vaccines</t>
        </is>
      </c>
      <c r="S3404" s="70" t="n">
        <v>1510</v>
      </c>
      <c r="T3404" s="71" t="n">
        <v>76783.61</v>
      </c>
      <c r="U3404" t="inlineStr">
        <is>
          <t>Low</t>
        </is>
      </c>
      <c r="V3404">
        <f>IF(AND(OR(Dashboard!$C$6="All",E3404=Dashboard!$C$6),OR(Dashboard!$F$6="All",G3404=Dashboard!$F$6),OR(Dashboard!$I$6="All",H3404=Dashboard!$I$6)),1,0)</f>
        <v/>
      </c>
    </row>
    <row r="3405">
      <c r="A3405" t="inlineStr">
        <is>
          <t>PF103396</t>
        </is>
      </c>
      <c r="B3405" s="68" t="n">
        <v>46067</v>
      </c>
      <c r="C3405" s="69" t="n">
        <v>2026</v>
      </c>
      <c r="D3405" t="inlineStr">
        <is>
          <t>Feb</t>
        </is>
      </c>
      <c r="E3405" t="inlineStr">
        <is>
          <t>United States</t>
        </is>
      </c>
      <c r="F3405" t="inlineStr">
        <is>
          <t>USA</t>
        </is>
      </c>
      <c r="G3405" t="inlineStr">
        <is>
          <t>Ibrance</t>
        </is>
      </c>
      <c r="H3405" t="inlineStr">
        <is>
          <t>Retail pharmacy</t>
        </is>
      </c>
      <c r="I3405" t="inlineStr">
        <is>
          <t>Private insurer</t>
        </is>
      </c>
      <c r="J3405" t="inlineStr">
        <is>
          <t>Ruhi Shaikh</t>
        </is>
      </c>
      <c r="K3405" s="70" t="n">
        <v>1536</v>
      </c>
      <c r="L3405" s="71" t="n">
        <v>4408.07</v>
      </c>
      <c r="M3405" s="71" t="n">
        <v>6770795.52</v>
      </c>
      <c r="N3405" s="71" t="n">
        <v>1015619.33</v>
      </c>
      <c r="O3405" s="71" t="n">
        <v>5755176.19</v>
      </c>
      <c r="P3405" s="71" t="n">
        <v>665709.16</v>
      </c>
      <c r="Q3405" s="71" t="n">
        <v>5089467.03</v>
      </c>
      <c r="R3405" t="inlineStr">
        <is>
          <t>Oncology</t>
        </is>
      </c>
      <c r="S3405" s="70" t="n">
        <v>1204</v>
      </c>
      <c r="T3405" s="71" t="n">
        <v>858797</v>
      </c>
      <c r="U3405" t="inlineStr">
        <is>
          <t>High</t>
        </is>
      </c>
      <c r="V3405">
        <f>IF(AND(OR(Dashboard!$C$6="All",E3405=Dashboard!$C$6),OR(Dashboard!$F$6="All",G3405=Dashboard!$F$6),OR(Dashboard!$I$6="All",H3405=Dashboard!$I$6)),1,0)</f>
        <v/>
      </c>
    </row>
    <row r="3406">
      <c r="A3406" t="inlineStr">
        <is>
          <t>PF103397</t>
        </is>
      </c>
      <c r="B3406" s="68" t="n">
        <v>46067</v>
      </c>
      <c r="C3406" s="69" t="n">
        <v>2026</v>
      </c>
      <c r="D3406" t="inlineStr">
        <is>
          <t>Feb</t>
        </is>
      </c>
      <c r="E3406" t="inlineStr">
        <is>
          <t>Europe</t>
        </is>
      </c>
      <c r="F3406" t="inlineStr">
        <is>
          <t>France</t>
        </is>
      </c>
      <c r="G3406" t="inlineStr">
        <is>
          <t>Comirnaty</t>
        </is>
      </c>
      <c r="H3406" t="inlineStr">
        <is>
          <t>Retail pharmacy</t>
        </is>
      </c>
      <c r="I3406" t="inlineStr">
        <is>
          <t>Self-pay</t>
        </is>
      </c>
      <c r="J3406" t="inlineStr">
        <is>
          <t>Mei Lin</t>
        </is>
      </c>
      <c r="K3406" s="70" t="n">
        <v>994</v>
      </c>
      <c r="L3406" s="71" t="n">
        <v>92.31999999999999</v>
      </c>
      <c r="M3406" s="71" t="n">
        <v>91766.08</v>
      </c>
      <c r="N3406" s="71" t="n">
        <v>22941.52</v>
      </c>
      <c r="O3406" s="71" t="n">
        <v>68824.56</v>
      </c>
      <c r="P3406" s="71" t="n">
        <v>38826.1</v>
      </c>
      <c r="Q3406" s="71" t="n">
        <v>29998.46</v>
      </c>
      <c r="R3406" t="inlineStr">
        <is>
          <t>Vaccines</t>
        </is>
      </c>
      <c r="S3406" s="70" t="n">
        <v>723</v>
      </c>
      <c r="T3406" s="71" t="n">
        <v>21773.7</v>
      </c>
      <c r="U3406" t="inlineStr">
        <is>
          <t>Low</t>
        </is>
      </c>
      <c r="V3406">
        <f>IF(AND(OR(Dashboard!$C$6="All",E3406=Dashboard!$C$6),OR(Dashboard!$F$6="All",G3406=Dashboard!$F$6),OR(Dashboard!$I$6="All",H3406=Dashboard!$I$6)),1,0)</f>
        <v/>
      </c>
    </row>
    <row r="3407">
      <c r="A3407" t="inlineStr">
        <is>
          <t>PF103398</t>
        </is>
      </c>
      <c r="B3407" s="68" t="n">
        <v>46067</v>
      </c>
      <c r="C3407" s="69" t="n">
        <v>2026</v>
      </c>
      <c r="D3407" t="inlineStr">
        <is>
          <t>Feb</t>
        </is>
      </c>
      <c r="E3407" t="inlineStr">
        <is>
          <t>United States</t>
        </is>
      </c>
      <c r="F3407" t="inlineStr">
        <is>
          <t>USA</t>
        </is>
      </c>
      <c r="G3407" t="inlineStr">
        <is>
          <t>Paxlovid</t>
        </is>
      </c>
      <c r="H3407" t="inlineStr">
        <is>
          <t>Government / tender</t>
        </is>
      </c>
      <c r="I3407" t="inlineStr">
        <is>
          <t>Public payer</t>
        </is>
      </c>
      <c r="J3407" t="inlineStr">
        <is>
          <t>Lucas Martin</t>
        </is>
      </c>
      <c r="K3407" s="70" t="n">
        <v>1769</v>
      </c>
      <c r="L3407" s="71" t="n">
        <v>1454.16</v>
      </c>
      <c r="M3407" s="71" t="n">
        <v>2572409.04</v>
      </c>
      <c r="N3407" s="71" t="n">
        <v>643102.26</v>
      </c>
      <c r="O3407" s="71" t="n">
        <v>1929306.78</v>
      </c>
      <c r="P3407" s="71" t="n">
        <v>484411.41</v>
      </c>
      <c r="Q3407" s="71" t="n">
        <v>1444895.37</v>
      </c>
      <c r="R3407" t="inlineStr">
        <is>
          <t>Antiviral</t>
        </is>
      </c>
      <c r="S3407" s="70" t="n">
        <v>1315</v>
      </c>
      <c r="T3407" s="71" t="n">
        <v>647513.53</v>
      </c>
      <c r="U3407" t="inlineStr">
        <is>
          <t>Low</t>
        </is>
      </c>
      <c r="V3407">
        <f>IF(AND(OR(Dashboard!$C$6="All",E3407=Dashboard!$C$6),OR(Dashboard!$F$6="All",G3407=Dashboard!$F$6),OR(Dashboard!$I$6="All",H3407=Dashboard!$I$6)),1,0)</f>
        <v/>
      </c>
    </row>
    <row r="3408">
      <c r="A3408" t="inlineStr">
        <is>
          <t>PF103399</t>
        </is>
      </c>
      <c r="B3408" s="68" t="n">
        <v>46067</v>
      </c>
      <c r="C3408" s="69" t="n">
        <v>2026</v>
      </c>
      <c r="D3408" t="inlineStr">
        <is>
          <t>Feb</t>
        </is>
      </c>
      <c r="E3408" t="inlineStr">
        <is>
          <t>United States</t>
        </is>
      </c>
      <c r="F3408" t="inlineStr">
        <is>
          <t>USA</t>
        </is>
      </c>
      <c r="G3408" t="inlineStr">
        <is>
          <t>Prevnar 20</t>
        </is>
      </c>
      <c r="H3408" t="inlineStr">
        <is>
          <t>Hospital</t>
        </is>
      </c>
      <c r="I3408" t="inlineStr">
        <is>
          <t>Self-pay</t>
        </is>
      </c>
      <c r="J3408" t="inlineStr">
        <is>
          <t>Hiroshi Tanaka</t>
        </is>
      </c>
      <c r="K3408" s="70" t="n">
        <v>566</v>
      </c>
      <c r="L3408" s="71" t="n">
        <v>361.45</v>
      </c>
      <c r="M3408" s="71" t="n">
        <v>204580.7</v>
      </c>
      <c r="N3408" s="71" t="n">
        <v>51145.18</v>
      </c>
      <c r="O3408" s="71" t="n">
        <v>153435.52</v>
      </c>
      <c r="P3408" s="71" t="n">
        <v>37955.95</v>
      </c>
      <c r="Q3408" s="71" t="n">
        <v>115479.57</v>
      </c>
      <c r="R3408" t="inlineStr">
        <is>
          <t>Vaccines</t>
        </is>
      </c>
      <c r="S3408" s="70" t="n">
        <v>499</v>
      </c>
      <c r="T3408" s="71" t="n">
        <v>41147.37</v>
      </c>
      <c r="U3408" t="inlineStr">
        <is>
          <t>Low</t>
        </is>
      </c>
      <c r="V3408">
        <f>IF(AND(OR(Dashboard!$C$6="All",E3408=Dashboard!$C$6),OR(Dashboard!$F$6="All",G3408=Dashboard!$F$6),OR(Dashboard!$I$6="All",H3408=Dashboard!$I$6)),1,0)</f>
        <v/>
      </c>
    </row>
    <row r="3409">
      <c r="A3409" t="inlineStr">
        <is>
          <t>PF103400</t>
        </is>
      </c>
      <c r="B3409" s="68" t="n">
        <v>46068</v>
      </c>
      <c r="C3409" s="69" t="n">
        <v>2026</v>
      </c>
      <c r="D3409" t="inlineStr">
        <is>
          <t>Feb</t>
        </is>
      </c>
      <c r="E3409" t="inlineStr">
        <is>
          <t>Emerging markets</t>
        </is>
      </c>
      <c r="F3409" t="inlineStr">
        <is>
          <t>China</t>
        </is>
      </c>
      <c r="G3409" t="inlineStr">
        <is>
          <t>Abrysvo</t>
        </is>
      </c>
      <c r="H3409" t="inlineStr">
        <is>
          <t>Government / tender</t>
        </is>
      </c>
      <c r="I3409" t="inlineStr">
        <is>
          <t>Private insurer</t>
        </is>
      </c>
      <c r="J3409" t="inlineStr">
        <is>
          <t>Olivia Brown</t>
        </is>
      </c>
      <c r="K3409" s="70" t="n">
        <v>1273</v>
      </c>
      <c r="L3409" s="71" t="n">
        <v>323.5</v>
      </c>
      <c r="M3409" s="71" t="n">
        <v>411815.5</v>
      </c>
      <c r="N3409" s="71" t="n">
        <v>102953.88</v>
      </c>
      <c r="O3409" s="71" t="n">
        <v>308861.62</v>
      </c>
      <c r="P3409" s="71" t="n">
        <v>110299.08</v>
      </c>
      <c r="Q3409" s="71" t="n">
        <v>198562.54</v>
      </c>
      <c r="R3409" t="inlineStr">
        <is>
          <t>Vaccines</t>
        </is>
      </c>
      <c r="S3409" s="70" t="n">
        <v>1261</v>
      </c>
      <c r="T3409" s="71" t="n">
        <v>55258.76</v>
      </c>
      <c r="U3409" t="inlineStr">
        <is>
          <t>Low</t>
        </is>
      </c>
      <c r="V3409">
        <f>IF(AND(OR(Dashboard!$C$6="All",E3409=Dashboard!$C$6),OR(Dashboard!$F$6="All",G3409=Dashboard!$F$6),OR(Dashboard!$I$6="All",H3409=Dashboard!$I$6)),1,0)</f>
        <v/>
      </c>
    </row>
    <row r="3410">
      <c r="A3410" t="inlineStr">
        <is>
          <t>PF103401</t>
        </is>
      </c>
      <c r="B3410" s="68" t="n">
        <v>46068</v>
      </c>
      <c r="C3410" s="69" t="n">
        <v>2026</v>
      </c>
      <c r="D3410" t="inlineStr">
        <is>
          <t>Feb</t>
        </is>
      </c>
      <c r="E3410" t="inlineStr">
        <is>
          <t>International developed</t>
        </is>
      </c>
      <c r="F3410" t="inlineStr">
        <is>
          <t>Canada</t>
        </is>
      </c>
      <c r="G3410" t="inlineStr">
        <is>
          <t>Paxlovid</t>
        </is>
      </c>
      <c r="H3410" t="inlineStr">
        <is>
          <t>Hospital</t>
        </is>
      </c>
      <c r="I3410" t="inlineStr">
        <is>
          <t>Public payer</t>
        </is>
      </c>
      <c r="J3410" t="inlineStr">
        <is>
          <t>Lucas Martin</t>
        </is>
      </c>
      <c r="K3410" s="70" t="n">
        <v>1754</v>
      </c>
      <c r="L3410" s="71" t="n">
        <v>872.15</v>
      </c>
      <c r="M3410" s="71" t="n">
        <v>1529751.1</v>
      </c>
      <c r="N3410" s="71" t="n">
        <v>229462.67</v>
      </c>
      <c r="O3410" s="71" t="n">
        <v>1300288.43</v>
      </c>
      <c r="P3410" s="71" t="n">
        <v>477223.26</v>
      </c>
      <c r="Q3410" s="71" t="n">
        <v>823065.17</v>
      </c>
      <c r="R3410" t="inlineStr">
        <is>
          <t>Antiviral</t>
        </is>
      </c>
      <c r="S3410" s="70" t="n">
        <v>1153</v>
      </c>
      <c r="T3410" s="71" t="n">
        <v>279074.83</v>
      </c>
      <c r="U3410" t="inlineStr">
        <is>
          <t>Low</t>
        </is>
      </c>
      <c r="V3410">
        <f>IF(AND(OR(Dashboard!$C$6="All",E3410=Dashboard!$C$6),OR(Dashboard!$F$6="All",G3410=Dashboard!$F$6),OR(Dashboard!$I$6="All",H3410=Dashboard!$I$6)),1,0)</f>
        <v/>
      </c>
    </row>
    <row r="3411">
      <c r="A3411" t="inlineStr">
        <is>
          <t>PF103402</t>
        </is>
      </c>
      <c r="B3411" s="68" t="n">
        <v>46068</v>
      </c>
      <c r="C3411" s="69" t="n">
        <v>2026</v>
      </c>
      <c r="D3411" t="inlineStr">
        <is>
          <t>Feb</t>
        </is>
      </c>
      <c r="E3411" t="inlineStr">
        <is>
          <t>Emerging markets</t>
        </is>
      </c>
      <c r="F3411" t="inlineStr">
        <is>
          <t>Mexico</t>
        </is>
      </c>
      <c r="G3411" t="inlineStr">
        <is>
          <t>Prevnar 20</t>
        </is>
      </c>
      <c r="H3411" t="inlineStr">
        <is>
          <t>Retail pharmacy</t>
        </is>
      </c>
      <c r="I3411" t="inlineStr">
        <is>
          <t>Public payer</t>
        </is>
      </c>
      <c r="J3411" t="inlineStr">
        <is>
          <t>Carlos Silva</t>
        </is>
      </c>
      <c r="K3411" s="70" t="n">
        <v>1945</v>
      </c>
      <c r="L3411" s="71" t="n">
        <v>216.78</v>
      </c>
      <c r="M3411" s="71" t="n">
        <v>421637.1</v>
      </c>
      <c r="N3411" s="71" t="n">
        <v>63245.56</v>
      </c>
      <c r="O3411" s="71" t="n">
        <v>358391.54</v>
      </c>
      <c r="P3411" s="71" t="n">
        <v>131455.08</v>
      </c>
      <c r="Q3411" s="71" t="n">
        <v>226936.46</v>
      </c>
      <c r="R3411" t="inlineStr">
        <is>
          <t>Vaccines</t>
        </is>
      </c>
      <c r="S3411" s="70" t="n">
        <v>1461</v>
      </c>
      <c r="T3411" s="71" t="n">
        <v>64534.57</v>
      </c>
      <c r="U3411" t="inlineStr">
        <is>
          <t>Low</t>
        </is>
      </c>
      <c r="V3411">
        <f>IF(AND(OR(Dashboard!$C$6="All",E3411=Dashboard!$C$6),OR(Dashboard!$F$6="All",G3411=Dashboard!$F$6),OR(Dashboard!$I$6="All",H3411=Dashboard!$I$6)),1,0)</f>
        <v/>
      </c>
    </row>
    <row r="3412">
      <c r="A3412" t="inlineStr">
        <is>
          <t>PF103403</t>
        </is>
      </c>
      <c r="B3412" s="68" t="n">
        <v>46068</v>
      </c>
      <c r="C3412" s="69" t="n">
        <v>2026</v>
      </c>
      <c r="D3412" t="inlineStr">
        <is>
          <t>Feb</t>
        </is>
      </c>
      <c r="E3412" t="inlineStr">
        <is>
          <t>International developed</t>
        </is>
      </c>
      <c r="F3412" t="inlineStr">
        <is>
          <t>Japan</t>
        </is>
      </c>
      <c r="G3412" t="inlineStr">
        <is>
          <t>Paxlovid</t>
        </is>
      </c>
      <c r="H3412" t="inlineStr">
        <is>
          <t>Retail pharmacy</t>
        </is>
      </c>
      <c r="I3412" t="inlineStr">
        <is>
          <t>Self-pay</t>
        </is>
      </c>
      <c r="J3412" t="inlineStr">
        <is>
          <t>Carlos Silva</t>
        </is>
      </c>
      <c r="K3412" s="70" t="n">
        <v>643</v>
      </c>
      <c r="L3412" s="71" t="n">
        <v>895.8099999999999</v>
      </c>
      <c r="M3412" s="71" t="n">
        <v>576005.83</v>
      </c>
      <c r="N3412" s="71" t="n">
        <v>144001.46</v>
      </c>
      <c r="O3412" s="71" t="n">
        <v>432004.37</v>
      </c>
      <c r="P3412" s="71" t="n">
        <v>174347.59</v>
      </c>
      <c r="Q3412" s="71" t="n">
        <v>257656.78</v>
      </c>
      <c r="R3412" t="inlineStr">
        <is>
          <t>Antiviral</t>
        </is>
      </c>
      <c r="S3412" s="70" t="n">
        <v>513</v>
      </c>
      <c r="T3412" s="71" t="n">
        <v>93101.39</v>
      </c>
      <c r="U3412" t="inlineStr">
        <is>
          <t>Low</t>
        </is>
      </c>
      <c r="V3412">
        <f>IF(AND(OR(Dashboard!$C$6="All",E3412=Dashboard!$C$6),OR(Dashboard!$F$6="All",G3412=Dashboard!$F$6),OR(Dashboard!$I$6="All",H3412=Dashboard!$I$6)),1,0)</f>
        <v/>
      </c>
    </row>
    <row r="3413">
      <c r="A3413" t="inlineStr">
        <is>
          <t>PF103404</t>
        </is>
      </c>
      <c r="B3413" s="68" t="n">
        <v>46068</v>
      </c>
      <c r="C3413" s="69" t="n">
        <v>2026</v>
      </c>
      <c r="D3413" t="inlineStr">
        <is>
          <t>Feb</t>
        </is>
      </c>
      <c r="E3413" t="inlineStr">
        <is>
          <t>United States</t>
        </is>
      </c>
      <c r="F3413" t="inlineStr">
        <is>
          <t>USA</t>
        </is>
      </c>
      <c r="G3413" t="inlineStr">
        <is>
          <t>Xeljanz</t>
        </is>
      </c>
      <c r="H3413" t="inlineStr">
        <is>
          <t>Retail pharmacy</t>
        </is>
      </c>
      <c r="I3413" t="inlineStr">
        <is>
          <t>Public payer</t>
        </is>
      </c>
      <c r="J3413" t="inlineStr">
        <is>
          <t>Ruhi Shaikh</t>
        </is>
      </c>
      <c r="K3413" s="70" t="n">
        <v>2204</v>
      </c>
      <c r="L3413" s="71" t="n">
        <v>2064.38</v>
      </c>
      <c r="M3413" s="71" t="n">
        <v>4549893.52</v>
      </c>
      <c r="N3413" s="71" t="n">
        <v>1137473.38</v>
      </c>
      <c r="O3413" s="71" t="n">
        <v>3412420.14</v>
      </c>
      <c r="P3413" s="71" t="n">
        <v>546661.88</v>
      </c>
      <c r="Q3413" s="71" t="n">
        <v>2865758.26</v>
      </c>
      <c r="R3413" t="inlineStr">
        <is>
          <t>Inflammation</t>
        </is>
      </c>
      <c r="S3413" s="70" t="n">
        <v>1378</v>
      </c>
      <c r="T3413" s="71" t="n">
        <v>945539.64</v>
      </c>
      <c r="U3413" t="inlineStr">
        <is>
          <t>High</t>
        </is>
      </c>
      <c r="V3413">
        <f>IF(AND(OR(Dashboard!$C$6="All",E3413=Dashboard!$C$6),OR(Dashboard!$F$6="All",G3413=Dashboard!$F$6),OR(Dashboard!$I$6="All",H3413=Dashboard!$I$6)),1,0)</f>
        <v/>
      </c>
    </row>
    <row r="3414">
      <c r="A3414" t="inlineStr">
        <is>
          <t>PF103405</t>
        </is>
      </c>
      <c r="B3414" s="68" t="n">
        <v>46068</v>
      </c>
      <c r="C3414" s="69" t="n">
        <v>2026</v>
      </c>
      <c r="D3414" t="inlineStr">
        <is>
          <t>Feb</t>
        </is>
      </c>
      <c r="E3414" t="inlineStr">
        <is>
          <t>United States</t>
        </is>
      </c>
      <c r="F3414" t="inlineStr">
        <is>
          <t>USA</t>
        </is>
      </c>
      <c r="G3414" t="inlineStr">
        <is>
          <t>Vyndaqel</t>
        </is>
      </c>
      <c r="H3414" t="inlineStr">
        <is>
          <t>Retail pharmacy</t>
        </is>
      </c>
      <c r="I3414" t="inlineStr">
        <is>
          <t>Private insurer</t>
        </is>
      </c>
      <c r="J3414" t="inlineStr">
        <is>
          <t>Ruhi Shaikh</t>
        </is>
      </c>
      <c r="K3414" s="70" t="n">
        <v>2516</v>
      </c>
      <c r="L3414" s="71" t="n">
        <v>9571.030000000001</v>
      </c>
      <c r="M3414" s="71" t="n">
        <v>24080711.48</v>
      </c>
      <c r="N3414" s="71" t="n">
        <v>6020177.87</v>
      </c>
      <c r="O3414" s="71" t="n">
        <v>18060533.61</v>
      </c>
      <c r="P3414" s="71" t="n">
        <v>1587526.91</v>
      </c>
      <c r="Q3414" s="71" t="n">
        <v>16473006.7</v>
      </c>
      <c r="R3414" t="inlineStr">
        <is>
          <t>Rare disease</t>
        </is>
      </c>
      <c r="S3414" s="70" t="n">
        <v>2414</v>
      </c>
      <c r="T3414" s="71" t="n">
        <v>2997631.69</v>
      </c>
      <c r="U3414" t="inlineStr">
        <is>
          <t>Medium</t>
        </is>
      </c>
      <c r="V3414">
        <f>IF(AND(OR(Dashboard!$C$6="All",E3414=Dashboard!$C$6),OR(Dashboard!$F$6="All",G3414=Dashboard!$F$6),OR(Dashboard!$I$6="All",H3414=Dashboard!$I$6)),1,0)</f>
        <v/>
      </c>
    </row>
    <row r="3415">
      <c r="A3415" t="inlineStr">
        <is>
          <t>PF103406</t>
        </is>
      </c>
      <c r="B3415" s="68" t="n">
        <v>46068</v>
      </c>
      <c r="C3415" s="69" t="n">
        <v>2026</v>
      </c>
      <c r="D3415" t="inlineStr">
        <is>
          <t>Feb</t>
        </is>
      </c>
      <c r="E3415" t="inlineStr">
        <is>
          <t>Emerging markets</t>
        </is>
      </c>
      <c r="F3415" t="inlineStr">
        <is>
          <t>China</t>
        </is>
      </c>
      <c r="G3415" t="inlineStr">
        <is>
          <t>Paxlovid</t>
        </is>
      </c>
      <c r="H3415" t="inlineStr">
        <is>
          <t>Retail pharmacy</t>
        </is>
      </c>
      <c r="I3415" t="inlineStr">
        <is>
          <t>Public payer</t>
        </is>
      </c>
      <c r="J3415" t="inlineStr">
        <is>
          <t>Hiroshi Tanaka</t>
        </is>
      </c>
      <c r="K3415" s="70" t="n">
        <v>1665</v>
      </c>
      <c r="L3415" s="71" t="n">
        <v>906.67</v>
      </c>
      <c r="M3415" s="71" t="n">
        <v>1509605.55</v>
      </c>
      <c r="N3415" s="71" t="n">
        <v>226440.83</v>
      </c>
      <c r="O3415" s="71" t="n">
        <v>1283164.72</v>
      </c>
      <c r="P3415" s="71" t="n">
        <v>461760.27</v>
      </c>
      <c r="Q3415" s="71" t="n">
        <v>821404.45</v>
      </c>
      <c r="R3415" t="inlineStr">
        <is>
          <t>Antiviral</t>
        </is>
      </c>
      <c r="S3415" s="70" t="n">
        <v>1056</v>
      </c>
      <c r="T3415" s="71" t="n">
        <v>324825.58</v>
      </c>
      <c r="U3415" t="inlineStr">
        <is>
          <t>Low</t>
        </is>
      </c>
      <c r="V3415">
        <f>IF(AND(OR(Dashboard!$C$6="All",E3415=Dashboard!$C$6),OR(Dashboard!$F$6="All",G3415=Dashboard!$F$6),OR(Dashboard!$I$6="All",H3415=Dashboard!$I$6)),1,0)</f>
        <v/>
      </c>
    </row>
    <row r="3416">
      <c r="A3416" t="inlineStr">
        <is>
          <t>PF103407</t>
        </is>
      </c>
      <c r="B3416" s="68" t="n">
        <v>46068</v>
      </c>
      <c r="C3416" s="69" t="n">
        <v>2026</v>
      </c>
      <c r="D3416" t="inlineStr">
        <is>
          <t>Feb</t>
        </is>
      </c>
      <c r="E3416" t="inlineStr">
        <is>
          <t>Europe</t>
        </is>
      </c>
      <c r="F3416" t="inlineStr">
        <is>
          <t>Germany</t>
        </is>
      </c>
      <c r="G3416" t="inlineStr">
        <is>
          <t>Ibrance</t>
        </is>
      </c>
      <c r="H3416" t="inlineStr">
        <is>
          <t>Government / tender</t>
        </is>
      </c>
      <c r="I3416" t="inlineStr">
        <is>
          <t>Self-pay</t>
        </is>
      </c>
      <c r="J3416" t="inlineStr">
        <is>
          <t>Sara Rossi</t>
        </is>
      </c>
      <c r="K3416" s="70" t="n">
        <v>386</v>
      </c>
      <c r="L3416" s="71" t="n">
        <v>2989.42</v>
      </c>
      <c r="M3416" s="71" t="n">
        <v>1153916.12</v>
      </c>
      <c r="N3416" s="71" t="n">
        <v>173087.42</v>
      </c>
      <c r="O3416" s="71" t="n">
        <v>980828.7</v>
      </c>
      <c r="P3416" s="71" t="n">
        <v>167895.68</v>
      </c>
      <c r="Q3416" s="71" t="n">
        <v>812933.02</v>
      </c>
      <c r="R3416" t="inlineStr">
        <is>
          <t>Oncology</t>
        </is>
      </c>
      <c r="S3416" s="70" t="n">
        <v>300</v>
      </c>
      <c r="T3416" s="71" t="n">
        <v>226169.53</v>
      </c>
      <c r="U3416" t="inlineStr">
        <is>
          <t>High</t>
        </is>
      </c>
      <c r="V3416">
        <f>IF(AND(OR(Dashboard!$C$6="All",E3416=Dashboard!$C$6),OR(Dashboard!$F$6="All",G3416=Dashboard!$F$6),OR(Dashboard!$I$6="All",H3416=Dashboard!$I$6)),1,0)</f>
        <v/>
      </c>
    </row>
    <row r="3417">
      <c r="A3417" t="inlineStr">
        <is>
          <t>PF103408</t>
        </is>
      </c>
      <c r="B3417" s="68" t="n">
        <v>46068</v>
      </c>
      <c r="C3417" s="69" t="n">
        <v>2026</v>
      </c>
      <c r="D3417" t="inlineStr">
        <is>
          <t>Feb</t>
        </is>
      </c>
      <c r="E3417" t="inlineStr">
        <is>
          <t>United States</t>
        </is>
      </c>
      <c r="F3417" t="inlineStr">
        <is>
          <t>USA</t>
        </is>
      </c>
      <c r="G3417" t="inlineStr">
        <is>
          <t>Prevnar 20</t>
        </is>
      </c>
      <c r="H3417" t="inlineStr">
        <is>
          <t>Government / tender</t>
        </is>
      </c>
      <c r="I3417" t="inlineStr">
        <is>
          <t>Public payer</t>
        </is>
      </c>
      <c r="J3417" t="inlineStr">
        <is>
          <t>Mei Lin</t>
        </is>
      </c>
      <c r="K3417" s="70" t="n">
        <v>1255</v>
      </c>
      <c r="L3417" s="71" t="n">
        <v>390.84</v>
      </c>
      <c r="M3417" s="71" t="n">
        <v>490504.2</v>
      </c>
      <c r="N3417" s="71" t="n">
        <v>171676.47</v>
      </c>
      <c r="O3417" s="71" t="n">
        <v>318827.73</v>
      </c>
      <c r="P3417" s="71" t="n">
        <v>88815.66</v>
      </c>
      <c r="Q3417" s="71" t="n">
        <v>230012.07</v>
      </c>
      <c r="R3417" t="inlineStr">
        <is>
          <t>Vaccines</t>
        </is>
      </c>
      <c r="S3417" s="70" t="n">
        <v>1120</v>
      </c>
      <c r="T3417" s="71" t="n">
        <v>66147.89999999999</v>
      </c>
      <c r="U3417" t="inlineStr">
        <is>
          <t>Low</t>
        </is>
      </c>
      <c r="V3417">
        <f>IF(AND(OR(Dashboard!$C$6="All",E3417=Dashboard!$C$6),OR(Dashboard!$F$6="All",G3417=Dashboard!$F$6),OR(Dashboard!$I$6="All",H3417=Dashboard!$I$6)),1,0)</f>
        <v/>
      </c>
    </row>
    <row r="3418">
      <c r="A3418" t="inlineStr">
        <is>
          <t>PF103409</t>
        </is>
      </c>
      <c r="B3418" s="68" t="n">
        <v>46069</v>
      </c>
      <c r="C3418" s="69" t="n">
        <v>2026</v>
      </c>
      <c r="D3418" t="inlineStr">
        <is>
          <t>Feb</t>
        </is>
      </c>
      <c r="E3418" t="inlineStr">
        <is>
          <t>United States</t>
        </is>
      </c>
      <c r="F3418" t="inlineStr">
        <is>
          <t>USA</t>
        </is>
      </c>
      <c r="G3418" t="inlineStr">
        <is>
          <t>Xeljanz</t>
        </is>
      </c>
      <c r="H3418" t="inlineStr">
        <is>
          <t>Retail pharmacy</t>
        </is>
      </c>
      <c r="I3418" t="inlineStr">
        <is>
          <t>Self-pay</t>
        </is>
      </c>
      <c r="J3418" t="inlineStr">
        <is>
          <t>Wei Chen</t>
        </is>
      </c>
      <c r="K3418" s="70" t="n">
        <v>1032</v>
      </c>
      <c r="L3418" s="71" t="n">
        <v>2019.8</v>
      </c>
      <c r="M3418" s="71" t="n">
        <v>2084433.6</v>
      </c>
      <c r="N3418" s="71" t="n">
        <v>625330.08</v>
      </c>
      <c r="O3418" s="71" t="n">
        <v>1459103.52</v>
      </c>
      <c r="P3418" s="71" t="n">
        <v>265201.51</v>
      </c>
      <c r="Q3418" s="71" t="n">
        <v>1193902.01</v>
      </c>
      <c r="R3418" t="inlineStr">
        <is>
          <t>Inflammation</t>
        </is>
      </c>
      <c r="S3418" s="70" t="n">
        <v>850</v>
      </c>
      <c r="T3418" s="71" t="n">
        <v>299646.94</v>
      </c>
      <c r="U3418" t="inlineStr">
        <is>
          <t>High</t>
        </is>
      </c>
      <c r="V3418">
        <f>IF(AND(OR(Dashboard!$C$6="All",E3418=Dashboard!$C$6),OR(Dashboard!$F$6="All",G3418=Dashboard!$F$6),OR(Dashboard!$I$6="All",H3418=Dashboard!$I$6)),1,0)</f>
        <v/>
      </c>
    </row>
    <row r="3419">
      <c r="A3419" t="inlineStr">
        <is>
          <t>PF103410</t>
        </is>
      </c>
      <c r="B3419" s="68" t="n">
        <v>46069</v>
      </c>
      <c r="C3419" s="69" t="n">
        <v>2026</v>
      </c>
      <c r="D3419" t="inlineStr">
        <is>
          <t>Feb</t>
        </is>
      </c>
      <c r="E3419" t="inlineStr">
        <is>
          <t>International developed</t>
        </is>
      </c>
      <c r="F3419" t="inlineStr">
        <is>
          <t>Australia</t>
        </is>
      </c>
      <c r="G3419" t="inlineStr">
        <is>
          <t>Prevnar 20</t>
        </is>
      </c>
      <c r="H3419" t="inlineStr">
        <is>
          <t>Retail pharmacy</t>
        </is>
      </c>
      <c r="I3419" t="inlineStr">
        <is>
          <t>Public payer</t>
        </is>
      </c>
      <c r="J3419" t="inlineStr">
        <is>
          <t>Arjun Mehta</t>
        </is>
      </c>
      <c r="K3419" s="70" t="n">
        <v>2109</v>
      </c>
      <c r="L3419" s="71" t="n">
        <v>221.34</v>
      </c>
      <c r="M3419" s="71" t="n">
        <v>466806.06</v>
      </c>
      <c r="N3419" s="71" t="n">
        <v>70020.91</v>
      </c>
      <c r="O3419" s="71" t="n">
        <v>396785.15</v>
      </c>
      <c r="P3419" s="71" t="n">
        <v>148161.18</v>
      </c>
      <c r="Q3419" s="71" t="n">
        <v>248623.97</v>
      </c>
      <c r="R3419" t="inlineStr">
        <is>
          <t>Vaccines</t>
        </is>
      </c>
      <c r="S3419" s="70" t="n">
        <v>1357</v>
      </c>
      <c r="T3419" s="71" t="n">
        <v>75281.10000000001</v>
      </c>
      <c r="U3419" t="inlineStr">
        <is>
          <t>Low</t>
        </is>
      </c>
      <c r="V3419">
        <f>IF(AND(OR(Dashboard!$C$6="All",E3419=Dashboard!$C$6),OR(Dashboard!$F$6="All",G3419=Dashboard!$F$6),OR(Dashboard!$I$6="All",H3419=Dashboard!$I$6)),1,0)</f>
        <v/>
      </c>
    </row>
    <row r="3420">
      <c r="A3420" t="inlineStr">
        <is>
          <t>PF103411</t>
        </is>
      </c>
      <c r="B3420" s="68" t="n">
        <v>46069</v>
      </c>
      <c r="C3420" s="69" t="n">
        <v>2026</v>
      </c>
      <c r="D3420" t="inlineStr">
        <is>
          <t>Feb</t>
        </is>
      </c>
      <c r="E3420" t="inlineStr">
        <is>
          <t>United States</t>
        </is>
      </c>
      <c r="F3420" t="inlineStr">
        <is>
          <t>USA</t>
        </is>
      </c>
      <c r="G3420" t="inlineStr">
        <is>
          <t>Xeljanz</t>
        </is>
      </c>
      <c r="H3420" t="inlineStr">
        <is>
          <t>Hospital</t>
        </is>
      </c>
      <c r="I3420" t="inlineStr">
        <is>
          <t>Public payer</t>
        </is>
      </c>
      <c r="J3420" t="inlineStr">
        <is>
          <t>Mei Lin</t>
        </is>
      </c>
      <c r="K3420" s="70" t="n">
        <v>1255</v>
      </c>
      <c r="L3420" s="71" t="n">
        <v>2213.12</v>
      </c>
      <c r="M3420" s="71" t="n">
        <v>2777465.6</v>
      </c>
      <c r="N3420" s="71" t="n">
        <v>416619.84</v>
      </c>
      <c r="O3420" s="71" t="n">
        <v>2360845.76</v>
      </c>
      <c r="P3420" s="71" t="n">
        <v>321989.35</v>
      </c>
      <c r="Q3420" s="71" t="n">
        <v>2038856.41</v>
      </c>
      <c r="R3420" t="inlineStr">
        <is>
          <t>Inflammation</t>
        </is>
      </c>
      <c r="S3420" s="70" t="n">
        <v>1150</v>
      </c>
      <c r="T3420" s="71" t="n">
        <v>364683.74</v>
      </c>
      <c r="U3420" t="inlineStr">
        <is>
          <t>High</t>
        </is>
      </c>
      <c r="V3420">
        <f>IF(AND(OR(Dashboard!$C$6="All",E3420=Dashboard!$C$6),OR(Dashboard!$F$6="All",G3420=Dashboard!$F$6),OR(Dashboard!$I$6="All",H3420=Dashboard!$I$6)),1,0)</f>
        <v/>
      </c>
    </row>
    <row r="3421">
      <c r="A3421" t="inlineStr">
        <is>
          <t>PF103412</t>
        </is>
      </c>
      <c r="B3421" s="68" t="n">
        <v>46069</v>
      </c>
      <c r="C3421" s="69" t="n">
        <v>2026</v>
      </c>
      <c r="D3421" t="inlineStr">
        <is>
          <t>Feb</t>
        </is>
      </c>
      <c r="E3421" t="inlineStr">
        <is>
          <t>United States</t>
        </is>
      </c>
      <c r="F3421" t="inlineStr">
        <is>
          <t>USA</t>
        </is>
      </c>
      <c r="G3421" t="inlineStr">
        <is>
          <t>Prevnar 20</t>
        </is>
      </c>
      <c r="H3421" t="inlineStr">
        <is>
          <t>Retail pharmacy</t>
        </is>
      </c>
      <c r="I3421" t="inlineStr">
        <is>
          <t>Public payer</t>
        </is>
      </c>
      <c r="J3421" t="inlineStr">
        <is>
          <t>Carlos Silva</t>
        </is>
      </c>
      <c r="K3421" s="70" t="n">
        <v>1659</v>
      </c>
      <c r="L3421" s="71" t="n">
        <v>394.57</v>
      </c>
      <c r="M3421" s="71" t="n">
        <v>654591.63</v>
      </c>
      <c r="N3421" s="71" t="n">
        <v>98188.74000000001</v>
      </c>
      <c r="O3421" s="71" t="n">
        <v>556402.89</v>
      </c>
      <c r="P3421" s="71" t="n">
        <v>114801.98</v>
      </c>
      <c r="Q3421" s="71" t="n">
        <v>441600.91</v>
      </c>
      <c r="R3421" t="inlineStr">
        <is>
          <t>Vaccines</t>
        </is>
      </c>
      <c r="S3421" s="70" t="n">
        <v>1326</v>
      </c>
      <c r="T3421" s="71" t="n">
        <v>96674.17999999999</v>
      </c>
      <c r="U3421" t="inlineStr">
        <is>
          <t>Low</t>
        </is>
      </c>
      <c r="V3421">
        <f>IF(AND(OR(Dashboard!$C$6="All",E3421=Dashboard!$C$6),OR(Dashboard!$F$6="All",G3421=Dashboard!$F$6),OR(Dashboard!$I$6="All",H3421=Dashboard!$I$6)),1,0)</f>
        <v/>
      </c>
    </row>
    <row r="3422">
      <c r="A3422" t="inlineStr">
        <is>
          <t>PF103413</t>
        </is>
      </c>
      <c r="B3422" s="68" t="n">
        <v>46069</v>
      </c>
      <c r="C3422" s="69" t="n">
        <v>2026</v>
      </c>
      <c r="D3422" t="inlineStr">
        <is>
          <t>Feb</t>
        </is>
      </c>
      <c r="E3422" t="inlineStr">
        <is>
          <t>United States</t>
        </is>
      </c>
      <c r="F3422" t="inlineStr">
        <is>
          <t>USA</t>
        </is>
      </c>
      <c r="G3422" t="inlineStr">
        <is>
          <t>Abrysvo</t>
        </is>
      </c>
      <c r="H3422" t="inlineStr">
        <is>
          <t>Government / tender</t>
        </is>
      </c>
      <c r="I3422" t="inlineStr">
        <is>
          <t>Public payer</t>
        </is>
      </c>
      <c r="J3422" t="inlineStr">
        <is>
          <t>Priya Nair</t>
        </is>
      </c>
      <c r="K3422" s="70" t="n">
        <v>2886</v>
      </c>
      <c r="L3422" s="71" t="n">
        <v>489.57</v>
      </c>
      <c r="M3422" s="71" t="n">
        <v>1412899.02</v>
      </c>
      <c r="N3422" s="71" t="n">
        <v>494514.66</v>
      </c>
      <c r="O3422" s="71" t="n">
        <v>918384.36</v>
      </c>
      <c r="P3422" s="71" t="n">
        <v>232771.82</v>
      </c>
      <c r="Q3422" s="71" t="n">
        <v>685612.54</v>
      </c>
      <c r="R3422" t="inlineStr">
        <is>
          <t>Vaccines</t>
        </is>
      </c>
      <c r="S3422" s="70" t="n">
        <v>2675</v>
      </c>
      <c r="T3422" s="71" t="n">
        <v>261148.9</v>
      </c>
      <c r="U3422" t="inlineStr">
        <is>
          <t>Low</t>
        </is>
      </c>
      <c r="V3422">
        <f>IF(AND(OR(Dashboard!$C$6="All",E3422=Dashboard!$C$6),OR(Dashboard!$F$6="All",G3422=Dashboard!$F$6),OR(Dashboard!$I$6="All",H3422=Dashboard!$I$6)),1,0)</f>
        <v/>
      </c>
    </row>
    <row r="3423">
      <c r="A3423" t="inlineStr">
        <is>
          <t>PF103414</t>
        </is>
      </c>
      <c r="B3423" s="68" t="n">
        <v>46069</v>
      </c>
      <c r="C3423" s="69" t="n">
        <v>2026</v>
      </c>
      <c r="D3423" t="inlineStr">
        <is>
          <t>Feb</t>
        </is>
      </c>
      <c r="E3423" t="inlineStr">
        <is>
          <t>Europe</t>
        </is>
      </c>
      <c r="F3423" t="inlineStr">
        <is>
          <t>UK</t>
        </is>
      </c>
      <c r="G3423" t="inlineStr">
        <is>
          <t>Comirnaty</t>
        </is>
      </c>
      <c r="H3423" t="inlineStr">
        <is>
          <t>Hospital</t>
        </is>
      </c>
      <c r="I3423" t="inlineStr">
        <is>
          <t>Public payer</t>
        </is>
      </c>
      <c r="J3423" t="inlineStr">
        <is>
          <t>Arjun Mehta</t>
        </is>
      </c>
      <c r="K3423" s="70" t="n">
        <v>761</v>
      </c>
      <c r="L3423" s="71" t="n">
        <v>80.64</v>
      </c>
      <c r="M3423" s="71" t="n">
        <v>61367.04</v>
      </c>
      <c r="N3423" s="71" t="n">
        <v>6136.7</v>
      </c>
      <c r="O3423" s="71" t="n">
        <v>55230.34</v>
      </c>
      <c r="P3423" s="71" t="n">
        <v>28887.09</v>
      </c>
      <c r="Q3423" s="71" t="n">
        <v>26343.25</v>
      </c>
      <c r="R3423" t="inlineStr">
        <is>
          <t>Vaccines</t>
        </is>
      </c>
      <c r="S3423" s="70" t="n">
        <v>550</v>
      </c>
      <c r="T3423" s="71" t="n">
        <v>11504.88</v>
      </c>
      <c r="U3423" t="inlineStr">
        <is>
          <t>Low</t>
        </is>
      </c>
      <c r="V3423">
        <f>IF(AND(OR(Dashboard!$C$6="All",E3423=Dashboard!$C$6),OR(Dashboard!$F$6="All",G3423=Dashboard!$F$6),OR(Dashboard!$I$6="All",H3423=Dashboard!$I$6)),1,0)</f>
        <v/>
      </c>
    </row>
    <row r="3424">
      <c r="A3424" t="inlineStr">
        <is>
          <t>PF103415</t>
        </is>
      </c>
      <c r="B3424" s="68" t="n">
        <v>46069</v>
      </c>
      <c r="C3424" s="69" t="n">
        <v>2026</v>
      </c>
      <c r="D3424" t="inlineStr">
        <is>
          <t>Feb</t>
        </is>
      </c>
      <c r="E3424" t="inlineStr">
        <is>
          <t>United States</t>
        </is>
      </c>
      <c r="F3424" t="inlineStr">
        <is>
          <t>USA</t>
        </is>
      </c>
      <c r="G3424" t="inlineStr">
        <is>
          <t>Eliquis</t>
        </is>
      </c>
      <c r="H3424" t="inlineStr">
        <is>
          <t>Hospital</t>
        </is>
      </c>
      <c r="I3424" t="inlineStr">
        <is>
          <t>Public payer</t>
        </is>
      </c>
      <c r="J3424" t="inlineStr">
        <is>
          <t>Ravindra Patil</t>
        </is>
      </c>
      <c r="K3424" s="70" t="n">
        <v>2471</v>
      </c>
      <c r="L3424" s="71" t="n">
        <v>691.39</v>
      </c>
      <c r="M3424" s="71" t="n">
        <v>1708424.69</v>
      </c>
      <c r="N3424" s="71" t="n">
        <v>427106.17</v>
      </c>
      <c r="O3424" s="71" t="n">
        <v>1281318.52</v>
      </c>
      <c r="P3424" s="71" t="n">
        <v>184672.79</v>
      </c>
      <c r="Q3424" s="71" t="n">
        <v>1096645.73</v>
      </c>
      <c r="R3424" t="inlineStr">
        <is>
          <t>Cardiology</t>
        </is>
      </c>
      <c r="S3424" s="70" t="n">
        <v>2293</v>
      </c>
      <c r="T3424" s="71" t="n">
        <v>221714.26</v>
      </c>
      <c r="U3424" t="inlineStr">
        <is>
          <t>High</t>
        </is>
      </c>
      <c r="V3424">
        <f>IF(AND(OR(Dashboard!$C$6="All",E3424=Dashboard!$C$6),OR(Dashboard!$F$6="All",G3424=Dashboard!$F$6),OR(Dashboard!$I$6="All",H3424=Dashboard!$I$6)),1,0)</f>
        <v/>
      </c>
    </row>
    <row r="3425">
      <c r="A3425" t="inlineStr">
        <is>
          <t>PF103416</t>
        </is>
      </c>
      <c r="B3425" s="68" t="n">
        <v>46069</v>
      </c>
      <c r="C3425" s="69" t="n">
        <v>2026</v>
      </c>
      <c r="D3425" t="inlineStr">
        <is>
          <t>Feb</t>
        </is>
      </c>
      <c r="E3425" t="inlineStr">
        <is>
          <t>United States</t>
        </is>
      </c>
      <c r="F3425" t="inlineStr">
        <is>
          <t>USA</t>
        </is>
      </c>
      <c r="G3425" t="inlineStr">
        <is>
          <t>Vyndaqel</t>
        </is>
      </c>
      <c r="H3425" t="inlineStr">
        <is>
          <t>Hospital</t>
        </is>
      </c>
      <c r="I3425" t="inlineStr">
        <is>
          <t>Public payer</t>
        </is>
      </c>
      <c r="J3425" t="inlineStr">
        <is>
          <t>Wei Chen</t>
        </is>
      </c>
      <c r="K3425" s="70" t="n">
        <v>2372</v>
      </c>
      <c r="L3425" s="71" t="n">
        <v>9280.139999999999</v>
      </c>
      <c r="M3425" s="71" t="n">
        <v>22012492.08</v>
      </c>
      <c r="N3425" s="71" t="n">
        <v>7704372.23</v>
      </c>
      <c r="O3425" s="71" t="n">
        <v>14308119.85</v>
      </c>
      <c r="P3425" s="71" t="n">
        <v>1488646.04</v>
      </c>
      <c r="Q3425" s="71" t="n">
        <v>12819473.81</v>
      </c>
      <c r="R3425" t="inlineStr">
        <is>
          <t>Rare disease</t>
        </is>
      </c>
      <c r="S3425" s="70" t="n">
        <v>1689</v>
      </c>
      <c r="T3425" s="71" t="n">
        <v>4088953.2</v>
      </c>
      <c r="U3425" t="inlineStr">
        <is>
          <t>Medium</t>
        </is>
      </c>
      <c r="V3425">
        <f>IF(AND(OR(Dashboard!$C$6="All",E3425=Dashboard!$C$6),OR(Dashboard!$F$6="All",G3425=Dashboard!$F$6),OR(Dashboard!$I$6="All",H3425=Dashboard!$I$6)),1,0)</f>
        <v/>
      </c>
    </row>
    <row r="3426">
      <c r="A3426" t="inlineStr">
        <is>
          <t>PF103417</t>
        </is>
      </c>
      <c r="B3426" s="68" t="n">
        <v>46069</v>
      </c>
      <c r="C3426" s="69" t="n">
        <v>2026</v>
      </c>
      <c r="D3426" t="inlineStr">
        <is>
          <t>Feb</t>
        </is>
      </c>
      <c r="E3426" t="inlineStr">
        <is>
          <t>Europe</t>
        </is>
      </c>
      <c r="F3426" t="inlineStr">
        <is>
          <t>France</t>
        </is>
      </c>
      <c r="G3426" t="inlineStr">
        <is>
          <t>Prevnar 20</t>
        </is>
      </c>
      <c r="H3426" t="inlineStr">
        <is>
          <t>Government / tender</t>
        </is>
      </c>
      <c r="I3426" t="inlineStr">
        <is>
          <t>Self-pay</t>
        </is>
      </c>
      <c r="J3426" t="inlineStr">
        <is>
          <t>Fatima Al-Saud</t>
        </is>
      </c>
      <c r="K3426" s="70" t="n">
        <v>2322</v>
      </c>
      <c r="L3426" s="71" t="n">
        <v>240.45</v>
      </c>
      <c r="M3426" s="71" t="n">
        <v>558324.9</v>
      </c>
      <c r="N3426" s="71" t="n">
        <v>55832.49</v>
      </c>
      <c r="O3426" s="71" t="n">
        <v>502492.41</v>
      </c>
      <c r="P3426" s="71" t="n">
        <v>161624.41</v>
      </c>
      <c r="Q3426" s="71" t="n">
        <v>340868</v>
      </c>
      <c r="R3426" t="inlineStr">
        <is>
          <t>Vaccines</t>
        </is>
      </c>
      <c r="S3426" s="70" t="n">
        <v>1702</v>
      </c>
      <c r="T3426" s="71" t="n">
        <v>116688.84</v>
      </c>
      <c r="U3426" t="inlineStr">
        <is>
          <t>Low</t>
        </is>
      </c>
      <c r="V3426">
        <f>IF(AND(OR(Dashboard!$C$6="All",E3426=Dashboard!$C$6),OR(Dashboard!$F$6="All",G3426=Dashboard!$F$6),OR(Dashboard!$I$6="All",H3426=Dashboard!$I$6)),1,0)</f>
        <v/>
      </c>
    </row>
    <row r="3427">
      <c r="A3427" t="inlineStr">
        <is>
          <t>PF103418</t>
        </is>
      </c>
      <c r="B3427" s="68" t="n">
        <v>46069</v>
      </c>
      <c r="C3427" s="69" t="n">
        <v>2026</v>
      </c>
      <c r="D3427" t="inlineStr">
        <is>
          <t>Feb</t>
        </is>
      </c>
      <c r="E3427" t="inlineStr">
        <is>
          <t>United States</t>
        </is>
      </c>
      <c r="F3427" t="inlineStr">
        <is>
          <t>USA</t>
        </is>
      </c>
      <c r="G3427" t="inlineStr">
        <is>
          <t>Vyndaqel</t>
        </is>
      </c>
      <c r="H3427" t="inlineStr">
        <is>
          <t>Government / tender</t>
        </is>
      </c>
      <c r="I3427" t="inlineStr">
        <is>
          <t>Private insurer</t>
        </is>
      </c>
      <c r="J3427" t="inlineStr">
        <is>
          <t>Zoya Ahmed</t>
        </is>
      </c>
      <c r="K3427" s="70" t="n">
        <v>2890</v>
      </c>
      <c r="L3427" s="71" t="n">
        <v>8517.1</v>
      </c>
      <c r="M3427" s="71" t="n">
        <v>24614419</v>
      </c>
      <c r="N3427" s="71" t="n">
        <v>6153604.75</v>
      </c>
      <c r="O3427" s="71" t="n">
        <v>18460814.25</v>
      </c>
      <c r="P3427" s="71" t="n">
        <v>1788952.27</v>
      </c>
      <c r="Q3427" s="71" t="n">
        <v>16671861.98</v>
      </c>
      <c r="R3427" t="inlineStr">
        <is>
          <t>Rare disease</t>
        </is>
      </c>
      <c r="S3427" s="70" t="n">
        <v>2444</v>
      </c>
      <c r="T3427" s="71" t="n">
        <v>3901280.42</v>
      </c>
      <c r="U3427" t="inlineStr">
        <is>
          <t>Medium</t>
        </is>
      </c>
      <c r="V3427">
        <f>IF(AND(OR(Dashboard!$C$6="All",E3427=Dashboard!$C$6),OR(Dashboard!$F$6="All",G3427=Dashboard!$F$6),OR(Dashboard!$I$6="All",H3427=Dashboard!$I$6)),1,0)</f>
        <v/>
      </c>
    </row>
    <row r="3428">
      <c r="A3428" t="inlineStr">
        <is>
          <t>PF103419</t>
        </is>
      </c>
      <c r="B3428" s="68" t="n">
        <v>46070</v>
      </c>
      <c r="C3428" s="69" t="n">
        <v>2026</v>
      </c>
      <c r="D3428" t="inlineStr">
        <is>
          <t>Feb</t>
        </is>
      </c>
      <c r="E3428" t="inlineStr">
        <is>
          <t>Europe</t>
        </is>
      </c>
      <c r="F3428" t="inlineStr">
        <is>
          <t>Germany</t>
        </is>
      </c>
      <c r="G3428" t="inlineStr">
        <is>
          <t>Prevnar 20</t>
        </is>
      </c>
      <c r="H3428" t="inlineStr">
        <is>
          <t>Government / tender</t>
        </is>
      </c>
      <c r="I3428" t="inlineStr">
        <is>
          <t>Public payer</t>
        </is>
      </c>
      <c r="J3428" t="inlineStr">
        <is>
          <t>Fatima Al-Saud</t>
        </is>
      </c>
      <c r="K3428" s="70" t="n">
        <v>305</v>
      </c>
      <c r="L3428" s="71" t="n">
        <v>222.82</v>
      </c>
      <c r="M3428" s="71" t="n">
        <v>67960.10000000001</v>
      </c>
      <c r="N3428" s="71" t="n">
        <v>16990.03</v>
      </c>
      <c r="O3428" s="71" t="n">
        <v>50970.07</v>
      </c>
      <c r="P3428" s="71" t="n">
        <v>20772.84</v>
      </c>
      <c r="Q3428" s="71" t="n">
        <v>30197.23</v>
      </c>
      <c r="R3428" t="inlineStr">
        <is>
          <t>Vaccines</t>
        </is>
      </c>
      <c r="S3428" s="70" t="n">
        <v>219</v>
      </c>
      <c r="T3428" s="71" t="n">
        <v>10936.42</v>
      </c>
      <c r="U3428" t="inlineStr">
        <is>
          <t>Low</t>
        </is>
      </c>
      <c r="V3428">
        <f>IF(AND(OR(Dashboard!$C$6="All",E3428=Dashboard!$C$6),OR(Dashboard!$F$6="All",G3428=Dashboard!$F$6),OR(Dashboard!$I$6="All",H3428=Dashboard!$I$6)),1,0)</f>
        <v/>
      </c>
    </row>
    <row r="3429">
      <c r="A3429" t="inlineStr">
        <is>
          <t>PF103420</t>
        </is>
      </c>
      <c r="B3429" s="68" t="n">
        <v>46070</v>
      </c>
      <c r="C3429" s="69" t="n">
        <v>2026</v>
      </c>
      <c r="D3429" t="inlineStr">
        <is>
          <t>Feb</t>
        </is>
      </c>
      <c r="E3429" t="inlineStr">
        <is>
          <t>Europe</t>
        </is>
      </c>
      <c r="F3429" t="inlineStr">
        <is>
          <t>Spain</t>
        </is>
      </c>
      <c r="G3429" t="inlineStr">
        <is>
          <t>Abrysvo</t>
        </is>
      </c>
      <c r="H3429" t="inlineStr">
        <is>
          <t>Retail pharmacy</t>
        </is>
      </c>
      <c r="I3429" t="inlineStr">
        <is>
          <t>Self-pay</t>
        </is>
      </c>
      <c r="J3429" t="inlineStr">
        <is>
          <t>Sara Rossi</t>
        </is>
      </c>
      <c r="K3429" s="70" t="n">
        <v>213</v>
      </c>
      <c r="L3429" s="71" t="n">
        <v>297.4</v>
      </c>
      <c r="M3429" s="71" t="n">
        <v>63346.2</v>
      </c>
      <c r="N3429" s="71" t="n">
        <v>15836.55</v>
      </c>
      <c r="O3429" s="71" t="n">
        <v>47509.65</v>
      </c>
      <c r="P3429" s="71" t="n">
        <v>18061.19</v>
      </c>
      <c r="Q3429" s="71" t="n">
        <v>29448.46</v>
      </c>
      <c r="R3429" t="inlineStr">
        <is>
          <t>Vaccines</t>
        </is>
      </c>
      <c r="S3429" s="70" t="n">
        <v>147</v>
      </c>
      <c r="T3429" s="71" t="n">
        <v>8952.030000000001</v>
      </c>
      <c r="U3429" t="inlineStr">
        <is>
          <t>Low</t>
        </is>
      </c>
      <c r="V3429">
        <f>IF(AND(OR(Dashboard!$C$6="All",E3429=Dashboard!$C$6),OR(Dashboard!$F$6="All",G3429=Dashboard!$F$6),OR(Dashboard!$I$6="All",H3429=Dashboard!$I$6)),1,0)</f>
        <v/>
      </c>
    </row>
    <row r="3430">
      <c r="A3430" t="inlineStr">
        <is>
          <t>PF103421</t>
        </is>
      </c>
      <c r="B3430" s="68" t="n">
        <v>46070</v>
      </c>
      <c r="C3430" s="69" t="n">
        <v>2026</v>
      </c>
      <c r="D3430" t="inlineStr">
        <is>
          <t>Feb</t>
        </is>
      </c>
      <c r="E3430" t="inlineStr">
        <is>
          <t>United States</t>
        </is>
      </c>
      <c r="F3430" t="inlineStr">
        <is>
          <t>USA</t>
        </is>
      </c>
      <c r="G3430" t="inlineStr">
        <is>
          <t>Xeljanz</t>
        </is>
      </c>
      <c r="H3430" t="inlineStr">
        <is>
          <t>Retail pharmacy</t>
        </is>
      </c>
      <c r="I3430" t="inlineStr">
        <is>
          <t>Private insurer</t>
        </is>
      </c>
      <c r="J3430" t="inlineStr">
        <is>
          <t>Olivia Brown</t>
        </is>
      </c>
      <c r="K3430" s="70" t="n">
        <v>1680</v>
      </c>
      <c r="L3430" s="71" t="n">
        <v>2290.28</v>
      </c>
      <c r="M3430" s="71" t="n">
        <v>3847670.4</v>
      </c>
      <c r="N3430" s="71" t="n">
        <v>1154301.12</v>
      </c>
      <c r="O3430" s="71" t="n">
        <v>2693369.28</v>
      </c>
      <c r="P3430" s="71" t="n">
        <v>437867.8</v>
      </c>
      <c r="Q3430" s="71" t="n">
        <v>2255501.48</v>
      </c>
      <c r="R3430" t="inlineStr">
        <is>
          <t>Inflammation</t>
        </is>
      </c>
      <c r="S3430" s="70" t="n">
        <v>1156</v>
      </c>
      <c r="T3430" s="71" t="n">
        <v>591009.6899999999</v>
      </c>
      <c r="U3430" t="inlineStr">
        <is>
          <t>High</t>
        </is>
      </c>
      <c r="V3430">
        <f>IF(AND(OR(Dashboard!$C$6="All",E3430=Dashboard!$C$6),OR(Dashboard!$F$6="All",G3430=Dashboard!$F$6),OR(Dashboard!$I$6="All",H3430=Dashboard!$I$6)),1,0)</f>
        <v/>
      </c>
    </row>
    <row r="3431">
      <c r="A3431" t="inlineStr">
        <is>
          <t>PF103422</t>
        </is>
      </c>
      <c r="B3431" s="68" t="n">
        <v>46070</v>
      </c>
      <c r="C3431" s="69" t="n">
        <v>2026</v>
      </c>
      <c r="D3431" t="inlineStr">
        <is>
          <t>Feb</t>
        </is>
      </c>
      <c r="E3431" t="inlineStr">
        <is>
          <t>Europe</t>
        </is>
      </c>
      <c r="F3431" t="inlineStr">
        <is>
          <t>Spain</t>
        </is>
      </c>
      <c r="G3431" t="inlineStr">
        <is>
          <t>Prevnar 20</t>
        </is>
      </c>
      <c r="H3431" t="inlineStr">
        <is>
          <t>Retail pharmacy</t>
        </is>
      </c>
      <c r="I3431" t="inlineStr">
        <is>
          <t>Private insurer</t>
        </is>
      </c>
      <c r="J3431" t="inlineStr">
        <is>
          <t>Liam O'Brien</t>
        </is>
      </c>
      <c r="K3431" s="70" t="n">
        <v>421</v>
      </c>
      <c r="L3431" s="71" t="n">
        <v>216.81</v>
      </c>
      <c r="M3431" s="71" t="n">
        <v>91277.00999999999</v>
      </c>
      <c r="N3431" s="71" t="n">
        <v>13691.55</v>
      </c>
      <c r="O3431" s="71" t="n">
        <v>77585.46000000001</v>
      </c>
      <c r="P3431" s="71" t="n">
        <v>28409.78</v>
      </c>
      <c r="Q3431" s="71" t="n">
        <v>49175.68</v>
      </c>
      <c r="R3431" t="inlineStr">
        <is>
          <t>Vaccines</t>
        </is>
      </c>
      <c r="S3431" s="70" t="n">
        <v>310</v>
      </c>
      <c r="T3431" s="71" t="n">
        <v>17603.03</v>
      </c>
      <c r="U3431" t="inlineStr">
        <is>
          <t>Low</t>
        </is>
      </c>
      <c r="V3431">
        <f>IF(AND(OR(Dashboard!$C$6="All",E3431=Dashboard!$C$6),OR(Dashboard!$F$6="All",G3431=Dashboard!$F$6),OR(Dashboard!$I$6="All",H3431=Dashboard!$I$6)),1,0)</f>
        <v/>
      </c>
    </row>
    <row r="3432">
      <c r="A3432" t="inlineStr">
        <is>
          <t>PF103423</t>
        </is>
      </c>
      <c r="B3432" s="68" t="n">
        <v>46070</v>
      </c>
      <c r="C3432" s="69" t="n">
        <v>2026</v>
      </c>
      <c r="D3432" t="inlineStr">
        <is>
          <t>Feb</t>
        </is>
      </c>
      <c r="E3432" t="inlineStr">
        <is>
          <t>Emerging markets</t>
        </is>
      </c>
      <c r="F3432" t="inlineStr">
        <is>
          <t>China</t>
        </is>
      </c>
      <c r="G3432" t="inlineStr">
        <is>
          <t>Eliquis</t>
        </is>
      </c>
      <c r="H3432" t="inlineStr">
        <is>
          <t>Government / tender</t>
        </is>
      </c>
      <c r="I3432" t="inlineStr">
        <is>
          <t>Private insurer</t>
        </is>
      </c>
      <c r="J3432" t="inlineStr">
        <is>
          <t>Liam O'Brien</t>
        </is>
      </c>
      <c r="K3432" s="70" t="n">
        <v>1249</v>
      </c>
      <c r="L3432" s="71" t="n">
        <v>441.51</v>
      </c>
      <c r="M3432" s="71" t="n">
        <v>551445.99</v>
      </c>
      <c r="N3432" s="71" t="n">
        <v>137861.5</v>
      </c>
      <c r="O3432" s="71" t="n">
        <v>413584.49</v>
      </c>
      <c r="P3432" s="71" t="n">
        <v>90951.60000000001</v>
      </c>
      <c r="Q3432" s="71" t="n">
        <v>322632.89</v>
      </c>
      <c r="R3432" t="inlineStr">
        <is>
          <t>Cardiology</t>
        </is>
      </c>
      <c r="S3432" s="70" t="n">
        <v>927</v>
      </c>
      <c r="T3432" s="71" t="n">
        <v>86007.91</v>
      </c>
      <c r="U3432" t="inlineStr">
        <is>
          <t>High</t>
        </is>
      </c>
      <c r="V3432">
        <f>IF(AND(OR(Dashboard!$C$6="All",E3432=Dashboard!$C$6),OR(Dashboard!$F$6="All",G3432=Dashboard!$F$6),OR(Dashboard!$I$6="All",H3432=Dashboard!$I$6)),1,0)</f>
        <v/>
      </c>
    </row>
    <row r="3433">
      <c r="A3433" t="inlineStr">
        <is>
          <t>PF103424</t>
        </is>
      </c>
      <c r="B3433" s="68" t="n">
        <v>46070</v>
      </c>
      <c r="C3433" s="69" t="n">
        <v>2026</v>
      </c>
      <c r="D3433" t="inlineStr">
        <is>
          <t>Feb</t>
        </is>
      </c>
      <c r="E3433" t="inlineStr">
        <is>
          <t>Europe</t>
        </is>
      </c>
      <c r="F3433" t="inlineStr">
        <is>
          <t>UK</t>
        </is>
      </c>
      <c r="G3433" t="inlineStr">
        <is>
          <t>Eliquis</t>
        </is>
      </c>
      <c r="H3433" t="inlineStr">
        <is>
          <t>Retail pharmacy</t>
        </is>
      </c>
      <c r="I3433" t="inlineStr">
        <is>
          <t>Private insurer</t>
        </is>
      </c>
      <c r="J3433" t="inlineStr">
        <is>
          <t>Ruhi Shaikh</t>
        </is>
      </c>
      <c r="K3433" s="70" t="n">
        <v>284</v>
      </c>
      <c r="L3433" s="71" t="n">
        <v>414.56</v>
      </c>
      <c r="M3433" s="71" t="n">
        <v>117735.04</v>
      </c>
      <c r="N3433" s="71" t="n">
        <v>5886.75</v>
      </c>
      <c r="O3433" s="71" t="n">
        <v>111848.29</v>
      </c>
      <c r="P3433" s="71" t="n">
        <v>20924.2</v>
      </c>
      <c r="Q3433" s="71" t="n">
        <v>90924.09</v>
      </c>
      <c r="R3433" t="inlineStr">
        <is>
          <t>Cardiology</t>
        </is>
      </c>
      <c r="S3433" s="70" t="n">
        <v>181</v>
      </c>
      <c r="T3433" s="71" t="n">
        <v>23861.19</v>
      </c>
      <c r="U3433" t="inlineStr">
        <is>
          <t>High</t>
        </is>
      </c>
      <c r="V3433">
        <f>IF(AND(OR(Dashboard!$C$6="All",E3433=Dashboard!$C$6),OR(Dashboard!$F$6="All",G3433=Dashboard!$F$6),OR(Dashboard!$I$6="All",H3433=Dashboard!$I$6)),1,0)</f>
        <v/>
      </c>
    </row>
    <row r="3434">
      <c r="A3434" t="inlineStr">
        <is>
          <t>PF103425</t>
        </is>
      </c>
      <c r="B3434" s="68" t="n">
        <v>46070</v>
      </c>
      <c r="C3434" s="69" t="n">
        <v>2026</v>
      </c>
      <c r="D3434" t="inlineStr">
        <is>
          <t>Feb</t>
        </is>
      </c>
      <c r="E3434" t="inlineStr">
        <is>
          <t>International developed</t>
        </is>
      </c>
      <c r="F3434" t="inlineStr">
        <is>
          <t>Australia</t>
        </is>
      </c>
      <c r="G3434" t="inlineStr">
        <is>
          <t>Eliquis</t>
        </is>
      </c>
      <c r="H3434" t="inlineStr">
        <is>
          <t>Retail pharmacy</t>
        </is>
      </c>
      <c r="I3434" t="inlineStr">
        <is>
          <t>Private insurer</t>
        </is>
      </c>
      <c r="J3434" t="inlineStr">
        <is>
          <t>Liam O'Brien</t>
        </is>
      </c>
      <c r="K3434" s="70" t="n">
        <v>2531</v>
      </c>
      <c r="L3434" s="71" t="n">
        <v>470.28</v>
      </c>
      <c r="M3434" s="71" t="n">
        <v>1190278.68</v>
      </c>
      <c r="N3434" s="71" t="n">
        <v>178541.8</v>
      </c>
      <c r="O3434" s="71" t="n">
        <v>1011736.88</v>
      </c>
      <c r="P3434" s="71" t="n">
        <v>190860.25</v>
      </c>
      <c r="Q3434" s="71" t="n">
        <v>820876.63</v>
      </c>
      <c r="R3434" t="inlineStr">
        <is>
          <t>Cardiology</t>
        </is>
      </c>
      <c r="S3434" s="70" t="n">
        <v>1740</v>
      </c>
      <c r="T3434" s="71" t="n">
        <v>145805.31</v>
      </c>
      <c r="U3434" t="inlineStr">
        <is>
          <t>High</t>
        </is>
      </c>
      <c r="V3434">
        <f>IF(AND(OR(Dashboard!$C$6="All",E3434=Dashboard!$C$6),OR(Dashboard!$F$6="All",G3434=Dashboard!$F$6),OR(Dashboard!$I$6="All",H3434=Dashboard!$I$6)),1,0)</f>
        <v/>
      </c>
    </row>
    <row r="3435">
      <c r="A3435" t="inlineStr">
        <is>
          <t>PF103426</t>
        </is>
      </c>
      <c r="B3435" s="68" t="n">
        <v>46070</v>
      </c>
      <c r="C3435" s="69" t="n">
        <v>2026</v>
      </c>
      <c r="D3435" t="inlineStr">
        <is>
          <t>Feb</t>
        </is>
      </c>
      <c r="E3435" t="inlineStr">
        <is>
          <t>United States</t>
        </is>
      </c>
      <c r="F3435" t="inlineStr">
        <is>
          <t>USA</t>
        </is>
      </c>
      <c r="G3435" t="inlineStr">
        <is>
          <t>Eliquis</t>
        </is>
      </c>
      <c r="H3435" t="inlineStr">
        <is>
          <t>Hospital</t>
        </is>
      </c>
      <c r="I3435" t="inlineStr">
        <is>
          <t>Public payer</t>
        </is>
      </c>
      <c r="J3435" t="inlineStr">
        <is>
          <t>Ravindra Patil</t>
        </is>
      </c>
      <c r="K3435" s="70" t="n">
        <v>362</v>
      </c>
      <c r="L3435" s="71" t="n">
        <v>702.76</v>
      </c>
      <c r="M3435" s="71" t="n">
        <v>254399.12</v>
      </c>
      <c r="N3435" s="71" t="n">
        <v>50879.82</v>
      </c>
      <c r="O3435" s="71" t="n">
        <v>203519.3</v>
      </c>
      <c r="P3435" s="71" t="n">
        <v>27627.18</v>
      </c>
      <c r="Q3435" s="71" t="n">
        <v>175892.12</v>
      </c>
      <c r="R3435" t="inlineStr">
        <is>
          <t>Cardiology</t>
        </is>
      </c>
      <c r="S3435" s="70" t="n">
        <v>267</v>
      </c>
      <c r="T3435" s="71" t="n">
        <v>45191.97</v>
      </c>
      <c r="U3435" t="inlineStr">
        <is>
          <t>High</t>
        </is>
      </c>
      <c r="V3435">
        <f>IF(AND(OR(Dashboard!$C$6="All",E3435=Dashboard!$C$6),OR(Dashboard!$F$6="All",G3435=Dashboard!$F$6),OR(Dashboard!$I$6="All",H3435=Dashboard!$I$6)),1,0)</f>
        <v/>
      </c>
    </row>
    <row r="3436">
      <c r="A3436" t="inlineStr">
        <is>
          <t>PF103427</t>
        </is>
      </c>
      <c r="B3436" s="68" t="n">
        <v>46070</v>
      </c>
      <c r="C3436" s="69" t="n">
        <v>2026</v>
      </c>
      <c r="D3436" t="inlineStr">
        <is>
          <t>Feb</t>
        </is>
      </c>
      <c r="E3436" t="inlineStr">
        <is>
          <t>United States</t>
        </is>
      </c>
      <c r="F3436" t="inlineStr">
        <is>
          <t>USA</t>
        </is>
      </c>
      <c r="G3436" t="inlineStr">
        <is>
          <t>Prevnar 20</t>
        </is>
      </c>
      <c r="H3436" t="inlineStr">
        <is>
          <t>Hospital</t>
        </is>
      </c>
      <c r="I3436" t="inlineStr">
        <is>
          <t>Public payer</t>
        </is>
      </c>
      <c r="J3436" t="inlineStr">
        <is>
          <t>Sophie Müller</t>
        </is>
      </c>
      <c r="K3436" s="70" t="n">
        <v>2396</v>
      </c>
      <c r="L3436" s="71" t="n">
        <v>393.32</v>
      </c>
      <c r="M3436" s="71" t="n">
        <v>942394.72</v>
      </c>
      <c r="N3436" s="71" t="n">
        <v>188478.94</v>
      </c>
      <c r="O3436" s="71" t="n">
        <v>753915.78</v>
      </c>
      <c r="P3436" s="71" t="n">
        <v>164202.09</v>
      </c>
      <c r="Q3436" s="71" t="n">
        <v>589713.6899999999</v>
      </c>
      <c r="R3436" t="inlineStr">
        <is>
          <t>Vaccines</t>
        </is>
      </c>
      <c r="S3436" s="70" t="n">
        <v>2043</v>
      </c>
      <c r="T3436" s="71" t="n">
        <v>159025.34</v>
      </c>
      <c r="U3436" t="inlineStr">
        <is>
          <t>Low</t>
        </is>
      </c>
      <c r="V3436">
        <f>IF(AND(OR(Dashboard!$C$6="All",E3436=Dashboard!$C$6),OR(Dashboard!$F$6="All",G3436=Dashboard!$F$6),OR(Dashboard!$I$6="All",H3436=Dashboard!$I$6)),1,0)</f>
        <v/>
      </c>
    </row>
    <row r="3437">
      <c r="A3437" t="inlineStr">
        <is>
          <t>PF103428</t>
        </is>
      </c>
      <c r="B3437" s="68" t="n">
        <v>46070</v>
      </c>
      <c r="C3437" s="69" t="n">
        <v>2026</v>
      </c>
      <c r="D3437" t="inlineStr">
        <is>
          <t>Feb</t>
        </is>
      </c>
      <c r="E3437" t="inlineStr">
        <is>
          <t>United States</t>
        </is>
      </c>
      <c r="F3437" t="inlineStr">
        <is>
          <t>USA</t>
        </is>
      </c>
      <c r="G3437" t="inlineStr">
        <is>
          <t>Ibrance</t>
        </is>
      </c>
      <c r="H3437" t="inlineStr">
        <is>
          <t>Retail pharmacy</t>
        </is>
      </c>
      <c r="I3437" t="inlineStr">
        <is>
          <t>Public payer</t>
        </is>
      </c>
      <c r="J3437" t="inlineStr">
        <is>
          <t>Noah Smith</t>
        </is>
      </c>
      <c r="K3437" s="70" t="n">
        <v>2119</v>
      </c>
      <c r="L3437" s="71" t="n">
        <v>4798.37</v>
      </c>
      <c r="M3437" s="71" t="n">
        <v>10167746.03</v>
      </c>
      <c r="N3437" s="71" t="n">
        <v>2541936.51</v>
      </c>
      <c r="O3437" s="71" t="n">
        <v>7625809.52</v>
      </c>
      <c r="P3437" s="71" t="n">
        <v>924603.99</v>
      </c>
      <c r="Q3437" s="71" t="n">
        <v>6701205.53</v>
      </c>
      <c r="R3437" t="inlineStr">
        <is>
          <t>Oncology</t>
        </is>
      </c>
      <c r="S3437" s="70" t="n">
        <v>1695</v>
      </c>
      <c r="T3437" s="71" t="n">
        <v>1745279.96</v>
      </c>
      <c r="U3437" t="inlineStr">
        <is>
          <t>High</t>
        </is>
      </c>
      <c r="V3437">
        <f>IF(AND(OR(Dashboard!$C$6="All",E3437=Dashboard!$C$6),OR(Dashboard!$F$6="All",G3437=Dashboard!$F$6),OR(Dashboard!$I$6="All",H3437=Dashboard!$I$6)),1,0)</f>
        <v/>
      </c>
    </row>
    <row r="3438">
      <c r="A3438" t="inlineStr">
        <is>
          <t>PF103429</t>
        </is>
      </c>
      <c r="B3438" s="68" t="n">
        <v>46071</v>
      </c>
      <c r="C3438" s="69" t="n">
        <v>2026</v>
      </c>
      <c r="D3438" t="inlineStr">
        <is>
          <t>Feb</t>
        </is>
      </c>
      <c r="E3438" t="inlineStr">
        <is>
          <t>Europe</t>
        </is>
      </c>
      <c r="F3438" t="inlineStr">
        <is>
          <t>Spain</t>
        </is>
      </c>
      <c r="G3438" t="inlineStr">
        <is>
          <t>Comirnaty</t>
        </is>
      </c>
      <c r="H3438" t="inlineStr">
        <is>
          <t>Retail pharmacy</t>
        </is>
      </c>
      <c r="I3438" t="inlineStr">
        <is>
          <t>Self-pay</t>
        </is>
      </c>
      <c r="J3438" t="inlineStr">
        <is>
          <t>Olivia Brown</t>
        </is>
      </c>
      <c r="K3438" s="70" t="n">
        <v>620</v>
      </c>
      <c r="L3438" s="71" t="n">
        <v>85.93000000000001</v>
      </c>
      <c r="M3438" s="71" t="n">
        <v>53276.6</v>
      </c>
      <c r="N3438" s="71" t="n">
        <v>10655.32</v>
      </c>
      <c r="O3438" s="71" t="n">
        <v>42621.28</v>
      </c>
      <c r="P3438" s="71" t="n">
        <v>22962.82</v>
      </c>
      <c r="Q3438" s="71" t="n">
        <v>19658.46</v>
      </c>
      <c r="R3438" t="inlineStr">
        <is>
          <t>Vaccines</t>
        </is>
      </c>
      <c r="S3438" s="70" t="n">
        <v>592</v>
      </c>
      <c r="T3438" s="71" t="n">
        <v>8646.610000000001</v>
      </c>
      <c r="U3438" t="inlineStr">
        <is>
          <t>Low</t>
        </is>
      </c>
      <c r="V3438">
        <f>IF(AND(OR(Dashboard!$C$6="All",E3438=Dashboard!$C$6),OR(Dashboard!$F$6="All",G3438=Dashboard!$F$6),OR(Dashboard!$I$6="All",H3438=Dashboard!$I$6)),1,0)</f>
        <v/>
      </c>
    </row>
    <row r="3439">
      <c r="A3439" t="inlineStr">
        <is>
          <t>PF103430</t>
        </is>
      </c>
      <c r="B3439" s="68" t="n">
        <v>46071</v>
      </c>
      <c r="C3439" s="69" t="n">
        <v>2026</v>
      </c>
      <c r="D3439" t="inlineStr">
        <is>
          <t>Feb</t>
        </is>
      </c>
      <c r="E3439" t="inlineStr">
        <is>
          <t>United States</t>
        </is>
      </c>
      <c r="F3439" t="inlineStr">
        <is>
          <t>USA</t>
        </is>
      </c>
      <c r="G3439" t="inlineStr">
        <is>
          <t>Eliquis</t>
        </is>
      </c>
      <c r="H3439" t="inlineStr">
        <is>
          <t>Retail pharmacy</t>
        </is>
      </c>
      <c r="I3439" t="inlineStr">
        <is>
          <t>Public payer</t>
        </is>
      </c>
      <c r="J3439" t="inlineStr">
        <is>
          <t>Sophie Müller</t>
        </is>
      </c>
      <c r="K3439" s="70" t="n">
        <v>2426</v>
      </c>
      <c r="L3439" s="71" t="n">
        <v>655.28</v>
      </c>
      <c r="M3439" s="71" t="n">
        <v>1589709.28</v>
      </c>
      <c r="N3439" s="71" t="n">
        <v>317941.86</v>
      </c>
      <c r="O3439" s="71" t="n">
        <v>1271767.42</v>
      </c>
      <c r="P3439" s="71" t="n">
        <v>189327.38</v>
      </c>
      <c r="Q3439" s="71" t="n">
        <v>1082440.04</v>
      </c>
      <c r="R3439" t="inlineStr">
        <is>
          <t>Cardiology</t>
        </is>
      </c>
      <c r="S3439" s="70" t="n">
        <v>1589</v>
      </c>
      <c r="T3439" s="71" t="n">
        <v>256573.06</v>
      </c>
      <c r="U3439" t="inlineStr">
        <is>
          <t>High</t>
        </is>
      </c>
      <c r="V3439">
        <f>IF(AND(OR(Dashboard!$C$6="All",E3439=Dashboard!$C$6),OR(Dashboard!$F$6="All",G3439=Dashboard!$F$6),OR(Dashboard!$I$6="All",H3439=Dashboard!$I$6)),1,0)</f>
        <v/>
      </c>
    </row>
    <row r="3440">
      <c r="A3440" t="inlineStr">
        <is>
          <t>PF103431</t>
        </is>
      </c>
      <c r="B3440" s="68" t="n">
        <v>46071</v>
      </c>
      <c r="C3440" s="69" t="n">
        <v>2026</v>
      </c>
      <c r="D3440" t="inlineStr">
        <is>
          <t>Feb</t>
        </is>
      </c>
      <c r="E3440" t="inlineStr">
        <is>
          <t>United States</t>
        </is>
      </c>
      <c r="F3440" t="inlineStr">
        <is>
          <t>USA</t>
        </is>
      </c>
      <c r="G3440" t="inlineStr">
        <is>
          <t>Comirnaty</t>
        </is>
      </c>
      <c r="H3440" t="inlineStr">
        <is>
          <t>Hospital</t>
        </is>
      </c>
      <c r="I3440" t="inlineStr">
        <is>
          <t>Self-pay</t>
        </is>
      </c>
      <c r="J3440" t="inlineStr">
        <is>
          <t>Sara Rossi</t>
        </is>
      </c>
      <c r="K3440" s="70" t="n">
        <v>1628</v>
      </c>
      <c r="L3440" s="71" t="n">
        <v>140.99</v>
      </c>
      <c r="M3440" s="71" t="n">
        <v>229531.72</v>
      </c>
      <c r="N3440" s="71" t="n">
        <v>45906.34</v>
      </c>
      <c r="O3440" s="71" t="n">
        <v>183625.38</v>
      </c>
      <c r="P3440" s="71" t="n">
        <v>60262.32</v>
      </c>
      <c r="Q3440" s="71" t="n">
        <v>123363.06</v>
      </c>
      <c r="R3440" t="inlineStr">
        <is>
          <t>Vaccines</t>
        </is>
      </c>
      <c r="S3440" s="70" t="n">
        <v>1513</v>
      </c>
      <c r="T3440" s="71" t="n">
        <v>37241.61</v>
      </c>
      <c r="U3440" t="inlineStr">
        <is>
          <t>Low</t>
        </is>
      </c>
      <c r="V3440">
        <f>IF(AND(OR(Dashboard!$C$6="All",E3440=Dashboard!$C$6),OR(Dashboard!$F$6="All",G3440=Dashboard!$F$6),OR(Dashboard!$I$6="All",H3440=Dashboard!$I$6)),1,0)</f>
        <v/>
      </c>
    </row>
    <row r="3441">
      <c r="A3441" t="inlineStr">
        <is>
          <t>PF103432</t>
        </is>
      </c>
      <c r="B3441" s="68" t="n">
        <v>46071</v>
      </c>
      <c r="C3441" s="69" t="n">
        <v>2026</v>
      </c>
      <c r="D3441" t="inlineStr">
        <is>
          <t>Feb</t>
        </is>
      </c>
      <c r="E3441" t="inlineStr">
        <is>
          <t>United States</t>
        </is>
      </c>
      <c r="F3441" t="inlineStr">
        <is>
          <t>USA</t>
        </is>
      </c>
      <c r="G3441" t="inlineStr">
        <is>
          <t>Vyndaqel</t>
        </is>
      </c>
      <c r="H3441" t="inlineStr">
        <is>
          <t>Retail pharmacy</t>
        </is>
      </c>
      <c r="I3441" t="inlineStr">
        <is>
          <t>Public payer</t>
        </is>
      </c>
      <c r="J3441" t="inlineStr">
        <is>
          <t>Carlos Silva</t>
        </is>
      </c>
      <c r="K3441" s="70" t="n">
        <v>1568</v>
      </c>
      <c r="L3441" s="71" t="n">
        <v>8916.08</v>
      </c>
      <c r="M3441" s="71" t="n">
        <v>13980413.44</v>
      </c>
      <c r="N3441" s="71" t="n">
        <v>4893144.7</v>
      </c>
      <c r="O3441" s="71" t="n">
        <v>9087268.74</v>
      </c>
      <c r="P3441" s="71" t="n">
        <v>978284.12</v>
      </c>
      <c r="Q3441" s="71" t="n">
        <v>8108984.62</v>
      </c>
      <c r="R3441" t="inlineStr">
        <is>
          <t>Rare disease</t>
        </is>
      </c>
      <c r="S3441" s="70" t="n">
        <v>1388</v>
      </c>
      <c r="T3441" s="71" t="n">
        <v>2487866.76</v>
      </c>
      <c r="U3441" t="inlineStr">
        <is>
          <t>Medium</t>
        </is>
      </c>
      <c r="V3441">
        <f>IF(AND(OR(Dashboard!$C$6="All",E3441=Dashboard!$C$6),OR(Dashboard!$F$6="All",G3441=Dashboard!$F$6),OR(Dashboard!$I$6="All",H3441=Dashboard!$I$6)),1,0)</f>
        <v/>
      </c>
    </row>
    <row r="3442">
      <c r="A3442" t="inlineStr">
        <is>
          <t>PF103433</t>
        </is>
      </c>
      <c r="B3442" s="68" t="n">
        <v>46071</v>
      </c>
      <c r="C3442" s="69" t="n">
        <v>2026</v>
      </c>
      <c r="D3442" t="inlineStr">
        <is>
          <t>Feb</t>
        </is>
      </c>
      <c r="E3442" t="inlineStr">
        <is>
          <t>Emerging markets</t>
        </is>
      </c>
      <c r="F3442" t="inlineStr">
        <is>
          <t>Brazil</t>
        </is>
      </c>
      <c r="G3442" t="inlineStr">
        <is>
          <t>Abrysvo</t>
        </is>
      </c>
      <c r="H3442" t="inlineStr">
        <is>
          <t>Retail pharmacy</t>
        </is>
      </c>
      <c r="I3442" t="inlineStr">
        <is>
          <t>Private insurer</t>
        </is>
      </c>
      <c r="J3442" t="inlineStr">
        <is>
          <t>Amir Khan</t>
        </is>
      </c>
      <c r="K3442" s="70" t="n">
        <v>1655</v>
      </c>
      <c r="L3442" s="71" t="n">
        <v>350.76</v>
      </c>
      <c r="M3442" s="71" t="n">
        <v>580507.8</v>
      </c>
      <c r="N3442" s="71" t="n">
        <v>87076.17</v>
      </c>
      <c r="O3442" s="71" t="n">
        <v>493431.63</v>
      </c>
      <c r="P3442" s="71" t="n">
        <v>136424.66</v>
      </c>
      <c r="Q3442" s="71" t="n">
        <v>357006.97</v>
      </c>
      <c r="R3442" t="inlineStr">
        <is>
          <t>Vaccines</t>
        </is>
      </c>
      <c r="S3442" s="70" t="n">
        <v>1144</v>
      </c>
      <c r="T3442" s="71" t="n">
        <v>99473.69</v>
      </c>
      <c r="U3442" t="inlineStr">
        <is>
          <t>Low</t>
        </is>
      </c>
      <c r="V3442">
        <f>IF(AND(OR(Dashboard!$C$6="All",E3442=Dashboard!$C$6),OR(Dashboard!$F$6="All",G3442=Dashboard!$F$6),OR(Dashboard!$I$6="All",H3442=Dashboard!$I$6)),1,0)</f>
        <v/>
      </c>
    </row>
    <row r="3443">
      <c r="A3443" t="inlineStr">
        <is>
          <t>PF103434</t>
        </is>
      </c>
      <c r="B3443" s="68" t="n">
        <v>46071</v>
      </c>
      <c r="C3443" s="69" t="n">
        <v>2026</v>
      </c>
      <c r="D3443" t="inlineStr">
        <is>
          <t>Feb</t>
        </is>
      </c>
      <c r="E3443" t="inlineStr">
        <is>
          <t>Emerging markets</t>
        </is>
      </c>
      <c r="F3443" t="inlineStr">
        <is>
          <t>Brazil</t>
        </is>
      </c>
      <c r="G3443" t="inlineStr">
        <is>
          <t>Paxlovid</t>
        </is>
      </c>
      <c r="H3443" t="inlineStr">
        <is>
          <t>Hospital</t>
        </is>
      </c>
      <c r="I3443" t="inlineStr">
        <is>
          <t>Private insurer</t>
        </is>
      </c>
      <c r="J3443" t="inlineStr">
        <is>
          <t>Liam O'Brien</t>
        </is>
      </c>
      <c r="K3443" s="70" t="n">
        <v>1672</v>
      </c>
      <c r="L3443" s="71" t="n">
        <v>948.84</v>
      </c>
      <c r="M3443" s="71" t="n">
        <v>1586460.48</v>
      </c>
      <c r="N3443" s="71" t="n">
        <v>396615.12</v>
      </c>
      <c r="O3443" s="71" t="n">
        <v>1189845.36</v>
      </c>
      <c r="P3443" s="71" t="n">
        <v>461911.93</v>
      </c>
      <c r="Q3443" s="71" t="n">
        <v>727933.4300000001</v>
      </c>
      <c r="R3443" t="inlineStr">
        <is>
          <t>Antiviral</t>
        </is>
      </c>
      <c r="S3443" s="70" t="n">
        <v>1524</v>
      </c>
      <c r="T3443" s="71" t="n">
        <v>338520.32</v>
      </c>
      <c r="U3443" t="inlineStr">
        <is>
          <t>Low</t>
        </is>
      </c>
      <c r="V3443">
        <f>IF(AND(OR(Dashboard!$C$6="All",E3443=Dashboard!$C$6),OR(Dashboard!$F$6="All",G3443=Dashboard!$F$6),OR(Dashboard!$I$6="All",H3443=Dashboard!$I$6)),1,0)</f>
        <v/>
      </c>
    </row>
    <row r="3444">
      <c r="A3444" t="inlineStr">
        <is>
          <t>PF103435</t>
        </is>
      </c>
      <c r="B3444" s="68" t="n">
        <v>46071</v>
      </c>
      <c r="C3444" s="69" t="n">
        <v>2026</v>
      </c>
      <c r="D3444" t="inlineStr">
        <is>
          <t>Feb</t>
        </is>
      </c>
      <c r="E3444" t="inlineStr">
        <is>
          <t>United States</t>
        </is>
      </c>
      <c r="F3444" t="inlineStr">
        <is>
          <t>USA</t>
        </is>
      </c>
      <c r="G3444" t="inlineStr">
        <is>
          <t>Prevnar 20</t>
        </is>
      </c>
      <c r="H3444" t="inlineStr">
        <is>
          <t>Hospital</t>
        </is>
      </c>
      <c r="I3444" t="inlineStr">
        <is>
          <t>Self-pay</t>
        </is>
      </c>
      <c r="J3444" t="inlineStr">
        <is>
          <t>Ravindra Patil</t>
        </is>
      </c>
      <c r="K3444" s="70" t="n">
        <v>727</v>
      </c>
      <c r="L3444" s="71" t="n">
        <v>410.76</v>
      </c>
      <c r="M3444" s="71" t="n">
        <v>298622.52</v>
      </c>
      <c r="N3444" s="71" t="n">
        <v>104517.88</v>
      </c>
      <c r="O3444" s="71" t="n">
        <v>194104.64</v>
      </c>
      <c r="P3444" s="71" t="n">
        <v>50447.34</v>
      </c>
      <c r="Q3444" s="71" t="n">
        <v>143657.3</v>
      </c>
      <c r="R3444" t="inlineStr">
        <is>
          <t>Vaccines</t>
        </is>
      </c>
      <c r="S3444" s="70" t="n">
        <v>698</v>
      </c>
      <c r="T3444" s="71" t="n">
        <v>39642.53</v>
      </c>
      <c r="U3444" t="inlineStr">
        <is>
          <t>Low</t>
        </is>
      </c>
      <c r="V3444">
        <f>IF(AND(OR(Dashboard!$C$6="All",E3444=Dashboard!$C$6),OR(Dashboard!$F$6="All",G3444=Dashboard!$F$6),OR(Dashboard!$I$6="All",H3444=Dashboard!$I$6)),1,0)</f>
        <v/>
      </c>
    </row>
    <row r="3445">
      <c r="A3445" t="inlineStr">
        <is>
          <t>PF103436</t>
        </is>
      </c>
      <c r="B3445" s="68" t="n">
        <v>46071</v>
      </c>
      <c r="C3445" s="69" t="n">
        <v>2026</v>
      </c>
      <c r="D3445" t="inlineStr">
        <is>
          <t>Feb</t>
        </is>
      </c>
      <c r="E3445" t="inlineStr">
        <is>
          <t>Europe</t>
        </is>
      </c>
      <c r="F3445" t="inlineStr">
        <is>
          <t>France</t>
        </is>
      </c>
      <c r="G3445" t="inlineStr">
        <is>
          <t>Prevnar 20</t>
        </is>
      </c>
      <c r="H3445" t="inlineStr">
        <is>
          <t>Retail pharmacy</t>
        </is>
      </c>
      <c r="I3445" t="inlineStr">
        <is>
          <t>Self-pay</t>
        </is>
      </c>
      <c r="J3445" t="inlineStr">
        <is>
          <t>Emma Clarke</t>
        </is>
      </c>
      <c r="K3445" s="70" t="n">
        <v>1513</v>
      </c>
      <c r="L3445" s="71" t="n">
        <v>242.91</v>
      </c>
      <c r="M3445" s="71" t="n">
        <v>367522.83</v>
      </c>
      <c r="N3445" s="71" t="n">
        <v>18376.14</v>
      </c>
      <c r="O3445" s="71" t="n">
        <v>349146.69</v>
      </c>
      <c r="P3445" s="71" t="n">
        <v>103466.87</v>
      </c>
      <c r="Q3445" s="71" t="n">
        <v>245679.82</v>
      </c>
      <c r="R3445" t="inlineStr">
        <is>
          <t>Vaccines</t>
        </is>
      </c>
      <c r="S3445" s="70" t="n">
        <v>1452</v>
      </c>
      <c r="T3445" s="71" t="n">
        <v>51780.61</v>
      </c>
      <c r="U3445" t="inlineStr">
        <is>
          <t>Low</t>
        </is>
      </c>
      <c r="V3445">
        <f>IF(AND(OR(Dashboard!$C$6="All",E3445=Dashboard!$C$6),OR(Dashboard!$F$6="All",G3445=Dashboard!$F$6),OR(Dashboard!$I$6="All",H3445=Dashboard!$I$6)),1,0)</f>
        <v/>
      </c>
    </row>
    <row r="3446">
      <c r="A3446" t="inlineStr">
        <is>
          <t>PF103437</t>
        </is>
      </c>
      <c r="B3446" s="68" t="n">
        <v>46071</v>
      </c>
      <c r="C3446" s="69" t="n">
        <v>2026</v>
      </c>
      <c r="D3446" t="inlineStr">
        <is>
          <t>Feb</t>
        </is>
      </c>
      <c r="E3446" t="inlineStr">
        <is>
          <t>International developed</t>
        </is>
      </c>
      <c r="F3446" t="inlineStr">
        <is>
          <t>Canada</t>
        </is>
      </c>
      <c r="G3446" t="inlineStr">
        <is>
          <t>Comirnaty</t>
        </is>
      </c>
      <c r="H3446" t="inlineStr">
        <is>
          <t>Retail pharmacy</t>
        </is>
      </c>
      <c r="I3446" t="inlineStr">
        <is>
          <t>Public payer</t>
        </is>
      </c>
      <c r="J3446" t="inlineStr">
        <is>
          <t>Zoya Ahmed</t>
        </is>
      </c>
      <c r="K3446" s="70" t="n">
        <v>952</v>
      </c>
      <c r="L3446" s="71" t="n">
        <v>86.48999999999999</v>
      </c>
      <c r="M3446" s="71" t="n">
        <v>82338.48</v>
      </c>
      <c r="N3446" s="71" t="n">
        <v>12350.77</v>
      </c>
      <c r="O3446" s="71" t="n">
        <v>69987.71000000001</v>
      </c>
      <c r="P3446" s="71" t="n">
        <v>35577.86</v>
      </c>
      <c r="Q3446" s="71" t="n">
        <v>34409.85</v>
      </c>
      <c r="R3446" t="inlineStr">
        <is>
          <t>Vaccines</t>
        </is>
      </c>
      <c r="S3446" s="70" t="n">
        <v>685</v>
      </c>
      <c r="T3446" s="71" t="n">
        <v>20686.38</v>
      </c>
      <c r="U3446" t="inlineStr">
        <is>
          <t>Low</t>
        </is>
      </c>
      <c r="V3446">
        <f>IF(AND(OR(Dashboard!$C$6="All",E3446=Dashboard!$C$6),OR(Dashboard!$F$6="All",G3446=Dashboard!$F$6),OR(Dashboard!$I$6="All",H3446=Dashboard!$I$6)),1,0)</f>
        <v/>
      </c>
    </row>
    <row r="3447">
      <c r="A3447" t="inlineStr">
        <is>
          <t>PF103438</t>
        </is>
      </c>
      <c r="B3447" s="68" t="n">
        <v>46071</v>
      </c>
      <c r="C3447" s="69" t="n">
        <v>2026</v>
      </c>
      <c r="D3447" t="inlineStr">
        <is>
          <t>Feb</t>
        </is>
      </c>
      <c r="E3447" t="inlineStr">
        <is>
          <t>Emerging markets</t>
        </is>
      </c>
      <c r="F3447" t="inlineStr">
        <is>
          <t>Brazil</t>
        </is>
      </c>
      <c r="G3447" t="inlineStr">
        <is>
          <t>Vyndaqel</t>
        </is>
      </c>
      <c r="H3447" t="inlineStr">
        <is>
          <t>Retail pharmacy</t>
        </is>
      </c>
      <c r="I3447" t="inlineStr">
        <is>
          <t>Public payer</t>
        </is>
      </c>
      <c r="J3447" t="inlineStr">
        <is>
          <t>Ana Costa</t>
        </is>
      </c>
      <c r="K3447" s="70" t="n">
        <v>1667</v>
      </c>
      <c r="L3447" s="71" t="n">
        <v>5843.12</v>
      </c>
      <c r="M3447" s="71" t="n">
        <v>9740481.039999999</v>
      </c>
      <c r="N3447" s="71" t="n">
        <v>974048.1</v>
      </c>
      <c r="O3447" s="71" t="n">
        <v>8766432.939999999</v>
      </c>
      <c r="P3447" s="71" t="n">
        <v>1060049.31</v>
      </c>
      <c r="Q3447" s="71" t="n">
        <v>7706383.63</v>
      </c>
      <c r="R3447" t="inlineStr">
        <is>
          <t>Rare disease</t>
        </is>
      </c>
      <c r="S3447" s="70" t="n">
        <v>1087</v>
      </c>
      <c r="T3447" s="71" t="n">
        <v>1915543.43</v>
      </c>
      <c r="U3447" t="inlineStr">
        <is>
          <t>Medium</t>
        </is>
      </c>
      <c r="V3447">
        <f>IF(AND(OR(Dashboard!$C$6="All",E3447=Dashboard!$C$6),OR(Dashboard!$F$6="All",G3447=Dashboard!$F$6),OR(Dashboard!$I$6="All",H3447=Dashboard!$I$6)),1,0)</f>
        <v/>
      </c>
    </row>
    <row r="3448">
      <c r="A3448" t="inlineStr">
        <is>
          <t>PF103439</t>
        </is>
      </c>
      <c r="B3448" s="68" t="n">
        <v>46071</v>
      </c>
      <c r="C3448" s="69" t="n">
        <v>2026</v>
      </c>
      <c r="D3448" t="inlineStr">
        <is>
          <t>Feb</t>
        </is>
      </c>
      <c r="E3448" t="inlineStr">
        <is>
          <t>United States</t>
        </is>
      </c>
      <c r="F3448" t="inlineStr">
        <is>
          <t>USA</t>
        </is>
      </c>
      <c r="G3448" t="inlineStr">
        <is>
          <t>Comirnaty</t>
        </is>
      </c>
      <c r="H3448" t="inlineStr">
        <is>
          <t>Retail pharmacy</t>
        </is>
      </c>
      <c r="I3448" t="inlineStr">
        <is>
          <t>Public payer</t>
        </is>
      </c>
      <c r="J3448" t="inlineStr">
        <is>
          <t>Sophie Müller</t>
        </is>
      </c>
      <c r="K3448" s="70" t="n">
        <v>429</v>
      </c>
      <c r="L3448" s="71" t="n">
        <v>140.36</v>
      </c>
      <c r="M3448" s="71" t="n">
        <v>60214.44</v>
      </c>
      <c r="N3448" s="71" t="n">
        <v>9032.17</v>
      </c>
      <c r="O3448" s="71" t="n">
        <v>51182.27</v>
      </c>
      <c r="P3448" s="71" t="n">
        <v>16248.47</v>
      </c>
      <c r="Q3448" s="71" t="n">
        <v>34933.8</v>
      </c>
      <c r="R3448" t="inlineStr">
        <is>
          <t>Vaccines</t>
        </is>
      </c>
      <c r="S3448" s="70" t="n">
        <v>375</v>
      </c>
      <c r="T3448" s="71" t="n">
        <v>14426.51</v>
      </c>
      <c r="U3448" t="inlineStr">
        <is>
          <t>Low</t>
        </is>
      </c>
      <c r="V3448">
        <f>IF(AND(OR(Dashboard!$C$6="All",E3448=Dashboard!$C$6),OR(Dashboard!$F$6="All",G3448=Dashboard!$F$6),OR(Dashboard!$I$6="All",H3448=Dashboard!$I$6)),1,0)</f>
        <v/>
      </c>
    </row>
    <row r="3449">
      <c r="A3449" t="inlineStr">
        <is>
          <t>PF103440</t>
        </is>
      </c>
      <c r="B3449" s="68" t="n">
        <v>46071</v>
      </c>
      <c r="C3449" s="69" t="n">
        <v>2026</v>
      </c>
      <c r="D3449" t="inlineStr">
        <is>
          <t>Feb</t>
        </is>
      </c>
      <c r="E3449" t="inlineStr">
        <is>
          <t>Europe</t>
        </is>
      </c>
      <c r="F3449" t="inlineStr">
        <is>
          <t>Italy</t>
        </is>
      </c>
      <c r="G3449" t="inlineStr">
        <is>
          <t>Ibrance</t>
        </is>
      </c>
      <c r="H3449" t="inlineStr">
        <is>
          <t>Hospital</t>
        </is>
      </c>
      <c r="I3449" t="inlineStr">
        <is>
          <t>Self-pay</t>
        </is>
      </c>
      <c r="J3449" t="inlineStr">
        <is>
          <t>Priya Nair</t>
        </is>
      </c>
      <c r="K3449" s="70" t="n">
        <v>2111</v>
      </c>
      <c r="L3449" s="71" t="n">
        <v>2901.8</v>
      </c>
      <c r="M3449" s="71" t="n">
        <v>6125699.8</v>
      </c>
      <c r="N3449" s="71" t="n">
        <v>1225139.96</v>
      </c>
      <c r="O3449" s="71" t="n">
        <v>4900559.84</v>
      </c>
      <c r="P3449" s="71" t="n">
        <v>952330.24</v>
      </c>
      <c r="Q3449" s="71" t="n">
        <v>3948229.6</v>
      </c>
      <c r="R3449" t="inlineStr">
        <is>
          <t>Oncology</t>
        </is>
      </c>
      <c r="S3449" s="70" t="n">
        <v>1402</v>
      </c>
      <c r="T3449" s="71" t="n">
        <v>1225418.75</v>
      </c>
      <c r="U3449" t="inlineStr">
        <is>
          <t>High</t>
        </is>
      </c>
      <c r="V3449">
        <f>IF(AND(OR(Dashboard!$C$6="All",E3449=Dashboard!$C$6),OR(Dashboard!$F$6="All",G3449=Dashboard!$F$6),OR(Dashboard!$I$6="All",H3449=Dashboard!$I$6)),1,0)</f>
        <v/>
      </c>
    </row>
    <row r="3450">
      <c r="A3450" t="inlineStr">
        <is>
          <t>PF103441</t>
        </is>
      </c>
      <c r="B3450" s="68" t="n">
        <v>46072</v>
      </c>
      <c r="C3450" s="69" t="n">
        <v>2026</v>
      </c>
      <c r="D3450" t="inlineStr">
        <is>
          <t>Feb</t>
        </is>
      </c>
      <c r="E3450" t="inlineStr">
        <is>
          <t>Emerging markets</t>
        </is>
      </c>
      <c r="F3450" t="inlineStr">
        <is>
          <t>Brazil</t>
        </is>
      </c>
      <c r="G3450" t="inlineStr">
        <is>
          <t>Paxlovid</t>
        </is>
      </c>
      <c r="H3450" t="inlineStr">
        <is>
          <t>Retail pharmacy</t>
        </is>
      </c>
      <c r="I3450" t="inlineStr">
        <is>
          <t>Self-pay</t>
        </is>
      </c>
      <c r="J3450" t="inlineStr">
        <is>
          <t>Shraddha Kulkarni</t>
        </is>
      </c>
      <c r="K3450" s="70" t="n">
        <v>1136</v>
      </c>
      <c r="L3450" s="71" t="n">
        <v>997.65</v>
      </c>
      <c r="M3450" s="71" t="n">
        <v>1133330.4</v>
      </c>
      <c r="N3450" s="71" t="n">
        <v>169999.56</v>
      </c>
      <c r="O3450" s="71" t="n">
        <v>963330.84</v>
      </c>
      <c r="P3450" s="71" t="n">
        <v>314428.64</v>
      </c>
      <c r="Q3450" s="71" t="n">
        <v>648902.2</v>
      </c>
      <c r="R3450" t="inlineStr">
        <is>
          <t>Antiviral</t>
        </is>
      </c>
      <c r="S3450" s="70" t="n">
        <v>716</v>
      </c>
      <c r="T3450" s="71" t="n">
        <v>273427.56</v>
      </c>
      <c r="U3450" t="inlineStr">
        <is>
          <t>Low</t>
        </is>
      </c>
      <c r="V3450">
        <f>IF(AND(OR(Dashboard!$C$6="All",E3450=Dashboard!$C$6),OR(Dashboard!$F$6="All",G3450=Dashboard!$F$6),OR(Dashboard!$I$6="All",H3450=Dashboard!$I$6)),1,0)</f>
        <v/>
      </c>
    </row>
    <row r="3451">
      <c r="A3451" t="inlineStr">
        <is>
          <t>PF103442</t>
        </is>
      </c>
      <c r="B3451" s="68" t="n">
        <v>46072</v>
      </c>
      <c r="C3451" s="69" t="n">
        <v>2026</v>
      </c>
      <c r="D3451" t="inlineStr">
        <is>
          <t>Feb</t>
        </is>
      </c>
      <c r="E3451" t="inlineStr">
        <is>
          <t>United States</t>
        </is>
      </c>
      <c r="F3451" t="inlineStr">
        <is>
          <t>USA</t>
        </is>
      </c>
      <c r="G3451" t="inlineStr">
        <is>
          <t>Eliquis</t>
        </is>
      </c>
      <c r="H3451" t="inlineStr">
        <is>
          <t>Government / tender</t>
        </is>
      </c>
      <c r="I3451" t="inlineStr">
        <is>
          <t>Public payer</t>
        </is>
      </c>
      <c r="J3451" t="inlineStr">
        <is>
          <t>Mei Lin</t>
        </is>
      </c>
      <c r="K3451" s="70" t="n">
        <v>335</v>
      </c>
      <c r="L3451" s="71" t="n">
        <v>635.71</v>
      </c>
      <c r="M3451" s="71" t="n">
        <v>212962.85</v>
      </c>
      <c r="N3451" s="71" t="n">
        <v>74537</v>
      </c>
      <c r="O3451" s="71" t="n">
        <v>138425.85</v>
      </c>
      <c r="P3451" s="71" t="n">
        <v>24442.8</v>
      </c>
      <c r="Q3451" s="71" t="n">
        <v>113983.05</v>
      </c>
      <c r="R3451" t="inlineStr">
        <is>
          <t>Cardiology</t>
        </is>
      </c>
      <c r="S3451" s="70" t="n">
        <v>290</v>
      </c>
      <c r="T3451" s="71" t="n">
        <v>28009.33</v>
      </c>
      <c r="U3451" t="inlineStr">
        <is>
          <t>High</t>
        </is>
      </c>
      <c r="V3451">
        <f>IF(AND(OR(Dashboard!$C$6="All",E3451=Dashboard!$C$6),OR(Dashboard!$F$6="All",G3451=Dashboard!$F$6),OR(Dashboard!$I$6="All",H3451=Dashboard!$I$6)),1,0)</f>
        <v/>
      </c>
    </row>
    <row r="3452">
      <c r="A3452" t="inlineStr">
        <is>
          <t>PF103443</t>
        </is>
      </c>
      <c r="B3452" s="68" t="n">
        <v>46072</v>
      </c>
      <c r="C3452" s="69" t="n">
        <v>2026</v>
      </c>
      <c r="D3452" t="inlineStr">
        <is>
          <t>Feb</t>
        </is>
      </c>
      <c r="E3452" t="inlineStr">
        <is>
          <t>United States</t>
        </is>
      </c>
      <c r="F3452" t="inlineStr">
        <is>
          <t>USA</t>
        </is>
      </c>
      <c r="G3452" t="inlineStr">
        <is>
          <t>Eliquis</t>
        </is>
      </c>
      <c r="H3452" t="inlineStr">
        <is>
          <t>Retail pharmacy</t>
        </is>
      </c>
      <c r="I3452" t="inlineStr">
        <is>
          <t>Private insurer</t>
        </is>
      </c>
      <c r="J3452" t="inlineStr">
        <is>
          <t>Ruhi Shaikh</t>
        </is>
      </c>
      <c r="K3452" s="70" t="n">
        <v>591</v>
      </c>
      <c r="L3452" s="71" t="n">
        <v>653.67</v>
      </c>
      <c r="M3452" s="71" t="n">
        <v>386318.97</v>
      </c>
      <c r="N3452" s="71" t="n">
        <v>115895.69</v>
      </c>
      <c r="O3452" s="71" t="n">
        <v>270423.28</v>
      </c>
      <c r="P3452" s="71" t="n">
        <v>44849.61</v>
      </c>
      <c r="Q3452" s="71" t="n">
        <v>225573.67</v>
      </c>
      <c r="R3452" t="inlineStr">
        <is>
          <t>Cardiology</t>
        </is>
      </c>
      <c r="S3452" s="70" t="n">
        <v>371</v>
      </c>
      <c r="T3452" s="71" t="n">
        <v>72989.83</v>
      </c>
      <c r="U3452" t="inlineStr">
        <is>
          <t>High</t>
        </is>
      </c>
      <c r="V3452">
        <f>IF(AND(OR(Dashboard!$C$6="All",E3452=Dashboard!$C$6),OR(Dashboard!$F$6="All",G3452=Dashboard!$F$6),OR(Dashboard!$I$6="All",H3452=Dashboard!$I$6)),1,0)</f>
        <v/>
      </c>
    </row>
    <row r="3453">
      <c r="A3453" t="inlineStr">
        <is>
          <t>PF103444</t>
        </is>
      </c>
      <c r="B3453" s="68" t="n">
        <v>46072</v>
      </c>
      <c r="C3453" s="69" t="n">
        <v>2026</v>
      </c>
      <c r="D3453" t="inlineStr">
        <is>
          <t>Feb</t>
        </is>
      </c>
      <c r="E3453" t="inlineStr">
        <is>
          <t>Europe</t>
        </is>
      </c>
      <c r="F3453" t="inlineStr">
        <is>
          <t>France</t>
        </is>
      </c>
      <c r="G3453" t="inlineStr">
        <is>
          <t>Comirnaty</t>
        </is>
      </c>
      <c r="H3453" t="inlineStr">
        <is>
          <t>Hospital</t>
        </is>
      </c>
      <c r="I3453" t="inlineStr">
        <is>
          <t>Public payer</t>
        </is>
      </c>
      <c r="J3453" t="inlineStr">
        <is>
          <t>Ana Costa</t>
        </is>
      </c>
      <c r="K3453" s="70" t="n">
        <v>2085</v>
      </c>
      <c r="L3453" s="71" t="n">
        <v>82.78</v>
      </c>
      <c r="M3453" s="71" t="n">
        <v>172596.3</v>
      </c>
      <c r="N3453" s="71" t="n">
        <v>17259.63</v>
      </c>
      <c r="O3453" s="71" t="n">
        <v>155336.67</v>
      </c>
      <c r="P3453" s="71" t="n">
        <v>77785</v>
      </c>
      <c r="Q3453" s="71" t="n">
        <v>77551.67</v>
      </c>
      <c r="R3453" t="inlineStr">
        <is>
          <t>Vaccines</t>
        </is>
      </c>
      <c r="S3453" s="70" t="n">
        <v>1584</v>
      </c>
      <c r="T3453" s="71" t="n">
        <v>36733.01</v>
      </c>
      <c r="U3453" t="inlineStr">
        <is>
          <t>Low</t>
        </is>
      </c>
      <c r="V3453">
        <f>IF(AND(OR(Dashboard!$C$6="All",E3453=Dashboard!$C$6),OR(Dashboard!$F$6="All",G3453=Dashboard!$F$6),OR(Dashboard!$I$6="All",H3453=Dashboard!$I$6)),1,0)</f>
        <v/>
      </c>
    </row>
    <row r="3454">
      <c r="A3454" t="inlineStr">
        <is>
          <t>PF103445</t>
        </is>
      </c>
      <c r="B3454" s="68" t="n">
        <v>46072</v>
      </c>
      <c r="C3454" s="69" t="n">
        <v>2026</v>
      </c>
      <c r="D3454" t="inlineStr">
        <is>
          <t>Feb</t>
        </is>
      </c>
      <c r="E3454" t="inlineStr">
        <is>
          <t>United States</t>
        </is>
      </c>
      <c r="F3454" t="inlineStr">
        <is>
          <t>USA</t>
        </is>
      </c>
      <c r="G3454" t="inlineStr">
        <is>
          <t>Prevnar 20</t>
        </is>
      </c>
      <c r="H3454" t="inlineStr">
        <is>
          <t>Retail pharmacy</t>
        </is>
      </c>
      <c r="I3454" t="inlineStr">
        <is>
          <t>Private insurer</t>
        </is>
      </c>
      <c r="J3454" t="inlineStr">
        <is>
          <t>Mei Lin</t>
        </is>
      </c>
      <c r="K3454" s="70" t="n">
        <v>1024</v>
      </c>
      <c r="L3454" s="71" t="n">
        <v>397.78</v>
      </c>
      <c r="M3454" s="71" t="n">
        <v>407326.72</v>
      </c>
      <c r="N3454" s="71" t="n">
        <v>101831.68</v>
      </c>
      <c r="O3454" s="71" t="n">
        <v>305495.04</v>
      </c>
      <c r="P3454" s="71" t="n">
        <v>72248.55</v>
      </c>
      <c r="Q3454" s="71" t="n">
        <v>233246.49</v>
      </c>
      <c r="R3454" t="inlineStr">
        <is>
          <t>Vaccines</t>
        </is>
      </c>
      <c r="S3454" s="70" t="n">
        <v>669</v>
      </c>
      <c r="T3454" s="71" t="n">
        <v>74039.78</v>
      </c>
      <c r="U3454" t="inlineStr">
        <is>
          <t>Low</t>
        </is>
      </c>
      <c r="V3454">
        <f>IF(AND(OR(Dashboard!$C$6="All",E3454=Dashboard!$C$6),OR(Dashboard!$F$6="All",G3454=Dashboard!$F$6),OR(Dashboard!$I$6="All",H3454=Dashboard!$I$6)),1,0)</f>
        <v/>
      </c>
    </row>
    <row r="3455">
      <c r="A3455" t="inlineStr">
        <is>
          <t>PF103446</t>
        </is>
      </c>
      <c r="B3455" s="68" t="n">
        <v>46072</v>
      </c>
      <c r="C3455" s="69" t="n">
        <v>2026</v>
      </c>
      <c r="D3455" t="inlineStr">
        <is>
          <t>Feb</t>
        </is>
      </c>
      <c r="E3455" t="inlineStr">
        <is>
          <t>United States</t>
        </is>
      </c>
      <c r="F3455" t="inlineStr">
        <is>
          <t>USA</t>
        </is>
      </c>
      <c r="G3455" t="inlineStr">
        <is>
          <t>Abrysvo</t>
        </is>
      </c>
      <c r="H3455" t="inlineStr">
        <is>
          <t>Hospital</t>
        </is>
      </c>
      <c r="I3455" t="inlineStr">
        <is>
          <t>Private insurer</t>
        </is>
      </c>
      <c r="J3455" t="inlineStr">
        <is>
          <t>Emma Clarke</t>
        </is>
      </c>
      <c r="K3455" s="70" t="n">
        <v>1057</v>
      </c>
      <c r="L3455" s="71" t="n">
        <v>473.86</v>
      </c>
      <c r="M3455" s="71" t="n">
        <v>500870.02</v>
      </c>
      <c r="N3455" s="71" t="n">
        <v>125217.51</v>
      </c>
      <c r="O3455" s="71" t="n">
        <v>375652.51</v>
      </c>
      <c r="P3455" s="71" t="n">
        <v>87606.89999999999</v>
      </c>
      <c r="Q3455" s="71" t="n">
        <v>288045.61</v>
      </c>
      <c r="R3455" t="inlineStr">
        <is>
          <t>Vaccines</t>
        </is>
      </c>
      <c r="S3455" s="70" t="n">
        <v>700</v>
      </c>
      <c r="T3455" s="71" t="n">
        <v>78284.05</v>
      </c>
      <c r="U3455" t="inlineStr">
        <is>
          <t>Low</t>
        </is>
      </c>
      <c r="V3455">
        <f>IF(AND(OR(Dashboard!$C$6="All",E3455=Dashboard!$C$6),OR(Dashboard!$F$6="All",G3455=Dashboard!$F$6),OR(Dashboard!$I$6="All",H3455=Dashboard!$I$6)),1,0)</f>
        <v/>
      </c>
    </row>
    <row r="3456">
      <c r="A3456" t="inlineStr">
        <is>
          <t>PF103447</t>
        </is>
      </c>
      <c r="B3456" s="68" t="n">
        <v>46072</v>
      </c>
      <c r="C3456" s="69" t="n">
        <v>2026</v>
      </c>
      <c r="D3456" t="inlineStr">
        <is>
          <t>Feb</t>
        </is>
      </c>
      <c r="E3456" t="inlineStr">
        <is>
          <t>Europe</t>
        </is>
      </c>
      <c r="F3456" t="inlineStr">
        <is>
          <t>France</t>
        </is>
      </c>
      <c r="G3456" t="inlineStr">
        <is>
          <t>Eliquis</t>
        </is>
      </c>
      <c r="H3456" t="inlineStr">
        <is>
          <t>Retail pharmacy</t>
        </is>
      </c>
      <c r="I3456" t="inlineStr">
        <is>
          <t>Public payer</t>
        </is>
      </c>
      <c r="J3456" t="inlineStr">
        <is>
          <t>Hiroshi Tanaka</t>
        </is>
      </c>
      <c r="K3456" s="70" t="n">
        <v>272</v>
      </c>
      <c r="L3456" s="71" t="n">
        <v>421.19</v>
      </c>
      <c r="M3456" s="71" t="n">
        <v>114563.68</v>
      </c>
      <c r="N3456" s="71" t="n">
        <v>17184.55</v>
      </c>
      <c r="O3456" s="71" t="n">
        <v>97379.13</v>
      </c>
      <c r="P3456" s="71" t="n">
        <v>20913.29</v>
      </c>
      <c r="Q3456" s="71" t="n">
        <v>76465.84</v>
      </c>
      <c r="R3456" t="inlineStr">
        <is>
          <t>Cardiology</t>
        </is>
      </c>
      <c r="S3456" s="70" t="n">
        <v>257</v>
      </c>
      <c r="T3456" s="71" t="n">
        <v>23161.69</v>
      </c>
      <c r="U3456" t="inlineStr">
        <is>
          <t>High</t>
        </is>
      </c>
      <c r="V3456">
        <f>IF(AND(OR(Dashboard!$C$6="All",E3456=Dashboard!$C$6),OR(Dashboard!$F$6="All",G3456=Dashboard!$F$6),OR(Dashboard!$I$6="All",H3456=Dashboard!$I$6)),1,0)</f>
        <v/>
      </c>
    </row>
    <row r="3457">
      <c r="A3457" t="inlineStr">
        <is>
          <t>PF103448</t>
        </is>
      </c>
      <c r="B3457" s="68" t="n">
        <v>46072</v>
      </c>
      <c r="C3457" s="69" t="n">
        <v>2026</v>
      </c>
      <c r="D3457" t="inlineStr">
        <is>
          <t>Feb</t>
        </is>
      </c>
      <c r="E3457" t="inlineStr">
        <is>
          <t>United States</t>
        </is>
      </c>
      <c r="F3457" t="inlineStr">
        <is>
          <t>USA</t>
        </is>
      </c>
      <c r="G3457" t="inlineStr">
        <is>
          <t>Ibrance</t>
        </is>
      </c>
      <c r="H3457" t="inlineStr">
        <is>
          <t>Retail pharmacy</t>
        </is>
      </c>
      <c r="I3457" t="inlineStr">
        <is>
          <t>Public payer</t>
        </is>
      </c>
      <c r="J3457" t="inlineStr">
        <is>
          <t>Emma Clarke</t>
        </is>
      </c>
      <c r="K3457" s="70" t="n">
        <v>2149</v>
      </c>
      <c r="L3457" s="71" t="n">
        <v>4266.68</v>
      </c>
      <c r="M3457" s="71" t="n">
        <v>9169095.32</v>
      </c>
      <c r="N3457" s="71" t="n">
        <v>2292273.83</v>
      </c>
      <c r="O3457" s="71" t="n">
        <v>6876821.49</v>
      </c>
      <c r="P3457" s="71" t="n">
        <v>918931.65</v>
      </c>
      <c r="Q3457" s="71" t="n">
        <v>5957889.84</v>
      </c>
      <c r="R3457" t="inlineStr">
        <is>
          <t>Oncology</t>
        </is>
      </c>
      <c r="S3457" s="70" t="n">
        <v>1841</v>
      </c>
      <c r="T3457" s="71" t="n">
        <v>1330506.24</v>
      </c>
      <c r="U3457" t="inlineStr">
        <is>
          <t>High</t>
        </is>
      </c>
      <c r="V3457">
        <f>IF(AND(OR(Dashboard!$C$6="All",E3457=Dashboard!$C$6),OR(Dashboard!$F$6="All",G3457=Dashboard!$F$6),OR(Dashboard!$I$6="All",H3457=Dashboard!$I$6)),1,0)</f>
        <v/>
      </c>
    </row>
    <row r="3458">
      <c r="A3458" t="inlineStr">
        <is>
          <t>PF103449</t>
        </is>
      </c>
      <c r="B3458" s="68" t="n">
        <v>46072</v>
      </c>
      <c r="C3458" s="69" t="n">
        <v>2026</v>
      </c>
      <c r="D3458" t="inlineStr">
        <is>
          <t>Feb</t>
        </is>
      </c>
      <c r="E3458" t="inlineStr">
        <is>
          <t>United States</t>
        </is>
      </c>
      <c r="F3458" t="inlineStr">
        <is>
          <t>USA</t>
        </is>
      </c>
      <c r="G3458" t="inlineStr">
        <is>
          <t>Eliquis</t>
        </is>
      </c>
      <c r="H3458" t="inlineStr">
        <is>
          <t>Retail pharmacy</t>
        </is>
      </c>
      <c r="I3458" t="inlineStr">
        <is>
          <t>Private insurer</t>
        </is>
      </c>
      <c r="J3458" t="inlineStr">
        <is>
          <t>Omar Haddad</t>
        </is>
      </c>
      <c r="K3458" s="70" t="n">
        <v>2225</v>
      </c>
      <c r="L3458" s="71" t="n">
        <v>723.8</v>
      </c>
      <c r="M3458" s="71" t="n">
        <v>1610455</v>
      </c>
      <c r="N3458" s="71" t="n">
        <v>563659.25</v>
      </c>
      <c r="O3458" s="71" t="n">
        <v>1046795.75</v>
      </c>
      <c r="P3458" s="71" t="n">
        <v>162406.18</v>
      </c>
      <c r="Q3458" s="71" t="n">
        <v>884389.5699999999</v>
      </c>
      <c r="R3458" t="inlineStr">
        <is>
          <t>Cardiology</t>
        </is>
      </c>
      <c r="S3458" s="70" t="n">
        <v>1502</v>
      </c>
      <c r="T3458" s="71" t="n">
        <v>250704.08</v>
      </c>
      <c r="U3458" t="inlineStr">
        <is>
          <t>High</t>
        </is>
      </c>
      <c r="V3458">
        <f>IF(AND(OR(Dashboard!$C$6="All",E3458=Dashboard!$C$6),OR(Dashboard!$F$6="All",G3458=Dashboard!$F$6),OR(Dashboard!$I$6="All",H3458=Dashboard!$I$6)),1,0)</f>
        <v/>
      </c>
    </row>
    <row r="3459">
      <c r="A3459" t="inlineStr">
        <is>
          <t>PF103450</t>
        </is>
      </c>
      <c r="B3459" s="68" t="n">
        <v>46072</v>
      </c>
      <c r="C3459" s="69" t="n">
        <v>2026</v>
      </c>
      <c r="D3459" t="inlineStr">
        <is>
          <t>Feb</t>
        </is>
      </c>
      <c r="E3459" t="inlineStr">
        <is>
          <t>Europe</t>
        </is>
      </c>
      <c r="F3459" t="inlineStr">
        <is>
          <t>Germany</t>
        </is>
      </c>
      <c r="G3459" t="inlineStr">
        <is>
          <t>Paxlovid</t>
        </is>
      </c>
      <c r="H3459" t="inlineStr">
        <is>
          <t>Retail pharmacy</t>
        </is>
      </c>
      <c r="I3459" t="inlineStr">
        <is>
          <t>Private insurer</t>
        </is>
      </c>
      <c r="J3459" t="inlineStr">
        <is>
          <t>Olivia Brown</t>
        </is>
      </c>
      <c r="K3459" s="70" t="n">
        <v>96</v>
      </c>
      <c r="L3459" s="71" t="n">
        <v>849.27</v>
      </c>
      <c r="M3459" s="71" t="n">
        <v>81529.92</v>
      </c>
      <c r="N3459" s="71" t="n">
        <v>16305.98</v>
      </c>
      <c r="O3459" s="71" t="n">
        <v>65223.94</v>
      </c>
      <c r="P3459" s="71" t="n">
        <v>26680.21</v>
      </c>
      <c r="Q3459" s="71" t="n">
        <v>38543.73</v>
      </c>
      <c r="R3459" t="inlineStr">
        <is>
          <t>Antiviral</t>
        </is>
      </c>
      <c r="S3459" s="70" t="n">
        <v>87</v>
      </c>
      <c r="T3459" s="71" t="n">
        <v>16913.01</v>
      </c>
      <c r="U3459" t="inlineStr">
        <is>
          <t>Low</t>
        </is>
      </c>
      <c r="V3459">
        <f>IF(AND(OR(Dashboard!$C$6="All",E3459=Dashboard!$C$6),OR(Dashboard!$F$6="All",G3459=Dashboard!$F$6),OR(Dashboard!$I$6="All",H3459=Dashboard!$I$6)),1,0)</f>
        <v/>
      </c>
    </row>
    <row r="3460">
      <c r="A3460" t="inlineStr">
        <is>
          <t>PF103451</t>
        </is>
      </c>
      <c r="B3460" s="68" t="n">
        <v>46072</v>
      </c>
      <c r="C3460" s="69" t="n">
        <v>2026</v>
      </c>
      <c r="D3460" t="inlineStr">
        <is>
          <t>Feb</t>
        </is>
      </c>
      <c r="E3460" t="inlineStr">
        <is>
          <t>United States</t>
        </is>
      </c>
      <c r="F3460" t="inlineStr">
        <is>
          <t>USA</t>
        </is>
      </c>
      <c r="G3460" t="inlineStr">
        <is>
          <t>Eliquis</t>
        </is>
      </c>
      <c r="H3460" t="inlineStr">
        <is>
          <t>Retail pharmacy</t>
        </is>
      </c>
      <c r="I3460" t="inlineStr">
        <is>
          <t>Public payer</t>
        </is>
      </c>
      <c r="J3460" t="inlineStr">
        <is>
          <t>Yuki Sato</t>
        </is>
      </c>
      <c r="K3460" s="70" t="n">
        <v>726</v>
      </c>
      <c r="L3460" s="71" t="n">
        <v>759.22</v>
      </c>
      <c r="M3460" s="71" t="n">
        <v>551193.72</v>
      </c>
      <c r="N3460" s="71" t="n">
        <v>82679.06</v>
      </c>
      <c r="O3460" s="71" t="n">
        <v>468514.66</v>
      </c>
      <c r="P3460" s="71" t="n">
        <v>54449.63</v>
      </c>
      <c r="Q3460" s="71" t="n">
        <v>414065.03</v>
      </c>
      <c r="R3460" t="inlineStr">
        <is>
          <t>Cardiology</t>
        </is>
      </c>
      <c r="S3460" s="70" t="n">
        <v>661</v>
      </c>
      <c r="T3460" s="71" t="n">
        <v>91930.39</v>
      </c>
      <c r="U3460" t="inlineStr">
        <is>
          <t>High</t>
        </is>
      </c>
      <c r="V3460">
        <f>IF(AND(OR(Dashboard!$C$6="All",E3460=Dashboard!$C$6),OR(Dashboard!$F$6="All",G3460=Dashboard!$F$6),OR(Dashboard!$I$6="All",H3460=Dashboard!$I$6)),1,0)</f>
        <v/>
      </c>
    </row>
    <row r="3461">
      <c r="A3461" t="inlineStr">
        <is>
          <t>PF103452</t>
        </is>
      </c>
      <c r="B3461" s="68" t="n">
        <v>46072</v>
      </c>
      <c r="C3461" s="69" t="n">
        <v>2026</v>
      </c>
      <c r="D3461" t="inlineStr">
        <is>
          <t>Feb</t>
        </is>
      </c>
      <c r="E3461" t="inlineStr">
        <is>
          <t>United States</t>
        </is>
      </c>
      <c r="F3461" t="inlineStr">
        <is>
          <t>USA</t>
        </is>
      </c>
      <c r="G3461" t="inlineStr">
        <is>
          <t>Prevnar 20</t>
        </is>
      </c>
      <c r="H3461" t="inlineStr">
        <is>
          <t>Hospital</t>
        </is>
      </c>
      <c r="I3461" t="inlineStr">
        <is>
          <t>Public payer</t>
        </is>
      </c>
      <c r="J3461" t="inlineStr">
        <is>
          <t>Yuki Sato</t>
        </is>
      </c>
      <c r="K3461" s="70" t="n">
        <v>383</v>
      </c>
      <c r="L3461" s="71" t="n">
        <v>341.89</v>
      </c>
      <c r="M3461" s="71" t="n">
        <v>130943.87</v>
      </c>
      <c r="N3461" s="71" t="n">
        <v>39283.16</v>
      </c>
      <c r="O3461" s="71" t="n">
        <v>91660.71000000001</v>
      </c>
      <c r="P3461" s="71" t="n">
        <v>26504.26</v>
      </c>
      <c r="Q3461" s="71" t="n">
        <v>65156.45</v>
      </c>
      <c r="R3461" t="inlineStr">
        <is>
          <t>Vaccines</t>
        </is>
      </c>
      <c r="S3461" s="70" t="n">
        <v>294</v>
      </c>
      <c r="T3461" s="71" t="n">
        <v>25663.37</v>
      </c>
      <c r="U3461" t="inlineStr">
        <is>
          <t>Low</t>
        </is>
      </c>
      <c r="V3461">
        <f>IF(AND(OR(Dashboard!$C$6="All",E3461=Dashboard!$C$6),OR(Dashboard!$F$6="All",G3461=Dashboard!$F$6),OR(Dashboard!$I$6="All",H3461=Dashboard!$I$6)),1,0)</f>
        <v/>
      </c>
    </row>
    <row r="3462">
      <c r="A3462" t="inlineStr">
        <is>
          <t>PF103453</t>
        </is>
      </c>
      <c r="B3462" s="68" t="n">
        <v>46072</v>
      </c>
      <c r="C3462" s="69" t="n">
        <v>2026</v>
      </c>
      <c r="D3462" t="inlineStr">
        <is>
          <t>Feb</t>
        </is>
      </c>
      <c r="E3462" t="inlineStr">
        <is>
          <t>United States</t>
        </is>
      </c>
      <c r="F3462" t="inlineStr">
        <is>
          <t>USA</t>
        </is>
      </c>
      <c r="G3462" t="inlineStr">
        <is>
          <t>Ibrance</t>
        </is>
      </c>
      <c r="H3462" t="inlineStr">
        <is>
          <t>Hospital</t>
        </is>
      </c>
      <c r="I3462" t="inlineStr">
        <is>
          <t>Public payer</t>
        </is>
      </c>
      <c r="J3462" t="inlineStr">
        <is>
          <t>Sara Rossi</t>
        </is>
      </c>
      <c r="K3462" s="70" t="n">
        <v>1847</v>
      </c>
      <c r="L3462" s="71" t="n">
        <v>4138.31</v>
      </c>
      <c r="M3462" s="71" t="n">
        <v>7643458.57</v>
      </c>
      <c r="N3462" s="71" t="n">
        <v>2293037.57</v>
      </c>
      <c r="O3462" s="71" t="n">
        <v>5350421</v>
      </c>
      <c r="P3462" s="71" t="n">
        <v>832431.24</v>
      </c>
      <c r="Q3462" s="71" t="n">
        <v>4517989.76</v>
      </c>
      <c r="R3462" t="inlineStr">
        <is>
          <t>Oncology</t>
        </is>
      </c>
      <c r="S3462" s="70" t="n">
        <v>1243</v>
      </c>
      <c r="T3462" s="71" t="n">
        <v>1136740.73</v>
      </c>
      <c r="U3462" t="inlineStr">
        <is>
          <t>High</t>
        </is>
      </c>
      <c r="V3462">
        <f>IF(AND(OR(Dashboard!$C$6="All",E3462=Dashboard!$C$6),OR(Dashboard!$F$6="All",G3462=Dashboard!$F$6),OR(Dashboard!$I$6="All",H3462=Dashboard!$I$6)),1,0)</f>
        <v/>
      </c>
    </row>
    <row r="3463">
      <c r="A3463" t="inlineStr">
        <is>
          <t>PF103454</t>
        </is>
      </c>
      <c r="B3463" s="68" t="n">
        <v>46072</v>
      </c>
      <c r="C3463" s="69" t="n">
        <v>2026</v>
      </c>
      <c r="D3463" t="inlineStr">
        <is>
          <t>Feb</t>
        </is>
      </c>
      <c r="E3463" t="inlineStr">
        <is>
          <t>International developed</t>
        </is>
      </c>
      <c r="F3463" t="inlineStr">
        <is>
          <t>Japan</t>
        </is>
      </c>
      <c r="G3463" t="inlineStr">
        <is>
          <t>Ibrance</t>
        </is>
      </c>
      <c r="H3463" t="inlineStr">
        <is>
          <t>Retail pharmacy</t>
        </is>
      </c>
      <c r="I3463" t="inlineStr">
        <is>
          <t>Private insurer</t>
        </is>
      </c>
      <c r="J3463" t="inlineStr">
        <is>
          <t>Zoya Ahmed</t>
        </is>
      </c>
      <c r="K3463" s="70" t="n">
        <v>936</v>
      </c>
      <c r="L3463" s="71" t="n">
        <v>2962.64</v>
      </c>
      <c r="M3463" s="71" t="n">
        <v>2773031.04</v>
      </c>
      <c r="N3463" s="71" t="n">
        <v>693257.76</v>
      </c>
      <c r="O3463" s="71" t="n">
        <v>2079773.28</v>
      </c>
      <c r="P3463" s="71" t="n">
        <v>397894.96</v>
      </c>
      <c r="Q3463" s="71" t="n">
        <v>1681878.32</v>
      </c>
      <c r="R3463" t="inlineStr">
        <is>
          <t>Oncology</t>
        </is>
      </c>
      <c r="S3463" s="70" t="n">
        <v>663</v>
      </c>
      <c r="T3463" s="71" t="n">
        <v>554358.99</v>
      </c>
      <c r="U3463" t="inlineStr">
        <is>
          <t>High</t>
        </is>
      </c>
      <c r="V3463">
        <f>IF(AND(OR(Dashboard!$C$6="All",E3463=Dashboard!$C$6),OR(Dashboard!$F$6="All",G3463=Dashboard!$F$6),OR(Dashboard!$I$6="All",H3463=Dashboard!$I$6)),1,0)</f>
        <v/>
      </c>
    </row>
    <row r="3464">
      <c r="A3464" t="inlineStr">
        <is>
          <t>PF103455</t>
        </is>
      </c>
      <c r="B3464" s="68" t="n">
        <v>46073</v>
      </c>
      <c r="C3464" s="69" t="n">
        <v>2026</v>
      </c>
      <c r="D3464" t="inlineStr">
        <is>
          <t>Feb</t>
        </is>
      </c>
      <c r="E3464" t="inlineStr">
        <is>
          <t>Emerging markets</t>
        </is>
      </c>
      <c r="F3464" t="inlineStr">
        <is>
          <t>China</t>
        </is>
      </c>
      <c r="G3464" t="inlineStr">
        <is>
          <t>Ibrance</t>
        </is>
      </c>
      <c r="H3464" t="inlineStr">
        <is>
          <t>Government / tender</t>
        </is>
      </c>
      <c r="I3464" t="inlineStr">
        <is>
          <t>Self-pay</t>
        </is>
      </c>
      <c r="J3464" t="inlineStr">
        <is>
          <t>Mei Lin</t>
        </is>
      </c>
      <c r="K3464" s="70" t="n">
        <v>913</v>
      </c>
      <c r="L3464" s="71" t="n">
        <v>2880.77</v>
      </c>
      <c r="M3464" s="71" t="n">
        <v>2630143.01</v>
      </c>
      <c r="N3464" s="71" t="n">
        <v>394521.45</v>
      </c>
      <c r="O3464" s="71" t="n">
        <v>2235621.56</v>
      </c>
      <c r="P3464" s="71" t="n">
        <v>404855.18</v>
      </c>
      <c r="Q3464" s="71" t="n">
        <v>1830766.38</v>
      </c>
      <c r="R3464" t="inlineStr">
        <is>
          <t>Oncology</t>
        </is>
      </c>
      <c r="S3464" s="70" t="n">
        <v>774</v>
      </c>
      <c r="T3464" s="71" t="n">
        <v>579505.47</v>
      </c>
      <c r="U3464" t="inlineStr">
        <is>
          <t>High</t>
        </is>
      </c>
      <c r="V3464">
        <f>IF(AND(OR(Dashboard!$C$6="All",E3464=Dashboard!$C$6),OR(Dashboard!$F$6="All",G3464=Dashboard!$F$6),OR(Dashboard!$I$6="All",H3464=Dashboard!$I$6)),1,0)</f>
        <v/>
      </c>
    </row>
    <row r="3465">
      <c r="A3465" t="inlineStr">
        <is>
          <t>PF103456</t>
        </is>
      </c>
      <c r="B3465" s="68" t="n">
        <v>46073</v>
      </c>
      <c r="C3465" s="69" t="n">
        <v>2026</v>
      </c>
      <c r="D3465" t="inlineStr">
        <is>
          <t>Feb</t>
        </is>
      </c>
      <c r="E3465" t="inlineStr">
        <is>
          <t>Europe</t>
        </is>
      </c>
      <c r="F3465" t="inlineStr">
        <is>
          <t>France</t>
        </is>
      </c>
      <c r="G3465" t="inlineStr">
        <is>
          <t>Eliquis</t>
        </is>
      </c>
      <c r="H3465" t="inlineStr">
        <is>
          <t>Hospital</t>
        </is>
      </c>
      <c r="I3465" t="inlineStr">
        <is>
          <t>Public payer</t>
        </is>
      </c>
      <c r="J3465" t="inlineStr">
        <is>
          <t>Aisha Bello</t>
        </is>
      </c>
      <c r="K3465" s="70" t="n">
        <v>868</v>
      </c>
      <c r="L3465" s="71" t="n">
        <v>413.59</v>
      </c>
      <c r="M3465" s="71" t="n">
        <v>358996.12</v>
      </c>
      <c r="N3465" s="71" t="n">
        <v>17949.81</v>
      </c>
      <c r="O3465" s="71" t="n">
        <v>341046.31</v>
      </c>
      <c r="P3465" s="71" t="n">
        <v>64897.28</v>
      </c>
      <c r="Q3465" s="71" t="n">
        <v>276149.03</v>
      </c>
      <c r="R3465" t="inlineStr">
        <is>
          <t>Cardiology</t>
        </is>
      </c>
      <c r="S3465" s="70" t="n">
        <v>586</v>
      </c>
      <c r="T3465" s="71" t="n">
        <v>54528.4</v>
      </c>
      <c r="U3465" t="inlineStr">
        <is>
          <t>High</t>
        </is>
      </c>
      <c r="V3465">
        <f>IF(AND(OR(Dashboard!$C$6="All",E3465=Dashboard!$C$6),OR(Dashboard!$F$6="All",G3465=Dashboard!$F$6),OR(Dashboard!$I$6="All",H3465=Dashboard!$I$6)),1,0)</f>
        <v/>
      </c>
    </row>
    <row r="3466">
      <c r="A3466" t="inlineStr">
        <is>
          <t>PF103457</t>
        </is>
      </c>
      <c r="B3466" s="68" t="n">
        <v>46073</v>
      </c>
      <c r="C3466" s="69" t="n">
        <v>2026</v>
      </c>
      <c r="D3466" t="inlineStr">
        <is>
          <t>Feb</t>
        </is>
      </c>
      <c r="E3466" t="inlineStr">
        <is>
          <t>Europe</t>
        </is>
      </c>
      <c r="F3466" t="inlineStr">
        <is>
          <t>Germany</t>
        </is>
      </c>
      <c r="G3466" t="inlineStr">
        <is>
          <t>Abrysvo</t>
        </is>
      </c>
      <c r="H3466" t="inlineStr">
        <is>
          <t>Hospital</t>
        </is>
      </c>
      <c r="I3466" t="inlineStr">
        <is>
          <t>Self-pay</t>
        </is>
      </c>
      <c r="J3466" t="inlineStr">
        <is>
          <t>Priya Nair</t>
        </is>
      </c>
      <c r="K3466" s="70" t="n">
        <v>739</v>
      </c>
      <c r="L3466" s="71" t="n">
        <v>291.84</v>
      </c>
      <c r="M3466" s="71" t="n">
        <v>215669.76</v>
      </c>
      <c r="N3466" s="71" t="n">
        <v>21566.98</v>
      </c>
      <c r="O3466" s="71" t="n">
        <v>194102.78</v>
      </c>
      <c r="P3466" s="71" t="n">
        <v>61821.41</v>
      </c>
      <c r="Q3466" s="71" t="n">
        <v>132281.37</v>
      </c>
      <c r="R3466" t="inlineStr">
        <is>
          <t>Vaccines</t>
        </is>
      </c>
      <c r="S3466" s="70" t="n">
        <v>581</v>
      </c>
      <c r="T3466" s="71" t="n">
        <v>32334.06</v>
      </c>
      <c r="U3466" t="inlineStr">
        <is>
          <t>Low</t>
        </is>
      </c>
      <c r="V3466">
        <f>IF(AND(OR(Dashboard!$C$6="All",E3466=Dashboard!$C$6),OR(Dashboard!$F$6="All",G3466=Dashboard!$F$6),OR(Dashboard!$I$6="All",H3466=Dashboard!$I$6)),1,0)</f>
        <v/>
      </c>
    </row>
    <row r="3467">
      <c r="A3467" t="inlineStr">
        <is>
          <t>PF103458</t>
        </is>
      </c>
      <c r="B3467" s="68" t="n">
        <v>46073</v>
      </c>
      <c r="C3467" s="69" t="n">
        <v>2026</v>
      </c>
      <c r="D3467" t="inlineStr">
        <is>
          <t>Feb</t>
        </is>
      </c>
      <c r="E3467" t="inlineStr">
        <is>
          <t>United States</t>
        </is>
      </c>
      <c r="F3467" t="inlineStr">
        <is>
          <t>USA</t>
        </is>
      </c>
      <c r="G3467" t="inlineStr">
        <is>
          <t>Vyndaqel</t>
        </is>
      </c>
      <c r="H3467" t="inlineStr">
        <is>
          <t>Hospital</t>
        </is>
      </c>
      <c r="I3467" t="inlineStr">
        <is>
          <t>Public payer</t>
        </is>
      </c>
      <c r="J3467" t="inlineStr">
        <is>
          <t>Omar Haddad</t>
        </is>
      </c>
      <c r="K3467" s="70" t="n">
        <v>2809</v>
      </c>
      <c r="L3467" s="71" t="n">
        <v>8843.059999999999</v>
      </c>
      <c r="M3467" s="71" t="n">
        <v>24840155.54</v>
      </c>
      <c r="N3467" s="71" t="n">
        <v>8694054.439999999</v>
      </c>
      <c r="O3467" s="71" t="n">
        <v>16146101.1</v>
      </c>
      <c r="P3467" s="71" t="n">
        <v>1700188.68</v>
      </c>
      <c r="Q3467" s="71" t="n">
        <v>14445912.42</v>
      </c>
      <c r="R3467" t="inlineStr">
        <is>
          <t>Rare disease</t>
        </is>
      </c>
      <c r="S3467" s="70" t="n">
        <v>1812</v>
      </c>
      <c r="T3467" s="71" t="n">
        <v>3726047.83</v>
      </c>
      <c r="U3467" t="inlineStr">
        <is>
          <t>Medium</t>
        </is>
      </c>
      <c r="V3467">
        <f>IF(AND(OR(Dashboard!$C$6="All",E3467=Dashboard!$C$6),OR(Dashboard!$F$6="All",G3467=Dashboard!$F$6),OR(Dashboard!$I$6="All",H3467=Dashboard!$I$6)),1,0)</f>
        <v/>
      </c>
    </row>
    <row r="3468">
      <c r="A3468" t="inlineStr">
        <is>
          <t>PF103459</t>
        </is>
      </c>
      <c r="B3468" s="68" t="n">
        <v>46073</v>
      </c>
      <c r="C3468" s="69" t="n">
        <v>2026</v>
      </c>
      <c r="D3468" t="inlineStr">
        <is>
          <t>Feb</t>
        </is>
      </c>
      <c r="E3468" t="inlineStr">
        <is>
          <t>United States</t>
        </is>
      </c>
      <c r="F3468" t="inlineStr">
        <is>
          <t>USA</t>
        </is>
      </c>
      <c r="G3468" t="inlineStr">
        <is>
          <t>Eliquis</t>
        </is>
      </c>
      <c r="H3468" t="inlineStr">
        <is>
          <t>Hospital</t>
        </is>
      </c>
      <c r="I3468" t="inlineStr">
        <is>
          <t>Private insurer</t>
        </is>
      </c>
      <c r="J3468" t="inlineStr">
        <is>
          <t>Aisha Bello</t>
        </is>
      </c>
      <c r="K3468" s="70" t="n">
        <v>1638</v>
      </c>
      <c r="L3468" s="71" t="n">
        <v>672.8099999999999</v>
      </c>
      <c r="M3468" s="71" t="n">
        <v>1102062.78</v>
      </c>
      <c r="N3468" s="71" t="n">
        <v>220412.56</v>
      </c>
      <c r="O3468" s="71" t="n">
        <v>881650.22</v>
      </c>
      <c r="P3468" s="71" t="n">
        <v>119470.64</v>
      </c>
      <c r="Q3468" s="71" t="n">
        <v>762179.58</v>
      </c>
      <c r="R3468" t="inlineStr">
        <is>
          <t>Cardiology</t>
        </is>
      </c>
      <c r="S3468" s="70" t="n">
        <v>1027</v>
      </c>
      <c r="T3468" s="71" t="n">
        <v>218517.08</v>
      </c>
      <c r="U3468" t="inlineStr">
        <is>
          <t>High</t>
        </is>
      </c>
      <c r="V3468">
        <f>IF(AND(OR(Dashboard!$C$6="All",E3468=Dashboard!$C$6),OR(Dashboard!$F$6="All",G3468=Dashboard!$F$6),OR(Dashboard!$I$6="All",H3468=Dashboard!$I$6)),1,0)</f>
        <v/>
      </c>
    </row>
    <row r="3469">
      <c r="A3469" t="inlineStr">
        <is>
          <t>PF103460</t>
        </is>
      </c>
      <c r="B3469" s="68" t="n">
        <v>46073</v>
      </c>
      <c r="C3469" s="69" t="n">
        <v>2026</v>
      </c>
      <c r="D3469" t="inlineStr">
        <is>
          <t>Feb</t>
        </is>
      </c>
      <c r="E3469" t="inlineStr">
        <is>
          <t>United States</t>
        </is>
      </c>
      <c r="F3469" t="inlineStr">
        <is>
          <t>USA</t>
        </is>
      </c>
      <c r="G3469" t="inlineStr">
        <is>
          <t>Paxlovid</t>
        </is>
      </c>
      <c r="H3469" t="inlineStr">
        <is>
          <t>Retail pharmacy</t>
        </is>
      </c>
      <c r="I3469" t="inlineStr">
        <is>
          <t>Private insurer</t>
        </is>
      </c>
      <c r="J3469" t="inlineStr">
        <is>
          <t>Sophie Müller</t>
        </is>
      </c>
      <c r="K3469" s="70" t="n">
        <v>2008</v>
      </c>
      <c r="L3469" s="71" t="n">
        <v>1467.72</v>
      </c>
      <c r="M3469" s="71" t="n">
        <v>2947181.76</v>
      </c>
      <c r="N3469" s="71" t="n">
        <v>1031513.62</v>
      </c>
      <c r="O3469" s="71" t="n">
        <v>1915668.14</v>
      </c>
      <c r="P3469" s="71" t="n">
        <v>573248.48</v>
      </c>
      <c r="Q3469" s="71" t="n">
        <v>1342419.66</v>
      </c>
      <c r="R3469" t="inlineStr">
        <is>
          <t>Antiviral</t>
        </is>
      </c>
      <c r="S3469" s="70" t="n">
        <v>1698</v>
      </c>
      <c r="T3469" s="71" t="n">
        <v>714451.34</v>
      </c>
      <c r="U3469" t="inlineStr">
        <is>
          <t>Low</t>
        </is>
      </c>
      <c r="V3469">
        <f>IF(AND(OR(Dashboard!$C$6="All",E3469=Dashboard!$C$6),OR(Dashboard!$F$6="All",G3469=Dashboard!$F$6),OR(Dashboard!$I$6="All",H3469=Dashboard!$I$6)),1,0)</f>
        <v/>
      </c>
    </row>
    <row r="3470">
      <c r="A3470" t="inlineStr">
        <is>
          <t>PF103461</t>
        </is>
      </c>
      <c r="B3470" s="68" t="n">
        <v>46073</v>
      </c>
      <c r="C3470" s="69" t="n">
        <v>2026</v>
      </c>
      <c r="D3470" t="inlineStr">
        <is>
          <t>Feb</t>
        </is>
      </c>
      <c r="E3470" t="inlineStr">
        <is>
          <t>Emerging markets</t>
        </is>
      </c>
      <c r="F3470" t="inlineStr">
        <is>
          <t>China</t>
        </is>
      </c>
      <c r="G3470" t="inlineStr">
        <is>
          <t>Eliquis</t>
        </is>
      </c>
      <c r="H3470" t="inlineStr">
        <is>
          <t>Retail pharmacy</t>
        </is>
      </c>
      <c r="I3470" t="inlineStr">
        <is>
          <t>Public payer</t>
        </is>
      </c>
      <c r="J3470" t="inlineStr">
        <is>
          <t>Aisha Bello</t>
        </is>
      </c>
      <c r="K3470" s="70" t="n">
        <v>409</v>
      </c>
      <c r="L3470" s="71" t="n">
        <v>451.68</v>
      </c>
      <c r="M3470" s="71" t="n">
        <v>184737.12</v>
      </c>
      <c r="N3470" s="71" t="n">
        <v>36947.42</v>
      </c>
      <c r="O3470" s="71" t="n">
        <v>147789.7</v>
      </c>
      <c r="P3470" s="71" t="n">
        <v>31655.2</v>
      </c>
      <c r="Q3470" s="71" t="n">
        <v>116134.5</v>
      </c>
      <c r="R3470" t="inlineStr">
        <is>
          <t>Cardiology</t>
        </is>
      </c>
      <c r="S3470" s="70" t="n">
        <v>273</v>
      </c>
      <c r="T3470" s="71" t="n">
        <v>35344.55</v>
      </c>
      <c r="U3470" t="inlineStr">
        <is>
          <t>High</t>
        </is>
      </c>
      <c r="V3470">
        <f>IF(AND(OR(Dashboard!$C$6="All",E3470=Dashboard!$C$6),OR(Dashboard!$F$6="All",G3470=Dashboard!$F$6),OR(Dashboard!$I$6="All",H3470=Dashboard!$I$6)),1,0)</f>
        <v/>
      </c>
    </row>
    <row r="3471">
      <c r="A3471" t="inlineStr">
        <is>
          <t>PF103462</t>
        </is>
      </c>
      <c r="B3471" s="68" t="n">
        <v>46073</v>
      </c>
      <c r="C3471" s="69" t="n">
        <v>2026</v>
      </c>
      <c r="D3471" t="inlineStr">
        <is>
          <t>Feb</t>
        </is>
      </c>
      <c r="E3471" t="inlineStr">
        <is>
          <t>Europe</t>
        </is>
      </c>
      <c r="F3471" t="inlineStr">
        <is>
          <t>UK</t>
        </is>
      </c>
      <c r="G3471" t="inlineStr">
        <is>
          <t>Xeljanz</t>
        </is>
      </c>
      <c r="H3471" t="inlineStr">
        <is>
          <t>Retail pharmacy</t>
        </is>
      </c>
      <c r="I3471" t="inlineStr">
        <is>
          <t>Private insurer</t>
        </is>
      </c>
      <c r="J3471" t="inlineStr">
        <is>
          <t>Hiroshi Tanaka</t>
        </is>
      </c>
      <c r="K3471" s="70" t="n">
        <v>1960</v>
      </c>
      <c r="L3471" s="71" t="n">
        <v>1220.97</v>
      </c>
      <c r="M3471" s="71" t="n">
        <v>2393101.2</v>
      </c>
      <c r="N3471" s="71" t="n">
        <v>598275.3</v>
      </c>
      <c r="O3471" s="71" t="n">
        <v>1794825.9</v>
      </c>
      <c r="P3471" s="71" t="n">
        <v>494425.7</v>
      </c>
      <c r="Q3471" s="71" t="n">
        <v>1300400.2</v>
      </c>
      <c r="R3471" t="inlineStr">
        <is>
          <t>Inflammation</t>
        </is>
      </c>
      <c r="S3471" s="70" t="n">
        <v>1531</v>
      </c>
      <c r="T3471" s="71" t="n">
        <v>413757.85</v>
      </c>
      <c r="U3471" t="inlineStr">
        <is>
          <t>High</t>
        </is>
      </c>
      <c r="V3471">
        <f>IF(AND(OR(Dashboard!$C$6="All",E3471=Dashboard!$C$6),OR(Dashboard!$F$6="All",G3471=Dashboard!$F$6),OR(Dashboard!$I$6="All",H3471=Dashboard!$I$6)),1,0)</f>
        <v/>
      </c>
    </row>
    <row r="3472">
      <c r="A3472" t="inlineStr">
        <is>
          <t>PF103463</t>
        </is>
      </c>
      <c r="B3472" s="68" t="n">
        <v>46073</v>
      </c>
      <c r="C3472" s="69" t="n">
        <v>2026</v>
      </c>
      <c r="D3472" t="inlineStr">
        <is>
          <t>Feb</t>
        </is>
      </c>
      <c r="E3472" t="inlineStr">
        <is>
          <t>United States</t>
        </is>
      </c>
      <c r="F3472" t="inlineStr">
        <is>
          <t>USA</t>
        </is>
      </c>
      <c r="G3472" t="inlineStr">
        <is>
          <t>Paxlovid</t>
        </is>
      </c>
      <c r="H3472" t="inlineStr">
        <is>
          <t>Hospital</t>
        </is>
      </c>
      <c r="I3472" t="inlineStr">
        <is>
          <t>Public payer</t>
        </is>
      </c>
      <c r="J3472" t="inlineStr">
        <is>
          <t>Priya Nair</t>
        </is>
      </c>
      <c r="K3472" s="70" t="n">
        <v>1797</v>
      </c>
      <c r="L3472" s="71" t="n">
        <v>1410.9</v>
      </c>
      <c r="M3472" s="71" t="n">
        <v>2535387.3</v>
      </c>
      <c r="N3472" s="71" t="n">
        <v>633846.8199999999</v>
      </c>
      <c r="O3472" s="71" t="n">
        <v>1901540.48</v>
      </c>
      <c r="P3472" s="71" t="n">
        <v>475330.12</v>
      </c>
      <c r="Q3472" s="71" t="n">
        <v>1426210.36</v>
      </c>
      <c r="R3472" t="inlineStr">
        <is>
          <t>Antiviral</t>
        </is>
      </c>
      <c r="S3472" s="70" t="n">
        <v>1404</v>
      </c>
      <c r="T3472" s="71" t="n">
        <v>411736.91</v>
      </c>
      <c r="U3472" t="inlineStr">
        <is>
          <t>Low</t>
        </is>
      </c>
      <c r="V3472">
        <f>IF(AND(OR(Dashboard!$C$6="All",E3472=Dashboard!$C$6),OR(Dashboard!$F$6="All",G3472=Dashboard!$F$6),OR(Dashboard!$I$6="All",H3472=Dashboard!$I$6)),1,0)</f>
        <v/>
      </c>
    </row>
    <row r="3473">
      <c r="A3473" t="inlineStr">
        <is>
          <t>PF103464</t>
        </is>
      </c>
      <c r="B3473" s="68" t="n">
        <v>46073</v>
      </c>
      <c r="C3473" s="69" t="n">
        <v>2026</v>
      </c>
      <c r="D3473" t="inlineStr">
        <is>
          <t>Feb</t>
        </is>
      </c>
      <c r="E3473" t="inlineStr">
        <is>
          <t>Emerging markets</t>
        </is>
      </c>
      <c r="F3473" t="inlineStr">
        <is>
          <t>China</t>
        </is>
      </c>
      <c r="G3473" t="inlineStr">
        <is>
          <t>Prevnar 20</t>
        </is>
      </c>
      <c r="H3473" t="inlineStr">
        <is>
          <t>Retail pharmacy</t>
        </is>
      </c>
      <c r="I3473" t="inlineStr">
        <is>
          <t>Public payer</t>
        </is>
      </c>
      <c r="J3473" t="inlineStr">
        <is>
          <t>Ruhi Shaikh</t>
        </is>
      </c>
      <c r="K3473" s="70" t="n">
        <v>2729</v>
      </c>
      <c r="L3473" s="71" t="n">
        <v>223.65</v>
      </c>
      <c r="M3473" s="71" t="n">
        <v>610340.85</v>
      </c>
      <c r="N3473" s="71" t="n">
        <v>91551.13</v>
      </c>
      <c r="O3473" s="71" t="n">
        <v>518789.72</v>
      </c>
      <c r="P3473" s="71" t="n">
        <v>185485.51</v>
      </c>
      <c r="Q3473" s="71" t="n">
        <v>333304.21</v>
      </c>
      <c r="R3473" t="inlineStr">
        <is>
          <t>Vaccines</t>
        </is>
      </c>
      <c r="S3473" s="70" t="n">
        <v>2067</v>
      </c>
      <c r="T3473" s="71" t="n">
        <v>129186.13</v>
      </c>
      <c r="U3473" t="inlineStr">
        <is>
          <t>Low</t>
        </is>
      </c>
      <c r="V3473">
        <f>IF(AND(OR(Dashboard!$C$6="All",E3473=Dashboard!$C$6),OR(Dashboard!$F$6="All",G3473=Dashboard!$F$6),OR(Dashboard!$I$6="All",H3473=Dashboard!$I$6)),1,0)</f>
        <v/>
      </c>
    </row>
    <row r="3474">
      <c r="A3474" t="inlineStr">
        <is>
          <t>PF103465</t>
        </is>
      </c>
      <c r="B3474" s="68" t="n">
        <v>46074</v>
      </c>
      <c r="C3474" s="69" t="n">
        <v>2026</v>
      </c>
      <c r="D3474" t="inlineStr">
        <is>
          <t>Feb</t>
        </is>
      </c>
      <c r="E3474" t="inlineStr">
        <is>
          <t>Europe</t>
        </is>
      </c>
      <c r="F3474" t="inlineStr">
        <is>
          <t>Spain</t>
        </is>
      </c>
      <c r="G3474" t="inlineStr">
        <is>
          <t>Eliquis</t>
        </is>
      </c>
      <c r="H3474" t="inlineStr">
        <is>
          <t>Hospital</t>
        </is>
      </c>
      <c r="I3474" t="inlineStr">
        <is>
          <t>Private insurer</t>
        </is>
      </c>
      <c r="J3474" t="inlineStr">
        <is>
          <t>Ruhi Shaikh</t>
        </is>
      </c>
      <c r="K3474" s="70" t="n">
        <v>467</v>
      </c>
      <c r="L3474" s="71" t="n">
        <v>464.3</v>
      </c>
      <c r="M3474" s="71" t="n">
        <v>216828.1</v>
      </c>
      <c r="N3474" s="71" t="n">
        <v>32524.22</v>
      </c>
      <c r="O3474" s="71" t="n">
        <v>184303.88</v>
      </c>
      <c r="P3474" s="71" t="n">
        <v>34090.79</v>
      </c>
      <c r="Q3474" s="71" t="n">
        <v>150213.09</v>
      </c>
      <c r="R3474" t="inlineStr">
        <is>
          <t>Cardiology</t>
        </is>
      </c>
      <c r="S3474" s="70" t="n">
        <v>407</v>
      </c>
      <c r="T3474" s="71" t="n">
        <v>30473.58</v>
      </c>
      <c r="U3474" t="inlineStr">
        <is>
          <t>High</t>
        </is>
      </c>
      <c r="V3474">
        <f>IF(AND(OR(Dashboard!$C$6="All",E3474=Dashboard!$C$6),OR(Dashboard!$F$6="All",G3474=Dashboard!$F$6),OR(Dashboard!$I$6="All",H3474=Dashboard!$I$6)),1,0)</f>
        <v/>
      </c>
    </row>
    <row r="3475">
      <c r="A3475" t="inlineStr">
        <is>
          <t>PF103466</t>
        </is>
      </c>
      <c r="B3475" s="68" t="n">
        <v>46074</v>
      </c>
      <c r="C3475" s="69" t="n">
        <v>2026</v>
      </c>
      <c r="D3475" t="inlineStr">
        <is>
          <t>Feb</t>
        </is>
      </c>
      <c r="E3475" t="inlineStr">
        <is>
          <t>International developed</t>
        </is>
      </c>
      <c r="F3475" t="inlineStr">
        <is>
          <t>Australia</t>
        </is>
      </c>
      <c r="G3475" t="inlineStr">
        <is>
          <t>Vyndaqel</t>
        </is>
      </c>
      <c r="H3475" t="inlineStr">
        <is>
          <t>Hospital</t>
        </is>
      </c>
      <c r="I3475" t="inlineStr">
        <is>
          <t>Public payer</t>
        </is>
      </c>
      <c r="J3475" t="inlineStr">
        <is>
          <t>Olivia Brown</t>
        </is>
      </c>
      <c r="K3475" s="70" t="n">
        <v>2754</v>
      </c>
      <c r="L3475" s="71" t="n">
        <v>6063.93</v>
      </c>
      <c r="M3475" s="71" t="n">
        <v>16700063.22</v>
      </c>
      <c r="N3475" s="71" t="n">
        <v>2505009.48</v>
      </c>
      <c r="O3475" s="71" t="n">
        <v>14195053.74</v>
      </c>
      <c r="P3475" s="71" t="n">
        <v>1681266.84</v>
      </c>
      <c r="Q3475" s="71" t="n">
        <v>12513786.9</v>
      </c>
      <c r="R3475" t="inlineStr">
        <is>
          <t>Rare disease</t>
        </is>
      </c>
      <c r="S3475" s="70" t="n">
        <v>2329</v>
      </c>
      <c r="T3475" s="71" t="n">
        <v>2487440.76</v>
      </c>
      <c r="U3475" t="inlineStr">
        <is>
          <t>Medium</t>
        </is>
      </c>
      <c r="V3475">
        <f>IF(AND(OR(Dashboard!$C$6="All",E3475=Dashboard!$C$6),OR(Dashboard!$F$6="All",G3475=Dashboard!$F$6),OR(Dashboard!$I$6="All",H3475=Dashboard!$I$6)),1,0)</f>
        <v/>
      </c>
    </row>
    <row r="3476">
      <c r="A3476" t="inlineStr">
        <is>
          <t>PF103467</t>
        </is>
      </c>
      <c r="B3476" s="68" t="n">
        <v>46074</v>
      </c>
      <c r="C3476" s="69" t="n">
        <v>2026</v>
      </c>
      <c r="D3476" t="inlineStr">
        <is>
          <t>Feb</t>
        </is>
      </c>
      <c r="E3476" t="inlineStr">
        <is>
          <t>Europe</t>
        </is>
      </c>
      <c r="F3476" t="inlineStr">
        <is>
          <t>Italy</t>
        </is>
      </c>
      <c r="G3476" t="inlineStr">
        <is>
          <t>Eliquis</t>
        </is>
      </c>
      <c r="H3476" t="inlineStr">
        <is>
          <t>Government / tender</t>
        </is>
      </c>
      <c r="I3476" t="inlineStr">
        <is>
          <t>Public payer</t>
        </is>
      </c>
      <c r="J3476" t="inlineStr">
        <is>
          <t>Priya Nair</t>
        </is>
      </c>
      <c r="K3476" s="70" t="n">
        <v>1427</v>
      </c>
      <c r="L3476" s="71" t="n">
        <v>419.7</v>
      </c>
      <c r="M3476" s="71" t="n">
        <v>598911.9</v>
      </c>
      <c r="N3476" s="71" t="n">
        <v>29945.6</v>
      </c>
      <c r="O3476" s="71" t="n">
        <v>568966.3</v>
      </c>
      <c r="P3476" s="71" t="n">
        <v>106040.31</v>
      </c>
      <c r="Q3476" s="71" t="n">
        <v>462925.99</v>
      </c>
      <c r="R3476" t="inlineStr">
        <is>
          <t>Cardiology</t>
        </is>
      </c>
      <c r="S3476" s="70" t="n">
        <v>1261</v>
      </c>
      <c r="T3476" s="71" t="n">
        <v>84011.27</v>
      </c>
      <c r="U3476" t="inlineStr">
        <is>
          <t>High</t>
        </is>
      </c>
      <c r="V3476">
        <f>IF(AND(OR(Dashboard!$C$6="All",E3476=Dashboard!$C$6),OR(Dashboard!$F$6="All",G3476=Dashboard!$F$6),OR(Dashboard!$I$6="All",H3476=Dashboard!$I$6)),1,0)</f>
        <v/>
      </c>
    </row>
    <row r="3477">
      <c r="A3477" t="inlineStr">
        <is>
          <t>PF103468</t>
        </is>
      </c>
      <c r="B3477" s="68" t="n">
        <v>46074</v>
      </c>
      <c r="C3477" s="69" t="n">
        <v>2026</v>
      </c>
      <c r="D3477" t="inlineStr">
        <is>
          <t>Feb</t>
        </is>
      </c>
      <c r="E3477" t="inlineStr">
        <is>
          <t>International developed</t>
        </is>
      </c>
      <c r="F3477" t="inlineStr">
        <is>
          <t>Canada</t>
        </is>
      </c>
      <c r="G3477" t="inlineStr">
        <is>
          <t>Abrysvo</t>
        </is>
      </c>
      <c r="H3477" t="inlineStr">
        <is>
          <t>Government / tender</t>
        </is>
      </c>
      <c r="I3477" t="inlineStr">
        <is>
          <t>Private insurer</t>
        </is>
      </c>
      <c r="J3477" t="inlineStr">
        <is>
          <t>Amir Khan</t>
        </is>
      </c>
      <c r="K3477" s="70" t="n">
        <v>1459</v>
      </c>
      <c r="L3477" s="71" t="n">
        <v>322.35</v>
      </c>
      <c r="M3477" s="71" t="n">
        <v>470308.65</v>
      </c>
      <c r="N3477" s="71" t="n">
        <v>117577.16</v>
      </c>
      <c r="O3477" s="71" t="n">
        <v>352731.49</v>
      </c>
      <c r="P3477" s="71" t="n">
        <v>122830.51</v>
      </c>
      <c r="Q3477" s="71" t="n">
        <v>229900.98</v>
      </c>
      <c r="R3477" t="inlineStr">
        <is>
          <t>Vaccines</t>
        </is>
      </c>
      <c r="S3477" s="70" t="n">
        <v>1157</v>
      </c>
      <c r="T3477" s="71" t="n">
        <v>82801.09</v>
      </c>
      <c r="U3477" t="inlineStr">
        <is>
          <t>Low</t>
        </is>
      </c>
      <c r="V3477">
        <f>IF(AND(OR(Dashboard!$C$6="All",E3477=Dashboard!$C$6),OR(Dashboard!$F$6="All",G3477=Dashboard!$F$6),OR(Dashboard!$I$6="All",H3477=Dashboard!$I$6)),1,0)</f>
        <v/>
      </c>
    </row>
    <row r="3478">
      <c r="A3478" t="inlineStr">
        <is>
          <t>PF103469</t>
        </is>
      </c>
      <c r="B3478" s="68" t="n">
        <v>46074</v>
      </c>
      <c r="C3478" s="69" t="n">
        <v>2026</v>
      </c>
      <c r="D3478" t="inlineStr">
        <is>
          <t>Feb</t>
        </is>
      </c>
      <c r="E3478" t="inlineStr">
        <is>
          <t>United States</t>
        </is>
      </c>
      <c r="F3478" t="inlineStr">
        <is>
          <t>USA</t>
        </is>
      </c>
      <c r="G3478" t="inlineStr">
        <is>
          <t>Comirnaty</t>
        </is>
      </c>
      <c r="H3478" t="inlineStr">
        <is>
          <t>Hospital</t>
        </is>
      </c>
      <c r="I3478" t="inlineStr">
        <is>
          <t>Public payer</t>
        </is>
      </c>
      <c r="J3478" t="inlineStr">
        <is>
          <t>Kofi Mensah</t>
        </is>
      </c>
      <c r="K3478" s="70" t="n">
        <v>1850</v>
      </c>
      <c r="L3478" s="71" t="n">
        <v>134.88</v>
      </c>
      <c r="M3478" s="71" t="n">
        <v>249528</v>
      </c>
      <c r="N3478" s="71" t="n">
        <v>87334.8</v>
      </c>
      <c r="O3478" s="71" t="n">
        <v>162193.2</v>
      </c>
      <c r="P3478" s="71" t="n">
        <v>68540.48</v>
      </c>
      <c r="Q3478" s="71" t="n">
        <v>93652.72</v>
      </c>
      <c r="R3478" t="inlineStr">
        <is>
          <t>Vaccines</t>
        </is>
      </c>
      <c r="S3478" s="70" t="n">
        <v>1220</v>
      </c>
      <c r="T3478" s="71" t="n">
        <v>54545.29</v>
      </c>
      <c r="U3478" t="inlineStr">
        <is>
          <t>Low</t>
        </is>
      </c>
      <c r="V3478">
        <f>IF(AND(OR(Dashboard!$C$6="All",E3478=Dashboard!$C$6),OR(Dashboard!$F$6="All",G3478=Dashboard!$F$6),OR(Dashboard!$I$6="All",H3478=Dashboard!$I$6)),1,0)</f>
        <v/>
      </c>
    </row>
    <row r="3479">
      <c r="A3479" t="inlineStr">
        <is>
          <t>PF103470</t>
        </is>
      </c>
      <c r="B3479" s="68" t="n">
        <v>46074</v>
      </c>
      <c r="C3479" s="69" t="n">
        <v>2026</v>
      </c>
      <c r="D3479" t="inlineStr">
        <is>
          <t>Feb</t>
        </is>
      </c>
      <c r="E3479" t="inlineStr">
        <is>
          <t>United States</t>
        </is>
      </c>
      <c r="F3479" t="inlineStr">
        <is>
          <t>USA</t>
        </is>
      </c>
      <c r="G3479" t="inlineStr">
        <is>
          <t>Xeljanz</t>
        </is>
      </c>
      <c r="H3479" t="inlineStr">
        <is>
          <t>Hospital</t>
        </is>
      </c>
      <c r="I3479" t="inlineStr">
        <is>
          <t>Self-pay</t>
        </is>
      </c>
      <c r="J3479" t="inlineStr">
        <is>
          <t>Emma Clarke</t>
        </is>
      </c>
      <c r="K3479" s="70" t="n">
        <v>2457</v>
      </c>
      <c r="L3479" s="71" t="n">
        <v>2065.76</v>
      </c>
      <c r="M3479" s="71" t="n">
        <v>5075572.32</v>
      </c>
      <c r="N3479" s="71" t="n">
        <v>1268893.08</v>
      </c>
      <c r="O3479" s="71" t="n">
        <v>3806679.24</v>
      </c>
      <c r="P3479" s="71" t="n">
        <v>599151.71</v>
      </c>
      <c r="Q3479" s="71" t="n">
        <v>3207527.53</v>
      </c>
      <c r="R3479" t="inlineStr">
        <is>
          <t>Inflammation</t>
        </is>
      </c>
      <c r="S3479" s="70" t="n">
        <v>2015</v>
      </c>
      <c r="T3479" s="71" t="n">
        <v>688353.35</v>
      </c>
      <c r="U3479" t="inlineStr">
        <is>
          <t>High</t>
        </is>
      </c>
      <c r="V3479">
        <f>IF(AND(OR(Dashboard!$C$6="All",E3479=Dashboard!$C$6),OR(Dashboard!$F$6="All",G3479=Dashboard!$F$6),OR(Dashboard!$I$6="All",H3479=Dashboard!$I$6)),1,0)</f>
        <v/>
      </c>
    </row>
    <row r="3480">
      <c r="A3480" t="inlineStr">
        <is>
          <t>PF103471</t>
        </is>
      </c>
      <c r="B3480" s="68" t="n">
        <v>46075</v>
      </c>
      <c r="C3480" s="69" t="n">
        <v>2026</v>
      </c>
      <c r="D3480" t="inlineStr">
        <is>
          <t>Feb</t>
        </is>
      </c>
      <c r="E3480" t="inlineStr">
        <is>
          <t>United States</t>
        </is>
      </c>
      <c r="F3480" t="inlineStr">
        <is>
          <t>USA</t>
        </is>
      </c>
      <c r="G3480" t="inlineStr">
        <is>
          <t>Comirnaty</t>
        </is>
      </c>
      <c r="H3480" t="inlineStr">
        <is>
          <t>Hospital</t>
        </is>
      </c>
      <c r="I3480" t="inlineStr">
        <is>
          <t>Private insurer</t>
        </is>
      </c>
      <c r="J3480" t="inlineStr">
        <is>
          <t>Lucas Martin</t>
        </is>
      </c>
      <c r="K3480" s="70" t="n">
        <v>1063</v>
      </c>
      <c r="L3480" s="71" t="n">
        <v>133.2</v>
      </c>
      <c r="M3480" s="71" t="n">
        <v>141591.6</v>
      </c>
      <c r="N3480" s="71" t="n">
        <v>42477.48</v>
      </c>
      <c r="O3480" s="71" t="n">
        <v>99114.12</v>
      </c>
      <c r="P3480" s="71" t="n">
        <v>42425.17</v>
      </c>
      <c r="Q3480" s="71" t="n">
        <v>56688.95</v>
      </c>
      <c r="R3480" t="inlineStr">
        <is>
          <t>Vaccines</t>
        </is>
      </c>
      <c r="S3480" s="70" t="n">
        <v>993</v>
      </c>
      <c r="T3480" s="71" t="n">
        <v>31535.18</v>
      </c>
      <c r="U3480" t="inlineStr">
        <is>
          <t>Low</t>
        </is>
      </c>
      <c r="V3480">
        <f>IF(AND(OR(Dashboard!$C$6="All",E3480=Dashboard!$C$6),OR(Dashboard!$F$6="All",G3480=Dashboard!$F$6),OR(Dashboard!$I$6="All",H3480=Dashboard!$I$6)),1,0)</f>
        <v/>
      </c>
    </row>
    <row r="3481">
      <c r="A3481" t="inlineStr">
        <is>
          <t>PF103472</t>
        </is>
      </c>
      <c r="B3481" s="68" t="n">
        <v>46075</v>
      </c>
      <c r="C3481" s="69" t="n">
        <v>2026</v>
      </c>
      <c r="D3481" t="inlineStr">
        <is>
          <t>Feb</t>
        </is>
      </c>
      <c r="E3481" t="inlineStr">
        <is>
          <t>United States</t>
        </is>
      </c>
      <c r="F3481" t="inlineStr">
        <is>
          <t>USA</t>
        </is>
      </c>
      <c r="G3481" t="inlineStr">
        <is>
          <t>Xeljanz</t>
        </is>
      </c>
      <c r="H3481" t="inlineStr">
        <is>
          <t>Retail pharmacy</t>
        </is>
      </c>
      <c r="I3481" t="inlineStr">
        <is>
          <t>Private insurer</t>
        </is>
      </c>
      <c r="J3481" t="inlineStr">
        <is>
          <t>Emma Clarke</t>
        </is>
      </c>
      <c r="K3481" s="70" t="n">
        <v>457</v>
      </c>
      <c r="L3481" s="71" t="n">
        <v>2202.69</v>
      </c>
      <c r="M3481" s="71" t="n">
        <v>1006629.33</v>
      </c>
      <c r="N3481" s="71" t="n">
        <v>150994.4</v>
      </c>
      <c r="O3481" s="71" t="n">
        <v>855634.9300000001</v>
      </c>
      <c r="P3481" s="71" t="n">
        <v>115856.44</v>
      </c>
      <c r="Q3481" s="71" t="n">
        <v>739778.49</v>
      </c>
      <c r="R3481" t="inlineStr">
        <is>
          <t>Inflammation</t>
        </is>
      </c>
      <c r="S3481" s="70" t="n">
        <v>438</v>
      </c>
      <c r="T3481" s="71" t="n">
        <v>141891.96</v>
      </c>
      <c r="U3481" t="inlineStr">
        <is>
          <t>High</t>
        </is>
      </c>
      <c r="V3481">
        <f>IF(AND(OR(Dashboard!$C$6="All",E3481=Dashboard!$C$6),OR(Dashboard!$F$6="All",G3481=Dashboard!$F$6),OR(Dashboard!$I$6="All",H3481=Dashboard!$I$6)),1,0)</f>
        <v/>
      </c>
    </row>
    <row r="3482">
      <c r="A3482" t="inlineStr">
        <is>
          <t>PF103473</t>
        </is>
      </c>
      <c r="B3482" s="68" t="n">
        <v>46075</v>
      </c>
      <c r="C3482" s="69" t="n">
        <v>2026</v>
      </c>
      <c r="D3482" t="inlineStr">
        <is>
          <t>Feb</t>
        </is>
      </c>
      <c r="E3482" t="inlineStr">
        <is>
          <t>International developed</t>
        </is>
      </c>
      <c r="F3482" t="inlineStr">
        <is>
          <t>Canada</t>
        </is>
      </c>
      <c r="G3482" t="inlineStr">
        <is>
          <t>Paxlovid</t>
        </is>
      </c>
      <c r="H3482" t="inlineStr">
        <is>
          <t>Government / tender</t>
        </is>
      </c>
      <c r="I3482" t="inlineStr">
        <is>
          <t>Private insurer</t>
        </is>
      </c>
      <c r="J3482" t="inlineStr">
        <is>
          <t>Yuki Sato</t>
        </is>
      </c>
      <c r="K3482" s="70" t="n">
        <v>1967</v>
      </c>
      <c r="L3482" s="71" t="n">
        <v>879.95</v>
      </c>
      <c r="M3482" s="71" t="n">
        <v>1730861.65</v>
      </c>
      <c r="N3482" s="71" t="n">
        <v>86543.08</v>
      </c>
      <c r="O3482" s="71" t="n">
        <v>1644318.57</v>
      </c>
      <c r="P3482" s="71" t="n">
        <v>537447.89</v>
      </c>
      <c r="Q3482" s="71" t="n">
        <v>1106870.68</v>
      </c>
      <c r="R3482" t="inlineStr">
        <is>
          <t>Antiviral</t>
        </is>
      </c>
      <c r="S3482" s="70" t="n">
        <v>1773</v>
      </c>
      <c r="T3482" s="71" t="n">
        <v>288461.02</v>
      </c>
      <c r="U3482" t="inlineStr">
        <is>
          <t>Low</t>
        </is>
      </c>
      <c r="V3482">
        <f>IF(AND(OR(Dashboard!$C$6="All",E3482=Dashboard!$C$6),OR(Dashboard!$F$6="All",G3482=Dashboard!$F$6),OR(Dashboard!$I$6="All",H3482=Dashboard!$I$6)),1,0)</f>
        <v/>
      </c>
    </row>
    <row r="3483">
      <c r="A3483" t="inlineStr">
        <is>
          <t>PF103474</t>
        </is>
      </c>
      <c r="B3483" s="68" t="n">
        <v>46075</v>
      </c>
      <c r="C3483" s="69" t="n">
        <v>2026</v>
      </c>
      <c r="D3483" t="inlineStr">
        <is>
          <t>Feb</t>
        </is>
      </c>
      <c r="E3483" t="inlineStr">
        <is>
          <t>United States</t>
        </is>
      </c>
      <c r="F3483" t="inlineStr">
        <is>
          <t>USA</t>
        </is>
      </c>
      <c r="G3483" t="inlineStr">
        <is>
          <t>Eliquis</t>
        </is>
      </c>
      <c r="H3483" t="inlineStr">
        <is>
          <t>Government / tender</t>
        </is>
      </c>
      <c r="I3483" t="inlineStr">
        <is>
          <t>Public payer</t>
        </is>
      </c>
      <c r="J3483" t="inlineStr">
        <is>
          <t>Emma Clarke</t>
        </is>
      </c>
      <c r="K3483" s="70" t="n">
        <v>1648</v>
      </c>
      <c r="L3483" s="71" t="n">
        <v>712.49</v>
      </c>
      <c r="M3483" s="71" t="n">
        <v>1174183.52</v>
      </c>
      <c r="N3483" s="71" t="n">
        <v>176127.53</v>
      </c>
      <c r="O3483" s="71" t="n">
        <v>998055.99</v>
      </c>
      <c r="P3483" s="71" t="n">
        <v>126704.39</v>
      </c>
      <c r="Q3483" s="71" t="n">
        <v>871351.6</v>
      </c>
      <c r="R3483" t="inlineStr">
        <is>
          <t>Cardiology</t>
        </is>
      </c>
      <c r="S3483" s="70" t="n">
        <v>1509</v>
      </c>
      <c r="T3483" s="71" t="n">
        <v>150888.98</v>
      </c>
      <c r="U3483" t="inlineStr">
        <is>
          <t>High</t>
        </is>
      </c>
      <c r="V3483">
        <f>IF(AND(OR(Dashboard!$C$6="All",E3483=Dashboard!$C$6),OR(Dashboard!$F$6="All",G3483=Dashboard!$F$6),OR(Dashboard!$I$6="All",H3483=Dashboard!$I$6)),1,0)</f>
        <v/>
      </c>
    </row>
    <row r="3484">
      <c r="A3484" t="inlineStr">
        <is>
          <t>PF103475</t>
        </is>
      </c>
      <c r="B3484" s="68" t="n">
        <v>46075</v>
      </c>
      <c r="C3484" s="69" t="n">
        <v>2026</v>
      </c>
      <c r="D3484" t="inlineStr">
        <is>
          <t>Feb</t>
        </is>
      </c>
      <c r="E3484" t="inlineStr">
        <is>
          <t>Emerging markets</t>
        </is>
      </c>
      <c r="F3484" t="inlineStr">
        <is>
          <t>Mexico</t>
        </is>
      </c>
      <c r="G3484" t="inlineStr">
        <is>
          <t>Prevnar 20</t>
        </is>
      </c>
      <c r="H3484" t="inlineStr">
        <is>
          <t>Government / tender</t>
        </is>
      </c>
      <c r="I3484" t="inlineStr">
        <is>
          <t>Self-pay</t>
        </is>
      </c>
      <c r="J3484" t="inlineStr">
        <is>
          <t>Yuki Sato</t>
        </is>
      </c>
      <c r="K3484" s="70" t="n">
        <v>2373</v>
      </c>
      <c r="L3484" s="71" t="n">
        <v>227.56</v>
      </c>
      <c r="M3484" s="71" t="n">
        <v>539999.88</v>
      </c>
      <c r="N3484" s="71" t="n">
        <v>80999.98</v>
      </c>
      <c r="O3484" s="71" t="n">
        <v>458999.9</v>
      </c>
      <c r="P3484" s="71" t="n">
        <v>167376.32</v>
      </c>
      <c r="Q3484" s="71" t="n">
        <v>291623.58</v>
      </c>
      <c r="R3484" t="inlineStr">
        <is>
          <t>Vaccines</t>
        </is>
      </c>
      <c r="S3484" s="70" t="n">
        <v>2229</v>
      </c>
      <c r="T3484" s="71" t="n">
        <v>86564.42999999999</v>
      </c>
      <c r="U3484" t="inlineStr">
        <is>
          <t>Low</t>
        </is>
      </c>
      <c r="V3484">
        <f>IF(AND(OR(Dashboard!$C$6="All",E3484=Dashboard!$C$6),OR(Dashboard!$F$6="All",G3484=Dashboard!$F$6),OR(Dashboard!$I$6="All",H3484=Dashboard!$I$6)),1,0)</f>
        <v/>
      </c>
    </row>
    <row r="3485">
      <c r="A3485" t="inlineStr">
        <is>
          <t>PF103476</t>
        </is>
      </c>
      <c r="B3485" s="68" t="n">
        <v>46075</v>
      </c>
      <c r="C3485" s="69" t="n">
        <v>2026</v>
      </c>
      <c r="D3485" t="inlineStr">
        <is>
          <t>Feb</t>
        </is>
      </c>
      <c r="E3485" t="inlineStr">
        <is>
          <t>United States</t>
        </is>
      </c>
      <c r="F3485" t="inlineStr">
        <is>
          <t>USA</t>
        </is>
      </c>
      <c r="G3485" t="inlineStr">
        <is>
          <t>Xeljanz</t>
        </is>
      </c>
      <c r="H3485" t="inlineStr">
        <is>
          <t>Government / tender</t>
        </is>
      </c>
      <c r="I3485" t="inlineStr">
        <is>
          <t>Private insurer</t>
        </is>
      </c>
      <c r="J3485" t="inlineStr">
        <is>
          <t>Shraddha Kulkarni</t>
        </is>
      </c>
      <c r="K3485" s="70" t="n">
        <v>2025</v>
      </c>
      <c r="L3485" s="71" t="n">
        <v>1999.85</v>
      </c>
      <c r="M3485" s="71" t="n">
        <v>4049696.25</v>
      </c>
      <c r="N3485" s="71" t="n">
        <v>809939.25</v>
      </c>
      <c r="O3485" s="71" t="n">
        <v>3239757</v>
      </c>
      <c r="P3485" s="71" t="n">
        <v>506623.18</v>
      </c>
      <c r="Q3485" s="71" t="n">
        <v>2733133.82</v>
      </c>
      <c r="R3485" t="inlineStr">
        <is>
          <t>Inflammation</t>
        </is>
      </c>
      <c r="S3485" s="70" t="n">
        <v>1437</v>
      </c>
      <c r="T3485" s="71" t="n">
        <v>538265.62</v>
      </c>
      <c r="U3485" t="inlineStr">
        <is>
          <t>High</t>
        </is>
      </c>
      <c r="V3485">
        <f>IF(AND(OR(Dashboard!$C$6="All",E3485=Dashboard!$C$6),OR(Dashboard!$F$6="All",G3485=Dashboard!$F$6),OR(Dashboard!$I$6="All",H3485=Dashboard!$I$6)),1,0)</f>
        <v/>
      </c>
    </row>
    <row r="3486">
      <c r="A3486" t="inlineStr">
        <is>
          <t>PF103477</t>
        </is>
      </c>
      <c r="B3486" s="68" t="n">
        <v>46075</v>
      </c>
      <c r="C3486" s="69" t="n">
        <v>2026</v>
      </c>
      <c r="D3486" t="inlineStr">
        <is>
          <t>Feb</t>
        </is>
      </c>
      <c r="E3486" t="inlineStr">
        <is>
          <t>United States</t>
        </is>
      </c>
      <c r="F3486" t="inlineStr">
        <is>
          <t>USA</t>
        </is>
      </c>
      <c r="G3486" t="inlineStr">
        <is>
          <t>Paxlovid</t>
        </is>
      </c>
      <c r="H3486" t="inlineStr">
        <is>
          <t>Retail pharmacy</t>
        </is>
      </c>
      <c r="I3486" t="inlineStr">
        <is>
          <t>Self-pay</t>
        </is>
      </c>
      <c r="J3486" t="inlineStr">
        <is>
          <t>Ana Costa</t>
        </is>
      </c>
      <c r="K3486" s="70" t="n">
        <v>860</v>
      </c>
      <c r="L3486" s="71" t="n">
        <v>1476.36</v>
      </c>
      <c r="M3486" s="71" t="n">
        <v>1269669.6</v>
      </c>
      <c r="N3486" s="71" t="n">
        <v>253933.92</v>
      </c>
      <c r="O3486" s="71" t="n">
        <v>1015735.68</v>
      </c>
      <c r="P3486" s="71" t="n">
        <v>228142.18</v>
      </c>
      <c r="Q3486" s="71" t="n">
        <v>787593.5</v>
      </c>
      <c r="R3486" t="inlineStr">
        <is>
          <t>Antiviral</t>
        </is>
      </c>
      <c r="S3486" s="70" t="n">
        <v>538</v>
      </c>
      <c r="T3486" s="71" t="n">
        <v>266460.52</v>
      </c>
      <c r="U3486" t="inlineStr">
        <is>
          <t>Low</t>
        </is>
      </c>
      <c r="V3486">
        <f>IF(AND(OR(Dashboard!$C$6="All",E3486=Dashboard!$C$6),OR(Dashboard!$F$6="All",G3486=Dashboard!$F$6),OR(Dashboard!$I$6="All",H3486=Dashboard!$I$6)),1,0)</f>
        <v/>
      </c>
    </row>
    <row r="3487">
      <c r="A3487" t="inlineStr">
        <is>
          <t>PF103478</t>
        </is>
      </c>
      <c r="B3487" s="68" t="n">
        <v>46075</v>
      </c>
      <c r="C3487" s="69" t="n">
        <v>2026</v>
      </c>
      <c r="D3487" t="inlineStr">
        <is>
          <t>Feb</t>
        </is>
      </c>
      <c r="E3487" t="inlineStr">
        <is>
          <t>United States</t>
        </is>
      </c>
      <c r="F3487" t="inlineStr">
        <is>
          <t>USA</t>
        </is>
      </c>
      <c r="G3487" t="inlineStr">
        <is>
          <t>Comirnaty</t>
        </is>
      </c>
      <c r="H3487" t="inlineStr">
        <is>
          <t>Retail pharmacy</t>
        </is>
      </c>
      <c r="I3487" t="inlineStr">
        <is>
          <t>Public payer</t>
        </is>
      </c>
      <c r="J3487" t="inlineStr">
        <is>
          <t>Olivia Brown</t>
        </is>
      </c>
      <c r="K3487" s="70" t="n">
        <v>1591</v>
      </c>
      <c r="L3487" s="71" t="n">
        <v>137.17</v>
      </c>
      <c r="M3487" s="71" t="n">
        <v>218237.47</v>
      </c>
      <c r="N3487" s="71" t="n">
        <v>43647.49</v>
      </c>
      <c r="O3487" s="71" t="n">
        <v>174589.98</v>
      </c>
      <c r="P3487" s="71" t="n">
        <v>61984.84</v>
      </c>
      <c r="Q3487" s="71" t="n">
        <v>112605.14</v>
      </c>
      <c r="R3487" t="inlineStr">
        <is>
          <t>Vaccines</t>
        </is>
      </c>
      <c r="S3487" s="70" t="n">
        <v>1529</v>
      </c>
      <c r="T3487" s="71" t="n">
        <v>32565.66</v>
      </c>
      <c r="U3487" t="inlineStr">
        <is>
          <t>Low</t>
        </is>
      </c>
      <c r="V3487">
        <f>IF(AND(OR(Dashboard!$C$6="All",E3487=Dashboard!$C$6),OR(Dashboard!$F$6="All",G3487=Dashboard!$F$6),OR(Dashboard!$I$6="All",H3487=Dashboard!$I$6)),1,0)</f>
        <v/>
      </c>
    </row>
    <row r="3488">
      <c r="A3488" t="inlineStr">
        <is>
          <t>PF103479</t>
        </is>
      </c>
      <c r="B3488" s="68" t="n">
        <v>46076</v>
      </c>
      <c r="C3488" s="69" t="n">
        <v>2026</v>
      </c>
      <c r="D3488" t="inlineStr">
        <is>
          <t>Feb</t>
        </is>
      </c>
      <c r="E3488" t="inlineStr">
        <is>
          <t>United States</t>
        </is>
      </c>
      <c r="F3488" t="inlineStr">
        <is>
          <t>USA</t>
        </is>
      </c>
      <c r="G3488" t="inlineStr">
        <is>
          <t>Comirnaty</t>
        </is>
      </c>
      <c r="H3488" t="inlineStr">
        <is>
          <t>Hospital</t>
        </is>
      </c>
      <c r="I3488" t="inlineStr">
        <is>
          <t>Private insurer</t>
        </is>
      </c>
      <c r="J3488" t="inlineStr">
        <is>
          <t>Lucas Martin</t>
        </is>
      </c>
      <c r="K3488" s="70" t="n">
        <v>290</v>
      </c>
      <c r="L3488" s="71" t="n">
        <v>133.98</v>
      </c>
      <c r="M3488" s="71" t="n">
        <v>38854.2</v>
      </c>
      <c r="N3488" s="71" t="n">
        <v>7770.84</v>
      </c>
      <c r="O3488" s="71" t="n">
        <v>31083.36</v>
      </c>
      <c r="P3488" s="71" t="n">
        <v>11383.29</v>
      </c>
      <c r="Q3488" s="71" t="n">
        <v>19700.07</v>
      </c>
      <c r="R3488" t="inlineStr">
        <is>
          <t>Vaccines</t>
        </is>
      </c>
      <c r="S3488" s="70" t="n">
        <v>270</v>
      </c>
      <c r="T3488" s="71" t="n">
        <v>8313.110000000001</v>
      </c>
      <c r="U3488" t="inlineStr">
        <is>
          <t>Low</t>
        </is>
      </c>
      <c r="V3488">
        <f>IF(AND(OR(Dashboard!$C$6="All",E3488=Dashboard!$C$6),OR(Dashboard!$F$6="All",G3488=Dashboard!$F$6),OR(Dashboard!$I$6="All",H3488=Dashboard!$I$6)),1,0)</f>
        <v/>
      </c>
    </row>
    <row r="3489">
      <c r="A3489" t="inlineStr">
        <is>
          <t>PF103480</t>
        </is>
      </c>
      <c r="B3489" s="68" t="n">
        <v>46076</v>
      </c>
      <c r="C3489" s="69" t="n">
        <v>2026</v>
      </c>
      <c r="D3489" t="inlineStr">
        <is>
          <t>Feb</t>
        </is>
      </c>
      <c r="E3489" t="inlineStr">
        <is>
          <t>United States</t>
        </is>
      </c>
      <c r="F3489" t="inlineStr">
        <is>
          <t>USA</t>
        </is>
      </c>
      <c r="G3489" t="inlineStr">
        <is>
          <t>Vyndaqel</t>
        </is>
      </c>
      <c r="H3489" t="inlineStr">
        <is>
          <t>Retail pharmacy</t>
        </is>
      </c>
      <c r="I3489" t="inlineStr">
        <is>
          <t>Public payer</t>
        </is>
      </c>
      <c r="J3489" t="inlineStr">
        <is>
          <t>Omar Haddad</t>
        </is>
      </c>
      <c r="K3489" s="70" t="n">
        <v>2766</v>
      </c>
      <c r="L3489" s="71" t="n">
        <v>8624.68</v>
      </c>
      <c r="M3489" s="71" t="n">
        <v>23855864.88</v>
      </c>
      <c r="N3489" s="71" t="n">
        <v>8349552.71</v>
      </c>
      <c r="O3489" s="71" t="n">
        <v>15506312.17</v>
      </c>
      <c r="P3489" s="71" t="n">
        <v>1725138.04</v>
      </c>
      <c r="Q3489" s="71" t="n">
        <v>13781174.13</v>
      </c>
      <c r="R3489" t="inlineStr">
        <is>
          <t>Rare disease</t>
        </is>
      </c>
      <c r="S3489" s="70" t="n">
        <v>2240</v>
      </c>
      <c r="T3489" s="71" t="n">
        <v>3964461.89</v>
      </c>
      <c r="U3489" t="inlineStr">
        <is>
          <t>Medium</t>
        </is>
      </c>
      <c r="V3489">
        <f>IF(AND(OR(Dashboard!$C$6="All",E3489=Dashboard!$C$6),OR(Dashboard!$F$6="All",G3489=Dashboard!$F$6),OR(Dashboard!$I$6="All",H3489=Dashboard!$I$6)),1,0)</f>
        <v/>
      </c>
    </row>
    <row r="3490">
      <c r="A3490" t="inlineStr">
        <is>
          <t>PF103481</t>
        </is>
      </c>
      <c r="B3490" s="68" t="n">
        <v>46076</v>
      </c>
      <c r="C3490" s="69" t="n">
        <v>2026</v>
      </c>
      <c r="D3490" t="inlineStr">
        <is>
          <t>Feb</t>
        </is>
      </c>
      <c r="E3490" t="inlineStr">
        <is>
          <t>Europe</t>
        </is>
      </c>
      <c r="F3490" t="inlineStr">
        <is>
          <t>UK</t>
        </is>
      </c>
      <c r="G3490" t="inlineStr">
        <is>
          <t>Abrysvo</t>
        </is>
      </c>
      <c r="H3490" t="inlineStr">
        <is>
          <t>Retail pharmacy</t>
        </is>
      </c>
      <c r="I3490" t="inlineStr">
        <is>
          <t>Private insurer</t>
        </is>
      </c>
      <c r="J3490" t="inlineStr">
        <is>
          <t>Zoya Ahmed</t>
        </is>
      </c>
      <c r="K3490" s="70" t="n">
        <v>1817</v>
      </c>
      <c r="L3490" s="71" t="n">
        <v>326.09</v>
      </c>
      <c r="M3490" s="71" t="n">
        <v>592505.53</v>
      </c>
      <c r="N3490" s="71" t="n">
        <v>118501.11</v>
      </c>
      <c r="O3490" s="71" t="n">
        <v>474004.42</v>
      </c>
      <c r="P3490" s="71" t="n">
        <v>148356.44</v>
      </c>
      <c r="Q3490" s="71" t="n">
        <v>325647.98</v>
      </c>
      <c r="R3490" t="inlineStr">
        <is>
          <t>Vaccines</t>
        </is>
      </c>
      <c r="S3490" s="70" t="n">
        <v>1689</v>
      </c>
      <c r="T3490" s="71" t="n">
        <v>69886.88</v>
      </c>
      <c r="U3490" t="inlineStr">
        <is>
          <t>Low</t>
        </is>
      </c>
      <c r="V3490">
        <f>IF(AND(OR(Dashboard!$C$6="All",E3490=Dashboard!$C$6),OR(Dashboard!$F$6="All",G3490=Dashboard!$F$6),OR(Dashboard!$I$6="All",H3490=Dashboard!$I$6)),1,0)</f>
        <v/>
      </c>
    </row>
    <row r="3491">
      <c r="A3491" t="inlineStr">
        <is>
          <t>PF103482</t>
        </is>
      </c>
      <c r="B3491" s="68" t="n">
        <v>46076</v>
      </c>
      <c r="C3491" s="69" t="n">
        <v>2026</v>
      </c>
      <c r="D3491" t="inlineStr">
        <is>
          <t>Feb</t>
        </is>
      </c>
      <c r="E3491" t="inlineStr">
        <is>
          <t>United States</t>
        </is>
      </c>
      <c r="F3491" t="inlineStr">
        <is>
          <t>USA</t>
        </is>
      </c>
      <c r="G3491" t="inlineStr">
        <is>
          <t>Comirnaty</t>
        </is>
      </c>
      <c r="H3491" t="inlineStr">
        <is>
          <t>Hospital</t>
        </is>
      </c>
      <c r="I3491" t="inlineStr">
        <is>
          <t>Public payer</t>
        </is>
      </c>
      <c r="J3491" t="inlineStr">
        <is>
          <t>Zoya Ahmed</t>
        </is>
      </c>
      <c r="K3491" s="70" t="n">
        <v>1466</v>
      </c>
      <c r="L3491" s="71" t="n">
        <v>151.55</v>
      </c>
      <c r="M3491" s="71" t="n">
        <v>222172.3</v>
      </c>
      <c r="N3491" s="71" t="n">
        <v>44434.46</v>
      </c>
      <c r="O3491" s="71" t="n">
        <v>177737.84</v>
      </c>
      <c r="P3491" s="71" t="n">
        <v>56537.26</v>
      </c>
      <c r="Q3491" s="71" t="n">
        <v>121200.58</v>
      </c>
      <c r="R3491" t="inlineStr">
        <is>
          <t>Vaccines</t>
        </is>
      </c>
      <c r="S3491" s="70" t="n">
        <v>1274</v>
      </c>
      <c r="T3491" s="71" t="n">
        <v>47281.38</v>
      </c>
      <c r="U3491" t="inlineStr">
        <is>
          <t>Low</t>
        </is>
      </c>
      <c r="V3491">
        <f>IF(AND(OR(Dashboard!$C$6="All",E3491=Dashboard!$C$6),OR(Dashboard!$F$6="All",G3491=Dashboard!$F$6),OR(Dashboard!$I$6="All",H3491=Dashboard!$I$6)),1,0)</f>
        <v/>
      </c>
    </row>
    <row r="3492">
      <c r="A3492" t="inlineStr">
        <is>
          <t>PF103483</t>
        </is>
      </c>
      <c r="B3492" s="68" t="n">
        <v>46076</v>
      </c>
      <c r="C3492" s="69" t="n">
        <v>2026</v>
      </c>
      <c r="D3492" t="inlineStr">
        <is>
          <t>Feb</t>
        </is>
      </c>
      <c r="E3492" t="inlineStr">
        <is>
          <t>Europe</t>
        </is>
      </c>
      <c r="F3492" t="inlineStr">
        <is>
          <t>UK</t>
        </is>
      </c>
      <c r="G3492" t="inlineStr">
        <is>
          <t>Paxlovid</t>
        </is>
      </c>
      <c r="H3492" t="inlineStr">
        <is>
          <t>Government / tender</t>
        </is>
      </c>
      <c r="I3492" t="inlineStr">
        <is>
          <t>Public payer</t>
        </is>
      </c>
      <c r="J3492" t="inlineStr">
        <is>
          <t>Sophie Müller</t>
        </is>
      </c>
      <c r="K3492" s="70" t="n">
        <v>1732</v>
      </c>
      <c r="L3492" s="71" t="n">
        <v>1002.56</v>
      </c>
      <c r="M3492" s="71" t="n">
        <v>1736433.92</v>
      </c>
      <c r="N3492" s="71" t="n">
        <v>347286.78</v>
      </c>
      <c r="O3492" s="71" t="n">
        <v>1389147.14</v>
      </c>
      <c r="P3492" s="71" t="n">
        <v>476983.16</v>
      </c>
      <c r="Q3492" s="71" t="n">
        <v>912163.98</v>
      </c>
      <c r="R3492" t="inlineStr">
        <is>
          <t>Antiviral</t>
        </is>
      </c>
      <c r="S3492" s="70" t="n">
        <v>1112</v>
      </c>
      <c r="T3492" s="71" t="n">
        <v>365080.09</v>
      </c>
      <c r="U3492" t="inlineStr">
        <is>
          <t>Low</t>
        </is>
      </c>
      <c r="V3492">
        <f>IF(AND(OR(Dashboard!$C$6="All",E3492=Dashboard!$C$6),OR(Dashboard!$F$6="All",G3492=Dashboard!$F$6),OR(Dashboard!$I$6="All",H3492=Dashboard!$I$6)),1,0)</f>
        <v/>
      </c>
    </row>
    <row r="3493">
      <c r="A3493" t="inlineStr">
        <is>
          <t>PF103484</t>
        </is>
      </c>
      <c r="B3493" s="68" t="n">
        <v>46076</v>
      </c>
      <c r="C3493" s="69" t="n">
        <v>2026</v>
      </c>
      <c r="D3493" t="inlineStr">
        <is>
          <t>Feb</t>
        </is>
      </c>
      <c r="E3493" t="inlineStr">
        <is>
          <t>Emerging markets</t>
        </is>
      </c>
      <c r="F3493" t="inlineStr">
        <is>
          <t>India</t>
        </is>
      </c>
      <c r="G3493" t="inlineStr">
        <is>
          <t>Prevnar 20</t>
        </is>
      </c>
      <c r="H3493" t="inlineStr">
        <is>
          <t>Hospital</t>
        </is>
      </c>
      <c r="I3493" t="inlineStr">
        <is>
          <t>Private insurer</t>
        </is>
      </c>
      <c r="J3493" t="inlineStr">
        <is>
          <t>Hiroshi Tanaka</t>
        </is>
      </c>
      <c r="K3493" s="70" t="n">
        <v>389</v>
      </c>
      <c r="L3493" s="71" t="n">
        <v>233.99</v>
      </c>
      <c r="M3493" s="71" t="n">
        <v>91022.11</v>
      </c>
      <c r="N3493" s="71" t="n">
        <v>9102.209999999999</v>
      </c>
      <c r="O3493" s="71" t="n">
        <v>81919.89999999999</v>
      </c>
      <c r="P3493" s="71" t="n">
        <v>26975.68</v>
      </c>
      <c r="Q3493" s="71" t="n">
        <v>54944.22</v>
      </c>
      <c r="R3493" t="inlineStr">
        <is>
          <t>Vaccines</t>
        </is>
      </c>
      <c r="S3493" s="70" t="n">
        <v>335</v>
      </c>
      <c r="T3493" s="71" t="n">
        <v>11556.75</v>
      </c>
      <c r="U3493" t="inlineStr">
        <is>
          <t>Low</t>
        </is>
      </c>
      <c r="V3493">
        <f>IF(AND(OR(Dashboard!$C$6="All",E3493=Dashboard!$C$6),OR(Dashboard!$F$6="All",G3493=Dashboard!$F$6),OR(Dashboard!$I$6="All",H3493=Dashboard!$I$6)),1,0)</f>
        <v/>
      </c>
    </row>
    <row r="3494">
      <c r="A3494" t="inlineStr">
        <is>
          <t>PF103485</t>
        </is>
      </c>
      <c r="B3494" s="68" t="n">
        <v>46076</v>
      </c>
      <c r="C3494" s="69" t="n">
        <v>2026</v>
      </c>
      <c r="D3494" t="inlineStr">
        <is>
          <t>Feb</t>
        </is>
      </c>
      <c r="E3494" t="inlineStr">
        <is>
          <t>United States</t>
        </is>
      </c>
      <c r="F3494" t="inlineStr">
        <is>
          <t>USA</t>
        </is>
      </c>
      <c r="G3494" t="inlineStr">
        <is>
          <t>Comirnaty</t>
        </is>
      </c>
      <c r="H3494" t="inlineStr">
        <is>
          <t>Retail pharmacy</t>
        </is>
      </c>
      <c r="I3494" t="inlineStr">
        <is>
          <t>Public payer</t>
        </is>
      </c>
      <c r="J3494" t="inlineStr">
        <is>
          <t>Lucas Martin</t>
        </is>
      </c>
      <c r="K3494" s="70" t="n">
        <v>1736</v>
      </c>
      <c r="L3494" s="71" t="n">
        <v>150.72</v>
      </c>
      <c r="M3494" s="71" t="n">
        <v>261649.92</v>
      </c>
      <c r="N3494" s="71" t="n">
        <v>78494.98</v>
      </c>
      <c r="O3494" s="71" t="n">
        <v>183154.94</v>
      </c>
      <c r="P3494" s="71" t="n">
        <v>67183.50999999999</v>
      </c>
      <c r="Q3494" s="71" t="n">
        <v>115971.43</v>
      </c>
      <c r="R3494" t="inlineStr">
        <is>
          <t>Vaccines</t>
        </is>
      </c>
      <c r="S3494" s="70" t="n">
        <v>1093</v>
      </c>
      <c r="T3494" s="71" t="n">
        <v>50815.01</v>
      </c>
      <c r="U3494" t="inlineStr">
        <is>
          <t>Low</t>
        </is>
      </c>
      <c r="V3494">
        <f>IF(AND(OR(Dashboard!$C$6="All",E3494=Dashboard!$C$6),OR(Dashboard!$F$6="All",G3494=Dashboard!$F$6),OR(Dashboard!$I$6="All",H3494=Dashboard!$I$6)),1,0)</f>
        <v/>
      </c>
    </row>
    <row r="3495">
      <c r="A3495" t="inlineStr">
        <is>
          <t>PF103486</t>
        </is>
      </c>
      <c r="B3495" s="68" t="n">
        <v>46076</v>
      </c>
      <c r="C3495" s="69" t="n">
        <v>2026</v>
      </c>
      <c r="D3495" t="inlineStr">
        <is>
          <t>Feb</t>
        </is>
      </c>
      <c r="E3495" t="inlineStr">
        <is>
          <t>Europe</t>
        </is>
      </c>
      <c r="F3495" t="inlineStr">
        <is>
          <t>UK</t>
        </is>
      </c>
      <c r="G3495" t="inlineStr">
        <is>
          <t>Eliquis</t>
        </is>
      </c>
      <c r="H3495" t="inlineStr">
        <is>
          <t>Retail pharmacy</t>
        </is>
      </c>
      <c r="I3495" t="inlineStr">
        <is>
          <t>Private insurer</t>
        </is>
      </c>
      <c r="J3495" t="inlineStr">
        <is>
          <t>Zoya Ahmed</t>
        </is>
      </c>
      <c r="K3495" s="70" t="n">
        <v>2724</v>
      </c>
      <c r="L3495" s="71" t="n">
        <v>394.7</v>
      </c>
      <c r="M3495" s="71" t="n">
        <v>1075162.8</v>
      </c>
      <c r="N3495" s="71" t="n">
        <v>53758.14</v>
      </c>
      <c r="O3495" s="71" t="n">
        <v>1021404.66</v>
      </c>
      <c r="P3495" s="71" t="n">
        <v>209729.47</v>
      </c>
      <c r="Q3495" s="71" t="n">
        <v>811675.1899999999</v>
      </c>
      <c r="R3495" t="inlineStr">
        <is>
          <t>Cardiology</t>
        </is>
      </c>
      <c r="S3495" s="70" t="n">
        <v>2116</v>
      </c>
      <c r="T3495" s="71" t="n">
        <v>174411.57</v>
      </c>
      <c r="U3495" t="inlineStr">
        <is>
          <t>High</t>
        </is>
      </c>
      <c r="V3495">
        <f>IF(AND(OR(Dashboard!$C$6="All",E3495=Dashboard!$C$6),OR(Dashboard!$F$6="All",G3495=Dashboard!$F$6),OR(Dashboard!$I$6="All",H3495=Dashboard!$I$6)),1,0)</f>
        <v/>
      </c>
    </row>
    <row r="3496">
      <c r="A3496" t="inlineStr">
        <is>
          <t>PF103487</t>
        </is>
      </c>
      <c r="B3496" s="68" t="n">
        <v>46076</v>
      </c>
      <c r="C3496" s="69" t="n">
        <v>2026</v>
      </c>
      <c r="D3496" t="inlineStr">
        <is>
          <t>Feb</t>
        </is>
      </c>
      <c r="E3496" t="inlineStr">
        <is>
          <t>United States</t>
        </is>
      </c>
      <c r="F3496" t="inlineStr">
        <is>
          <t>USA</t>
        </is>
      </c>
      <c r="G3496" t="inlineStr">
        <is>
          <t>Paxlovid</t>
        </is>
      </c>
      <c r="H3496" t="inlineStr">
        <is>
          <t>Retail pharmacy</t>
        </is>
      </c>
      <c r="I3496" t="inlineStr">
        <is>
          <t>Public payer</t>
        </is>
      </c>
      <c r="J3496" t="inlineStr">
        <is>
          <t>Carlos Silva</t>
        </is>
      </c>
      <c r="K3496" s="70" t="n">
        <v>1918</v>
      </c>
      <c r="L3496" s="71" t="n">
        <v>1343.46</v>
      </c>
      <c r="M3496" s="71" t="n">
        <v>2576756.28</v>
      </c>
      <c r="N3496" s="71" t="n">
        <v>515351.26</v>
      </c>
      <c r="O3496" s="71" t="n">
        <v>2061405.02</v>
      </c>
      <c r="P3496" s="71" t="n">
        <v>542789.8199999999</v>
      </c>
      <c r="Q3496" s="71" t="n">
        <v>1518615.2</v>
      </c>
      <c r="R3496" t="inlineStr">
        <is>
          <t>Antiviral</t>
        </is>
      </c>
      <c r="S3496" s="70" t="n">
        <v>1872</v>
      </c>
      <c r="T3496" s="71" t="n">
        <v>585995.51</v>
      </c>
      <c r="U3496" t="inlineStr">
        <is>
          <t>Low</t>
        </is>
      </c>
      <c r="V3496">
        <f>IF(AND(OR(Dashboard!$C$6="All",E3496=Dashboard!$C$6),OR(Dashboard!$F$6="All",G3496=Dashboard!$F$6),OR(Dashboard!$I$6="All",H3496=Dashboard!$I$6)),1,0)</f>
        <v/>
      </c>
    </row>
    <row r="3497">
      <c r="A3497" t="inlineStr">
        <is>
          <t>PF103488</t>
        </is>
      </c>
      <c r="B3497" s="68" t="n">
        <v>46076</v>
      </c>
      <c r="C3497" s="69" t="n">
        <v>2026</v>
      </c>
      <c r="D3497" t="inlineStr">
        <is>
          <t>Feb</t>
        </is>
      </c>
      <c r="E3497" t="inlineStr">
        <is>
          <t>International developed</t>
        </is>
      </c>
      <c r="F3497" t="inlineStr">
        <is>
          <t>Japan</t>
        </is>
      </c>
      <c r="G3497" t="inlineStr">
        <is>
          <t>Prevnar 20</t>
        </is>
      </c>
      <c r="H3497" t="inlineStr">
        <is>
          <t>Retail pharmacy</t>
        </is>
      </c>
      <c r="I3497" t="inlineStr">
        <is>
          <t>Public payer</t>
        </is>
      </c>
      <c r="J3497" t="inlineStr">
        <is>
          <t>Shraddha Kulkarni</t>
        </is>
      </c>
      <c r="K3497" s="70" t="n">
        <v>2471</v>
      </c>
      <c r="L3497" s="71" t="n">
        <v>257.07</v>
      </c>
      <c r="M3497" s="71" t="n">
        <v>635219.97</v>
      </c>
      <c r="N3497" s="71" t="n">
        <v>95283</v>
      </c>
      <c r="O3497" s="71" t="n">
        <v>539936.97</v>
      </c>
      <c r="P3497" s="71" t="n">
        <v>164915.06</v>
      </c>
      <c r="Q3497" s="71" t="n">
        <v>375021.91</v>
      </c>
      <c r="R3497" t="inlineStr">
        <is>
          <t>Vaccines</t>
        </is>
      </c>
      <c r="S3497" s="70" t="n">
        <v>1695</v>
      </c>
      <c r="T3497" s="71" t="n">
        <v>105720.28</v>
      </c>
      <c r="U3497" t="inlineStr">
        <is>
          <t>Low</t>
        </is>
      </c>
      <c r="V3497">
        <f>IF(AND(OR(Dashboard!$C$6="All",E3497=Dashboard!$C$6),OR(Dashboard!$F$6="All",G3497=Dashboard!$F$6),OR(Dashboard!$I$6="All",H3497=Dashboard!$I$6)),1,0)</f>
        <v/>
      </c>
    </row>
    <row r="3498">
      <c r="A3498" t="inlineStr">
        <is>
          <t>PF103489</t>
        </is>
      </c>
      <c r="B3498" s="68" t="n">
        <v>46076</v>
      </c>
      <c r="C3498" s="69" t="n">
        <v>2026</v>
      </c>
      <c r="D3498" t="inlineStr">
        <is>
          <t>Feb</t>
        </is>
      </c>
      <c r="E3498" t="inlineStr">
        <is>
          <t>United States</t>
        </is>
      </c>
      <c r="F3498" t="inlineStr">
        <is>
          <t>USA</t>
        </is>
      </c>
      <c r="G3498" t="inlineStr">
        <is>
          <t>Abrysvo</t>
        </is>
      </c>
      <c r="H3498" t="inlineStr">
        <is>
          <t>Hospital</t>
        </is>
      </c>
      <c r="I3498" t="inlineStr">
        <is>
          <t>Private insurer</t>
        </is>
      </c>
      <c r="J3498" t="inlineStr">
        <is>
          <t>Shraddha Kulkarni</t>
        </is>
      </c>
      <c r="K3498" s="70" t="n">
        <v>590</v>
      </c>
      <c r="L3498" s="71" t="n">
        <v>486.06</v>
      </c>
      <c r="M3498" s="71" t="n">
        <v>286775.4</v>
      </c>
      <c r="N3498" s="71" t="n">
        <v>57355.08</v>
      </c>
      <c r="O3498" s="71" t="n">
        <v>229420.32</v>
      </c>
      <c r="P3498" s="71" t="n">
        <v>49959.59</v>
      </c>
      <c r="Q3498" s="71" t="n">
        <v>179460.73</v>
      </c>
      <c r="R3498" t="inlineStr">
        <is>
          <t>Vaccines</t>
        </is>
      </c>
      <c r="S3498" s="70" t="n">
        <v>370</v>
      </c>
      <c r="T3498" s="71" t="n">
        <v>50037.87</v>
      </c>
      <c r="U3498" t="inlineStr">
        <is>
          <t>Low</t>
        </is>
      </c>
      <c r="V3498">
        <f>IF(AND(OR(Dashboard!$C$6="All",E3498=Dashboard!$C$6),OR(Dashboard!$F$6="All",G3498=Dashboard!$F$6),OR(Dashboard!$I$6="All",H3498=Dashboard!$I$6)),1,0)</f>
        <v/>
      </c>
    </row>
    <row r="3499">
      <c r="A3499" t="inlineStr">
        <is>
          <t>PF103490</t>
        </is>
      </c>
      <c r="B3499" s="68" t="n">
        <v>46077</v>
      </c>
      <c r="C3499" s="69" t="n">
        <v>2026</v>
      </c>
      <c r="D3499" t="inlineStr">
        <is>
          <t>Feb</t>
        </is>
      </c>
      <c r="E3499" t="inlineStr">
        <is>
          <t>United States</t>
        </is>
      </c>
      <c r="F3499" t="inlineStr">
        <is>
          <t>USA</t>
        </is>
      </c>
      <c r="G3499" t="inlineStr">
        <is>
          <t>Vyndaqel</t>
        </is>
      </c>
      <c r="H3499" t="inlineStr">
        <is>
          <t>Retail pharmacy</t>
        </is>
      </c>
      <c r="I3499" t="inlineStr">
        <is>
          <t>Public payer</t>
        </is>
      </c>
      <c r="J3499" t="inlineStr">
        <is>
          <t>Ana Costa</t>
        </is>
      </c>
      <c r="K3499" s="70" t="n">
        <v>2155</v>
      </c>
      <c r="L3499" s="71" t="n">
        <v>9953.23</v>
      </c>
      <c r="M3499" s="71" t="n">
        <v>21449210.65</v>
      </c>
      <c r="N3499" s="71" t="n">
        <v>4289842.13</v>
      </c>
      <c r="O3499" s="71" t="n">
        <v>17159368.52</v>
      </c>
      <c r="P3499" s="71" t="n">
        <v>1327626.84</v>
      </c>
      <c r="Q3499" s="71" t="n">
        <v>15831741.68</v>
      </c>
      <c r="R3499" t="inlineStr">
        <is>
          <t>Rare disease</t>
        </is>
      </c>
      <c r="S3499" s="70" t="n">
        <v>1645</v>
      </c>
      <c r="T3499" s="71" t="n">
        <v>3710498.73</v>
      </c>
      <c r="U3499" t="inlineStr">
        <is>
          <t>Medium</t>
        </is>
      </c>
      <c r="V3499">
        <f>IF(AND(OR(Dashboard!$C$6="All",E3499=Dashboard!$C$6),OR(Dashboard!$F$6="All",G3499=Dashboard!$F$6),OR(Dashboard!$I$6="All",H3499=Dashboard!$I$6)),1,0)</f>
        <v/>
      </c>
    </row>
    <row r="3500">
      <c r="A3500" t="inlineStr">
        <is>
          <t>PF103491</t>
        </is>
      </c>
      <c r="B3500" s="68" t="n">
        <v>46077</v>
      </c>
      <c r="C3500" s="69" t="n">
        <v>2026</v>
      </c>
      <c r="D3500" t="inlineStr">
        <is>
          <t>Feb</t>
        </is>
      </c>
      <c r="E3500" t="inlineStr">
        <is>
          <t>Europe</t>
        </is>
      </c>
      <c r="F3500" t="inlineStr">
        <is>
          <t>Italy</t>
        </is>
      </c>
      <c r="G3500" t="inlineStr">
        <is>
          <t>Eliquis</t>
        </is>
      </c>
      <c r="H3500" t="inlineStr">
        <is>
          <t>Retail pharmacy</t>
        </is>
      </c>
      <c r="I3500" t="inlineStr">
        <is>
          <t>Private insurer</t>
        </is>
      </c>
      <c r="J3500" t="inlineStr">
        <is>
          <t>Olivia Brown</t>
        </is>
      </c>
      <c r="K3500" s="70" t="n">
        <v>2273</v>
      </c>
      <c r="L3500" s="71" t="n">
        <v>402.36</v>
      </c>
      <c r="M3500" s="71" t="n">
        <v>914564.28</v>
      </c>
      <c r="N3500" s="71" t="n">
        <v>45728.21</v>
      </c>
      <c r="O3500" s="71" t="n">
        <v>868836.0699999999</v>
      </c>
      <c r="P3500" s="71" t="n">
        <v>168359.34</v>
      </c>
      <c r="Q3500" s="71" t="n">
        <v>700476.73</v>
      </c>
      <c r="R3500" t="inlineStr">
        <is>
          <t>Cardiology</t>
        </is>
      </c>
      <c r="S3500" s="70" t="n">
        <v>1517</v>
      </c>
      <c r="T3500" s="71" t="n">
        <v>164003.28</v>
      </c>
      <c r="U3500" t="inlineStr">
        <is>
          <t>High</t>
        </is>
      </c>
      <c r="V3500">
        <f>IF(AND(OR(Dashboard!$C$6="All",E3500=Dashboard!$C$6),OR(Dashboard!$F$6="All",G3500=Dashboard!$F$6),OR(Dashboard!$I$6="All",H3500=Dashboard!$I$6)),1,0)</f>
        <v/>
      </c>
    </row>
    <row r="3501">
      <c r="A3501" t="inlineStr">
        <is>
          <t>PF103492</t>
        </is>
      </c>
      <c r="B3501" s="68" t="n">
        <v>46077</v>
      </c>
      <c r="C3501" s="69" t="n">
        <v>2026</v>
      </c>
      <c r="D3501" t="inlineStr">
        <is>
          <t>Feb</t>
        </is>
      </c>
      <c r="E3501" t="inlineStr">
        <is>
          <t>International developed</t>
        </is>
      </c>
      <c r="F3501" t="inlineStr">
        <is>
          <t>Japan</t>
        </is>
      </c>
      <c r="G3501" t="inlineStr">
        <is>
          <t>Prevnar 20</t>
        </is>
      </c>
      <c r="H3501" t="inlineStr">
        <is>
          <t>Hospital</t>
        </is>
      </c>
      <c r="I3501" t="inlineStr">
        <is>
          <t>Self-pay</t>
        </is>
      </c>
      <c r="J3501" t="inlineStr">
        <is>
          <t>Omar Haddad</t>
        </is>
      </c>
      <c r="K3501" s="70" t="n">
        <v>1081</v>
      </c>
      <c r="L3501" s="71" t="n">
        <v>217.09</v>
      </c>
      <c r="M3501" s="71" t="n">
        <v>234674.29</v>
      </c>
      <c r="N3501" s="71" t="n">
        <v>58668.57</v>
      </c>
      <c r="O3501" s="71" t="n">
        <v>176005.72</v>
      </c>
      <c r="P3501" s="71" t="n">
        <v>74870.71000000001</v>
      </c>
      <c r="Q3501" s="71" t="n">
        <v>101135.01</v>
      </c>
      <c r="R3501" t="inlineStr">
        <is>
          <t>Vaccines</t>
        </is>
      </c>
      <c r="S3501" s="70" t="n">
        <v>1036</v>
      </c>
      <c r="T3501" s="71" t="n">
        <v>36464.19</v>
      </c>
      <c r="U3501" t="inlineStr">
        <is>
          <t>Low</t>
        </is>
      </c>
      <c r="V3501">
        <f>IF(AND(OR(Dashboard!$C$6="All",E3501=Dashboard!$C$6),OR(Dashboard!$F$6="All",G3501=Dashboard!$F$6),OR(Dashboard!$I$6="All",H3501=Dashboard!$I$6)),1,0)</f>
        <v/>
      </c>
    </row>
    <row r="3502">
      <c r="A3502" t="inlineStr">
        <is>
          <t>PF103493</t>
        </is>
      </c>
      <c r="B3502" s="68" t="n">
        <v>46077</v>
      </c>
      <c r="C3502" s="69" t="n">
        <v>2026</v>
      </c>
      <c r="D3502" t="inlineStr">
        <is>
          <t>Feb</t>
        </is>
      </c>
      <c r="E3502" t="inlineStr">
        <is>
          <t>Europe</t>
        </is>
      </c>
      <c r="F3502" t="inlineStr">
        <is>
          <t>France</t>
        </is>
      </c>
      <c r="G3502" t="inlineStr">
        <is>
          <t>Paxlovid</t>
        </is>
      </c>
      <c r="H3502" t="inlineStr">
        <is>
          <t>Retail pharmacy</t>
        </is>
      </c>
      <c r="I3502" t="inlineStr">
        <is>
          <t>Private insurer</t>
        </is>
      </c>
      <c r="J3502" t="inlineStr">
        <is>
          <t>Aisha Bello</t>
        </is>
      </c>
      <c r="K3502" s="70" t="n">
        <v>1496</v>
      </c>
      <c r="L3502" s="71" t="n">
        <v>831.27</v>
      </c>
      <c r="M3502" s="71" t="n">
        <v>1243579.92</v>
      </c>
      <c r="N3502" s="71" t="n">
        <v>124357.99</v>
      </c>
      <c r="O3502" s="71" t="n">
        <v>1119221.93</v>
      </c>
      <c r="P3502" s="71" t="n">
        <v>423143.11</v>
      </c>
      <c r="Q3502" s="71" t="n">
        <v>696078.8199999999</v>
      </c>
      <c r="R3502" t="inlineStr">
        <is>
          <t>Antiviral</t>
        </is>
      </c>
      <c r="S3502" s="70" t="n">
        <v>1306</v>
      </c>
      <c r="T3502" s="71" t="n">
        <v>205005.62</v>
      </c>
      <c r="U3502" t="inlineStr">
        <is>
          <t>Low</t>
        </is>
      </c>
      <c r="V3502">
        <f>IF(AND(OR(Dashboard!$C$6="All",E3502=Dashboard!$C$6),OR(Dashboard!$F$6="All",G3502=Dashboard!$F$6),OR(Dashboard!$I$6="All",H3502=Dashboard!$I$6)),1,0)</f>
        <v/>
      </c>
    </row>
    <row r="3503">
      <c r="A3503" t="inlineStr">
        <is>
          <t>PF103494</t>
        </is>
      </c>
      <c r="B3503" s="68" t="n">
        <v>46077</v>
      </c>
      <c r="C3503" s="69" t="n">
        <v>2026</v>
      </c>
      <c r="D3503" t="inlineStr">
        <is>
          <t>Feb</t>
        </is>
      </c>
      <c r="E3503" t="inlineStr">
        <is>
          <t>United States</t>
        </is>
      </c>
      <c r="F3503" t="inlineStr">
        <is>
          <t>USA</t>
        </is>
      </c>
      <c r="G3503" t="inlineStr">
        <is>
          <t>Ibrance</t>
        </is>
      </c>
      <c r="H3503" t="inlineStr">
        <is>
          <t>Government / tender</t>
        </is>
      </c>
      <c r="I3503" t="inlineStr">
        <is>
          <t>Private insurer</t>
        </is>
      </c>
      <c r="J3503" t="inlineStr">
        <is>
          <t>Hiroshi Tanaka</t>
        </is>
      </c>
      <c r="K3503" s="70" t="n">
        <v>138</v>
      </c>
      <c r="L3503" s="71" t="n">
        <v>4636.61</v>
      </c>
      <c r="M3503" s="71" t="n">
        <v>639852.1800000001</v>
      </c>
      <c r="N3503" s="71" t="n">
        <v>159963.05</v>
      </c>
      <c r="O3503" s="71" t="n">
        <v>479889.13</v>
      </c>
      <c r="P3503" s="71" t="n">
        <v>59562.15</v>
      </c>
      <c r="Q3503" s="71" t="n">
        <v>420326.98</v>
      </c>
      <c r="R3503" t="inlineStr">
        <is>
          <t>Oncology</t>
        </is>
      </c>
      <c r="S3503" s="70" t="n">
        <v>120</v>
      </c>
      <c r="T3503" s="71" t="n">
        <v>119040.43</v>
      </c>
      <c r="U3503" t="inlineStr">
        <is>
          <t>High</t>
        </is>
      </c>
      <c r="V3503">
        <f>IF(AND(OR(Dashboard!$C$6="All",E3503=Dashboard!$C$6),OR(Dashboard!$F$6="All",G3503=Dashboard!$F$6),OR(Dashboard!$I$6="All",H3503=Dashboard!$I$6)),1,0)</f>
        <v/>
      </c>
    </row>
    <row r="3504">
      <c r="A3504" t="inlineStr">
        <is>
          <t>PF103495</t>
        </is>
      </c>
      <c r="B3504" s="68" t="n">
        <v>46077</v>
      </c>
      <c r="C3504" s="69" t="n">
        <v>2026</v>
      </c>
      <c r="D3504" t="inlineStr">
        <is>
          <t>Feb</t>
        </is>
      </c>
      <c r="E3504" t="inlineStr">
        <is>
          <t>International developed</t>
        </is>
      </c>
      <c r="F3504" t="inlineStr">
        <is>
          <t>Australia</t>
        </is>
      </c>
      <c r="G3504" t="inlineStr">
        <is>
          <t>Eliquis</t>
        </is>
      </c>
      <c r="H3504" t="inlineStr">
        <is>
          <t>Retail pharmacy</t>
        </is>
      </c>
      <c r="I3504" t="inlineStr">
        <is>
          <t>Private insurer</t>
        </is>
      </c>
      <c r="J3504" t="inlineStr">
        <is>
          <t>Shraddha Kulkarni</t>
        </is>
      </c>
      <c r="K3504" s="70" t="n">
        <v>2719</v>
      </c>
      <c r="L3504" s="71" t="n">
        <v>455.1</v>
      </c>
      <c r="M3504" s="71" t="n">
        <v>1237416.9</v>
      </c>
      <c r="N3504" s="71" t="n">
        <v>247483.38</v>
      </c>
      <c r="O3504" s="71" t="n">
        <v>989933.52</v>
      </c>
      <c r="P3504" s="71" t="n">
        <v>202612.48</v>
      </c>
      <c r="Q3504" s="71" t="n">
        <v>787321.04</v>
      </c>
      <c r="R3504" t="inlineStr">
        <is>
          <t>Cardiology</t>
        </is>
      </c>
      <c r="S3504" s="70" t="n">
        <v>2104</v>
      </c>
      <c r="T3504" s="71" t="n">
        <v>172375.56</v>
      </c>
      <c r="U3504" t="inlineStr">
        <is>
          <t>High</t>
        </is>
      </c>
      <c r="V3504">
        <f>IF(AND(OR(Dashboard!$C$6="All",E3504=Dashboard!$C$6),OR(Dashboard!$F$6="All",G3504=Dashboard!$F$6),OR(Dashboard!$I$6="All",H3504=Dashboard!$I$6)),1,0)</f>
        <v/>
      </c>
    </row>
    <row r="3505">
      <c r="A3505" t="inlineStr">
        <is>
          <t>PF103496</t>
        </is>
      </c>
      <c r="B3505" s="68" t="n">
        <v>46077</v>
      </c>
      <c r="C3505" s="69" t="n">
        <v>2026</v>
      </c>
      <c r="D3505" t="inlineStr">
        <is>
          <t>Feb</t>
        </is>
      </c>
      <c r="E3505" t="inlineStr">
        <is>
          <t>Emerging markets</t>
        </is>
      </c>
      <c r="F3505" t="inlineStr">
        <is>
          <t>Brazil</t>
        </is>
      </c>
      <c r="G3505" t="inlineStr">
        <is>
          <t>Xeljanz</t>
        </is>
      </c>
      <c r="H3505" t="inlineStr">
        <is>
          <t>Retail pharmacy</t>
        </is>
      </c>
      <c r="I3505" t="inlineStr">
        <is>
          <t>Public payer</t>
        </is>
      </c>
      <c r="J3505" t="inlineStr">
        <is>
          <t>Hiroshi Tanaka</t>
        </is>
      </c>
      <c r="K3505" s="70" t="n">
        <v>234</v>
      </c>
      <c r="L3505" s="71" t="n">
        <v>1230.99</v>
      </c>
      <c r="M3505" s="71" t="n">
        <v>288051.66</v>
      </c>
      <c r="N3505" s="71" t="n">
        <v>72012.91</v>
      </c>
      <c r="O3505" s="71" t="n">
        <v>216038.75</v>
      </c>
      <c r="P3505" s="71" t="n">
        <v>56825.65</v>
      </c>
      <c r="Q3505" s="71" t="n">
        <v>159213.1</v>
      </c>
      <c r="R3505" t="inlineStr">
        <is>
          <t>Inflammation</t>
        </is>
      </c>
      <c r="S3505" s="70" t="n">
        <v>163</v>
      </c>
      <c r="T3505" s="71" t="n">
        <v>62770.43</v>
      </c>
      <c r="U3505" t="inlineStr">
        <is>
          <t>High</t>
        </is>
      </c>
      <c r="V3505">
        <f>IF(AND(OR(Dashboard!$C$6="All",E3505=Dashboard!$C$6),OR(Dashboard!$F$6="All",G3505=Dashboard!$F$6),OR(Dashboard!$I$6="All",H3505=Dashboard!$I$6)),1,0)</f>
        <v/>
      </c>
    </row>
    <row r="3506">
      <c r="A3506" t="inlineStr">
        <is>
          <t>PF103497</t>
        </is>
      </c>
      <c r="B3506" s="68" t="n">
        <v>46077</v>
      </c>
      <c r="C3506" s="69" t="n">
        <v>2026</v>
      </c>
      <c r="D3506" t="inlineStr">
        <is>
          <t>Feb</t>
        </is>
      </c>
      <c r="E3506" t="inlineStr">
        <is>
          <t>United States</t>
        </is>
      </c>
      <c r="F3506" t="inlineStr">
        <is>
          <t>USA</t>
        </is>
      </c>
      <c r="G3506" t="inlineStr">
        <is>
          <t>Comirnaty</t>
        </is>
      </c>
      <c r="H3506" t="inlineStr">
        <is>
          <t>Government / tender</t>
        </is>
      </c>
      <c r="I3506" t="inlineStr">
        <is>
          <t>Public payer</t>
        </is>
      </c>
      <c r="J3506" t="inlineStr">
        <is>
          <t>Liam O'Brien</t>
        </is>
      </c>
      <c r="K3506" s="70" t="n">
        <v>382</v>
      </c>
      <c r="L3506" s="71" t="n">
        <v>155.29</v>
      </c>
      <c r="M3506" s="71" t="n">
        <v>59320.78</v>
      </c>
      <c r="N3506" s="71" t="n">
        <v>20762.27</v>
      </c>
      <c r="O3506" s="71" t="n">
        <v>38558.51</v>
      </c>
      <c r="P3506" s="71" t="n">
        <v>14491.94</v>
      </c>
      <c r="Q3506" s="71" t="n">
        <v>24066.57</v>
      </c>
      <c r="R3506" t="inlineStr">
        <is>
          <t>Vaccines</t>
        </is>
      </c>
      <c r="S3506" s="70" t="n">
        <v>263</v>
      </c>
      <c r="T3506" s="71" t="n">
        <v>12446.89</v>
      </c>
      <c r="U3506" t="inlineStr">
        <is>
          <t>Low</t>
        </is>
      </c>
      <c r="V3506">
        <f>IF(AND(OR(Dashboard!$C$6="All",E3506=Dashboard!$C$6),OR(Dashboard!$F$6="All",G3506=Dashboard!$F$6),OR(Dashboard!$I$6="All",H3506=Dashboard!$I$6)),1,0)</f>
        <v/>
      </c>
    </row>
    <row r="3507">
      <c r="A3507" t="inlineStr">
        <is>
          <t>PF103498</t>
        </is>
      </c>
      <c r="B3507" s="68" t="n">
        <v>46078</v>
      </c>
      <c r="C3507" s="69" t="n">
        <v>2026</v>
      </c>
      <c r="D3507" t="inlineStr">
        <is>
          <t>Feb</t>
        </is>
      </c>
      <c r="E3507" t="inlineStr">
        <is>
          <t>United States</t>
        </is>
      </c>
      <c r="F3507" t="inlineStr">
        <is>
          <t>USA</t>
        </is>
      </c>
      <c r="G3507" t="inlineStr">
        <is>
          <t>Abrysvo</t>
        </is>
      </c>
      <c r="H3507" t="inlineStr">
        <is>
          <t>Retail pharmacy</t>
        </is>
      </c>
      <c r="I3507" t="inlineStr">
        <is>
          <t>Public payer</t>
        </is>
      </c>
      <c r="J3507" t="inlineStr">
        <is>
          <t>Ravindra Patil</t>
        </is>
      </c>
      <c r="K3507" s="70" t="n">
        <v>1340</v>
      </c>
      <c r="L3507" s="71" t="n">
        <v>495.38</v>
      </c>
      <c r="M3507" s="71" t="n">
        <v>663809.2</v>
      </c>
      <c r="N3507" s="71" t="n">
        <v>165952.3</v>
      </c>
      <c r="O3507" s="71" t="n">
        <v>497856.9</v>
      </c>
      <c r="P3507" s="71" t="n">
        <v>114631.36</v>
      </c>
      <c r="Q3507" s="71" t="n">
        <v>383225.54</v>
      </c>
      <c r="R3507" t="inlineStr">
        <is>
          <t>Vaccines</t>
        </is>
      </c>
      <c r="S3507" s="70" t="n">
        <v>1078</v>
      </c>
      <c r="T3507" s="71" t="n">
        <v>83468.58</v>
      </c>
      <c r="U3507" t="inlineStr">
        <is>
          <t>Low</t>
        </is>
      </c>
      <c r="V3507">
        <f>IF(AND(OR(Dashboard!$C$6="All",E3507=Dashboard!$C$6),OR(Dashboard!$F$6="All",G3507=Dashboard!$F$6),OR(Dashboard!$I$6="All",H3507=Dashboard!$I$6)),1,0)</f>
        <v/>
      </c>
    </row>
    <row r="3508">
      <c r="A3508" t="inlineStr">
        <is>
          <t>PF103499</t>
        </is>
      </c>
      <c r="B3508" s="68" t="n">
        <v>46078</v>
      </c>
      <c r="C3508" s="69" t="n">
        <v>2026</v>
      </c>
      <c r="D3508" t="inlineStr">
        <is>
          <t>Feb</t>
        </is>
      </c>
      <c r="E3508" t="inlineStr">
        <is>
          <t>Emerging markets</t>
        </is>
      </c>
      <c r="F3508" t="inlineStr">
        <is>
          <t>India</t>
        </is>
      </c>
      <c r="G3508" t="inlineStr">
        <is>
          <t>Ibrance</t>
        </is>
      </c>
      <c r="H3508" t="inlineStr">
        <is>
          <t>Retail pharmacy</t>
        </is>
      </c>
      <c r="I3508" t="inlineStr">
        <is>
          <t>Public payer</t>
        </is>
      </c>
      <c r="J3508" t="inlineStr">
        <is>
          <t>Emma Clarke</t>
        </is>
      </c>
      <c r="K3508" s="70" t="n">
        <v>2101</v>
      </c>
      <c r="L3508" s="71" t="n">
        <v>2795.19</v>
      </c>
      <c r="M3508" s="71" t="n">
        <v>5872694.19</v>
      </c>
      <c r="N3508" s="71" t="n">
        <v>1468173.55</v>
      </c>
      <c r="O3508" s="71" t="n">
        <v>4404520.64</v>
      </c>
      <c r="P3508" s="71" t="n">
        <v>884181.6800000001</v>
      </c>
      <c r="Q3508" s="71" t="n">
        <v>3520338.96</v>
      </c>
      <c r="R3508" t="inlineStr">
        <is>
          <t>Oncology</t>
        </is>
      </c>
      <c r="S3508" s="70" t="n">
        <v>1478</v>
      </c>
      <c r="T3508" s="71" t="n">
        <v>1091661.02</v>
      </c>
      <c r="U3508" t="inlineStr">
        <is>
          <t>High</t>
        </is>
      </c>
      <c r="V3508">
        <f>IF(AND(OR(Dashboard!$C$6="All",E3508=Dashboard!$C$6),OR(Dashboard!$F$6="All",G3508=Dashboard!$F$6),OR(Dashboard!$I$6="All",H3508=Dashboard!$I$6)),1,0)</f>
        <v/>
      </c>
    </row>
    <row r="3509">
      <c r="A3509" t="inlineStr">
        <is>
          <t>PF103500</t>
        </is>
      </c>
      <c r="B3509" s="68" t="n">
        <v>46078</v>
      </c>
      <c r="C3509" s="69" t="n">
        <v>2026</v>
      </c>
      <c r="D3509" t="inlineStr">
        <is>
          <t>Feb</t>
        </is>
      </c>
      <c r="E3509" t="inlineStr">
        <is>
          <t>Emerging markets</t>
        </is>
      </c>
      <c r="F3509" t="inlineStr">
        <is>
          <t>China</t>
        </is>
      </c>
      <c r="G3509" t="inlineStr">
        <is>
          <t>Comirnaty</t>
        </is>
      </c>
      <c r="H3509" t="inlineStr">
        <is>
          <t>Hospital</t>
        </is>
      </c>
      <c r="I3509" t="inlineStr">
        <is>
          <t>Private insurer</t>
        </is>
      </c>
      <c r="J3509" t="inlineStr">
        <is>
          <t>Lucas Martin</t>
        </is>
      </c>
      <c r="K3509" s="70" t="n">
        <v>2051</v>
      </c>
      <c r="L3509" s="71" t="n">
        <v>89.14</v>
      </c>
      <c r="M3509" s="71" t="n">
        <v>182826.14</v>
      </c>
      <c r="N3509" s="71" t="n">
        <v>45706.54</v>
      </c>
      <c r="O3509" s="71" t="n">
        <v>137119.6</v>
      </c>
      <c r="P3509" s="71" t="n">
        <v>81927.62</v>
      </c>
      <c r="Q3509" s="71" t="n">
        <v>55191.98</v>
      </c>
      <c r="R3509" t="inlineStr">
        <is>
          <t>Vaccines</t>
        </is>
      </c>
      <c r="S3509" s="70" t="n">
        <v>1351</v>
      </c>
      <c r="T3509" s="71" t="n">
        <v>30063.85</v>
      </c>
      <c r="U3509" t="inlineStr">
        <is>
          <t>Low</t>
        </is>
      </c>
      <c r="V3509">
        <f>IF(AND(OR(Dashboard!$C$6="All",E3509=Dashboard!$C$6),OR(Dashboard!$F$6="All",G3509=Dashboard!$F$6),OR(Dashboard!$I$6="All",H3509=Dashboard!$I$6)),1,0)</f>
        <v/>
      </c>
    </row>
    <row r="3510">
      <c r="A3510" t="inlineStr">
        <is>
          <t>PF103501</t>
        </is>
      </c>
      <c r="B3510" s="68" t="n">
        <v>46078</v>
      </c>
      <c r="C3510" s="69" t="n">
        <v>2026</v>
      </c>
      <c r="D3510" t="inlineStr">
        <is>
          <t>Feb</t>
        </is>
      </c>
      <c r="E3510" t="inlineStr">
        <is>
          <t>United States</t>
        </is>
      </c>
      <c r="F3510" t="inlineStr">
        <is>
          <t>USA</t>
        </is>
      </c>
      <c r="G3510" t="inlineStr">
        <is>
          <t>Prevnar 20</t>
        </is>
      </c>
      <c r="H3510" t="inlineStr">
        <is>
          <t>Hospital</t>
        </is>
      </c>
      <c r="I3510" t="inlineStr">
        <is>
          <t>Private insurer</t>
        </is>
      </c>
      <c r="J3510" t="inlineStr">
        <is>
          <t>Kofi Mensah</t>
        </is>
      </c>
      <c r="K3510" s="70" t="n">
        <v>2731</v>
      </c>
      <c r="L3510" s="71" t="n">
        <v>394.18</v>
      </c>
      <c r="M3510" s="71" t="n">
        <v>1076505.58</v>
      </c>
      <c r="N3510" s="71" t="n">
        <v>376776.95</v>
      </c>
      <c r="O3510" s="71" t="n">
        <v>699728.63</v>
      </c>
      <c r="P3510" s="71" t="n">
        <v>181438.46</v>
      </c>
      <c r="Q3510" s="71" t="n">
        <v>518290.17</v>
      </c>
      <c r="R3510" t="inlineStr">
        <is>
          <t>Vaccines</t>
        </is>
      </c>
      <c r="S3510" s="70" t="n">
        <v>2029</v>
      </c>
      <c r="T3510" s="71" t="n">
        <v>149451.3</v>
      </c>
      <c r="U3510" t="inlineStr">
        <is>
          <t>Low</t>
        </is>
      </c>
      <c r="V3510">
        <f>IF(AND(OR(Dashboard!$C$6="All",E3510=Dashboard!$C$6),OR(Dashboard!$F$6="All",G3510=Dashboard!$F$6),OR(Dashboard!$I$6="All",H3510=Dashboard!$I$6)),1,0)</f>
        <v/>
      </c>
    </row>
    <row r="3511">
      <c r="A3511" t="inlineStr">
        <is>
          <t>PF103502</t>
        </is>
      </c>
      <c r="B3511" s="68" t="n">
        <v>46078</v>
      </c>
      <c r="C3511" s="69" t="n">
        <v>2026</v>
      </c>
      <c r="D3511" t="inlineStr">
        <is>
          <t>Feb</t>
        </is>
      </c>
      <c r="E3511" t="inlineStr">
        <is>
          <t>United States</t>
        </is>
      </c>
      <c r="F3511" t="inlineStr">
        <is>
          <t>USA</t>
        </is>
      </c>
      <c r="G3511" t="inlineStr">
        <is>
          <t>Prevnar 20</t>
        </is>
      </c>
      <c r="H3511" t="inlineStr">
        <is>
          <t>Government / tender</t>
        </is>
      </c>
      <c r="I3511" t="inlineStr">
        <is>
          <t>Self-pay</t>
        </is>
      </c>
      <c r="J3511" t="inlineStr">
        <is>
          <t>Sara Rossi</t>
        </is>
      </c>
      <c r="K3511" s="70" t="n">
        <v>804</v>
      </c>
      <c r="L3511" s="71" t="n">
        <v>382.25</v>
      </c>
      <c r="M3511" s="71" t="n">
        <v>307329</v>
      </c>
      <c r="N3511" s="71" t="n">
        <v>107565.15</v>
      </c>
      <c r="O3511" s="71" t="n">
        <v>199763.85</v>
      </c>
      <c r="P3511" s="71" t="n">
        <v>55652.48</v>
      </c>
      <c r="Q3511" s="71" t="n">
        <v>144111.37</v>
      </c>
      <c r="R3511" t="inlineStr">
        <is>
          <t>Vaccines</t>
        </is>
      </c>
      <c r="S3511" s="70" t="n">
        <v>623</v>
      </c>
      <c r="T3511" s="71" t="n">
        <v>57139.27</v>
      </c>
      <c r="U3511" t="inlineStr">
        <is>
          <t>Low</t>
        </is>
      </c>
      <c r="V3511">
        <f>IF(AND(OR(Dashboard!$C$6="All",E3511=Dashboard!$C$6),OR(Dashboard!$F$6="All",G3511=Dashboard!$F$6),OR(Dashboard!$I$6="All",H3511=Dashboard!$I$6)),1,0)</f>
        <v/>
      </c>
    </row>
    <row r="3512">
      <c r="A3512" t="inlineStr">
        <is>
          <t>PF103503</t>
        </is>
      </c>
      <c r="B3512" s="68" t="n">
        <v>46078</v>
      </c>
      <c r="C3512" s="69" t="n">
        <v>2026</v>
      </c>
      <c r="D3512" t="inlineStr">
        <is>
          <t>Feb</t>
        </is>
      </c>
      <c r="E3512" t="inlineStr">
        <is>
          <t>Europe</t>
        </is>
      </c>
      <c r="F3512" t="inlineStr">
        <is>
          <t>Spain</t>
        </is>
      </c>
      <c r="G3512" t="inlineStr">
        <is>
          <t>Prevnar 20</t>
        </is>
      </c>
      <c r="H3512" t="inlineStr">
        <is>
          <t>Government / tender</t>
        </is>
      </c>
      <c r="I3512" t="inlineStr">
        <is>
          <t>Public payer</t>
        </is>
      </c>
      <c r="J3512" t="inlineStr">
        <is>
          <t>Ruhi Shaikh</t>
        </is>
      </c>
      <c r="K3512" s="70" t="n">
        <v>268</v>
      </c>
      <c r="L3512" s="71" t="n">
        <v>224.25</v>
      </c>
      <c r="M3512" s="71" t="n">
        <v>60099</v>
      </c>
      <c r="N3512" s="71" t="n">
        <v>3004.95</v>
      </c>
      <c r="O3512" s="71" t="n">
        <v>57094.05</v>
      </c>
      <c r="P3512" s="71" t="n">
        <v>18638.61</v>
      </c>
      <c r="Q3512" s="71" t="n">
        <v>38455.44</v>
      </c>
      <c r="R3512" t="inlineStr">
        <is>
          <t>Vaccines</t>
        </is>
      </c>
      <c r="S3512" s="70" t="n">
        <v>199</v>
      </c>
      <c r="T3512" s="71" t="n">
        <v>9740.4</v>
      </c>
      <c r="U3512" t="inlineStr">
        <is>
          <t>Low</t>
        </is>
      </c>
      <c r="V3512">
        <f>IF(AND(OR(Dashboard!$C$6="All",E3512=Dashboard!$C$6),OR(Dashboard!$F$6="All",G3512=Dashboard!$F$6),OR(Dashboard!$I$6="All",H3512=Dashboard!$I$6)),1,0)</f>
        <v/>
      </c>
    </row>
    <row r="3513">
      <c r="A3513" t="inlineStr">
        <is>
          <t>PF103504</t>
        </is>
      </c>
      <c r="B3513" s="68" t="n">
        <v>46078</v>
      </c>
      <c r="C3513" s="69" t="n">
        <v>2026</v>
      </c>
      <c r="D3513" t="inlineStr">
        <is>
          <t>Feb</t>
        </is>
      </c>
      <c r="E3513" t="inlineStr">
        <is>
          <t>Europe</t>
        </is>
      </c>
      <c r="F3513" t="inlineStr">
        <is>
          <t>Spain</t>
        </is>
      </c>
      <c r="G3513" t="inlineStr">
        <is>
          <t>Prevnar 20</t>
        </is>
      </c>
      <c r="H3513" t="inlineStr">
        <is>
          <t>Retail pharmacy</t>
        </is>
      </c>
      <c r="I3513" t="inlineStr">
        <is>
          <t>Private insurer</t>
        </is>
      </c>
      <c r="J3513" t="inlineStr">
        <is>
          <t>Priya Nair</t>
        </is>
      </c>
      <c r="K3513" s="70" t="n">
        <v>415</v>
      </c>
      <c r="L3513" s="71" t="n">
        <v>251.53</v>
      </c>
      <c r="M3513" s="71" t="n">
        <v>104384.95</v>
      </c>
      <c r="N3513" s="71" t="n">
        <v>26096.24</v>
      </c>
      <c r="O3513" s="71" t="n">
        <v>78288.71000000001</v>
      </c>
      <c r="P3513" s="71" t="n">
        <v>27946.43</v>
      </c>
      <c r="Q3513" s="71" t="n">
        <v>50342.28</v>
      </c>
      <c r="R3513" t="inlineStr">
        <is>
          <t>Vaccines</t>
        </is>
      </c>
      <c r="S3513" s="70" t="n">
        <v>324</v>
      </c>
      <c r="T3513" s="71" t="n">
        <v>14840.64</v>
      </c>
      <c r="U3513" t="inlineStr">
        <is>
          <t>Low</t>
        </is>
      </c>
      <c r="V3513">
        <f>IF(AND(OR(Dashboard!$C$6="All",E3513=Dashboard!$C$6),OR(Dashboard!$F$6="All",G3513=Dashboard!$F$6),OR(Dashboard!$I$6="All",H3513=Dashboard!$I$6)),1,0)</f>
        <v/>
      </c>
    </row>
    <row r="3514">
      <c r="A3514" t="inlineStr">
        <is>
          <t>PF103505</t>
        </is>
      </c>
      <c r="B3514" s="68" t="n">
        <v>46079</v>
      </c>
      <c r="C3514" s="69" t="n">
        <v>2026</v>
      </c>
      <c r="D3514" t="inlineStr">
        <is>
          <t>Feb</t>
        </is>
      </c>
      <c r="E3514" t="inlineStr">
        <is>
          <t>Europe</t>
        </is>
      </c>
      <c r="F3514" t="inlineStr">
        <is>
          <t>Italy</t>
        </is>
      </c>
      <c r="G3514" t="inlineStr">
        <is>
          <t>Paxlovid</t>
        </is>
      </c>
      <c r="H3514" t="inlineStr">
        <is>
          <t>Retail pharmacy</t>
        </is>
      </c>
      <c r="I3514" t="inlineStr">
        <is>
          <t>Private insurer</t>
        </is>
      </c>
      <c r="J3514" t="inlineStr">
        <is>
          <t>Noah Smith</t>
        </is>
      </c>
      <c r="K3514" s="70" t="n">
        <v>1206</v>
      </c>
      <c r="L3514" s="71" t="n">
        <v>908.54</v>
      </c>
      <c r="M3514" s="71" t="n">
        <v>1095699.24</v>
      </c>
      <c r="N3514" s="71" t="n">
        <v>219139.85</v>
      </c>
      <c r="O3514" s="71" t="n">
        <v>876559.39</v>
      </c>
      <c r="P3514" s="71" t="n">
        <v>329319.25</v>
      </c>
      <c r="Q3514" s="71" t="n">
        <v>547240.14</v>
      </c>
      <c r="R3514" t="inlineStr">
        <is>
          <t>Antiviral</t>
        </is>
      </c>
      <c r="S3514" s="70" t="n">
        <v>765</v>
      </c>
      <c r="T3514" s="71" t="n">
        <v>239643.74</v>
      </c>
      <c r="U3514" t="inlineStr">
        <is>
          <t>Low</t>
        </is>
      </c>
      <c r="V3514">
        <f>IF(AND(OR(Dashboard!$C$6="All",E3514=Dashboard!$C$6),OR(Dashboard!$F$6="All",G3514=Dashboard!$F$6),OR(Dashboard!$I$6="All",H3514=Dashboard!$I$6)),1,0)</f>
        <v/>
      </c>
    </row>
    <row r="3515">
      <c r="A3515" t="inlineStr">
        <is>
          <t>PF103506</t>
        </is>
      </c>
      <c r="B3515" s="68" t="n">
        <v>46079</v>
      </c>
      <c r="C3515" s="69" t="n">
        <v>2026</v>
      </c>
      <c r="D3515" t="inlineStr">
        <is>
          <t>Feb</t>
        </is>
      </c>
      <c r="E3515" t="inlineStr">
        <is>
          <t>Emerging markets</t>
        </is>
      </c>
      <c r="F3515" t="inlineStr">
        <is>
          <t>Mexico</t>
        </is>
      </c>
      <c r="G3515" t="inlineStr">
        <is>
          <t>Paxlovid</t>
        </is>
      </c>
      <c r="H3515" t="inlineStr">
        <is>
          <t>Hospital</t>
        </is>
      </c>
      <c r="I3515" t="inlineStr">
        <is>
          <t>Private insurer</t>
        </is>
      </c>
      <c r="J3515" t="inlineStr">
        <is>
          <t>Noah Smith</t>
        </is>
      </c>
      <c r="K3515" s="70" t="n">
        <v>812</v>
      </c>
      <c r="L3515" s="71" t="n">
        <v>1008.55</v>
      </c>
      <c r="M3515" s="71" t="n">
        <v>818942.6</v>
      </c>
      <c r="N3515" s="71" t="n">
        <v>163788.52</v>
      </c>
      <c r="O3515" s="71" t="n">
        <v>655154.08</v>
      </c>
      <c r="P3515" s="71" t="n">
        <v>217939.68</v>
      </c>
      <c r="Q3515" s="71" t="n">
        <v>437214.4</v>
      </c>
      <c r="R3515" t="inlineStr">
        <is>
          <t>Antiviral</t>
        </is>
      </c>
      <c r="S3515" s="70" t="n">
        <v>615</v>
      </c>
      <c r="T3515" s="71" t="n">
        <v>193048.35</v>
      </c>
      <c r="U3515" t="inlineStr">
        <is>
          <t>Low</t>
        </is>
      </c>
      <c r="V3515">
        <f>IF(AND(OR(Dashboard!$C$6="All",E3515=Dashboard!$C$6),OR(Dashboard!$F$6="All",G3515=Dashboard!$F$6),OR(Dashboard!$I$6="All",H3515=Dashboard!$I$6)),1,0)</f>
        <v/>
      </c>
    </row>
    <row r="3516">
      <c r="A3516" t="inlineStr">
        <is>
          <t>PF103507</t>
        </is>
      </c>
      <c r="B3516" s="68" t="n">
        <v>46079</v>
      </c>
      <c r="C3516" s="69" t="n">
        <v>2026</v>
      </c>
      <c r="D3516" t="inlineStr">
        <is>
          <t>Feb</t>
        </is>
      </c>
      <c r="E3516" t="inlineStr">
        <is>
          <t>United States</t>
        </is>
      </c>
      <c r="F3516" t="inlineStr">
        <is>
          <t>USA</t>
        </is>
      </c>
      <c r="G3516" t="inlineStr">
        <is>
          <t>Comirnaty</t>
        </is>
      </c>
      <c r="H3516" t="inlineStr">
        <is>
          <t>Retail pharmacy</t>
        </is>
      </c>
      <c r="I3516" t="inlineStr">
        <is>
          <t>Public payer</t>
        </is>
      </c>
      <c r="J3516" t="inlineStr">
        <is>
          <t>Arjun Mehta</t>
        </is>
      </c>
      <c r="K3516" s="70" t="n">
        <v>476</v>
      </c>
      <c r="L3516" s="71" t="n">
        <v>141.32</v>
      </c>
      <c r="M3516" s="71" t="n">
        <v>67268.32000000001</v>
      </c>
      <c r="N3516" s="71" t="n">
        <v>20180.5</v>
      </c>
      <c r="O3516" s="71" t="n">
        <v>47087.82</v>
      </c>
      <c r="P3516" s="71" t="n">
        <v>19054.29</v>
      </c>
      <c r="Q3516" s="71" t="n">
        <v>28033.53</v>
      </c>
      <c r="R3516" t="inlineStr">
        <is>
          <t>Vaccines</t>
        </is>
      </c>
      <c r="S3516" s="70" t="n">
        <v>300</v>
      </c>
      <c r="T3516" s="71" t="n">
        <v>17844.28</v>
      </c>
      <c r="U3516" t="inlineStr">
        <is>
          <t>Low</t>
        </is>
      </c>
      <c r="V3516">
        <f>IF(AND(OR(Dashboard!$C$6="All",E3516=Dashboard!$C$6),OR(Dashboard!$F$6="All",G3516=Dashboard!$F$6),OR(Dashboard!$I$6="All",H3516=Dashboard!$I$6)),1,0)</f>
        <v/>
      </c>
    </row>
    <row r="3517">
      <c r="A3517" t="inlineStr">
        <is>
          <t>PF103508</t>
        </is>
      </c>
      <c r="B3517" s="68" t="n">
        <v>46079</v>
      </c>
      <c r="C3517" s="69" t="n">
        <v>2026</v>
      </c>
      <c r="D3517" t="inlineStr">
        <is>
          <t>Feb</t>
        </is>
      </c>
      <c r="E3517" t="inlineStr">
        <is>
          <t>United States</t>
        </is>
      </c>
      <c r="F3517" t="inlineStr">
        <is>
          <t>USA</t>
        </is>
      </c>
      <c r="G3517" t="inlineStr">
        <is>
          <t>Vyndaqel</t>
        </is>
      </c>
      <c r="H3517" t="inlineStr">
        <is>
          <t>Hospital</t>
        </is>
      </c>
      <c r="I3517" t="inlineStr">
        <is>
          <t>Self-pay</t>
        </is>
      </c>
      <c r="J3517" t="inlineStr">
        <is>
          <t>Sara Rossi</t>
        </is>
      </c>
      <c r="K3517" s="70" t="n">
        <v>1420</v>
      </c>
      <c r="L3517" s="71" t="n">
        <v>8497.629999999999</v>
      </c>
      <c r="M3517" s="71" t="n">
        <v>12066634.6</v>
      </c>
      <c r="N3517" s="71" t="n">
        <v>4223322.11</v>
      </c>
      <c r="O3517" s="71" t="n">
        <v>7843312.49</v>
      </c>
      <c r="P3517" s="71" t="n">
        <v>891450.8199999999</v>
      </c>
      <c r="Q3517" s="71" t="n">
        <v>6951861.67</v>
      </c>
      <c r="R3517" t="inlineStr">
        <is>
          <t>Rare disease</t>
        </is>
      </c>
      <c r="S3517" s="70" t="n">
        <v>958</v>
      </c>
      <c r="T3517" s="71" t="n">
        <v>2023216.2</v>
      </c>
      <c r="U3517" t="inlineStr">
        <is>
          <t>Medium</t>
        </is>
      </c>
      <c r="V3517">
        <f>IF(AND(OR(Dashboard!$C$6="All",E3517=Dashboard!$C$6),OR(Dashboard!$F$6="All",G3517=Dashboard!$F$6),OR(Dashboard!$I$6="All",H3517=Dashboard!$I$6)),1,0)</f>
        <v/>
      </c>
    </row>
    <row r="3518">
      <c r="A3518" t="inlineStr">
        <is>
          <t>PF103509</t>
        </is>
      </c>
      <c r="B3518" s="68" t="n">
        <v>46079</v>
      </c>
      <c r="C3518" s="69" t="n">
        <v>2026</v>
      </c>
      <c r="D3518" t="inlineStr">
        <is>
          <t>Feb</t>
        </is>
      </c>
      <c r="E3518" t="inlineStr">
        <is>
          <t>United States</t>
        </is>
      </c>
      <c r="F3518" t="inlineStr">
        <is>
          <t>USA</t>
        </is>
      </c>
      <c r="G3518" t="inlineStr">
        <is>
          <t>Vyndaqel</t>
        </is>
      </c>
      <c r="H3518" t="inlineStr">
        <is>
          <t>Hospital</t>
        </is>
      </c>
      <c r="I3518" t="inlineStr">
        <is>
          <t>Self-pay</t>
        </is>
      </c>
      <c r="J3518" t="inlineStr">
        <is>
          <t>Ruhi Shaikh</t>
        </is>
      </c>
      <c r="K3518" s="70" t="n">
        <v>1038</v>
      </c>
      <c r="L3518" s="71" t="n">
        <v>9425.209999999999</v>
      </c>
      <c r="M3518" s="71" t="n">
        <v>9783367.98</v>
      </c>
      <c r="N3518" s="71" t="n">
        <v>2445842</v>
      </c>
      <c r="O3518" s="71" t="n">
        <v>7337525.98</v>
      </c>
      <c r="P3518" s="71" t="n">
        <v>667532.1</v>
      </c>
      <c r="Q3518" s="71" t="n">
        <v>6669993.88</v>
      </c>
      <c r="R3518" t="inlineStr">
        <is>
          <t>Rare disease</t>
        </is>
      </c>
      <c r="S3518" s="70" t="n">
        <v>652</v>
      </c>
      <c r="T3518" s="71" t="n">
        <v>1911467.3</v>
      </c>
      <c r="U3518" t="inlineStr">
        <is>
          <t>Medium</t>
        </is>
      </c>
      <c r="V3518">
        <f>IF(AND(OR(Dashboard!$C$6="All",E3518=Dashboard!$C$6),OR(Dashboard!$F$6="All",G3518=Dashboard!$F$6),OR(Dashboard!$I$6="All",H3518=Dashboard!$I$6)),1,0)</f>
        <v/>
      </c>
    </row>
    <row r="3519">
      <c r="A3519" t="inlineStr">
        <is>
          <t>PF103510</t>
        </is>
      </c>
      <c r="B3519" s="68" t="n">
        <v>46079</v>
      </c>
      <c r="C3519" s="69" t="n">
        <v>2026</v>
      </c>
      <c r="D3519" t="inlineStr">
        <is>
          <t>Feb</t>
        </is>
      </c>
      <c r="E3519" t="inlineStr">
        <is>
          <t>Emerging markets</t>
        </is>
      </c>
      <c r="F3519" t="inlineStr">
        <is>
          <t>China</t>
        </is>
      </c>
      <c r="G3519" t="inlineStr">
        <is>
          <t>Eliquis</t>
        </is>
      </c>
      <c r="H3519" t="inlineStr">
        <is>
          <t>Hospital</t>
        </is>
      </c>
      <c r="I3519" t="inlineStr">
        <is>
          <t>Private insurer</t>
        </is>
      </c>
      <c r="J3519" t="inlineStr">
        <is>
          <t>Arjun Mehta</t>
        </is>
      </c>
      <c r="K3519" s="70" t="n">
        <v>1705</v>
      </c>
      <c r="L3519" s="71" t="n">
        <v>426.31</v>
      </c>
      <c r="M3519" s="71" t="n">
        <v>726858.55</v>
      </c>
      <c r="N3519" s="71" t="n">
        <v>109028.78</v>
      </c>
      <c r="O3519" s="71" t="n">
        <v>617829.77</v>
      </c>
      <c r="P3519" s="71" t="n">
        <v>131267.91</v>
      </c>
      <c r="Q3519" s="71" t="n">
        <v>486561.86</v>
      </c>
      <c r="R3519" t="inlineStr">
        <is>
          <t>Cardiology</t>
        </is>
      </c>
      <c r="S3519" s="70" t="n">
        <v>1259</v>
      </c>
      <c r="T3519" s="71" t="n">
        <v>96782.99000000001</v>
      </c>
      <c r="U3519" t="inlineStr">
        <is>
          <t>High</t>
        </is>
      </c>
      <c r="V3519">
        <f>IF(AND(OR(Dashboard!$C$6="All",E3519=Dashboard!$C$6),OR(Dashboard!$F$6="All",G3519=Dashboard!$F$6),OR(Dashboard!$I$6="All",H3519=Dashboard!$I$6)),1,0)</f>
        <v/>
      </c>
    </row>
    <row r="3520">
      <c r="A3520" t="inlineStr">
        <is>
          <t>PF103511</t>
        </is>
      </c>
      <c r="B3520" s="68" t="n">
        <v>46079</v>
      </c>
      <c r="C3520" s="69" t="n">
        <v>2026</v>
      </c>
      <c r="D3520" t="inlineStr">
        <is>
          <t>Feb</t>
        </is>
      </c>
      <c r="E3520" t="inlineStr">
        <is>
          <t>Europe</t>
        </is>
      </c>
      <c r="F3520" t="inlineStr">
        <is>
          <t>Germany</t>
        </is>
      </c>
      <c r="G3520" t="inlineStr">
        <is>
          <t>Xeljanz</t>
        </is>
      </c>
      <c r="H3520" t="inlineStr">
        <is>
          <t>Hospital</t>
        </is>
      </c>
      <c r="I3520" t="inlineStr">
        <is>
          <t>Self-pay</t>
        </is>
      </c>
      <c r="J3520" t="inlineStr">
        <is>
          <t>Arjun Mehta</t>
        </is>
      </c>
      <c r="K3520" s="70" t="n">
        <v>413</v>
      </c>
      <c r="L3520" s="71" t="n">
        <v>1321.39</v>
      </c>
      <c r="M3520" s="71" t="n">
        <v>545734.0699999999</v>
      </c>
      <c r="N3520" s="71" t="n">
        <v>27286.7</v>
      </c>
      <c r="O3520" s="71" t="n">
        <v>518447.37</v>
      </c>
      <c r="P3520" s="71" t="n">
        <v>107626.8</v>
      </c>
      <c r="Q3520" s="71" t="n">
        <v>410820.57</v>
      </c>
      <c r="R3520" t="inlineStr">
        <is>
          <t>Inflammation</t>
        </is>
      </c>
      <c r="S3520" s="70" t="n">
        <v>322</v>
      </c>
      <c r="T3520" s="71" t="n">
        <v>83071.92999999999</v>
      </c>
      <c r="U3520" t="inlineStr">
        <is>
          <t>High</t>
        </is>
      </c>
      <c r="V3520">
        <f>IF(AND(OR(Dashboard!$C$6="All",E3520=Dashboard!$C$6),OR(Dashboard!$F$6="All",G3520=Dashboard!$F$6),OR(Dashboard!$I$6="All",H3520=Dashboard!$I$6)),1,0)</f>
        <v/>
      </c>
    </row>
    <row r="3521">
      <c r="A3521" t="inlineStr">
        <is>
          <t>PF103512</t>
        </is>
      </c>
      <c r="B3521" s="68" t="n">
        <v>46079</v>
      </c>
      <c r="C3521" s="69" t="n">
        <v>2026</v>
      </c>
      <c r="D3521" t="inlineStr">
        <is>
          <t>Feb</t>
        </is>
      </c>
      <c r="E3521" t="inlineStr">
        <is>
          <t>Europe</t>
        </is>
      </c>
      <c r="F3521" t="inlineStr">
        <is>
          <t>France</t>
        </is>
      </c>
      <c r="G3521" t="inlineStr">
        <is>
          <t>Comirnaty</t>
        </is>
      </c>
      <c r="H3521" t="inlineStr">
        <is>
          <t>Retail pharmacy</t>
        </is>
      </c>
      <c r="I3521" t="inlineStr">
        <is>
          <t>Public payer</t>
        </is>
      </c>
      <c r="J3521" t="inlineStr">
        <is>
          <t>Yuki Sato</t>
        </is>
      </c>
      <c r="K3521" s="70" t="n">
        <v>1691</v>
      </c>
      <c r="L3521" s="71" t="n">
        <v>93.54000000000001</v>
      </c>
      <c r="M3521" s="71" t="n">
        <v>158176.14</v>
      </c>
      <c r="N3521" s="71" t="n">
        <v>23726.42</v>
      </c>
      <c r="O3521" s="71" t="n">
        <v>134449.72</v>
      </c>
      <c r="P3521" s="71" t="n">
        <v>62824.46</v>
      </c>
      <c r="Q3521" s="71" t="n">
        <v>71625.25999999999</v>
      </c>
      <c r="R3521" t="inlineStr">
        <is>
          <t>Vaccines</t>
        </is>
      </c>
      <c r="S3521" s="70" t="n">
        <v>1481</v>
      </c>
      <c r="T3521" s="71" t="n">
        <v>33843.41</v>
      </c>
      <c r="U3521" t="inlineStr">
        <is>
          <t>Low</t>
        </is>
      </c>
      <c r="V3521">
        <f>IF(AND(OR(Dashboard!$C$6="All",E3521=Dashboard!$C$6),OR(Dashboard!$F$6="All",G3521=Dashboard!$F$6),OR(Dashboard!$I$6="All",H3521=Dashboard!$I$6)),1,0)</f>
        <v/>
      </c>
    </row>
    <row r="3522">
      <c r="A3522" t="inlineStr">
        <is>
          <t>PF103513</t>
        </is>
      </c>
      <c r="B3522" s="68" t="n">
        <v>46080</v>
      </c>
      <c r="C3522" s="69" t="n">
        <v>2026</v>
      </c>
      <c r="D3522" t="inlineStr">
        <is>
          <t>Feb</t>
        </is>
      </c>
      <c r="E3522" t="inlineStr">
        <is>
          <t>United States</t>
        </is>
      </c>
      <c r="F3522" t="inlineStr">
        <is>
          <t>USA</t>
        </is>
      </c>
      <c r="G3522" t="inlineStr">
        <is>
          <t>Eliquis</t>
        </is>
      </c>
      <c r="H3522" t="inlineStr">
        <is>
          <t>Retail pharmacy</t>
        </is>
      </c>
      <c r="I3522" t="inlineStr">
        <is>
          <t>Public payer</t>
        </is>
      </c>
      <c r="J3522" t="inlineStr">
        <is>
          <t>Ana Costa</t>
        </is>
      </c>
      <c r="K3522" s="70" t="n">
        <v>1275</v>
      </c>
      <c r="L3522" s="71" t="n">
        <v>664</v>
      </c>
      <c r="M3522" s="71" t="n">
        <v>846600</v>
      </c>
      <c r="N3522" s="71" t="n">
        <v>169320</v>
      </c>
      <c r="O3522" s="71" t="n">
        <v>677280</v>
      </c>
      <c r="P3522" s="71" t="n">
        <v>96672.94</v>
      </c>
      <c r="Q3522" s="71" t="n">
        <v>580607.0600000001</v>
      </c>
      <c r="R3522" t="inlineStr">
        <is>
          <t>Cardiology</t>
        </is>
      </c>
      <c r="S3522" s="70" t="n">
        <v>849</v>
      </c>
      <c r="T3522" s="71" t="n">
        <v>150380.7</v>
      </c>
      <c r="U3522" t="inlineStr">
        <is>
          <t>High</t>
        </is>
      </c>
      <c r="V3522">
        <f>IF(AND(OR(Dashboard!$C$6="All",E3522=Dashboard!$C$6),OR(Dashboard!$F$6="All",G3522=Dashboard!$F$6),OR(Dashboard!$I$6="All",H3522=Dashboard!$I$6)),1,0)</f>
        <v/>
      </c>
    </row>
    <row r="3523">
      <c r="A3523" t="inlineStr">
        <is>
          <t>PF103514</t>
        </is>
      </c>
      <c r="B3523" s="68" t="n">
        <v>46080</v>
      </c>
      <c r="C3523" s="69" t="n">
        <v>2026</v>
      </c>
      <c r="D3523" t="inlineStr">
        <is>
          <t>Feb</t>
        </is>
      </c>
      <c r="E3523" t="inlineStr">
        <is>
          <t>United States</t>
        </is>
      </c>
      <c r="F3523" t="inlineStr">
        <is>
          <t>USA</t>
        </is>
      </c>
      <c r="G3523" t="inlineStr">
        <is>
          <t>Paxlovid</t>
        </is>
      </c>
      <c r="H3523" t="inlineStr">
        <is>
          <t>Hospital</t>
        </is>
      </c>
      <c r="I3523" t="inlineStr">
        <is>
          <t>Public payer</t>
        </is>
      </c>
      <c r="J3523" t="inlineStr">
        <is>
          <t>Omar Haddad</t>
        </is>
      </c>
      <c r="K3523" s="70" t="n">
        <v>1210</v>
      </c>
      <c r="L3523" s="71" t="n">
        <v>1602.35</v>
      </c>
      <c r="M3523" s="71" t="n">
        <v>1938843.5</v>
      </c>
      <c r="N3523" s="71" t="n">
        <v>581653.05</v>
      </c>
      <c r="O3523" s="71" t="n">
        <v>1357190.45</v>
      </c>
      <c r="P3523" s="71" t="n">
        <v>338153.52</v>
      </c>
      <c r="Q3523" s="71" t="n">
        <v>1019036.93</v>
      </c>
      <c r="R3523" t="inlineStr">
        <is>
          <t>Antiviral</t>
        </is>
      </c>
      <c r="S3523" s="70" t="n">
        <v>770</v>
      </c>
      <c r="T3523" s="71" t="n">
        <v>388739.3</v>
      </c>
      <c r="U3523" t="inlineStr">
        <is>
          <t>Low</t>
        </is>
      </c>
      <c r="V3523">
        <f>IF(AND(OR(Dashboard!$C$6="All",E3523=Dashboard!$C$6),OR(Dashboard!$F$6="All",G3523=Dashboard!$F$6),OR(Dashboard!$I$6="All",H3523=Dashboard!$I$6)),1,0)</f>
        <v/>
      </c>
    </row>
    <row r="3524">
      <c r="A3524" t="inlineStr">
        <is>
          <t>PF103515</t>
        </is>
      </c>
      <c r="B3524" s="68" t="n">
        <v>46080</v>
      </c>
      <c r="C3524" s="69" t="n">
        <v>2026</v>
      </c>
      <c r="D3524" t="inlineStr">
        <is>
          <t>Feb</t>
        </is>
      </c>
      <c r="E3524" t="inlineStr">
        <is>
          <t>United States</t>
        </is>
      </c>
      <c r="F3524" t="inlineStr">
        <is>
          <t>USA</t>
        </is>
      </c>
      <c r="G3524" t="inlineStr">
        <is>
          <t>Comirnaty</t>
        </is>
      </c>
      <c r="H3524" t="inlineStr">
        <is>
          <t>Retail pharmacy</t>
        </is>
      </c>
      <c r="I3524" t="inlineStr">
        <is>
          <t>Self-pay</t>
        </is>
      </c>
      <c r="J3524" t="inlineStr">
        <is>
          <t>Sophie Müller</t>
        </is>
      </c>
      <c r="K3524" s="70" t="n">
        <v>1582</v>
      </c>
      <c r="L3524" s="71" t="n">
        <v>144.44</v>
      </c>
      <c r="M3524" s="71" t="n">
        <v>228504.08</v>
      </c>
      <c r="N3524" s="71" t="n">
        <v>79976.42999999999</v>
      </c>
      <c r="O3524" s="71" t="n">
        <v>148527.65</v>
      </c>
      <c r="P3524" s="71" t="n">
        <v>62200.84</v>
      </c>
      <c r="Q3524" s="71" t="n">
        <v>86326.81</v>
      </c>
      <c r="R3524" t="inlineStr">
        <is>
          <t>Vaccines</t>
        </is>
      </c>
      <c r="S3524" s="70" t="n">
        <v>1013</v>
      </c>
      <c r="T3524" s="71" t="n">
        <v>48856.13</v>
      </c>
      <c r="U3524" t="inlineStr">
        <is>
          <t>Low</t>
        </is>
      </c>
      <c r="V3524">
        <f>IF(AND(OR(Dashboard!$C$6="All",E3524=Dashboard!$C$6),OR(Dashboard!$F$6="All",G3524=Dashboard!$F$6),OR(Dashboard!$I$6="All",H3524=Dashboard!$I$6)),1,0)</f>
        <v/>
      </c>
    </row>
    <row r="3525">
      <c r="A3525" t="inlineStr">
        <is>
          <t>PF103516</t>
        </is>
      </c>
      <c r="B3525" s="68" t="n">
        <v>46080</v>
      </c>
      <c r="C3525" s="69" t="n">
        <v>2026</v>
      </c>
      <c r="D3525" t="inlineStr">
        <is>
          <t>Feb</t>
        </is>
      </c>
      <c r="E3525" t="inlineStr">
        <is>
          <t>International developed</t>
        </is>
      </c>
      <c r="F3525" t="inlineStr">
        <is>
          <t>Canada</t>
        </is>
      </c>
      <c r="G3525" t="inlineStr">
        <is>
          <t>Abrysvo</t>
        </is>
      </c>
      <c r="H3525" t="inlineStr">
        <is>
          <t>Hospital</t>
        </is>
      </c>
      <c r="I3525" t="inlineStr">
        <is>
          <t>Public payer</t>
        </is>
      </c>
      <c r="J3525" t="inlineStr">
        <is>
          <t>Carlos Silva</t>
        </is>
      </c>
      <c r="K3525" s="70" t="n">
        <v>162</v>
      </c>
      <c r="L3525" s="71" t="n">
        <v>350.02</v>
      </c>
      <c r="M3525" s="71" t="n">
        <v>56703.24</v>
      </c>
      <c r="N3525" s="71" t="n">
        <v>14175.81</v>
      </c>
      <c r="O3525" s="71" t="n">
        <v>42527.43</v>
      </c>
      <c r="P3525" s="71" t="n">
        <v>13840.59</v>
      </c>
      <c r="Q3525" s="71" t="n">
        <v>28686.84</v>
      </c>
      <c r="R3525" t="inlineStr">
        <is>
          <t>Vaccines</t>
        </is>
      </c>
      <c r="S3525" s="70" t="n">
        <v>143</v>
      </c>
      <c r="T3525" s="71" t="n">
        <v>10547.92</v>
      </c>
      <c r="U3525" t="inlineStr">
        <is>
          <t>Low</t>
        </is>
      </c>
      <c r="V3525">
        <f>IF(AND(OR(Dashboard!$C$6="All",E3525=Dashboard!$C$6),OR(Dashboard!$F$6="All",G3525=Dashboard!$F$6),OR(Dashboard!$I$6="All",H3525=Dashboard!$I$6)),1,0)</f>
        <v/>
      </c>
    </row>
    <row r="3526">
      <c r="A3526" t="inlineStr">
        <is>
          <t>PF103517</t>
        </is>
      </c>
      <c r="B3526" s="68" t="n">
        <v>46080</v>
      </c>
      <c r="C3526" s="69" t="n">
        <v>2026</v>
      </c>
      <c r="D3526" t="inlineStr">
        <is>
          <t>Feb</t>
        </is>
      </c>
      <c r="E3526" t="inlineStr">
        <is>
          <t>United States</t>
        </is>
      </c>
      <c r="F3526" t="inlineStr">
        <is>
          <t>USA</t>
        </is>
      </c>
      <c r="G3526" t="inlineStr">
        <is>
          <t>Comirnaty</t>
        </is>
      </c>
      <c r="H3526" t="inlineStr">
        <is>
          <t>Retail pharmacy</t>
        </is>
      </c>
      <c r="I3526" t="inlineStr">
        <is>
          <t>Private insurer</t>
        </is>
      </c>
      <c r="J3526" t="inlineStr">
        <is>
          <t>Fatima Al-Saud</t>
        </is>
      </c>
      <c r="K3526" s="70" t="n">
        <v>649</v>
      </c>
      <c r="L3526" s="71" t="n">
        <v>129.14</v>
      </c>
      <c r="M3526" s="71" t="n">
        <v>83811.86</v>
      </c>
      <c r="N3526" s="71" t="n">
        <v>25143.56</v>
      </c>
      <c r="O3526" s="71" t="n">
        <v>58668.3</v>
      </c>
      <c r="P3526" s="71" t="n">
        <v>25428.14</v>
      </c>
      <c r="Q3526" s="71" t="n">
        <v>33240.16</v>
      </c>
      <c r="R3526" t="inlineStr">
        <is>
          <t>Vaccines</t>
        </is>
      </c>
      <c r="S3526" s="70" t="n">
        <v>476</v>
      </c>
      <c r="T3526" s="71" t="n">
        <v>15365.39</v>
      </c>
      <c r="U3526" t="inlineStr">
        <is>
          <t>Low</t>
        </is>
      </c>
      <c r="V3526">
        <f>IF(AND(OR(Dashboard!$C$6="All",E3526=Dashboard!$C$6),OR(Dashboard!$F$6="All",G3526=Dashboard!$F$6),OR(Dashboard!$I$6="All",H3526=Dashboard!$I$6)),1,0)</f>
        <v/>
      </c>
    </row>
    <row r="3527">
      <c r="A3527" t="inlineStr">
        <is>
          <t>PF103518</t>
        </is>
      </c>
      <c r="B3527" s="68" t="n">
        <v>46080</v>
      </c>
      <c r="C3527" s="69" t="n">
        <v>2026</v>
      </c>
      <c r="D3527" t="inlineStr">
        <is>
          <t>Feb</t>
        </is>
      </c>
      <c r="E3527" t="inlineStr">
        <is>
          <t>International developed</t>
        </is>
      </c>
      <c r="F3527" t="inlineStr">
        <is>
          <t>Australia</t>
        </is>
      </c>
      <c r="G3527" t="inlineStr">
        <is>
          <t>Ibrance</t>
        </is>
      </c>
      <c r="H3527" t="inlineStr">
        <is>
          <t>Retail pharmacy</t>
        </is>
      </c>
      <c r="I3527" t="inlineStr">
        <is>
          <t>Private insurer</t>
        </is>
      </c>
      <c r="J3527" t="inlineStr">
        <is>
          <t>Aisha Bello</t>
        </is>
      </c>
      <c r="K3527" s="70" t="n">
        <v>2091</v>
      </c>
      <c r="L3527" s="71" t="n">
        <v>2855.43</v>
      </c>
      <c r="M3527" s="71" t="n">
        <v>5970704.13</v>
      </c>
      <c r="N3527" s="71" t="n">
        <v>1194140.83</v>
      </c>
      <c r="O3527" s="71" t="n">
        <v>4776563.3</v>
      </c>
      <c r="P3527" s="71" t="n">
        <v>908300.8199999999</v>
      </c>
      <c r="Q3527" s="71" t="n">
        <v>3868262.48</v>
      </c>
      <c r="R3527" t="inlineStr">
        <is>
          <t>Oncology</t>
        </is>
      </c>
      <c r="S3527" s="70" t="n">
        <v>1690</v>
      </c>
      <c r="T3527" s="71" t="n">
        <v>1089888.94</v>
      </c>
      <c r="U3527" t="inlineStr">
        <is>
          <t>High</t>
        </is>
      </c>
      <c r="V3527">
        <f>IF(AND(OR(Dashboard!$C$6="All",E3527=Dashboard!$C$6),OR(Dashboard!$F$6="All",G3527=Dashboard!$F$6),OR(Dashboard!$I$6="All",H3527=Dashboard!$I$6)),1,0)</f>
        <v/>
      </c>
    </row>
    <row r="3528">
      <c r="A3528" t="inlineStr">
        <is>
          <t>PF103519</t>
        </is>
      </c>
      <c r="B3528" s="68" t="n">
        <v>46080</v>
      </c>
      <c r="C3528" s="69" t="n">
        <v>2026</v>
      </c>
      <c r="D3528" t="inlineStr">
        <is>
          <t>Feb</t>
        </is>
      </c>
      <c r="E3528" t="inlineStr">
        <is>
          <t>Europe</t>
        </is>
      </c>
      <c r="F3528" t="inlineStr">
        <is>
          <t>France</t>
        </is>
      </c>
      <c r="G3528" t="inlineStr">
        <is>
          <t>Paxlovid</t>
        </is>
      </c>
      <c r="H3528" t="inlineStr">
        <is>
          <t>Hospital</t>
        </is>
      </c>
      <c r="I3528" t="inlineStr">
        <is>
          <t>Private insurer</t>
        </is>
      </c>
      <c r="J3528" t="inlineStr">
        <is>
          <t>Noah Smith</t>
        </is>
      </c>
      <c r="K3528" s="70" t="n">
        <v>397</v>
      </c>
      <c r="L3528" s="71" t="n">
        <v>978.2</v>
      </c>
      <c r="M3528" s="71" t="n">
        <v>388345.4</v>
      </c>
      <c r="N3528" s="71" t="n">
        <v>97086.35000000001</v>
      </c>
      <c r="O3528" s="71" t="n">
        <v>291259.05</v>
      </c>
      <c r="P3528" s="71" t="n">
        <v>108058.16</v>
      </c>
      <c r="Q3528" s="71" t="n">
        <v>183200.89</v>
      </c>
      <c r="R3528" t="inlineStr">
        <is>
          <t>Antiviral</t>
        </is>
      </c>
      <c r="S3528" s="70" t="n">
        <v>298</v>
      </c>
      <c r="T3528" s="71" t="n">
        <v>83462.03</v>
      </c>
      <c r="U3528" t="inlineStr">
        <is>
          <t>Low</t>
        </is>
      </c>
      <c r="V3528">
        <f>IF(AND(OR(Dashboard!$C$6="All",E3528=Dashboard!$C$6),OR(Dashboard!$F$6="All",G3528=Dashboard!$F$6),OR(Dashboard!$I$6="All",H3528=Dashboard!$I$6)),1,0)</f>
        <v/>
      </c>
    </row>
    <row r="3529">
      <c r="A3529" t="inlineStr">
        <is>
          <t>PF103520</t>
        </is>
      </c>
      <c r="B3529" s="68" t="n">
        <v>46080</v>
      </c>
      <c r="C3529" s="69" t="n">
        <v>2026</v>
      </c>
      <c r="D3529" t="inlineStr">
        <is>
          <t>Feb</t>
        </is>
      </c>
      <c r="E3529" t="inlineStr">
        <is>
          <t>Europe</t>
        </is>
      </c>
      <c r="F3529" t="inlineStr">
        <is>
          <t>Germany</t>
        </is>
      </c>
      <c r="G3529" t="inlineStr">
        <is>
          <t>Eliquis</t>
        </is>
      </c>
      <c r="H3529" t="inlineStr">
        <is>
          <t>Hospital</t>
        </is>
      </c>
      <c r="I3529" t="inlineStr">
        <is>
          <t>Self-pay</t>
        </is>
      </c>
      <c r="J3529" t="inlineStr">
        <is>
          <t>Ruhi Shaikh</t>
        </is>
      </c>
      <c r="K3529" s="70" t="n">
        <v>942</v>
      </c>
      <c r="L3529" s="71" t="n">
        <v>475.05</v>
      </c>
      <c r="M3529" s="71" t="n">
        <v>447497.1</v>
      </c>
      <c r="N3529" s="71" t="n">
        <v>44749.71</v>
      </c>
      <c r="O3529" s="71" t="n">
        <v>402747.39</v>
      </c>
      <c r="P3529" s="71" t="n">
        <v>69724.85000000001</v>
      </c>
      <c r="Q3529" s="71" t="n">
        <v>333022.54</v>
      </c>
      <c r="R3529" t="inlineStr">
        <is>
          <t>Cardiology</t>
        </is>
      </c>
      <c r="S3529" s="70" t="n">
        <v>722</v>
      </c>
      <c r="T3529" s="71" t="n">
        <v>65630.12</v>
      </c>
      <c r="U3529" t="inlineStr">
        <is>
          <t>High</t>
        </is>
      </c>
      <c r="V3529">
        <f>IF(AND(OR(Dashboard!$C$6="All",E3529=Dashboard!$C$6),OR(Dashboard!$F$6="All",G3529=Dashboard!$F$6),OR(Dashboard!$I$6="All",H3529=Dashboard!$I$6)),1,0)</f>
        <v/>
      </c>
    </row>
    <row r="3530">
      <c r="A3530" t="inlineStr">
        <is>
          <t>PF103521</t>
        </is>
      </c>
      <c r="B3530" s="68" t="n">
        <v>46080</v>
      </c>
      <c r="C3530" s="69" t="n">
        <v>2026</v>
      </c>
      <c r="D3530" t="inlineStr">
        <is>
          <t>Feb</t>
        </is>
      </c>
      <c r="E3530" t="inlineStr">
        <is>
          <t>United States</t>
        </is>
      </c>
      <c r="F3530" t="inlineStr">
        <is>
          <t>USA</t>
        </is>
      </c>
      <c r="G3530" t="inlineStr">
        <is>
          <t>Prevnar 20</t>
        </is>
      </c>
      <c r="H3530" t="inlineStr">
        <is>
          <t>Retail pharmacy</t>
        </is>
      </c>
      <c r="I3530" t="inlineStr">
        <is>
          <t>Public payer</t>
        </is>
      </c>
      <c r="J3530" t="inlineStr">
        <is>
          <t>Sophie Müller</t>
        </is>
      </c>
      <c r="K3530" s="70" t="n">
        <v>2411</v>
      </c>
      <c r="L3530" s="71" t="n">
        <v>407.86</v>
      </c>
      <c r="M3530" s="71" t="n">
        <v>983350.46</v>
      </c>
      <c r="N3530" s="71" t="n">
        <v>295005.14</v>
      </c>
      <c r="O3530" s="71" t="n">
        <v>688345.3199999999</v>
      </c>
      <c r="P3530" s="71" t="n">
        <v>170233.44</v>
      </c>
      <c r="Q3530" s="71" t="n">
        <v>518111.88</v>
      </c>
      <c r="R3530" t="inlineStr">
        <is>
          <t>Vaccines</t>
        </is>
      </c>
      <c r="S3530" s="70" t="n">
        <v>1655</v>
      </c>
      <c r="T3530" s="71" t="n">
        <v>139731.72</v>
      </c>
      <c r="U3530" t="inlineStr">
        <is>
          <t>Low</t>
        </is>
      </c>
      <c r="V3530">
        <f>IF(AND(OR(Dashboard!$C$6="All",E3530=Dashboard!$C$6),OR(Dashboard!$F$6="All",G3530=Dashboard!$F$6),OR(Dashboard!$I$6="All",H3530=Dashboard!$I$6)),1,0)</f>
        <v/>
      </c>
    </row>
    <row r="3531">
      <c r="A3531" t="inlineStr">
        <is>
          <t>PF103522</t>
        </is>
      </c>
      <c r="B3531" s="68" t="n">
        <v>46080</v>
      </c>
      <c r="C3531" s="69" t="n">
        <v>2026</v>
      </c>
      <c r="D3531" t="inlineStr">
        <is>
          <t>Feb</t>
        </is>
      </c>
      <c r="E3531" t="inlineStr">
        <is>
          <t>Europe</t>
        </is>
      </c>
      <c r="F3531" t="inlineStr">
        <is>
          <t>Germany</t>
        </is>
      </c>
      <c r="G3531" t="inlineStr">
        <is>
          <t>Ibrance</t>
        </is>
      </c>
      <c r="H3531" t="inlineStr">
        <is>
          <t>Hospital</t>
        </is>
      </c>
      <c r="I3531" t="inlineStr">
        <is>
          <t>Public payer</t>
        </is>
      </c>
      <c r="J3531" t="inlineStr">
        <is>
          <t>Sophie Müller</t>
        </is>
      </c>
      <c r="K3531" s="70" t="n">
        <v>1563</v>
      </c>
      <c r="L3531" s="71" t="n">
        <v>2753.28</v>
      </c>
      <c r="M3531" s="71" t="n">
        <v>4303376.64</v>
      </c>
      <c r="N3531" s="71" t="n">
        <v>645506.5</v>
      </c>
      <c r="O3531" s="71" t="n">
        <v>3657870.14</v>
      </c>
      <c r="P3531" s="71" t="n">
        <v>670184</v>
      </c>
      <c r="Q3531" s="71" t="n">
        <v>2987686.14</v>
      </c>
      <c r="R3531" t="inlineStr">
        <is>
          <t>Oncology</t>
        </is>
      </c>
      <c r="S3531" s="70" t="n">
        <v>1346</v>
      </c>
      <c r="T3531" s="71" t="n">
        <v>709468.11</v>
      </c>
      <c r="U3531" t="inlineStr">
        <is>
          <t>High</t>
        </is>
      </c>
      <c r="V3531">
        <f>IF(AND(OR(Dashboard!$C$6="All",E3531=Dashboard!$C$6),OR(Dashboard!$F$6="All",G3531=Dashboard!$F$6),OR(Dashboard!$I$6="All",H3531=Dashboard!$I$6)),1,0)</f>
        <v/>
      </c>
    </row>
    <row r="3532">
      <c r="A3532" t="inlineStr">
        <is>
          <t>PF103523</t>
        </is>
      </c>
      <c r="B3532" s="68" t="n">
        <v>46080</v>
      </c>
      <c r="C3532" s="69" t="n">
        <v>2026</v>
      </c>
      <c r="D3532" t="inlineStr">
        <is>
          <t>Feb</t>
        </is>
      </c>
      <c r="E3532" t="inlineStr">
        <is>
          <t>International developed</t>
        </is>
      </c>
      <c r="F3532" t="inlineStr">
        <is>
          <t>Canada</t>
        </is>
      </c>
      <c r="G3532" t="inlineStr">
        <is>
          <t>Vyndaqel</t>
        </is>
      </c>
      <c r="H3532" t="inlineStr">
        <is>
          <t>Hospital</t>
        </is>
      </c>
      <c r="I3532" t="inlineStr">
        <is>
          <t>Private insurer</t>
        </is>
      </c>
      <c r="J3532" t="inlineStr">
        <is>
          <t>Ruhi Shaikh</t>
        </is>
      </c>
      <c r="K3532" s="70" t="n">
        <v>1840</v>
      </c>
      <c r="L3532" s="71" t="n">
        <v>5383.06</v>
      </c>
      <c r="M3532" s="71" t="n">
        <v>9904830.4</v>
      </c>
      <c r="N3532" s="71" t="n">
        <v>495241.52</v>
      </c>
      <c r="O3532" s="71" t="n">
        <v>9409588.880000001</v>
      </c>
      <c r="P3532" s="71" t="n">
        <v>1158611.65</v>
      </c>
      <c r="Q3532" s="71" t="n">
        <v>8250977.23</v>
      </c>
      <c r="R3532" t="inlineStr">
        <is>
          <t>Rare disease</t>
        </is>
      </c>
      <c r="S3532" s="70" t="n">
        <v>1465</v>
      </c>
      <c r="T3532" s="71" t="n">
        <v>1100006.54</v>
      </c>
      <c r="U3532" t="inlineStr">
        <is>
          <t>Medium</t>
        </is>
      </c>
      <c r="V3532">
        <f>IF(AND(OR(Dashboard!$C$6="All",E3532=Dashboard!$C$6),OR(Dashboard!$F$6="All",G3532=Dashboard!$F$6),OR(Dashboard!$I$6="All",H3532=Dashboard!$I$6)),1,0)</f>
        <v/>
      </c>
    </row>
    <row r="3533">
      <c r="A3533" t="inlineStr">
        <is>
          <t>PF103524</t>
        </is>
      </c>
      <c r="B3533" s="68" t="n">
        <v>46080</v>
      </c>
      <c r="C3533" s="69" t="n">
        <v>2026</v>
      </c>
      <c r="D3533" t="inlineStr">
        <is>
          <t>Feb</t>
        </is>
      </c>
      <c r="E3533" t="inlineStr">
        <is>
          <t>United States</t>
        </is>
      </c>
      <c r="F3533" t="inlineStr">
        <is>
          <t>USA</t>
        </is>
      </c>
      <c r="G3533" t="inlineStr">
        <is>
          <t>Abrysvo</t>
        </is>
      </c>
      <c r="H3533" t="inlineStr">
        <is>
          <t>Hospital</t>
        </is>
      </c>
      <c r="I3533" t="inlineStr">
        <is>
          <t>Public payer</t>
        </is>
      </c>
      <c r="J3533" t="inlineStr">
        <is>
          <t>Lucas Martin</t>
        </is>
      </c>
      <c r="K3533" s="70" t="n">
        <v>664</v>
      </c>
      <c r="L3533" s="71" t="n">
        <v>530.02</v>
      </c>
      <c r="M3533" s="71" t="n">
        <v>351933.28</v>
      </c>
      <c r="N3533" s="71" t="n">
        <v>87983.32000000001</v>
      </c>
      <c r="O3533" s="71" t="n">
        <v>263949.96</v>
      </c>
      <c r="P3533" s="71" t="n">
        <v>55452.43</v>
      </c>
      <c r="Q3533" s="71" t="n">
        <v>208497.53</v>
      </c>
      <c r="R3533" t="inlineStr">
        <is>
          <t>Vaccines</t>
        </is>
      </c>
      <c r="S3533" s="70" t="n">
        <v>491</v>
      </c>
      <c r="T3533" s="71" t="n">
        <v>50807.41</v>
      </c>
      <c r="U3533" t="inlineStr">
        <is>
          <t>Low</t>
        </is>
      </c>
      <c r="V3533">
        <f>IF(AND(OR(Dashboard!$C$6="All",E3533=Dashboard!$C$6),OR(Dashboard!$F$6="All",G3533=Dashboard!$F$6),OR(Dashboard!$I$6="All",H3533=Dashboard!$I$6)),1,0)</f>
        <v/>
      </c>
    </row>
    <row r="3534">
      <c r="A3534" t="inlineStr">
        <is>
          <t>PF103525</t>
        </is>
      </c>
      <c r="B3534" s="68" t="n">
        <v>46080</v>
      </c>
      <c r="C3534" s="69" t="n">
        <v>2026</v>
      </c>
      <c r="D3534" t="inlineStr">
        <is>
          <t>Feb</t>
        </is>
      </c>
      <c r="E3534" t="inlineStr">
        <is>
          <t>Emerging markets</t>
        </is>
      </c>
      <c r="F3534" t="inlineStr">
        <is>
          <t>Mexico</t>
        </is>
      </c>
      <c r="G3534" t="inlineStr">
        <is>
          <t>Ibrance</t>
        </is>
      </c>
      <c r="H3534" t="inlineStr">
        <is>
          <t>Hospital</t>
        </is>
      </c>
      <c r="I3534" t="inlineStr">
        <is>
          <t>Public payer</t>
        </is>
      </c>
      <c r="J3534" t="inlineStr">
        <is>
          <t>Lucas Martin</t>
        </is>
      </c>
      <c r="K3534" s="70" t="n">
        <v>875</v>
      </c>
      <c r="L3534" s="71" t="n">
        <v>2555.9</v>
      </c>
      <c r="M3534" s="71" t="n">
        <v>2236412.5</v>
      </c>
      <c r="N3534" s="71" t="n">
        <v>111820.62</v>
      </c>
      <c r="O3534" s="71" t="n">
        <v>2124591.88</v>
      </c>
      <c r="P3534" s="71" t="n">
        <v>369702.18</v>
      </c>
      <c r="Q3534" s="71" t="n">
        <v>1754889.7</v>
      </c>
      <c r="R3534" t="inlineStr">
        <is>
          <t>Oncology</t>
        </is>
      </c>
      <c r="S3534" s="70" t="n">
        <v>585</v>
      </c>
      <c r="T3534" s="71" t="n">
        <v>383854.55</v>
      </c>
      <c r="U3534" t="inlineStr">
        <is>
          <t>High</t>
        </is>
      </c>
      <c r="V3534">
        <f>IF(AND(OR(Dashboard!$C$6="All",E3534=Dashboard!$C$6),OR(Dashboard!$F$6="All",G3534=Dashboard!$F$6),OR(Dashboard!$I$6="All",H3534=Dashboard!$I$6)),1,0)</f>
        <v/>
      </c>
    </row>
    <row r="3535">
      <c r="A3535" t="inlineStr">
        <is>
          <t>PF103526</t>
        </is>
      </c>
      <c r="B3535" s="68" t="n">
        <v>46080</v>
      </c>
      <c r="C3535" s="69" t="n">
        <v>2026</v>
      </c>
      <c r="D3535" t="inlineStr">
        <is>
          <t>Feb</t>
        </is>
      </c>
      <c r="E3535" t="inlineStr">
        <is>
          <t>Europe</t>
        </is>
      </c>
      <c r="F3535" t="inlineStr">
        <is>
          <t>Italy</t>
        </is>
      </c>
      <c r="G3535" t="inlineStr">
        <is>
          <t>Paxlovid</t>
        </is>
      </c>
      <c r="H3535" t="inlineStr">
        <is>
          <t>Retail pharmacy</t>
        </is>
      </c>
      <c r="I3535" t="inlineStr">
        <is>
          <t>Public payer</t>
        </is>
      </c>
      <c r="J3535" t="inlineStr">
        <is>
          <t>Arjun Mehta</t>
        </is>
      </c>
      <c r="K3535" s="70" t="n">
        <v>155</v>
      </c>
      <c r="L3535" s="71" t="n">
        <v>927.9400000000001</v>
      </c>
      <c r="M3535" s="71" t="n">
        <v>143830.7</v>
      </c>
      <c r="N3535" s="71" t="n">
        <v>7191.54</v>
      </c>
      <c r="O3535" s="71" t="n">
        <v>136639.16</v>
      </c>
      <c r="P3535" s="71" t="n">
        <v>42327.71</v>
      </c>
      <c r="Q3535" s="71" t="n">
        <v>94311.45</v>
      </c>
      <c r="R3535" t="inlineStr">
        <is>
          <t>Antiviral</t>
        </is>
      </c>
      <c r="S3535" s="70" t="n">
        <v>98</v>
      </c>
      <c r="T3535" s="71" t="n">
        <v>34461.05</v>
      </c>
      <c r="U3535" t="inlineStr">
        <is>
          <t>Low</t>
        </is>
      </c>
      <c r="V3535">
        <f>IF(AND(OR(Dashboard!$C$6="All",E3535=Dashboard!$C$6),OR(Dashboard!$F$6="All",G3535=Dashboard!$F$6),OR(Dashboard!$I$6="All",H3535=Dashboard!$I$6)),1,0)</f>
        <v/>
      </c>
    </row>
    <row r="3536">
      <c r="A3536" t="inlineStr">
        <is>
          <t>PF103527</t>
        </is>
      </c>
      <c r="B3536" s="68" t="n">
        <v>46080</v>
      </c>
      <c r="C3536" s="69" t="n">
        <v>2026</v>
      </c>
      <c r="D3536" t="inlineStr">
        <is>
          <t>Feb</t>
        </is>
      </c>
      <c r="E3536" t="inlineStr">
        <is>
          <t>Emerging markets</t>
        </is>
      </c>
      <c r="F3536" t="inlineStr">
        <is>
          <t>Mexico</t>
        </is>
      </c>
      <c r="G3536" t="inlineStr">
        <is>
          <t>Xeljanz</t>
        </is>
      </c>
      <c r="H3536" t="inlineStr">
        <is>
          <t>Government / tender</t>
        </is>
      </c>
      <c r="I3536" t="inlineStr">
        <is>
          <t>Private insurer</t>
        </is>
      </c>
      <c r="J3536" t="inlineStr">
        <is>
          <t>Priya Nair</t>
        </is>
      </c>
      <c r="K3536" s="70" t="n">
        <v>2285</v>
      </c>
      <c r="L3536" s="71" t="n">
        <v>1348.63</v>
      </c>
      <c r="M3536" s="71" t="n">
        <v>3081619.55</v>
      </c>
      <c r="N3536" s="71" t="n">
        <v>770404.89</v>
      </c>
      <c r="O3536" s="71" t="n">
        <v>2311214.66</v>
      </c>
      <c r="P3536" s="71" t="n">
        <v>582449.0600000001</v>
      </c>
      <c r="Q3536" s="71" t="n">
        <v>1728765.6</v>
      </c>
      <c r="R3536" t="inlineStr">
        <is>
          <t>Inflammation</t>
        </is>
      </c>
      <c r="S3536" s="70" t="n">
        <v>2017</v>
      </c>
      <c r="T3536" s="71" t="n">
        <v>564337.4</v>
      </c>
      <c r="U3536" t="inlineStr">
        <is>
          <t>High</t>
        </is>
      </c>
      <c r="V3536">
        <f>IF(AND(OR(Dashboard!$C$6="All",E3536=Dashboard!$C$6),OR(Dashboard!$F$6="All",G3536=Dashboard!$F$6),OR(Dashboard!$I$6="All",H3536=Dashboard!$I$6)),1,0)</f>
        <v/>
      </c>
    </row>
    <row r="3537">
      <c r="A3537" t="inlineStr">
        <is>
          <t>PF103528</t>
        </is>
      </c>
      <c r="B3537" s="68" t="n">
        <v>46081</v>
      </c>
      <c r="C3537" s="69" t="n">
        <v>2026</v>
      </c>
      <c r="D3537" t="inlineStr">
        <is>
          <t>Feb</t>
        </is>
      </c>
      <c r="E3537" t="inlineStr">
        <is>
          <t>United States</t>
        </is>
      </c>
      <c r="F3537" t="inlineStr">
        <is>
          <t>USA</t>
        </is>
      </c>
      <c r="G3537" t="inlineStr">
        <is>
          <t>Ibrance</t>
        </is>
      </c>
      <c r="H3537" t="inlineStr">
        <is>
          <t>Retail pharmacy</t>
        </is>
      </c>
      <c r="I3537" t="inlineStr">
        <is>
          <t>Public payer</t>
        </is>
      </c>
      <c r="J3537" t="inlineStr">
        <is>
          <t>Yuki Sato</t>
        </is>
      </c>
      <c r="K3537" s="70" t="n">
        <v>1584</v>
      </c>
      <c r="L3537" s="71" t="n">
        <v>4128.35</v>
      </c>
      <c r="M3537" s="71" t="n">
        <v>6539306.4</v>
      </c>
      <c r="N3537" s="71" t="n">
        <v>2288757.24</v>
      </c>
      <c r="O3537" s="71" t="n">
        <v>4250549.16</v>
      </c>
      <c r="P3537" s="71" t="n">
        <v>686255.97</v>
      </c>
      <c r="Q3537" s="71" t="n">
        <v>3564293.19</v>
      </c>
      <c r="R3537" t="inlineStr">
        <is>
          <t>Oncology</t>
        </is>
      </c>
      <c r="S3537" s="70" t="n">
        <v>1123</v>
      </c>
      <c r="T3537" s="71" t="n">
        <v>1372479.13</v>
      </c>
      <c r="U3537" t="inlineStr">
        <is>
          <t>High</t>
        </is>
      </c>
      <c r="V3537">
        <f>IF(AND(OR(Dashboard!$C$6="All",E3537=Dashboard!$C$6),OR(Dashboard!$F$6="All",G3537=Dashboard!$F$6),OR(Dashboard!$I$6="All",H3537=Dashboard!$I$6)),1,0)</f>
        <v/>
      </c>
    </row>
    <row r="3538">
      <c r="A3538" t="inlineStr">
        <is>
          <t>PF103529</t>
        </is>
      </c>
      <c r="B3538" s="68" t="n">
        <v>46081</v>
      </c>
      <c r="C3538" s="69" t="n">
        <v>2026</v>
      </c>
      <c r="D3538" t="inlineStr">
        <is>
          <t>Feb</t>
        </is>
      </c>
      <c r="E3538" t="inlineStr">
        <is>
          <t>Europe</t>
        </is>
      </c>
      <c r="F3538" t="inlineStr">
        <is>
          <t>France</t>
        </is>
      </c>
      <c r="G3538" t="inlineStr">
        <is>
          <t>Comirnaty</t>
        </is>
      </c>
      <c r="H3538" t="inlineStr">
        <is>
          <t>Retail pharmacy</t>
        </is>
      </c>
      <c r="I3538" t="inlineStr">
        <is>
          <t>Self-pay</t>
        </is>
      </c>
      <c r="J3538" t="inlineStr">
        <is>
          <t>Sara Rossi</t>
        </is>
      </c>
      <c r="K3538" s="70" t="n">
        <v>1424</v>
      </c>
      <c r="L3538" s="71" t="n">
        <v>91.5</v>
      </c>
      <c r="M3538" s="71" t="n">
        <v>130296</v>
      </c>
      <c r="N3538" s="71" t="n">
        <v>19544.4</v>
      </c>
      <c r="O3538" s="71" t="n">
        <v>110751.6</v>
      </c>
      <c r="P3538" s="71" t="n">
        <v>55533.73</v>
      </c>
      <c r="Q3538" s="71" t="n">
        <v>55217.87</v>
      </c>
      <c r="R3538" t="inlineStr">
        <is>
          <t>Vaccines</t>
        </is>
      </c>
      <c r="S3538" s="70" t="n">
        <v>1008</v>
      </c>
      <c r="T3538" s="71" t="n">
        <v>31356.76</v>
      </c>
      <c r="U3538" t="inlineStr">
        <is>
          <t>Low</t>
        </is>
      </c>
      <c r="V3538">
        <f>IF(AND(OR(Dashboard!$C$6="All",E3538=Dashboard!$C$6),OR(Dashboard!$F$6="All",G3538=Dashboard!$F$6),OR(Dashboard!$I$6="All",H3538=Dashboard!$I$6)),1,0)</f>
        <v/>
      </c>
    </row>
    <row r="3539">
      <c r="A3539" t="inlineStr">
        <is>
          <t>PF103530</t>
        </is>
      </c>
      <c r="B3539" s="68" t="n">
        <v>46081</v>
      </c>
      <c r="C3539" s="69" t="n">
        <v>2026</v>
      </c>
      <c r="D3539" t="inlineStr">
        <is>
          <t>Feb</t>
        </is>
      </c>
      <c r="E3539" t="inlineStr">
        <is>
          <t>United States</t>
        </is>
      </c>
      <c r="F3539" t="inlineStr">
        <is>
          <t>USA</t>
        </is>
      </c>
      <c r="G3539" t="inlineStr">
        <is>
          <t>Abrysvo</t>
        </is>
      </c>
      <c r="H3539" t="inlineStr">
        <is>
          <t>Hospital</t>
        </is>
      </c>
      <c r="I3539" t="inlineStr">
        <is>
          <t>Private insurer</t>
        </is>
      </c>
      <c r="J3539" t="inlineStr">
        <is>
          <t>Ana Costa</t>
        </is>
      </c>
      <c r="K3539" s="70" t="n">
        <v>1695</v>
      </c>
      <c r="L3539" s="71" t="n">
        <v>512.78</v>
      </c>
      <c r="M3539" s="71" t="n">
        <v>869162.1</v>
      </c>
      <c r="N3539" s="71" t="n">
        <v>130374.32</v>
      </c>
      <c r="O3539" s="71" t="n">
        <v>738787.78</v>
      </c>
      <c r="P3539" s="71" t="n">
        <v>143849.96</v>
      </c>
      <c r="Q3539" s="71" t="n">
        <v>594937.8199999999</v>
      </c>
      <c r="R3539" t="inlineStr">
        <is>
          <t>Vaccines</t>
        </is>
      </c>
      <c r="S3539" s="70" t="n">
        <v>1240</v>
      </c>
      <c r="T3539" s="71" t="n">
        <v>148838.83</v>
      </c>
      <c r="U3539" t="inlineStr">
        <is>
          <t>Low</t>
        </is>
      </c>
      <c r="V3539">
        <f>IF(AND(OR(Dashboard!$C$6="All",E3539=Dashboard!$C$6),OR(Dashboard!$F$6="All",G3539=Dashboard!$F$6),OR(Dashboard!$I$6="All",H3539=Dashboard!$I$6)),1,0)</f>
        <v/>
      </c>
    </row>
    <row r="3540">
      <c r="A3540" t="inlineStr">
        <is>
          <t>PF103531</t>
        </is>
      </c>
      <c r="B3540" s="68" t="n">
        <v>46081</v>
      </c>
      <c r="C3540" s="69" t="n">
        <v>2026</v>
      </c>
      <c r="D3540" t="inlineStr">
        <is>
          <t>Feb</t>
        </is>
      </c>
      <c r="E3540" t="inlineStr">
        <is>
          <t>Emerging markets</t>
        </is>
      </c>
      <c r="F3540" t="inlineStr">
        <is>
          <t>Mexico</t>
        </is>
      </c>
      <c r="G3540" t="inlineStr">
        <is>
          <t>Ibrance</t>
        </is>
      </c>
      <c r="H3540" t="inlineStr">
        <is>
          <t>Retail pharmacy</t>
        </is>
      </c>
      <c r="I3540" t="inlineStr">
        <is>
          <t>Public payer</t>
        </is>
      </c>
      <c r="J3540" t="inlineStr">
        <is>
          <t>Shraddha Kulkarni</t>
        </is>
      </c>
      <c r="K3540" s="70" t="n">
        <v>767</v>
      </c>
      <c r="L3540" s="71" t="n">
        <v>2701.36</v>
      </c>
      <c r="M3540" s="71" t="n">
        <v>2071943.12</v>
      </c>
      <c r="N3540" s="71" t="n">
        <v>310791.47</v>
      </c>
      <c r="O3540" s="71" t="n">
        <v>1761151.65</v>
      </c>
      <c r="P3540" s="71" t="n">
        <v>320932.01</v>
      </c>
      <c r="Q3540" s="71" t="n">
        <v>1440219.64</v>
      </c>
      <c r="R3540" t="inlineStr">
        <is>
          <t>Oncology</t>
        </is>
      </c>
      <c r="S3540" s="70" t="n">
        <v>611</v>
      </c>
      <c r="T3540" s="71" t="n">
        <v>317771.45</v>
      </c>
      <c r="U3540" t="inlineStr">
        <is>
          <t>High</t>
        </is>
      </c>
      <c r="V3540">
        <f>IF(AND(OR(Dashboard!$C$6="All",E3540=Dashboard!$C$6),OR(Dashboard!$F$6="All",G3540=Dashboard!$F$6),OR(Dashboard!$I$6="All",H3540=Dashboard!$I$6)),1,0)</f>
        <v/>
      </c>
    </row>
    <row r="3541">
      <c r="A3541" t="inlineStr">
        <is>
          <t>PF103532</t>
        </is>
      </c>
      <c r="B3541" s="68" t="n">
        <v>46081</v>
      </c>
      <c r="C3541" s="69" t="n">
        <v>2026</v>
      </c>
      <c r="D3541" t="inlineStr">
        <is>
          <t>Feb</t>
        </is>
      </c>
      <c r="E3541" t="inlineStr">
        <is>
          <t>Europe</t>
        </is>
      </c>
      <c r="F3541" t="inlineStr">
        <is>
          <t>Germany</t>
        </is>
      </c>
      <c r="G3541" t="inlineStr">
        <is>
          <t>Comirnaty</t>
        </is>
      </c>
      <c r="H3541" t="inlineStr">
        <is>
          <t>Hospital</t>
        </is>
      </c>
      <c r="I3541" t="inlineStr">
        <is>
          <t>Public payer</t>
        </is>
      </c>
      <c r="J3541" t="inlineStr">
        <is>
          <t>Sara Rossi</t>
        </is>
      </c>
      <c r="K3541" s="70" t="n">
        <v>691</v>
      </c>
      <c r="L3541" s="71" t="n">
        <v>89.79000000000001</v>
      </c>
      <c r="M3541" s="71" t="n">
        <v>62044.89</v>
      </c>
      <c r="N3541" s="71" t="n">
        <v>9306.73</v>
      </c>
      <c r="O3541" s="71" t="n">
        <v>52738.16</v>
      </c>
      <c r="P3541" s="71" t="n">
        <v>26356.45</v>
      </c>
      <c r="Q3541" s="71" t="n">
        <v>26381.71</v>
      </c>
      <c r="R3541" t="inlineStr">
        <is>
          <t>Vaccines</t>
        </is>
      </c>
      <c r="S3541" s="70" t="n">
        <v>535</v>
      </c>
      <c r="T3541" s="71" t="n">
        <v>13935.97</v>
      </c>
      <c r="U3541" t="inlineStr">
        <is>
          <t>Low</t>
        </is>
      </c>
      <c r="V3541">
        <f>IF(AND(OR(Dashboard!$C$6="All",E3541=Dashboard!$C$6),OR(Dashboard!$F$6="All",G3541=Dashboard!$F$6),OR(Dashboard!$I$6="All",H3541=Dashboard!$I$6)),1,0)</f>
        <v/>
      </c>
    </row>
    <row r="3542">
      <c r="A3542" t="inlineStr">
        <is>
          <t>PF103533</t>
        </is>
      </c>
      <c r="B3542" s="68" t="n">
        <v>46081</v>
      </c>
      <c r="C3542" s="69" t="n">
        <v>2026</v>
      </c>
      <c r="D3542" t="inlineStr">
        <is>
          <t>Feb</t>
        </is>
      </c>
      <c r="E3542" t="inlineStr">
        <is>
          <t>Emerging markets</t>
        </is>
      </c>
      <c r="F3542" t="inlineStr">
        <is>
          <t>India</t>
        </is>
      </c>
      <c r="G3542" t="inlineStr">
        <is>
          <t>Xeljanz</t>
        </is>
      </c>
      <c r="H3542" t="inlineStr">
        <is>
          <t>Retail pharmacy</t>
        </is>
      </c>
      <c r="I3542" t="inlineStr">
        <is>
          <t>Public payer</t>
        </is>
      </c>
      <c r="J3542" t="inlineStr">
        <is>
          <t>Olivia Brown</t>
        </is>
      </c>
      <c r="K3542" s="70" t="n">
        <v>281</v>
      </c>
      <c r="L3542" s="71" t="n">
        <v>1308.94</v>
      </c>
      <c r="M3542" s="71" t="n">
        <v>367812.14</v>
      </c>
      <c r="N3542" s="71" t="n">
        <v>36781.21</v>
      </c>
      <c r="O3542" s="71" t="n">
        <v>331030.93</v>
      </c>
      <c r="P3542" s="71" t="n">
        <v>73058.94</v>
      </c>
      <c r="Q3542" s="71" t="n">
        <v>257971.99</v>
      </c>
      <c r="R3542" t="inlineStr">
        <is>
          <t>Inflammation</t>
        </is>
      </c>
      <c r="S3542" s="70" t="n">
        <v>210</v>
      </c>
      <c r="T3542" s="71" t="n">
        <v>64935.19</v>
      </c>
      <c r="U3542" t="inlineStr">
        <is>
          <t>High</t>
        </is>
      </c>
      <c r="V3542">
        <f>IF(AND(OR(Dashboard!$C$6="All",E3542=Dashboard!$C$6),OR(Dashboard!$F$6="All",G3542=Dashboard!$F$6),OR(Dashboard!$I$6="All",H3542=Dashboard!$I$6)),1,0)</f>
        <v/>
      </c>
    </row>
    <row r="3543">
      <c r="A3543" t="inlineStr">
        <is>
          <t>PF103534</t>
        </is>
      </c>
      <c r="B3543" s="68" t="n">
        <v>46081</v>
      </c>
      <c r="C3543" s="69" t="n">
        <v>2026</v>
      </c>
      <c r="D3543" t="inlineStr">
        <is>
          <t>Feb</t>
        </is>
      </c>
      <c r="E3543" t="inlineStr">
        <is>
          <t>United States</t>
        </is>
      </c>
      <c r="F3543" t="inlineStr">
        <is>
          <t>USA</t>
        </is>
      </c>
      <c r="G3543" t="inlineStr">
        <is>
          <t>Comirnaty</t>
        </is>
      </c>
      <c r="H3543" t="inlineStr">
        <is>
          <t>Retail pharmacy</t>
        </is>
      </c>
      <c r="I3543" t="inlineStr">
        <is>
          <t>Public payer</t>
        </is>
      </c>
      <c r="J3543" t="inlineStr">
        <is>
          <t>Ana Costa</t>
        </is>
      </c>
      <c r="K3543" s="70" t="n">
        <v>209</v>
      </c>
      <c r="L3543" s="71" t="n">
        <v>137.92</v>
      </c>
      <c r="M3543" s="71" t="n">
        <v>28825.28</v>
      </c>
      <c r="N3543" s="71" t="n">
        <v>10088.85</v>
      </c>
      <c r="O3543" s="71" t="n">
        <v>18736.43</v>
      </c>
      <c r="P3543" s="71" t="n">
        <v>7762.38</v>
      </c>
      <c r="Q3543" s="71" t="n">
        <v>10974.05</v>
      </c>
      <c r="R3543" t="inlineStr">
        <is>
          <t>Vaccines</t>
        </is>
      </c>
      <c r="S3543" s="70" t="n">
        <v>158</v>
      </c>
      <c r="T3543" s="71" t="n">
        <v>4708.6</v>
      </c>
      <c r="U3543" t="inlineStr">
        <is>
          <t>Low</t>
        </is>
      </c>
      <c r="V3543">
        <f>IF(AND(OR(Dashboard!$C$6="All",E3543=Dashboard!$C$6),OR(Dashboard!$F$6="All",G3543=Dashboard!$F$6),OR(Dashboard!$I$6="All",H3543=Dashboard!$I$6)),1,0)</f>
        <v/>
      </c>
    </row>
    <row r="3544">
      <c r="A3544" t="inlineStr">
        <is>
          <t>PF103535</t>
        </is>
      </c>
      <c r="B3544" s="68" t="n">
        <v>46081</v>
      </c>
      <c r="C3544" s="69" t="n">
        <v>2026</v>
      </c>
      <c r="D3544" t="inlineStr">
        <is>
          <t>Feb</t>
        </is>
      </c>
      <c r="E3544" t="inlineStr">
        <is>
          <t>United States</t>
        </is>
      </c>
      <c r="F3544" t="inlineStr">
        <is>
          <t>USA</t>
        </is>
      </c>
      <c r="G3544" t="inlineStr">
        <is>
          <t>Vyndaqel</t>
        </is>
      </c>
      <c r="H3544" t="inlineStr">
        <is>
          <t>Hospital</t>
        </is>
      </c>
      <c r="I3544" t="inlineStr">
        <is>
          <t>Public payer</t>
        </is>
      </c>
      <c r="J3544" t="inlineStr">
        <is>
          <t>Priya Nair</t>
        </is>
      </c>
      <c r="K3544" s="70" t="n">
        <v>1764</v>
      </c>
      <c r="L3544" s="71" t="n">
        <v>9775.08</v>
      </c>
      <c r="M3544" s="71" t="n">
        <v>17243241.12</v>
      </c>
      <c r="N3544" s="71" t="n">
        <v>4310810.28</v>
      </c>
      <c r="O3544" s="71" t="n">
        <v>12932430.84</v>
      </c>
      <c r="P3544" s="71" t="n">
        <v>1113880.09</v>
      </c>
      <c r="Q3544" s="71" t="n">
        <v>11818550.75</v>
      </c>
      <c r="R3544" t="inlineStr">
        <is>
          <t>Rare disease</t>
        </is>
      </c>
      <c r="S3544" s="70" t="n">
        <v>1196</v>
      </c>
      <c r="T3544" s="71" t="n">
        <v>2125193.65</v>
      </c>
      <c r="U3544" t="inlineStr">
        <is>
          <t>Medium</t>
        </is>
      </c>
      <c r="V3544">
        <f>IF(AND(OR(Dashboard!$C$6="All",E3544=Dashboard!$C$6),OR(Dashboard!$F$6="All",G3544=Dashboard!$F$6),OR(Dashboard!$I$6="All",H3544=Dashboard!$I$6)),1,0)</f>
        <v/>
      </c>
    </row>
    <row r="3545">
      <c r="A3545" t="inlineStr">
        <is>
          <t>PF103536</t>
        </is>
      </c>
      <c r="B3545" s="68" t="n">
        <v>46081</v>
      </c>
      <c r="C3545" s="69" t="n">
        <v>2026</v>
      </c>
      <c r="D3545" t="inlineStr">
        <is>
          <t>Feb</t>
        </is>
      </c>
      <c r="E3545" t="inlineStr">
        <is>
          <t>United States</t>
        </is>
      </c>
      <c r="F3545" t="inlineStr">
        <is>
          <t>USA</t>
        </is>
      </c>
      <c r="G3545" t="inlineStr">
        <is>
          <t>Vyndaqel</t>
        </is>
      </c>
      <c r="H3545" t="inlineStr">
        <is>
          <t>Hospital</t>
        </is>
      </c>
      <c r="I3545" t="inlineStr">
        <is>
          <t>Private insurer</t>
        </is>
      </c>
      <c r="J3545" t="inlineStr">
        <is>
          <t>Kofi Mensah</t>
        </is>
      </c>
      <c r="K3545" s="70" t="n">
        <v>2503</v>
      </c>
      <c r="L3545" s="71" t="n">
        <v>8551.879999999999</v>
      </c>
      <c r="M3545" s="71" t="n">
        <v>21405355.64</v>
      </c>
      <c r="N3545" s="71" t="n">
        <v>3210803.35</v>
      </c>
      <c r="O3545" s="71" t="n">
        <v>18194552.29</v>
      </c>
      <c r="P3545" s="71" t="n">
        <v>1569580.01</v>
      </c>
      <c r="Q3545" s="71" t="n">
        <v>16624972.28</v>
      </c>
      <c r="R3545" t="inlineStr">
        <is>
          <t>Rare disease</t>
        </is>
      </c>
      <c r="S3545" s="70" t="n">
        <v>1802</v>
      </c>
      <c r="T3545" s="71" t="n">
        <v>3899592.38</v>
      </c>
      <c r="U3545" t="inlineStr">
        <is>
          <t>Medium</t>
        </is>
      </c>
      <c r="V3545">
        <f>IF(AND(OR(Dashboard!$C$6="All",E3545=Dashboard!$C$6),OR(Dashboard!$F$6="All",G3545=Dashboard!$F$6),OR(Dashboard!$I$6="All",H3545=Dashboard!$I$6)),1,0)</f>
        <v/>
      </c>
    </row>
    <row r="3546">
      <c r="A3546" t="inlineStr">
        <is>
          <t>PF103537</t>
        </is>
      </c>
      <c r="B3546" s="68" t="n">
        <v>46081</v>
      </c>
      <c r="C3546" s="69" t="n">
        <v>2026</v>
      </c>
      <c r="D3546" t="inlineStr">
        <is>
          <t>Feb</t>
        </is>
      </c>
      <c r="E3546" t="inlineStr">
        <is>
          <t>United States</t>
        </is>
      </c>
      <c r="F3546" t="inlineStr">
        <is>
          <t>USA</t>
        </is>
      </c>
      <c r="G3546" t="inlineStr">
        <is>
          <t>Prevnar 20</t>
        </is>
      </c>
      <c r="H3546" t="inlineStr">
        <is>
          <t>Government / tender</t>
        </is>
      </c>
      <c r="I3546" t="inlineStr">
        <is>
          <t>Self-pay</t>
        </is>
      </c>
      <c r="J3546" t="inlineStr">
        <is>
          <t>Amir Khan</t>
        </is>
      </c>
      <c r="K3546" s="70" t="n">
        <v>91</v>
      </c>
      <c r="L3546" s="71" t="n">
        <v>348.4</v>
      </c>
      <c r="M3546" s="71" t="n">
        <v>31704.4</v>
      </c>
      <c r="N3546" s="71" t="n">
        <v>4755.66</v>
      </c>
      <c r="O3546" s="71" t="n">
        <v>26948.74</v>
      </c>
      <c r="P3546" s="71" t="n">
        <v>6354.82</v>
      </c>
      <c r="Q3546" s="71" t="n">
        <v>20593.92</v>
      </c>
      <c r="R3546" t="inlineStr">
        <is>
          <t>Vaccines</t>
        </is>
      </c>
      <c r="S3546" s="70" t="n">
        <v>63</v>
      </c>
      <c r="T3546" s="71" t="n">
        <v>6290.48</v>
      </c>
      <c r="U3546" t="inlineStr">
        <is>
          <t>Low</t>
        </is>
      </c>
      <c r="V3546">
        <f>IF(AND(OR(Dashboard!$C$6="All",E3546=Dashboard!$C$6),OR(Dashboard!$F$6="All",G3546=Dashboard!$F$6),OR(Dashboard!$I$6="All",H3546=Dashboard!$I$6)),1,0)</f>
        <v/>
      </c>
    </row>
    <row r="3547">
      <c r="A3547" t="inlineStr">
        <is>
          <t>PF103538</t>
        </is>
      </c>
      <c r="B3547" s="68" t="n">
        <v>46081</v>
      </c>
      <c r="C3547" s="69" t="n">
        <v>2026</v>
      </c>
      <c r="D3547" t="inlineStr">
        <is>
          <t>Feb</t>
        </is>
      </c>
      <c r="E3547" t="inlineStr">
        <is>
          <t>United States</t>
        </is>
      </c>
      <c r="F3547" t="inlineStr">
        <is>
          <t>USA</t>
        </is>
      </c>
      <c r="G3547" t="inlineStr">
        <is>
          <t>Paxlovid</t>
        </is>
      </c>
      <c r="H3547" t="inlineStr">
        <is>
          <t>Retail pharmacy</t>
        </is>
      </c>
      <c r="I3547" t="inlineStr">
        <is>
          <t>Public payer</t>
        </is>
      </c>
      <c r="J3547" t="inlineStr">
        <is>
          <t>Wei Chen</t>
        </is>
      </c>
      <c r="K3547" s="70" t="n">
        <v>648</v>
      </c>
      <c r="L3547" s="71" t="n">
        <v>1396</v>
      </c>
      <c r="M3547" s="71" t="n">
        <v>904608</v>
      </c>
      <c r="N3547" s="71" t="n">
        <v>271382.4</v>
      </c>
      <c r="O3547" s="71" t="n">
        <v>633225.6</v>
      </c>
      <c r="P3547" s="71" t="n">
        <v>176193.31</v>
      </c>
      <c r="Q3547" s="71" t="n">
        <v>457032.29</v>
      </c>
      <c r="R3547" t="inlineStr">
        <is>
          <t>Antiviral</t>
        </is>
      </c>
      <c r="S3547" s="70" t="n">
        <v>503</v>
      </c>
      <c r="T3547" s="71" t="n">
        <v>198645.61</v>
      </c>
      <c r="U3547" t="inlineStr">
        <is>
          <t>Low</t>
        </is>
      </c>
      <c r="V3547">
        <f>IF(AND(OR(Dashboard!$C$6="All",E3547=Dashboard!$C$6),OR(Dashboard!$F$6="All",G3547=Dashboard!$F$6),OR(Dashboard!$I$6="All",H3547=Dashboard!$I$6)),1,0)</f>
        <v/>
      </c>
    </row>
    <row r="3548">
      <c r="A3548" t="inlineStr">
        <is>
          <t>PF103539</t>
        </is>
      </c>
      <c r="B3548" s="68" t="n">
        <v>46081</v>
      </c>
      <c r="C3548" s="69" t="n">
        <v>2026</v>
      </c>
      <c r="D3548" t="inlineStr">
        <is>
          <t>Feb</t>
        </is>
      </c>
      <c r="E3548" t="inlineStr">
        <is>
          <t>Europe</t>
        </is>
      </c>
      <c r="F3548" t="inlineStr">
        <is>
          <t>Spain</t>
        </is>
      </c>
      <c r="G3548" t="inlineStr">
        <is>
          <t>Comirnaty</t>
        </is>
      </c>
      <c r="H3548" t="inlineStr">
        <is>
          <t>Government / tender</t>
        </is>
      </c>
      <c r="I3548" t="inlineStr">
        <is>
          <t>Public payer</t>
        </is>
      </c>
      <c r="J3548" t="inlineStr">
        <is>
          <t>Liam O'Brien</t>
        </is>
      </c>
      <c r="K3548" s="70" t="n">
        <v>1093</v>
      </c>
      <c r="L3548" s="71" t="n">
        <v>97.05</v>
      </c>
      <c r="M3548" s="71" t="n">
        <v>106075.65</v>
      </c>
      <c r="N3548" s="71" t="n">
        <v>26518.91</v>
      </c>
      <c r="O3548" s="71" t="n">
        <v>79556.74000000001</v>
      </c>
      <c r="P3548" s="71" t="n">
        <v>42099.94</v>
      </c>
      <c r="Q3548" s="71" t="n">
        <v>37456.8</v>
      </c>
      <c r="R3548" t="inlineStr">
        <is>
          <t>Vaccines</t>
        </is>
      </c>
      <c r="S3548" s="70" t="n">
        <v>805</v>
      </c>
      <c r="T3548" s="71" t="n">
        <v>22791.49</v>
      </c>
      <c r="U3548" t="inlineStr">
        <is>
          <t>Low</t>
        </is>
      </c>
      <c r="V3548">
        <f>IF(AND(OR(Dashboard!$C$6="All",E3548=Dashboard!$C$6),OR(Dashboard!$F$6="All",G3548=Dashboard!$F$6),OR(Dashboard!$I$6="All",H3548=Dashboard!$I$6)),1,0)</f>
        <v/>
      </c>
    </row>
    <row r="3549">
      <c r="A3549" t="inlineStr">
        <is>
          <t>PF103540</t>
        </is>
      </c>
      <c r="B3549" s="68" t="n">
        <v>46082</v>
      </c>
      <c r="C3549" s="69" t="n">
        <v>2026</v>
      </c>
      <c r="D3549" t="inlineStr">
        <is>
          <t>Mar</t>
        </is>
      </c>
      <c r="E3549" t="inlineStr">
        <is>
          <t>Europe</t>
        </is>
      </c>
      <c r="F3549" t="inlineStr">
        <is>
          <t>UK</t>
        </is>
      </c>
      <c r="G3549" t="inlineStr">
        <is>
          <t>Xeljanz</t>
        </is>
      </c>
      <c r="H3549" t="inlineStr">
        <is>
          <t>Government / tender</t>
        </is>
      </c>
      <c r="I3549" t="inlineStr">
        <is>
          <t>Private insurer</t>
        </is>
      </c>
      <c r="J3549" t="inlineStr">
        <is>
          <t>Olivia Brown</t>
        </is>
      </c>
      <c r="K3549" s="70" t="n">
        <v>2629</v>
      </c>
      <c r="L3549" s="71" t="n">
        <v>1362.53</v>
      </c>
      <c r="M3549" s="71" t="n">
        <v>3582091.37</v>
      </c>
      <c r="N3549" s="71" t="n">
        <v>537313.71</v>
      </c>
      <c r="O3549" s="71" t="n">
        <v>3044777.66</v>
      </c>
      <c r="P3549" s="71" t="n">
        <v>642141.0699999999</v>
      </c>
      <c r="Q3549" s="71" t="n">
        <v>2402636.59</v>
      </c>
      <c r="R3549" t="inlineStr">
        <is>
          <t>Inflammation</t>
        </is>
      </c>
      <c r="S3549" s="70" t="n">
        <v>1707</v>
      </c>
      <c r="T3549" s="71" t="n">
        <v>694332.59</v>
      </c>
      <c r="U3549" t="inlineStr">
        <is>
          <t>High</t>
        </is>
      </c>
      <c r="V3549">
        <f>IF(AND(OR(Dashboard!$C$6="All",E3549=Dashboard!$C$6),OR(Dashboard!$F$6="All",G3549=Dashboard!$F$6),OR(Dashboard!$I$6="All",H3549=Dashboard!$I$6)),1,0)</f>
        <v/>
      </c>
    </row>
    <row r="3550">
      <c r="A3550" t="inlineStr">
        <is>
          <t>PF103541</t>
        </is>
      </c>
      <c r="B3550" s="68" t="n">
        <v>46082</v>
      </c>
      <c r="C3550" s="69" t="n">
        <v>2026</v>
      </c>
      <c r="D3550" t="inlineStr">
        <is>
          <t>Mar</t>
        </is>
      </c>
      <c r="E3550" t="inlineStr">
        <is>
          <t>International developed</t>
        </is>
      </c>
      <c r="F3550" t="inlineStr">
        <is>
          <t>Australia</t>
        </is>
      </c>
      <c r="G3550" t="inlineStr">
        <is>
          <t>Eliquis</t>
        </is>
      </c>
      <c r="H3550" t="inlineStr">
        <is>
          <t>Hospital</t>
        </is>
      </c>
      <c r="I3550" t="inlineStr">
        <is>
          <t>Public payer</t>
        </is>
      </c>
      <c r="J3550" t="inlineStr">
        <is>
          <t>Lucas Martin</t>
        </is>
      </c>
      <c r="K3550" s="70" t="n">
        <v>2342</v>
      </c>
      <c r="L3550" s="71" t="n">
        <v>472.73</v>
      </c>
      <c r="M3550" s="71" t="n">
        <v>1107133.66</v>
      </c>
      <c r="N3550" s="71" t="n">
        <v>221426.73</v>
      </c>
      <c r="O3550" s="71" t="n">
        <v>885706.9300000001</v>
      </c>
      <c r="P3550" s="71" t="n">
        <v>175414.99</v>
      </c>
      <c r="Q3550" s="71" t="n">
        <v>710291.9399999999</v>
      </c>
      <c r="R3550" t="inlineStr">
        <is>
          <t>Cardiology</t>
        </is>
      </c>
      <c r="S3550" s="70" t="n">
        <v>1516</v>
      </c>
      <c r="T3550" s="71" t="n">
        <v>192883.72</v>
      </c>
      <c r="U3550" t="inlineStr">
        <is>
          <t>High</t>
        </is>
      </c>
      <c r="V3550">
        <f>IF(AND(OR(Dashboard!$C$6="All",E3550=Dashboard!$C$6),OR(Dashboard!$F$6="All",G3550=Dashboard!$F$6),OR(Dashboard!$I$6="All",H3550=Dashboard!$I$6)),1,0)</f>
        <v/>
      </c>
    </row>
    <row r="3551">
      <c r="A3551" t="inlineStr">
        <is>
          <t>PF103542</t>
        </is>
      </c>
      <c r="B3551" s="68" t="n">
        <v>46082</v>
      </c>
      <c r="C3551" s="69" t="n">
        <v>2026</v>
      </c>
      <c r="D3551" t="inlineStr">
        <is>
          <t>Mar</t>
        </is>
      </c>
      <c r="E3551" t="inlineStr">
        <is>
          <t>United States</t>
        </is>
      </c>
      <c r="F3551" t="inlineStr">
        <is>
          <t>USA</t>
        </is>
      </c>
      <c r="G3551" t="inlineStr">
        <is>
          <t>Xeljanz</t>
        </is>
      </c>
      <c r="H3551" t="inlineStr">
        <is>
          <t>Retail pharmacy</t>
        </is>
      </c>
      <c r="I3551" t="inlineStr">
        <is>
          <t>Private insurer</t>
        </is>
      </c>
      <c r="J3551" t="inlineStr">
        <is>
          <t>Noah Smith</t>
        </is>
      </c>
      <c r="K3551" s="70" t="n">
        <v>1865</v>
      </c>
      <c r="L3551" s="71" t="n">
        <v>1968.47</v>
      </c>
      <c r="M3551" s="71" t="n">
        <v>3671196.55</v>
      </c>
      <c r="N3551" s="71" t="n">
        <v>734239.3100000001</v>
      </c>
      <c r="O3551" s="71" t="n">
        <v>2936957.24</v>
      </c>
      <c r="P3551" s="71" t="n">
        <v>479291.96</v>
      </c>
      <c r="Q3551" s="71" t="n">
        <v>2457665.28</v>
      </c>
      <c r="R3551" t="inlineStr">
        <is>
          <t>Inflammation</t>
        </is>
      </c>
      <c r="S3551" s="70" t="n">
        <v>1449</v>
      </c>
      <c r="T3551" s="71" t="n">
        <v>759642.64</v>
      </c>
      <c r="U3551" t="inlineStr">
        <is>
          <t>High</t>
        </is>
      </c>
      <c r="V3551">
        <f>IF(AND(OR(Dashboard!$C$6="All",E3551=Dashboard!$C$6),OR(Dashboard!$F$6="All",G3551=Dashboard!$F$6),OR(Dashboard!$I$6="All",H3551=Dashboard!$I$6)),1,0)</f>
        <v/>
      </c>
    </row>
    <row r="3552">
      <c r="A3552" t="inlineStr">
        <is>
          <t>PF103543</t>
        </is>
      </c>
      <c r="B3552" s="68" t="n">
        <v>46082</v>
      </c>
      <c r="C3552" s="69" t="n">
        <v>2026</v>
      </c>
      <c r="D3552" t="inlineStr">
        <is>
          <t>Mar</t>
        </is>
      </c>
      <c r="E3552" t="inlineStr">
        <is>
          <t>International developed</t>
        </is>
      </c>
      <c r="F3552" t="inlineStr">
        <is>
          <t>Canada</t>
        </is>
      </c>
      <c r="G3552" t="inlineStr">
        <is>
          <t>Eliquis</t>
        </is>
      </c>
      <c r="H3552" t="inlineStr">
        <is>
          <t>Retail pharmacy</t>
        </is>
      </c>
      <c r="I3552" t="inlineStr">
        <is>
          <t>Public payer</t>
        </is>
      </c>
      <c r="J3552" t="inlineStr">
        <is>
          <t>Hiroshi Tanaka</t>
        </is>
      </c>
      <c r="K3552" s="70" t="n">
        <v>2748</v>
      </c>
      <c r="L3552" s="71" t="n">
        <v>432.94</v>
      </c>
      <c r="M3552" s="71" t="n">
        <v>1189719.12</v>
      </c>
      <c r="N3552" s="71" t="n">
        <v>59485.96</v>
      </c>
      <c r="O3552" s="71" t="n">
        <v>1130233.16</v>
      </c>
      <c r="P3552" s="71" t="n">
        <v>204922.74</v>
      </c>
      <c r="Q3552" s="71" t="n">
        <v>925310.42</v>
      </c>
      <c r="R3552" t="inlineStr">
        <is>
          <t>Cardiology</t>
        </is>
      </c>
      <c r="S3552" s="70" t="n">
        <v>2217</v>
      </c>
      <c r="T3552" s="71" t="n">
        <v>207455.92</v>
      </c>
      <c r="U3552" t="inlineStr">
        <is>
          <t>High</t>
        </is>
      </c>
      <c r="V3552">
        <f>IF(AND(OR(Dashboard!$C$6="All",E3552=Dashboard!$C$6),OR(Dashboard!$F$6="All",G3552=Dashboard!$F$6),OR(Dashboard!$I$6="All",H3552=Dashboard!$I$6)),1,0)</f>
        <v/>
      </c>
    </row>
    <row r="3553">
      <c r="A3553" t="inlineStr">
        <is>
          <t>PF103544</t>
        </is>
      </c>
      <c r="B3553" s="68" t="n">
        <v>46082</v>
      </c>
      <c r="C3553" s="69" t="n">
        <v>2026</v>
      </c>
      <c r="D3553" t="inlineStr">
        <is>
          <t>Mar</t>
        </is>
      </c>
      <c r="E3553" t="inlineStr">
        <is>
          <t>Emerging markets</t>
        </is>
      </c>
      <c r="F3553" t="inlineStr">
        <is>
          <t>India</t>
        </is>
      </c>
      <c r="G3553" t="inlineStr">
        <is>
          <t>Xeljanz</t>
        </is>
      </c>
      <c r="H3553" t="inlineStr">
        <is>
          <t>Hospital</t>
        </is>
      </c>
      <c r="I3553" t="inlineStr">
        <is>
          <t>Private insurer</t>
        </is>
      </c>
      <c r="J3553" t="inlineStr">
        <is>
          <t>Emma Clarke</t>
        </is>
      </c>
      <c r="K3553" s="70" t="n">
        <v>2680</v>
      </c>
      <c r="L3553" s="71" t="n">
        <v>1269.05</v>
      </c>
      <c r="M3553" s="71" t="n">
        <v>3401054</v>
      </c>
      <c r="N3553" s="71" t="n">
        <v>170052.7</v>
      </c>
      <c r="O3553" s="71" t="n">
        <v>3231001.3</v>
      </c>
      <c r="P3553" s="71" t="n">
        <v>691193.74</v>
      </c>
      <c r="Q3553" s="71" t="n">
        <v>2539807.56</v>
      </c>
      <c r="R3553" t="inlineStr">
        <is>
          <t>Inflammation</t>
        </is>
      </c>
      <c r="S3553" s="70" t="n">
        <v>1783</v>
      </c>
      <c r="T3553" s="71" t="n">
        <v>755301.0699999999</v>
      </c>
      <c r="U3553" t="inlineStr">
        <is>
          <t>High</t>
        </is>
      </c>
      <c r="V3553">
        <f>IF(AND(OR(Dashboard!$C$6="All",E3553=Dashboard!$C$6),OR(Dashboard!$F$6="All",G3553=Dashboard!$F$6),OR(Dashboard!$I$6="All",H3553=Dashboard!$I$6)),1,0)</f>
        <v/>
      </c>
    </row>
    <row r="3554">
      <c r="A3554" t="inlineStr">
        <is>
          <t>PF103545</t>
        </is>
      </c>
      <c r="B3554" s="68" t="n">
        <v>46082</v>
      </c>
      <c r="C3554" s="69" t="n">
        <v>2026</v>
      </c>
      <c r="D3554" t="inlineStr">
        <is>
          <t>Mar</t>
        </is>
      </c>
      <c r="E3554" t="inlineStr">
        <is>
          <t>International developed</t>
        </is>
      </c>
      <c r="F3554" t="inlineStr">
        <is>
          <t>Canada</t>
        </is>
      </c>
      <c r="G3554" t="inlineStr">
        <is>
          <t>Ibrance</t>
        </is>
      </c>
      <c r="H3554" t="inlineStr">
        <is>
          <t>Hospital</t>
        </is>
      </c>
      <c r="I3554" t="inlineStr">
        <is>
          <t>Private insurer</t>
        </is>
      </c>
      <c r="J3554" t="inlineStr">
        <is>
          <t>Omar Haddad</t>
        </is>
      </c>
      <c r="K3554" s="70" t="n">
        <v>1160</v>
      </c>
      <c r="L3554" s="71" t="n">
        <v>3093.17</v>
      </c>
      <c r="M3554" s="71" t="n">
        <v>3588077.2</v>
      </c>
      <c r="N3554" s="71" t="n">
        <v>179403.86</v>
      </c>
      <c r="O3554" s="71" t="n">
        <v>3408673.34</v>
      </c>
      <c r="P3554" s="71" t="n">
        <v>486676.71</v>
      </c>
      <c r="Q3554" s="71" t="n">
        <v>2921996.63</v>
      </c>
      <c r="R3554" t="inlineStr">
        <is>
          <t>Oncology</t>
        </is>
      </c>
      <c r="S3554" s="70" t="n">
        <v>1020</v>
      </c>
      <c r="T3554" s="71" t="n">
        <v>763560.72</v>
      </c>
      <c r="U3554" t="inlineStr">
        <is>
          <t>High</t>
        </is>
      </c>
      <c r="V3554">
        <f>IF(AND(OR(Dashboard!$C$6="All",E3554=Dashboard!$C$6),OR(Dashboard!$F$6="All",G3554=Dashboard!$F$6),OR(Dashboard!$I$6="All",H3554=Dashboard!$I$6)),1,0)</f>
        <v/>
      </c>
    </row>
    <row r="3555">
      <c r="A3555" t="inlineStr">
        <is>
          <t>PF103546</t>
        </is>
      </c>
      <c r="B3555" s="68" t="n">
        <v>46082</v>
      </c>
      <c r="C3555" s="69" t="n">
        <v>2026</v>
      </c>
      <c r="D3555" t="inlineStr">
        <is>
          <t>Mar</t>
        </is>
      </c>
      <c r="E3555" t="inlineStr">
        <is>
          <t>Emerging markets</t>
        </is>
      </c>
      <c r="F3555" t="inlineStr">
        <is>
          <t>Brazil</t>
        </is>
      </c>
      <c r="G3555" t="inlineStr">
        <is>
          <t>Comirnaty</t>
        </is>
      </c>
      <c r="H3555" t="inlineStr">
        <is>
          <t>Government / tender</t>
        </is>
      </c>
      <c r="I3555" t="inlineStr">
        <is>
          <t>Private insurer</t>
        </is>
      </c>
      <c r="J3555" t="inlineStr">
        <is>
          <t>Omar Haddad</t>
        </is>
      </c>
      <c r="K3555" s="70" t="n">
        <v>243</v>
      </c>
      <c r="L3555" s="71" t="n">
        <v>80.33</v>
      </c>
      <c r="M3555" s="71" t="n">
        <v>19520.19</v>
      </c>
      <c r="N3555" s="71" t="n">
        <v>4880.05</v>
      </c>
      <c r="O3555" s="71" t="n">
        <v>14640.14</v>
      </c>
      <c r="P3555" s="71" t="n">
        <v>9308.24</v>
      </c>
      <c r="Q3555" s="71" t="n">
        <v>5331.9</v>
      </c>
      <c r="R3555" t="inlineStr">
        <is>
          <t>Vaccines</t>
        </is>
      </c>
      <c r="S3555" s="70" t="n">
        <v>208</v>
      </c>
      <c r="T3555" s="71" t="n">
        <v>4383.36</v>
      </c>
      <c r="U3555" t="inlineStr">
        <is>
          <t>Low</t>
        </is>
      </c>
      <c r="V3555">
        <f>IF(AND(OR(Dashboard!$C$6="All",E3555=Dashboard!$C$6),OR(Dashboard!$F$6="All",G3555=Dashboard!$F$6),OR(Dashboard!$I$6="All",H3555=Dashboard!$I$6)),1,0)</f>
        <v/>
      </c>
    </row>
    <row r="3556">
      <c r="A3556" t="inlineStr">
        <is>
          <t>PF103547</t>
        </is>
      </c>
      <c r="B3556" s="68" t="n">
        <v>46083</v>
      </c>
      <c r="C3556" s="69" t="n">
        <v>2026</v>
      </c>
      <c r="D3556" t="inlineStr">
        <is>
          <t>Mar</t>
        </is>
      </c>
      <c r="E3556" t="inlineStr">
        <is>
          <t>United States</t>
        </is>
      </c>
      <c r="F3556" t="inlineStr">
        <is>
          <t>USA</t>
        </is>
      </c>
      <c r="G3556" t="inlineStr">
        <is>
          <t>Xeljanz</t>
        </is>
      </c>
      <c r="H3556" t="inlineStr">
        <is>
          <t>Hospital</t>
        </is>
      </c>
      <c r="I3556" t="inlineStr">
        <is>
          <t>Public payer</t>
        </is>
      </c>
      <c r="J3556" t="inlineStr">
        <is>
          <t>Hiroshi Tanaka</t>
        </is>
      </c>
      <c r="K3556" s="70" t="n">
        <v>1959</v>
      </c>
      <c r="L3556" s="71" t="n">
        <v>1976.67</v>
      </c>
      <c r="M3556" s="71" t="n">
        <v>3872296.53</v>
      </c>
      <c r="N3556" s="71" t="n">
        <v>1161688.96</v>
      </c>
      <c r="O3556" s="71" t="n">
        <v>2710607.57</v>
      </c>
      <c r="P3556" s="71" t="n">
        <v>513121.64</v>
      </c>
      <c r="Q3556" s="71" t="n">
        <v>2197485.93</v>
      </c>
      <c r="R3556" t="inlineStr">
        <is>
          <t>Inflammation</t>
        </is>
      </c>
      <c r="S3556" s="70" t="n">
        <v>1468</v>
      </c>
      <c r="T3556" s="71" t="n">
        <v>874952.74</v>
      </c>
      <c r="U3556" t="inlineStr">
        <is>
          <t>High</t>
        </is>
      </c>
      <c r="V3556">
        <f>IF(AND(OR(Dashboard!$C$6="All",E3556=Dashboard!$C$6),OR(Dashboard!$F$6="All",G3556=Dashboard!$F$6),OR(Dashboard!$I$6="All",H3556=Dashboard!$I$6)),1,0)</f>
        <v/>
      </c>
    </row>
    <row r="3557">
      <c r="A3557" t="inlineStr">
        <is>
          <t>PF103548</t>
        </is>
      </c>
      <c r="B3557" s="68" t="n">
        <v>46083</v>
      </c>
      <c r="C3557" s="69" t="n">
        <v>2026</v>
      </c>
      <c r="D3557" t="inlineStr">
        <is>
          <t>Mar</t>
        </is>
      </c>
      <c r="E3557" t="inlineStr">
        <is>
          <t>United States</t>
        </is>
      </c>
      <c r="F3557" t="inlineStr">
        <is>
          <t>USA</t>
        </is>
      </c>
      <c r="G3557" t="inlineStr">
        <is>
          <t>Paxlovid</t>
        </is>
      </c>
      <c r="H3557" t="inlineStr">
        <is>
          <t>Retail pharmacy</t>
        </is>
      </c>
      <c r="I3557" t="inlineStr">
        <is>
          <t>Public payer</t>
        </is>
      </c>
      <c r="J3557" t="inlineStr">
        <is>
          <t>Emma Clarke</t>
        </is>
      </c>
      <c r="K3557" s="70" t="n">
        <v>1060</v>
      </c>
      <c r="L3557" s="71" t="n">
        <v>1512</v>
      </c>
      <c r="M3557" s="71" t="n">
        <v>1602720</v>
      </c>
      <c r="N3557" s="71" t="n">
        <v>320544</v>
      </c>
      <c r="O3557" s="71" t="n">
        <v>1282176</v>
      </c>
      <c r="P3557" s="71" t="n">
        <v>296884.04</v>
      </c>
      <c r="Q3557" s="71" t="n">
        <v>985291.96</v>
      </c>
      <c r="R3557" t="inlineStr">
        <is>
          <t>Antiviral</t>
        </is>
      </c>
      <c r="S3557" s="70" t="n">
        <v>965</v>
      </c>
      <c r="T3557" s="71" t="n">
        <v>240790.67</v>
      </c>
      <c r="U3557" t="inlineStr">
        <is>
          <t>Low</t>
        </is>
      </c>
      <c r="V3557">
        <f>IF(AND(OR(Dashboard!$C$6="All",E3557=Dashboard!$C$6),OR(Dashboard!$F$6="All",G3557=Dashboard!$F$6),OR(Dashboard!$I$6="All",H3557=Dashboard!$I$6)),1,0)</f>
        <v/>
      </c>
    </row>
    <row r="3558">
      <c r="A3558" t="inlineStr">
        <is>
          <t>PF103549</t>
        </is>
      </c>
      <c r="B3558" s="68" t="n">
        <v>46083</v>
      </c>
      <c r="C3558" s="69" t="n">
        <v>2026</v>
      </c>
      <c r="D3558" t="inlineStr">
        <is>
          <t>Mar</t>
        </is>
      </c>
      <c r="E3558" t="inlineStr">
        <is>
          <t>Europe</t>
        </is>
      </c>
      <c r="F3558" t="inlineStr">
        <is>
          <t>Spain</t>
        </is>
      </c>
      <c r="G3558" t="inlineStr">
        <is>
          <t>Paxlovid</t>
        </is>
      </c>
      <c r="H3558" t="inlineStr">
        <is>
          <t>Hospital</t>
        </is>
      </c>
      <c r="I3558" t="inlineStr">
        <is>
          <t>Private insurer</t>
        </is>
      </c>
      <c r="J3558" t="inlineStr">
        <is>
          <t>Fatima Al-Saud</t>
        </is>
      </c>
      <c r="K3558" s="70" t="n">
        <v>628</v>
      </c>
      <c r="L3558" s="71" t="n">
        <v>859.22</v>
      </c>
      <c r="M3558" s="71" t="n">
        <v>539590.16</v>
      </c>
      <c r="N3558" s="71" t="n">
        <v>107918.03</v>
      </c>
      <c r="O3558" s="71" t="n">
        <v>431672.13</v>
      </c>
      <c r="P3558" s="71" t="n">
        <v>166160.5</v>
      </c>
      <c r="Q3558" s="71" t="n">
        <v>265511.63</v>
      </c>
      <c r="R3558" t="inlineStr">
        <is>
          <t>Antiviral</t>
        </is>
      </c>
      <c r="S3558" s="70" t="n">
        <v>552</v>
      </c>
      <c r="T3558" s="71" t="n">
        <v>80767.10000000001</v>
      </c>
      <c r="U3558" t="inlineStr">
        <is>
          <t>Low</t>
        </is>
      </c>
      <c r="V3558">
        <f>IF(AND(OR(Dashboard!$C$6="All",E3558=Dashboard!$C$6),OR(Dashboard!$F$6="All",G3558=Dashboard!$F$6),OR(Dashboard!$I$6="All",H3558=Dashboard!$I$6)),1,0)</f>
        <v/>
      </c>
    </row>
    <row r="3559">
      <c r="A3559" t="inlineStr">
        <is>
          <t>PF103550</t>
        </is>
      </c>
      <c r="B3559" s="68" t="n">
        <v>46083</v>
      </c>
      <c r="C3559" s="69" t="n">
        <v>2026</v>
      </c>
      <c r="D3559" t="inlineStr">
        <is>
          <t>Mar</t>
        </is>
      </c>
      <c r="E3559" t="inlineStr">
        <is>
          <t>United States</t>
        </is>
      </c>
      <c r="F3559" t="inlineStr">
        <is>
          <t>USA</t>
        </is>
      </c>
      <c r="G3559" t="inlineStr">
        <is>
          <t>Prevnar 20</t>
        </is>
      </c>
      <c r="H3559" t="inlineStr">
        <is>
          <t>Hospital</t>
        </is>
      </c>
      <c r="I3559" t="inlineStr">
        <is>
          <t>Public payer</t>
        </is>
      </c>
      <c r="J3559" t="inlineStr">
        <is>
          <t>Ravindra Patil</t>
        </is>
      </c>
      <c r="K3559" s="70" t="n">
        <v>421</v>
      </c>
      <c r="L3559" s="71" t="n">
        <v>348.26</v>
      </c>
      <c r="M3559" s="71" t="n">
        <v>146617.46</v>
      </c>
      <c r="N3559" s="71" t="n">
        <v>51316.11</v>
      </c>
      <c r="O3559" s="71" t="n">
        <v>95301.35000000001</v>
      </c>
      <c r="P3559" s="71" t="n">
        <v>29069.38</v>
      </c>
      <c r="Q3559" s="71" t="n">
        <v>66231.97</v>
      </c>
      <c r="R3559" t="inlineStr">
        <is>
          <t>Vaccines</t>
        </is>
      </c>
      <c r="S3559" s="70" t="n">
        <v>341</v>
      </c>
      <c r="T3559" s="71" t="n">
        <v>30063.25</v>
      </c>
      <c r="U3559" t="inlineStr">
        <is>
          <t>Low</t>
        </is>
      </c>
      <c r="V3559">
        <f>IF(AND(OR(Dashboard!$C$6="All",E3559=Dashboard!$C$6),OR(Dashboard!$F$6="All",G3559=Dashboard!$F$6),OR(Dashboard!$I$6="All",H3559=Dashboard!$I$6)),1,0)</f>
        <v/>
      </c>
    </row>
    <row r="3560">
      <c r="A3560" t="inlineStr">
        <is>
          <t>PF103551</t>
        </is>
      </c>
      <c r="B3560" s="68" t="n">
        <v>46083</v>
      </c>
      <c r="C3560" s="69" t="n">
        <v>2026</v>
      </c>
      <c r="D3560" t="inlineStr">
        <is>
          <t>Mar</t>
        </is>
      </c>
      <c r="E3560" t="inlineStr">
        <is>
          <t>Europe</t>
        </is>
      </c>
      <c r="F3560" t="inlineStr">
        <is>
          <t>Germany</t>
        </is>
      </c>
      <c r="G3560" t="inlineStr">
        <is>
          <t>Eliquis</t>
        </is>
      </c>
      <c r="H3560" t="inlineStr">
        <is>
          <t>Hospital</t>
        </is>
      </c>
      <c r="I3560" t="inlineStr">
        <is>
          <t>Public payer</t>
        </is>
      </c>
      <c r="J3560" t="inlineStr">
        <is>
          <t>Amir Khan</t>
        </is>
      </c>
      <c r="K3560" s="70" t="n">
        <v>1563</v>
      </c>
      <c r="L3560" s="71" t="n">
        <v>401.32</v>
      </c>
      <c r="M3560" s="71" t="n">
        <v>627263.16</v>
      </c>
      <c r="N3560" s="71" t="n">
        <v>156815.79</v>
      </c>
      <c r="O3560" s="71" t="n">
        <v>470447.37</v>
      </c>
      <c r="P3560" s="71" t="n">
        <v>119668.04</v>
      </c>
      <c r="Q3560" s="71" t="n">
        <v>350779.33</v>
      </c>
      <c r="R3560" t="inlineStr">
        <is>
          <t>Cardiology</t>
        </is>
      </c>
      <c r="S3560" s="70" t="n">
        <v>1334</v>
      </c>
      <c r="T3560" s="71" t="n">
        <v>120344.41</v>
      </c>
      <c r="U3560" t="inlineStr">
        <is>
          <t>High</t>
        </is>
      </c>
      <c r="V3560">
        <f>IF(AND(OR(Dashboard!$C$6="All",E3560=Dashboard!$C$6),OR(Dashboard!$F$6="All",G3560=Dashboard!$F$6),OR(Dashboard!$I$6="All",H3560=Dashboard!$I$6)),1,0)</f>
        <v/>
      </c>
    </row>
    <row r="3561">
      <c r="A3561" t="inlineStr">
        <is>
          <t>PF103552</t>
        </is>
      </c>
      <c r="B3561" s="68" t="n">
        <v>46083</v>
      </c>
      <c r="C3561" s="69" t="n">
        <v>2026</v>
      </c>
      <c r="D3561" t="inlineStr">
        <is>
          <t>Mar</t>
        </is>
      </c>
      <c r="E3561" t="inlineStr">
        <is>
          <t>Europe</t>
        </is>
      </c>
      <c r="F3561" t="inlineStr">
        <is>
          <t>Germany</t>
        </is>
      </c>
      <c r="G3561" t="inlineStr">
        <is>
          <t>Vyndaqel</t>
        </is>
      </c>
      <c r="H3561" t="inlineStr">
        <is>
          <t>Government / tender</t>
        </is>
      </c>
      <c r="I3561" t="inlineStr">
        <is>
          <t>Private insurer</t>
        </is>
      </c>
      <c r="J3561" t="inlineStr">
        <is>
          <t>Fatima Al-Saud</t>
        </is>
      </c>
      <c r="K3561" s="70" t="n">
        <v>539</v>
      </c>
      <c r="L3561" s="71" t="n">
        <v>5618.51</v>
      </c>
      <c r="M3561" s="71" t="n">
        <v>3028376.89</v>
      </c>
      <c r="N3561" s="71" t="n">
        <v>302837.69</v>
      </c>
      <c r="O3561" s="71" t="n">
        <v>2725539.2</v>
      </c>
      <c r="P3561" s="71" t="n">
        <v>346864.1</v>
      </c>
      <c r="Q3561" s="71" t="n">
        <v>2378675.1</v>
      </c>
      <c r="R3561" t="inlineStr">
        <is>
          <t>Rare disease</t>
        </is>
      </c>
      <c r="S3561" s="70" t="n">
        <v>523</v>
      </c>
      <c r="T3561" s="71" t="n">
        <v>443945.25</v>
      </c>
      <c r="U3561" t="inlineStr">
        <is>
          <t>Medium</t>
        </is>
      </c>
      <c r="V3561">
        <f>IF(AND(OR(Dashboard!$C$6="All",E3561=Dashboard!$C$6),OR(Dashboard!$F$6="All",G3561=Dashboard!$F$6),OR(Dashboard!$I$6="All",H3561=Dashboard!$I$6)),1,0)</f>
        <v/>
      </c>
    </row>
    <row r="3562">
      <c r="A3562" t="inlineStr">
        <is>
          <t>PF103553</t>
        </is>
      </c>
      <c r="B3562" s="68" t="n">
        <v>46083</v>
      </c>
      <c r="C3562" s="69" t="n">
        <v>2026</v>
      </c>
      <c r="D3562" t="inlineStr">
        <is>
          <t>Mar</t>
        </is>
      </c>
      <c r="E3562" t="inlineStr">
        <is>
          <t>Europe</t>
        </is>
      </c>
      <c r="F3562" t="inlineStr">
        <is>
          <t>UK</t>
        </is>
      </c>
      <c r="G3562" t="inlineStr">
        <is>
          <t>Eliquis</t>
        </is>
      </c>
      <c r="H3562" t="inlineStr">
        <is>
          <t>Retail pharmacy</t>
        </is>
      </c>
      <c r="I3562" t="inlineStr">
        <is>
          <t>Private insurer</t>
        </is>
      </c>
      <c r="J3562" t="inlineStr">
        <is>
          <t>Carlos Silva</t>
        </is>
      </c>
      <c r="K3562" s="70" t="n">
        <v>743</v>
      </c>
      <c r="L3562" s="71" t="n">
        <v>421.16</v>
      </c>
      <c r="M3562" s="71" t="n">
        <v>312921.88</v>
      </c>
      <c r="N3562" s="71" t="n">
        <v>62584.38</v>
      </c>
      <c r="O3562" s="71" t="n">
        <v>250337.5</v>
      </c>
      <c r="P3562" s="71" t="n">
        <v>56120.75</v>
      </c>
      <c r="Q3562" s="71" t="n">
        <v>194216.75</v>
      </c>
      <c r="R3562" t="inlineStr">
        <is>
          <t>Cardiology</t>
        </is>
      </c>
      <c r="S3562" s="70" t="n">
        <v>608</v>
      </c>
      <c r="T3562" s="71" t="n">
        <v>37278.49</v>
      </c>
      <c r="U3562" t="inlineStr">
        <is>
          <t>High</t>
        </is>
      </c>
      <c r="V3562">
        <f>IF(AND(OR(Dashboard!$C$6="All",E3562=Dashboard!$C$6),OR(Dashboard!$F$6="All",G3562=Dashboard!$F$6),OR(Dashboard!$I$6="All",H3562=Dashboard!$I$6)),1,0)</f>
        <v/>
      </c>
    </row>
    <row r="3563">
      <c r="A3563" t="inlineStr">
        <is>
          <t>PF103554</t>
        </is>
      </c>
      <c r="B3563" s="68" t="n">
        <v>46084</v>
      </c>
      <c r="C3563" s="69" t="n">
        <v>2026</v>
      </c>
      <c r="D3563" t="inlineStr">
        <is>
          <t>Mar</t>
        </is>
      </c>
      <c r="E3563" t="inlineStr">
        <is>
          <t>International developed</t>
        </is>
      </c>
      <c r="F3563" t="inlineStr">
        <is>
          <t>Australia</t>
        </is>
      </c>
      <c r="G3563" t="inlineStr">
        <is>
          <t>Comirnaty</t>
        </is>
      </c>
      <c r="H3563" t="inlineStr">
        <is>
          <t>Hospital</t>
        </is>
      </c>
      <c r="I3563" t="inlineStr">
        <is>
          <t>Public payer</t>
        </is>
      </c>
      <c r="J3563" t="inlineStr">
        <is>
          <t>Kofi Mensah</t>
        </is>
      </c>
      <c r="K3563" s="70" t="n">
        <v>1413</v>
      </c>
      <c r="L3563" s="71" t="n">
        <v>90.94</v>
      </c>
      <c r="M3563" s="71" t="n">
        <v>128498.22</v>
      </c>
      <c r="N3563" s="71" t="n">
        <v>12849.82</v>
      </c>
      <c r="O3563" s="71" t="n">
        <v>115648.4</v>
      </c>
      <c r="P3563" s="71" t="n">
        <v>56063.59</v>
      </c>
      <c r="Q3563" s="71" t="n">
        <v>59584.81</v>
      </c>
      <c r="R3563" t="inlineStr">
        <is>
          <t>Vaccines</t>
        </is>
      </c>
      <c r="S3563" s="70" t="n">
        <v>990</v>
      </c>
      <c r="T3563" s="71" t="n">
        <v>20086.11</v>
      </c>
      <c r="U3563" t="inlineStr">
        <is>
          <t>Low</t>
        </is>
      </c>
      <c r="V3563">
        <f>IF(AND(OR(Dashboard!$C$6="All",E3563=Dashboard!$C$6),OR(Dashboard!$F$6="All",G3563=Dashboard!$F$6),OR(Dashboard!$I$6="All",H3563=Dashboard!$I$6)),1,0)</f>
        <v/>
      </c>
    </row>
    <row r="3564">
      <c r="A3564" t="inlineStr">
        <is>
          <t>PF103555</t>
        </is>
      </c>
      <c r="B3564" s="68" t="n">
        <v>46084</v>
      </c>
      <c r="C3564" s="69" t="n">
        <v>2026</v>
      </c>
      <c r="D3564" t="inlineStr">
        <is>
          <t>Mar</t>
        </is>
      </c>
      <c r="E3564" t="inlineStr">
        <is>
          <t>United States</t>
        </is>
      </c>
      <c r="F3564" t="inlineStr">
        <is>
          <t>USA</t>
        </is>
      </c>
      <c r="G3564" t="inlineStr">
        <is>
          <t>Xeljanz</t>
        </is>
      </c>
      <c r="H3564" t="inlineStr">
        <is>
          <t>Retail pharmacy</t>
        </is>
      </c>
      <c r="I3564" t="inlineStr">
        <is>
          <t>Public payer</t>
        </is>
      </c>
      <c r="J3564" t="inlineStr">
        <is>
          <t>Priya Nair</t>
        </is>
      </c>
      <c r="K3564" s="70" t="n">
        <v>272</v>
      </c>
      <c r="L3564" s="71" t="n">
        <v>1987.27</v>
      </c>
      <c r="M3564" s="71" t="n">
        <v>540537.4399999999</v>
      </c>
      <c r="N3564" s="71" t="n">
        <v>135134.36</v>
      </c>
      <c r="O3564" s="71" t="n">
        <v>405403.08</v>
      </c>
      <c r="P3564" s="71" t="n">
        <v>71210.60000000001</v>
      </c>
      <c r="Q3564" s="71" t="n">
        <v>334192.48</v>
      </c>
      <c r="R3564" t="inlineStr">
        <is>
          <t>Inflammation</t>
        </is>
      </c>
      <c r="S3564" s="70" t="n">
        <v>205</v>
      </c>
      <c r="T3564" s="71" t="n">
        <v>100006.93</v>
      </c>
      <c r="U3564" t="inlineStr">
        <is>
          <t>High</t>
        </is>
      </c>
      <c r="V3564">
        <f>IF(AND(OR(Dashboard!$C$6="All",E3564=Dashboard!$C$6),OR(Dashboard!$F$6="All",G3564=Dashboard!$F$6),OR(Dashboard!$I$6="All",H3564=Dashboard!$I$6)),1,0)</f>
        <v/>
      </c>
    </row>
    <row r="3565">
      <c r="A3565" t="inlineStr">
        <is>
          <t>PF103556</t>
        </is>
      </c>
      <c r="B3565" s="68" t="n">
        <v>46084</v>
      </c>
      <c r="C3565" s="69" t="n">
        <v>2026</v>
      </c>
      <c r="D3565" t="inlineStr">
        <is>
          <t>Mar</t>
        </is>
      </c>
      <c r="E3565" t="inlineStr">
        <is>
          <t>Europe</t>
        </is>
      </c>
      <c r="F3565" t="inlineStr">
        <is>
          <t>Spain</t>
        </is>
      </c>
      <c r="G3565" t="inlineStr">
        <is>
          <t>Comirnaty</t>
        </is>
      </c>
      <c r="H3565" t="inlineStr">
        <is>
          <t>Retail pharmacy</t>
        </is>
      </c>
      <c r="I3565" t="inlineStr">
        <is>
          <t>Private insurer</t>
        </is>
      </c>
      <c r="J3565" t="inlineStr">
        <is>
          <t>Zoya Ahmed</t>
        </is>
      </c>
      <c r="K3565" s="70" t="n">
        <v>41</v>
      </c>
      <c r="L3565" s="71" t="n">
        <v>94.64</v>
      </c>
      <c r="M3565" s="71" t="n">
        <v>3880.24</v>
      </c>
      <c r="N3565" s="71" t="n">
        <v>388.02</v>
      </c>
      <c r="O3565" s="71" t="n">
        <v>3492.22</v>
      </c>
      <c r="P3565" s="71" t="n">
        <v>1616.89</v>
      </c>
      <c r="Q3565" s="71" t="n">
        <v>1875.33</v>
      </c>
      <c r="R3565" t="inlineStr">
        <is>
          <t>Vaccines</t>
        </is>
      </c>
      <c r="S3565" s="70" t="n">
        <v>26</v>
      </c>
      <c r="T3565" s="71" t="n">
        <v>1011.96</v>
      </c>
      <c r="U3565" t="inlineStr">
        <is>
          <t>Low</t>
        </is>
      </c>
      <c r="V3565">
        <f>IF(AND(OR(Dashboard!$C$6="All",E3565=Dashboard!$C$6),OR(Dashboard!$F$6="All",G3565=Dashboard!$F$6),OR(Dashboard!$I$6="All",H3565=Dashboard!$I$6)),1,0)</f>
        <v/>
      </c>
    </row>
    <row r="3566">
      <c r="A3566" t="inlineStr">
        <is>
          <t>PF103557</t>
        </is>
      </c>
      <c r="B3566" s="68" t="n">
        <v>46084</v>
      </c>
      <c r="C3566" s="69" t="n">
        <v>2026</v>
      </c>
      <c r="D3566" t="inlineStr">
        <is>
          <t>Mar</t>
        </is>
      </c>
      <c r="E3566" t="inlineStr">
        <is>
          <t>United States</t>
        </is>
      </c>
      <c r="F3566" t="inlineStr">
        <is>
          <t>USA</t>
        </is>
      </c>
      <c r="G3566" t="inlineStr">
        <is>
          <t>Prevnar 20</t>
        </is>
      </c>
      <c r="H3566" t="inlineStr">
        <is>
          <t>Hospital</t>
        </is>
      </c>
      <c r="I3566" t="inlineStr">
        <is>
          <t>Public payer</t>
        </is>
      </c>
      <c r="J3566" t="inlineStr">
        <is>
          <t>Olivia Brown</t>
        </is>
      </c>
      <c r="K3566" s="70" t="n">
        <v>443</v>
      </c>
      <c r="L3566" s="71" t="n">
        <v>403.74</v>
      </c>
      <c r="M3566" s="71" t="n">
        <v>178856.82</v>
      </c>
      <c r="N3566" s="71" t="n">
        <v>26828.52</v>
      </c>
      <c r="O3566" s="71" t="n">
        <v>152028.3</v>
      </c>
      <c r="P3566" s="71" t="n">
        <v>29779.01</v>
      </c>
      <c r="Q3566" s="71" t="n">
        <v>122249.29</v>
      </c>
      <c r="R3566" t="inlineStr">
        <is>
          <t>Vaccines</t>
        </is>
      </c>
      <c r="S3566" s="70" t="n">
        <v>431</v>
      </c>
      <c r="T3566" s="71" t="n">
        <v>26009.25</v>
      </c>
      <c r="U3566" t="inlineStr">
        <is>
          <t>Low</t>
        </is>
      </c>
      <c r="V3566">
        <f>IF(AND(OR(Dashboard!$C$6="All",E3566=Dashboard!$C$6),OR(Dashboard!$F$6="All",G3566=Dashboard!$F$6),OR(Dashboard!$I$6="All",H3566=Dashboard!$I$6)),1,0)</f>
        <v/>
      </c>
    </row>
    <row r="3567">
      <c r="A3567" t="inlineStr">
        <is>
          <t>PF103558</t>
        </is>
      </c>
      <c r="B3567" s="68" t="n">
        <v>46084</v>
      </c>
      <c r="C3567" s="69" t="n">
        <v>2026</v>
      </c>
      <c r="D3567" t="inlineStr">
        <is>
          <t>Mar</t>
        </is>
      </c>
      <c r="E3567" t="inlineStr">
        <is>
          <t>International developed</t>
        </is>
      </c>
      <c r="F3567" t="inlineStr">
        <is>
          <t>Australia</t>
        </is>
      </c>
      <c r="G3567" t="inlineStr">
        <is>
          <t>Eliquis</t>
        </is>
      </c>
      <c r="H3567" t="inlineStr">
        <is>
          <t>Hospital</t>
        </is>
      </c>
      <c r="I3567" t="inlineStr">
        <is>
          <t>Private insurer</t>
        </is>
      </c>
      <c r="J3567" t="inlineStr">
        <is>
          <t>Aisha Bello</t>
        </is>
      </c>
      <c r="K3567" s="70" t="n">
        <v>1589</v>
      </c>
      <c r="L3567" s="71" t="n">
        <v>437.46</v>
      </c>
      <c r="M3567" s="71" t="n">
        <v>695123.9399999999</v>
      </c>
      <c r="N3567" s="71" t="n">
        <v>104268.59</v>
      </c>
      <c r="O3567" s="71" t="n">
        <v>590855.35</v>
      </c>
      <c r="P3567" s="71" t="n">
        <v>124640.77</v>
      </c>
      <c r="Q3567" s="71" t="n">
        <v>466214.58</v>
      </c>
      <c r="R3567" t="inlineStr">
        <is>
          <t>Cardiology</t>
        </is>
      </c>
      <c r="S3567" s="70" t="n">
        <v>1122</v>
      </c>
      <c r="T3567" s="71" t="n">
        <v>121706.4</v>
      </c>
      <c r="U3567" t="inlineStr">
        <is>
          <t>High</t>
        </is>
      </c>
      <c r="V3567">
        <f>IF(AND(OR(Dashboard!$C$6="All",E3567=Dashboard!$C$6),OR(Dashboard!$F$6="All",G3567=Dashboard!$F$6),OR(Dashboard!$I$6="All",H3567=Dashboard!$I$6)),1,0)</f>
        <v/>
      </c>
    </row>
    <row r="3568">
      <c r="A3568" t="inlineStr">
        <is>
          <t>PF103559</t>
        </is>
      </c>
      <c r="B3568" s="68" t="n">
        <v>46084</v>
      </c>
      <c r="C3568" s="69" t="n">
        <v>2026</v>
      </c>
      <c r="D3568" t="inlineStr">
        <is>
          <t>Mar</t>
        </is>
      </c>
      <c r="E3568" t="inlineStr">
        <is>
          <t>United States</t>
        </is>
      </c>
      <c r="F3568" t="inlineStr">
        <is>
          <t>USA</t>
        </is>
      </c>
      <c r="G3568" t="inlineStr">
        <is>
          <t>Abrysvo</t>
        </is>
      </c>
      <c r="H3568" t="inlineStr">
        <is>
          <t>Hospital</t>
        </is>
      </c>
      <c r="I3568" t="inlineStr">
        <is>
          <t>Private insurer</t>
        </is>
      </c>
      <c r="J3568" t="inlineStr">
        <is>
          <t>Zoya Ahmed</t>
        </is>
      </c>
      <c r="K3568" s="70" t="n">
        <v>1879</v>
      </c>
      <c r="L3568" s="71" t="n">
        <v>487.54</v>
      </c>
      <c r="M3568" s="71" t="n">
        <v>916087.66</v>
      </c>
      <c r="N3568" s="71" t="n">
        <v>274826.3</v>
      </c>
      <c r="O3568" s="71" t="n">
        <v>641261.36</v>
      </c>
      <c r="P3568" s="71" t="n">
        <v>152727.48</v>
      </c>
      <c r="Q3568" s="71" t="n">
        <v>488533.88</v>
      </c>
      <c r="R3568" t="inlineStr">
        <is>
          <t>Vaccines</t>
        </is>
      </c>
      <c r="S3568" s="70" t="n">
        <v>1376</v>
      </c>
      <c r="T3568" s="71" t="n">
        <v>173288.9</v>
      </c>
      <c r="U3568" t="inlineStr">
        <is>
          <t>Low</t>
        </is>
      </c>
      <c r="V3568">
        <f>IF(AND(OR(Dashboard!$C$6="All",E3568=Dashboard!$C$6),OR(Dashboard!$F$6="All",G3568=Dashboard!$F$6),OR(Dashboard!$I$6="All",H3568=Dashboard!$I$6)),1,0)</f>
        <v/>
      </c>
    </row>
    <row r="3569">
      <c r="A3569" t="inlineStr">
        <is>
          <t>PF103560</t>
        </is>
      </c>
      <c r="B3569" s="68" t="n">
        <v>46084</v>
      </c>
      <c r="C3569" s="69" t="n">
        <v>2026</v>
      </c>
      <c r="D3569" t="inlineStr">
        <is>
          <t>Mar</t>
        </is>
      </c>
      <c r="E3569" t="inlineStr">
        <is>
          <t>Emerging markets</t>
        </is>
      </c>
      <c r="F3569" t="inlineStr">
        <is>
          <t>Brazil</t>
        </is>
      </c>
      <c r="G3569" t="inlineStr">
        <is>
          <t>Ibrance</t>
        </is>
      </c>
      <c r="H3569" t="inlineStr">
        <is>
          <t>Hospital</t>
        </is>
      </c>
      <c r="I3569" t="inlineStr">
        <is>
          <t>Public payer</t>
        </is>
      </c>
      <c r="J3569" t="inlineStr">
        <is>
          <t>Lucas Martin</t>
        </is>
      </c>
      <c r="K3569" s="70" t="n">
        <v>1493</v>
      </c>
      <c r="L3569" s="71" t="n">
        <v>2660.84</v>
      </c>
      <c r="M3569" s="71" t="n">
        <v>3972634.12</v>
      </c>
      <c r="N3569" s="71" t="n">
        <v>993158.53</v>
      </c>
      <c r="O3569" s="71" t="n">
        <v>2979475.59</v>
      </c>
      <c r="P3569" s="71" t="n">
        <v>634043.38</v>
      </c>
      <c r="Q3569" s="71" t="n">
        <v>2345432.21</v>
      </c>
      <c r="R3569" t="inlineStr">
        <is>
          <t>Oncology</t>
        </is>
      </c>
      <c r="S3569" s="70" t="n">
        <v>958</v>
      </c>
      <c r="T3569" s="71" t="n">
        <v>499978.22</v>
      </c>
      <c r="U3569" t="inlineStr">
        <is>
          <t>High</t>
        </is>
      </c>
      <c r="V3569">
        <f>IF(AND(OR(Dashboard!$C$6="All",E3569=Dashboard!$C$6),OR(Dashboard!$F$6="All",G3569=Dashboard!$F$6),OR(Dashboard!$I$6="All",H3569=Dashboard!$I$6)),1,0)</f>
        <v/>
      </c>
    </row>
    <row r="3570">
      <c r="A3570" t="inlineStr">
        <is>
          <t>PF103561</t>
        </is>
      </c>
      <c r="B3570" s="68" t="n">
        <v>46084</v>
      </c>
      <c r="C3570" s="69" t="n">
        <v>2026</v>
      </c>
      <c r="D3570" t="inlineStr">
        <is>
          <t>Mar</t>
        </is>
      </c>
      <c r="E3570" t="inlineStr">
        <is>
          <t>Europe</t>
        </is>
      </c>
      <c r="F3570" t="inlineStr">
        <is>
          <t>Spain</t>
        </is>
      </c>
      <c r="G3570" t="inlineStr">
        <is>
          <t>Abrysvo</t>
        </is>
      </c>
      <c r="H3570" t="inlineStr">
        <is>
          <t>Retail pharmacy</t>
        </is>
      </c>
      <c r="I3570" t="inlineStr">
        <is>
          <t>Public payer</t>
        </is>
      </c>
      <c r="J3570" t="inlineStr">
        <is>
          <t>Arjun Mehta</t>
        </is>
      </c>
      <c r="K3570" s="70" t="n">
        <v>1209</v>
      </c>
      <c r="L3570" s="71" t="n">
        <v>340.73</v>
      </c>
      <c r="M3570" s="71" t="n">
        <v>411942.57</v>
      </c>
      <c r="N3570" s="71" t="n">
        <v>20597.13</v>
      </c>
      <c r="O3570" s="71" t="n">
        <v>391345.44</v>
      </c>
      <c r="P3570" s="71" t="n">
        <v>103466.32</v>
      </c>
      <c r="Q3570" s="71" t="n">
        <v>287879.12</v>
      </c>
      <c r="R3570" t="inlineStr">
        <is>
          <t>Vaccines</t>
        </is>
      </c>
      <c r="S3570" s="70" t="n">
        <v>773</v>
      </c>
      <c r="T3570" s="71" t="n">
        <v>77640.17</v>
      </c>
      <c r="U3570" t="inlineStr">
        <is>
          <t>Low</t>
        </is>
      </c>
      <c r="V3570">
        <f>IF(AND(OR(Dashboard!$C$6="All",E3570=Dashboard!$C$6),OR(Dashboard!$F$6="All",G3570=Dashboard!$F$6),OR(Dashboard!$I$6="All",H3570=Dashboard!$I$6)),1,0)</f>
        <v/>
      </c>
    </row>
    <row r="3571">
      <c r="A3571" t="inlineStr">
        <is>
          <t>PF103562</t>
        </is>
      </c>
      <c r="B3571" s="68" t="n">
        <v>46084</v>
      </c>
      <c r="C3571" s="69" t="n">
        <v>2026</v>
      </c>
      <c r="D3571" t="inlineStr">
        <is>
          <t>Mar</t>
        </is>
      </c>
      <c r="E3571" t="inlineStr">
        <is>
          <t>International developed</t>
        </is>
      </c>
      <c r="F3571" t="inlineStr">
        <is>
          <t>Australia</t>
        </is>
      </c>
      <c r="G3571" t="inlineStr">
        <is>
          <t>Paxlovid</t>
        </is>
      </c>
      <c r="H3571" t="inlineStr">
        <is>
          <t>Hospital</t>
        </is>
      </c>
      <c r="I3571" t="inlineStr">
        <is>
          <t>Public payer</t>
        </is>
      </c>
      <c r="J3571" t="inlineStr">
        <is>
          <t>Liam O'Brien</t>
        </is>
      </c>
      <c r="K3571" s="70" t="n">
        <v>2429</v>
      </c>
      <c r="L3571" s="71" t="n">
        <v>991.12</v>
      </c>
      <c r="M3571" s="71" t="n">
        <v>2407430.48</v>
      </c>
      <c r="N3571" s="71" t="n">
        <v>361114.57</v>
      </c>
      <c r="O3571" s="71" t="n">
        <v>2046315.91</v>
      </c>
      <c r="P3571" s="71" t="n">
        <v>641609.14</v>
      </c>
      <c r="Q3571" s="71" t="n">
        <v>1404706.77</v>
      </c>
      <c r="R3571" t="inlineStr">
        <is>
          <t>Antiviral</t>
        </is>
      </c>
      <c r="S3571" s="70" t="n">
        <v>2213</v>
      </c>
      <c r="T3571" s="71" t="n">
        <v>605152.08</v>
      </c>
      <c r="U3571" t="inlineStr">
        <is>
          <t>Low</t>
        </is>
      </c>
      <c r="V3571">
        <f>IF(AND(OR(Dashboard!$C$6="All",E3571=Dashboard!$C$6),OR(Dashboard!$F$6="All",G3571=Dashboard!$F$6),OR(Dashboard!$I$6="All",H3571=Dashboard!$I$6)),1,0)</f>
        <v/>
      </c>
    </row>
    <row r="3572">
      <c r="A3572" t="inlineStr">
        <is>
          <t>PF103563</t>
        </is>
      </c>
      <c r="B3572" s="68" t="n">
        <v>46084</v>
      </c>
      <c r="C3572" s="69" t="n">
        <v>2026</v>
      </c>
      <c r="D3572" t="inlineStr">
        <is>
          <t>Mar</t>
        </is>
      </c>
      <c r="E3572" t="inlineStr">
        <is>
          <t>Europe</t>
        </is>
      </c>
      <c r="F3572" t="inlineStr">
        <is>
          <t>Italy</t>
        </is>
      </c>
      <c r="G3572" t="inlineStr">
        <is>
          <t>Paxlovid</t>
        </is>
      </c>
      <c r="H3572" t="inlineStr">
        <is>
          <t>Retail pharmacy</t>
        </is>
      </c>
      <c r="I3572" t="inlineStr">
        <is>
          <t>Private insurer</t>
        </is>
      </c>
      <c r="J3572" t="inlineStr">
        <is>
          <t>Fatima Al-Saud</t>
        </is>
      </c>
      <c r="K3572" s="70" t="n">
        <v>1154</v>
      </c>
      <c r="L3572" s="71" t="n">
        <v>901.3</v>
      </c>
      <c r="M3572" s="71" t="n">
        <v>1040100.2</v>
      </c>
      <c r="N3572" s="71" t="n">
        <v>52005.01</v>
      </c>
      <c r="O3572" s="71" t="n">
        <v>988095.1899999999</v>
      </c>
      <c r="P3572" s="71" t="n">
        <v>309247.56</v>
      </c>
      <c r="Q3572" s="71" t="n">
        <v>678847.63</v>
      </c>
      <c r="R3572" t="inlineStr">
        <is>
          <t>Antiviral</t>
        </is>
      </c>
      <c r="S3572" s="70" t="n">
        <v>856</v>
      </c>
      <c r="T3572" s="71" t="n">
        <v>171164.37</v>
      </c>
      <c r="U3572" t="inlineStr">
        <is>
          <t>Low</t>
        </is>
      </c>
      <c r="V3572">
        <f>IF(AND(OR(Dashboard!$C$6="All",E3572=Dashboard!$C$6),OR(Dashboard!$F$6="All",G3572=Dashboard!$F$6),OR(Dashboard!$I$6="All",H3572=Dashboard!$I$6)),1,0)</f>
        <v/>
      </c>
    </row>
    <row r="3573">
      <c r="A3573" t="inlineStr">
        <is>
          <t>PF103564</t>
        </is>
      </c>
      <c r="B3573" s="68" t="n">
        <v>46085</v>
      </c>
      <c r="C3573" s="69" t="n">
        <v>2026</v>
      </c>
      <c r="D3573" t="inlineStr">
        <is>
          <t>Mar</t>
        </is>
      </c>
      <c r="E3573" t="inlineStr">
        <is>
          <t>United States</t>
        </is>
      </c>
      <c r="F3573" t="inlineStr">
        <is>
          <t>USA</t>
        </is>
      </c>
      <c r="G3573" t="inlineStr">
        <is>
          <t>Abrysvo</t>
        </is>
      </c>
      <c r="H3573" t="inlineStr">
        <is>
          <t>Government / tender</t>
        </is>
      </c>
      <c r="I3573" t="inlineStr">
        <is>
          <t>Public payer</t>
        </is>
      </c>
      <c r="J3573" t="inlineStr">
        <is>
          <t>Amir Khan</t>
        </is>
      </c>
      <c r="K3573" s="70" t="n">
        <v>2543</v>
      </c>
      <c r="L3573" s="71" t="n">
        <v>500.38</v>
      </c>
      <c r="M3573" s="71" t="n">
        <v>1272466.34</v>
      </c>
      <c r="N3573" s="71" t="n">
        <v>318116.59</v>
      </c>
      <c r="O3573" s="71" t="n">
        <v>954349.75</v>
      </c>
      <c r="P3573" s="71" t="n">
        <v>210641.43</v>
      </c>
      <c r="Q3573" s="71" t="n">
        <v>743708.3199999999</v>
      </c>
      <c r="R3573" t="inlineStr">
        <is>
          <t>Vaccines</t>
        </is>
      </c>
      <c r="S3573" s="70" t="n">
        <v>2495</v>
      </c>
      <c r="T3573" s="71" t="n">
        <v>148878.93</v>
      </c>
      <c r="U3573" t="inlineStr">
        <is>
          <t>Low</t>
        </is>
      </c>
      <c r="V3573">
        <f>IF(AND(OR(Dashboard!$C$6="All",E3573=Dashboard!$C$6),OR(Dashboard!$F$6="All",G3573=Dashboard!$F$6),OR(Dashboard!$I$6="All",H3573=Dashboard!$I$6)),1,0)</f>
        <v/>
      </c>
    </row>
    <row r="3574">
      <c r="A3574" t="inlineStr">
        <is>
          <t>PF103565</t>
        </is>
      </c>
      <c r="B3574" s="68" t="n">
        <v>46085</v>
      </c>
      <c r="C3574" s="69" t="n">
        <v>2026</v>
      </c>
      <c r="D3574" t="inlineStr">
        <is>
          <t>Mar</t>
        </is>
      </c>
      <c r="E3574" t="inlineStr">
        <is>
          <t>United States</t>
        </is>
      </c>
      <c r="F3574" t="inlineStr">
        <is>
          <t>USA</t>
        </is>
      </c>
      <c r="G3574" t="inlineStr">
        <is>
          <t>Ibrance</t>
        </is>
      </c>
      <c r="H3574" t="inlineStr">
        <is>
          <t>Retail pharmacy</t>
        </is>
      </c>
      <c r="I3574" t="inlineStr">
        <is>
          <t>Private insurer</t>
        </is>
      </c>
      <c r="J3574" t="inlineStr">
        <is>
          <t>Liam O'Brien</t>
        </is>
      </c>
      <c r="K3574" s="70" t="n">
        <v>1167</v>
      </c>
      <c r="L3574" s="71" t="n">
        <v>4272.27</v>
      </c>
      <c r="M3574" s="71" t="n">
        <v>4985739.09</v>
      </c>
      <c r="N3574" s="71" t="n">
        <v>747860.86</v>
      </c>
      <c r="O3574" s="71" t="n">
        <v>4237878.23</v>
      </c>
      <c r="P3574" s="71" t="n">
        <v>499943.99</v>
      </c>
      <c r="Q3574" s="71" t="n">
        <v>3737934.24</v>
      </c>
      <c r="R3574" t="inlineStr">
        <is>
          <t>Oncology</t>
        </is>
      </c>
      <c r="S3574" s="70" t="n">
        <v>754</v>
      </c>
      <c r="T3574" s="71" t="n">
        <v>780458.5</v>
      </c>
      <c r="U3574" t="inlineStr">
        <is>
          <t>High</t>
        </is>
      </c>
      <c r="V3574">
        <f>IF(AND(OR(Dashboard!$C$6="All",E3574=Dashboard!$C$6),OR(Dashboard!$F$6="All",G3574=Dashboard!$F$6),OR(Dashboard!$I$6="All",H3574=Dashboard!$I$6)),1,0)</f>
        <v/>
      </c>
    </row>
    <row r="3575">
      <c r="A3575" t="inlineStr">
        <is>
          <t>PF103566</t>
        </is>
      </c>
      <c r="B3575" s="68" t="n">
        <v>46085</v>
      </c>
      <c r="C3575" s="69" t="n">
        <v>2026</v>
      </c>
      <c r="D3575" t="inlineStr">
        <is>
          <t>Mar</t>
        </is>
      </c>
      <c r="E3575" t="inlineStr">
        <is>
          <t>United States</t>
        </is>
      </c>
      <c r="F3575" t="inlineStr">
        <is>
          <t>USA</t>
        </is>
      </c>
      <c r="G3575" t="inlineStr">
        <is>
          <t>Abrysvo</t>
        </is>
      </c>
      <c r="H3575" t="inlineStr">
        <is>
          <t>Government / tender</t>
        </is>
      </c>
      <c r="I3575" t="inlineStr">
        <is>
          <t>Self-pay</t>
        </is>
      </c>
      <c r="J3575" t="inlineStr">
        <is>
          <t>Amir Khan</t>
        </is>
      </c>
      <c r="K3575" s="70" t="n">
        <v>2443</v>
      </c>
      <c r="L3575" s="71" t="n">
        <v>546.65</v>
      </c>
      <c r="M3575" s="71" t="n">
        <v>1335465.95</v>
      </c>
      <c r="N3575" s="71" t="n">
        <v>400639.79</v>
      </c>
      <c r="O3575" s="71" t="n">
        <v>934826.16</v>
      </c>
      <c r="P3575" s="71" t="n">
        <v>210271.3</v>
      </c>
      <c r="Q3575" s="71" t="n">
        <v>724554.86</v>
      </c>
      <c r="R3575" t="inlineStr">
        <is>
          <t>Vaccines</t>
        </is>
      </c>
      <c r="S3575" s="70" t="n">
        <v>1851</v>
      </c>
      <c r="T3575" s="71" t="n">
        <v>226627.14</v>
      </c>
      <c r="U3575" t="inlineStr">
        <is>
          <t>Low</t>
        </is>
      </c>
      <c r="V3575">
        <f>IF(AND(OR(Dashboard!$C$6="All",E3575=Dashboard!$C$6),OR(Dashboard!$F$6="All",G3575=Dashboard!$F$6),OR(Dashboard!$I$6="All",H3575=Dashboard!$I$6)),1,0)</f>
        <v/>
      </c>
    </row>
    <row r="3576">
      <c r="A3576" t="inlineStr">
        <is>
          <t>PF103567</t>
        </is>
      </c>
      <c r="B3576" s="68" t="n">
        <v>46085</v>
      </c>
      <c r="C3576" s="69" t="n">
        <v>2026</v>
      </c>
      <c r="D3576" t="inlineStr">
        <is>
          <t>Mar</t>
        </is>
      </c>
      <c r="E3576" t="inlineStr">
        <is>
          <t>Europe</t>
        </is>
      </c>
      <c r="F3576" t="inlineStr">
        <is>
          <t>France</t>
        </is>
      </c>
      <c r="G3576" t="inlineStr">
        <is>
          <t>Paxlovid</t>
        </is>
      </c>
      <c r="H3576" t="inlineStr">
        <is>
          <t>Retail pharmacy</t>
        </is>
      </c>
      <c r="I3576" t="inlineStr">
        <is>
          <t>Public payer</t>
        </is>
      </c>
      <c r="J3576" t="inlineStr">
        <is>
          <t>Ana Costa</t>
        </is>
      </c>
      <c r="K3576" s="70" t="n">
        <v>799</v>
      </c>
      <c r="L3576" s="71" t="n">
        <v>1004.25</v>
      </c>
      <c r="M3576" s="71" t="n">
        <v>802395.75</v>
      </c>
      <c r="N3576" s="71" t="n">
        <v>160479.15</v>
      </c>
      <c r="O3576" s="71" t="n">
        <v>641916.6</v>
      </c>
      <c r="P3576" s="71" t="n">
        <v>214870.11</v>
      </c>
      <c r="Q3576" s="71" t="n">
        <v>427046.49</v>
      </c>
      <c r="R3576" t="inlineStr">
        <is>
          <t>Antiviral</t>
        </is>
      </c>
      <c r="S3576" s="70" t="n">
        <v>659</v>
      </c>
      <c r="T3576" s="71" t="n">
        <v>195014.45</v>
      </c>
      <c r="U3576" t="inlineStr">
        <is>
          <t>Low</t>
        </is>
      </c>
      <c r="V3576">
        <f>IF(AND(OR(Dashboard!$C$6="All",E3576=Dashboard!$C$6),OR(Dashboard!$F$6="All",G3576=Dashboard!$F$6),OR(Dashboard!$I$6="All",H3576=Dashboard!$I$6)),1,0)</f>
        <v/>
      </c>
    </row>
    <row r="3577">
      <c r="A3577" t="inlineStr">
        <is>
          <t>PF103568</t>
        </is>
      </c>
      <c r="B3577" s="68" t="n">
        <v>46085</v>
      </c>
      <c r="C3577" s="69" t="n">
        <v>2026</v>
      </c>
      <c r="D3577" t="inlineStr">
        <is>
          <t>Mar</t>
        </is>
      </c>
      <c r="E3577" t="inlineStr">
        <is>
          <t>United States</t>
        </is>
      </c>
      <c r="F3577" t="inlineStr">
        <is>
          <t>USA</t>
        </is>
      </c>
      <c r="G3577" t="inlineStr">
        <is>
          <t>Ibrance</t>
        </is>
      </c>
      <c r="H3577" t="inlineStr">
        <is>
          <t>Government / tender</t>
        </is>
      </c>
      <c r="I3577" t="inlineStr">
        <is>
          <t>Public payer</t>
        </is>
      </c>
      <c r="J3577" t="inlineStr">
        <is>
          <t>Mei Lin</t>
        </is>
      </c>
      <c r="K3577" s="70" t="n">
        <v>2736</v>
      </c>
      <c r="L3577" s="71" t="n">
        <v>4681.14</v>
      </c>
      <c r="M3577" s="71" t="n">
        <v>12807599.04</v>
      </c>
      <c r="N3577" s="71" t="n">
        <v>4482659.66</v>
      </c>
      <c r="O3577" s="71" t="n">
        <v>8324939.38</v>
      </c>
      <c r="P3577" s="71" t="n">
        <v>1225709</v>
      </c>
      <c r="Q3577" s="71" t="n">
        <v>7099230.38</v>
      </c>
      <c r="R3577" t="inlineStr">
        <is>
          <t>Oncology</t>
        </is>
      </c>
      <c r="S3577" s="70" t="n">
        <v>1909</v>
      </c>
      <c r="T3577" s="71" t="n">
        <v>2157870.38</v>
      </c>
      <c r="U3577" t="inlineStr">
        <is>
          <t>High</t>
        </is>
      </c>
      <c r="V3577">
        <f>IF(AND(OR(Dashboard!$C$6="All",E3577=Dashboard!$C$6),OR(Dashboard!$F$6="All",G3577=Dashboard!$F$6),OR(Dashboard!$I$6="All",H3577=Dashboard!$I$6)),1,0)</f>
        <v/>
      </c>
    </row>
    <row r="3578">
      <c r="A3578" t="inlineStr">
        <is>
          <t>PF103569</t>
        </is>
      </c>
      <c r="B3578" s="68" t="n">
        <v>46086</v>
      </c>
      <c r="C3578" s="69" t="n">
        <v>2026</v>
      </c>
      <c r="D3578" t="inlineStr">
        <is>
          <t>Mar</t>
        </is>
      </c>
      <c r="E3578" t="inlineStr">
        <is>
          <t>United States</t>
        </is>
      </c>
      <c r="F3578" t="inlineStr">
        <is>
          <t>USA</t>
        </is>
      </c>
      <c r="G3578" t="inlineStr">
        <is>
          <t>Ibrance</t>
        </is>
      </c>
      <c r="H3578" t="inlineStr">
        <is>
          <t>Retail pharmacy</t>
        </is>
      </c>
      <c r="I3578" t="inlineStr">
        <is>
          <t>Public payer</t>
        </is>
      </c>
      <c r="J3578" t="inlineStr">
        <is>
          <t>Sara Rossi</t>
        </is>
      </c>
      <c r="K3578" s="70" t="n">
        <v>777</v>
      </c>
      <c r="L3578" s="71" t="n">
        <v>4900.38</v>
      </c>
      <c r="M3578" s="71" t="n">
        <v>3807595.26</v>
      </c>
      <c r="N3578" s="71" t="n">
        <v>571139.29</v>
      </c>
      <c r="O3578" s="71" t="n">
        <v>3236455.97</v>
      </c>
      <c r="P3578" s="71" t="n">
        <v>327412.24</v>
      </c>
      <c r="Q3578" s="71" t="n">
        <v>2909043.73</v>
      </c>
      <c r="R3578" t="inlineStr">
        <is>
          <t>Oncology</t>
        </is>
      </c>
      <c r="S3578" s="70" t="n">
        <v>563</v>
      </c>
      <c r="T3578" s="71" t="n">
        <v>501245.75</v>
      </c>
      <c r="U3578" t="inlineStr">
        <is>
          <t>High</t>
        </is>
      </c>
      <c r="V3578">
        <f>IF(AND(OR(Dashboard!$C$6="All",E3578=Dashboard!$C$6),OR(Dashboard!$F$6="All",G3578=Dashboard!$F$6),OR(Dashboard!$I$6="All",H3578=Dashboard!$I$6)),1,0)</f>
        <v/>
      </c>
    </row>
    <row r="3579">
      <c r="A3579" t="inlineStr">
        <is>
          <t>PF103570</t>
        </is>
      </c>
      <c r="B3579" s="68" t="n">
        <v>46086</v>
      </c>
      <c r="C3579" s="69" t="n">
        <v>2026</v>
      </c>
      <c r="D3579" t="inlineStr">
        <is>
          <t>Mar</t>
        </is>
      </c>
      <c r="E3579" t="inlineStr">
        <is>
          <t>United States</t>
        </is>
      </c>
      <c r="F3579" t="inlineStr">
        <is>
          <t>USA</t>
        </is>
      </c>
      <c r="G3579" t="inlineStr">
        <is>
          <t>Abrysvo</t>
        </is>
      </c>
      <c r="H3579" t="inlineStr">
        <is>
          <t>Retail pharmacy</t>
        </is>
      </c>
      <c r="I3579" t="inlineStr">
        <is>
          <t>Public payer</t>
        </is>
      </c>
      <c r="J3579" t="inlineStr">
        <is>
          <t>Fatima Al-Saud</t>
        </is>
      </c>
      <c r="K3579" s="70" t="n">
        <v>1631</v>
      </c>
      <c r="L3579" s="71" t="n">
        <v>536.86</v>
      </c>
      <c r="M3579" s="71" t="n">
        <v>875618.66</v>
      </c>
      <c r="N3579" s="71" t="n">
        <v>262685.6</v>
      </c>
      <c r="O3579" s="71" t="n">
        <v>612933.0600000001</v>
      </c>
      <c r="P3579" s="71" t="n">
        <v>132188.94</v>
      </c>
      <c r="Q3579" s="71" t="n">
        <v>480744.12</v>
      </c>
      <c r="R3579" t="inlineStr">
        <is>
          <t>Vaccines</t>
        </is>
      </c>
      <c r="S3579" s="70" t="n">
        <v>1449</v>
      </c>
      <c r="T3579" s="71" t="n">
        <v>133275.74</v>
      </c>
      <c r="U3579" t="inlineStr">
        <is>
          <t>Low</t>
        </is>
      </c>
      <c r="V3579">
        <f>IF(AND(OR(Dashboard!$C$6="All",E3579=Dashboard!$C$6),OR(Dashboard!$F$6="All",G3579=Dashboard!$F$6),OR(Dashboard!$I$6="All",H3579=Dashboard!$I$6)),1,0)</f>
        <v/>
      </c>
    </row>
    <row r="3580">
      <c r="A3580" t="inlineStr">
        <is>
          <t>PF103571</t>
        </is>
      </c>
      <c r="B3580" s="68" t="n">
        <v>46086</v>
      </c>
      <c r="C3580" s="69" t="n">
        <v>2026</v>
      </c>
      <c r="D3580" t="inlineStr">
        <is>
          <t>Mar</t>
        </is>
      </c>
      <c r="E3580" t="inlineStr">
        <is>
          <t>United States</t>
        </is>
      </c>
      <c r="F3580" t="inlineStr">
        <is>
          <t>USA</t>
        </is>
      </c>
      <c r="G3580" t="inlineStr">
        <is>
          <t>Abrysvo</t>
        </is>
      </c>
      <c r="H3580" t="inlineStr">
        <is>
          <t>Retail pharmacy</t>
        </is>
      </c>
      <c r="I3580" t="inlineStr">
        <is>
          <t>Private insurer</t>
        </is>
      </c>
      <c r="J3580" t="inlineStr">
        <is>
          <t>Emma Clarke</t>
        </is>
      </c>
      <c r="K3580" s="70" t="n">
        <v>1596</v>
      </c>
      <c r="L3580" s="71" t="n">
        <v>542.87</v>
      </c>
      <c r="M3580" s="71" t="n">
        <v>866420.52</v>
      </c>
      <c r="N3580" s="71" t="n">
        <v>303247.18</v>
      </c>
      <c r="O3580" s="71" t="n">
        <v>563173.34</v>
      </c>
      <c r="P3580" s="71" t="n">
        <v>133337.33</v>
      </c>
      <c r="Q3580" s="71" t="n">
        <v>429836.01</v>
      </c>
      <c r="R3580" t="inlineStr">
        <is>
          <t>Vaccines</t>
        </is>
      </c>
      <c r="S3580" s="70" t="n">
        <v>1204</v>
      </c>
      <c r="T3580" s="71" t="n">
        <v>94702.47</v>
      </c>
      <c r="U3580" t="inlineStr">
        <is>
          <t>Low</t>
        </is>
      </c>
      <c r="V3580">
        <f>IF(AND(OR(Dashboard!$C$6="All",E3580=Dashboard!$C$6),OR(Dashboard!$F$6="All",G3580=Dashboard!$F$6),OR(Dashboard!$I$6="All",H3580=Dashboard!$I$6)),1,0)</f>
        <v/>
      </c>
    </row>
    <row r="3581">
      <c r="A3581" t="inlineStr">
        <is>
          <t>PF103572</t>
        </is>
      </c>
      <c r="B3581" s="68" t="n">
        <v>46086</v>
      </c>
      <c r="C3581" s="69" t="n">
        <v>2026</v>
      </c>
      <c r="D3581" t="inlineStr">
        <is>
          <t>Mar</t>
        </is>
      </c>
      <c r="E3581" t="inlineStr">
        <is>
          <t>Europe</t>
        </is>
      </c>
      <c r="F3581" t="inlineStr">
        <is>
          <t>France</t>
        </is>
      </c>
      <c r="G3581" t="inlineStr">
        <is>
          <t>Abrysvo</t>
        </is>
      </c>
      <c r="H3581" t="inlineStr">
        <is>
          <t>Hospital</t>
        </is>
      </c>
      <c r="I3581" t="inlineStr">
        <is>
          <t>Private insurer</t>
        </is>
      </c>
      <c r="J3581" t="inlineStr">
        <is>
          <t>Priya Nair</t>
        </is>
      </c>
      <c r="K3581" s="70" t="n">
        <v>1608</v>
      </c>
      <c r="L3581" s="71" t="n">
        <v>291.69</v>
      </c>
      <c r="M3581" s="71" t="n">
        <v>469037.52</v>
      </c>
      <c r="N3581" s="71" t="n">
        <v>117259.38</v>
      </c>
      <c r="O3581" s="71" t="n">
        <v>351778.14</v>
      </c>
      <c r="P3581" s="71" t="n">
        <v>140001.27</v>
      </c>
      <c r="Q3581" s="71" t="n">
        <v>211776.87</v>
      </c>
      <c r="R3581" t="inlineStr">
        <is>
          <t>Vaccines</t>
        </is>
      </c>
      <c r="S3581" s="70" t="n">
        <v>1411</v>
      </c>
      <c r="T3581" s="71" t="n">
        <v>73021.25</v>
      </c>
      <c r="U3581" t="inlineStr">
        <is>
          <t>Low</t>
        </is>
      </c>
      <c r="V3581">
        <f>IF(AND(OR(Dashboard!$C$6="All",E3581=Dashboard!$C$6),OR(Dashboard!$F$6="All",G3581=Dashboard!$F$6),OR(Dashboard!$I$6="All",H3581=Dashboard!$I$6)),1,0)</f>
        <v/>
      </c>
    </row>
    <row r="3582">
      <c r="A3582" t="inlineStr">
        <is>
          <t>PF103573</t>
        </is>
      </c>
      <c r="B3582" s="68" t="n">
        <v>46086</v>
      </c>
      <c r="C3582" s="69" t="n">
        <v>2026</v>
      </c>
      <c r="D3582" t="inlineStr">
        <is>
          <t>Mar</t>
        </is>
      </c>
      <c r="E3582" t="inlineStr">
        <is>
          <t>Europe</t>
        </is>
      </c>
      <c r="F3582" t="inlineStr">
        <is>
          <t>Spain</t>
        </is>
      </c>
      <c r="G3582" t="inlineStr">
        <is>
          <t>Eliquis</t>
        </is>
      </c>
      <c r="H3582" t="inlineStr">
        <is>
          <t>Retail pharmacy</t>
        </is>
      </c>
      <c r="I3582" t="inlineStr">
        <is>
          <t>Private insurer</t>
        </is>
      </c>
      <c r="J3582" t="inlineStr">
        <is>
          <t>Emma Clarke</t>
        </is>
      </c>
      <c r="K3582" s="70" t="n">
        <v>710</v>
      </c>
      <c r="L3582" s="71" t="n">
        <v>393.67</v>
      </c>
      <c r="M3582" s="71" t="n">
        <v>279505.7</v>
      </c>
      <c r="N3582" s="71" t="n">
        <v>55901.14</v>
      </c>
      <c r="O3582" s="71" t="n">
        <v>223604.56</v>
      </c>
      <c r="P3582" s="71" t="n">
        <v>54541.73</v>
      </c>
      <c r="Q3582" s="71" t="n">
        <v>169062.83</v>
      </c>
      <c r="R3582" t="inlineStr">
        <is>
          <t>Cardiology</t>
        </is>
      </c>
      <c r="S3582" s="70" t="n">
        <v>595</v>
      </c>
      <c r="T3582" s="71" t="n">
        <v>36780.74</v>
      </c>
      <c r="U3582" t="inlineStr">
        <is>
          <t>High</t>
        </is>
      </c>
      <c r="V3582">
        <f>IF(AND(OR(Dashboard!$C$6="All",E3582=Dashboard!$C$6),OR(Dashboard!$F$6="All",G3582=Dashboard!$F$6),OR(Dashboard!$I$6="All",H3582=Dashboard!$I$6)),1,0)</f>
        <v/>
      </c>
    </row>
    <row r="3583">
      <c r="A3583" t="inlineStr">
        <is>
          <t>PF103574</t>
        </is>
      </c>
      <c r="B3583" s="68" t="n">
        <v>46086</v>
      </c>
      <c r="C3583" s="69" t="n">
        <v>2026</v>
      </c>
      <c r="D3583" t="inlineStr">
        <is>
          <t>Mar</t>
        </is>
      </c>
      <c r="E3583" t="inlineStr">
        <is>
          <t>International developed</t>
        </is>
      </c>
      <c r="F3583" t="inlineStr">
        <is>
          <t>Canada</t>
        </is>
      </c>
      <c r="G3583" t="inlineStr">
        <is>
          <t>Xeljanz</t>
        </is>
      </c>
      <c r="H3583" t="inlineStr">
        <is>
          <t>Hospital</t>
        </is>
      </c>
      <c r="I3583" t="inlineStr">
        <is>
          <t>Self-pay</t>
        </is>
      </c>
      <c r="J3583" t="inlineStr">
        <is>
          <t>Zoya Ahmed</t>
        </is>
      </c>
      <c r="K3583" s="70" t="n">
        <v>2038</v>
      </c>
      <c r="L3583" s="71" t="n">
        <v>1435.92</v>
      </c>
      <c r="M3583" s="71" t="n">
        <v>2926404.96</v>
      </c>
      <c r="N3583" s="71" t="n">
        <v>731601.24</v>
      </c>
      <c r="O3583" s="71" t="n">
        <v>2194803.72</v>
      </c>
      <c r="P3583" s="71" t="n">
        <v>498772.92</v>
      </c>
      <c r="Q3583" s="71" t="n">
        <v>1696030.8</v>
      </c>
      <c r="R3583" t="inlineStr">
        <is>
          <t>Inflammation</t>
        </is>
      </c>
      <c r="S3583" s="70" t="n">
        <v>1300</v>
      </c>
      <c r="T3583" s="71" t="n">
        <v>620623.97</v>
      </c>
      <c r="U3583" t="inlineStr">
        <is>
          <t>High</t>
        </is>
      </c>
      <c r="V3583">
        <f>IF(AND(OR(Dashboard!$C$6="All",E3583=Dashboard!$C$6),OR(Dashboard!$F$6="All",G3583=Dashboard!$F$6),OR(Dashboard!$I$6="All",H3583=Dashboard!$I$6)),1,0)</f>
        <v/>
      </c>
    </row>
    <row r="3584">
      <c r="A3584" t="inlineStr">
        <is>
          <t>PF103575</t>
        </is>
      </c>
      <c r="B3584" s="68" t="n">
        <v>46086</v>
      </c>
      <c r="C3584" s="69" t="n">
        <v>2026</v>
      </c>
      <c r="D3584" t="inlineStr">
        <is>
          <t>Mar</t>
        </is>
      </c>
      <c r="E3584" t="inlineStr">
        <is>
          <t>United States</t>
        </is>
      </c>
      <c r="F3584" t="inlineStr">
        <is>
          <t>USA</t>
        </is>
      </c>
      <c r="G3584" t="inlineStr">
        <is>
          <t>Xeljanz</t>
        </is>
      </c>
      <c r="H3584" t="inlineStr">
        <is>
          <t>Government / tender</t>
        </is>
      </c>
      <c r="I3584" t="inlineStr">
        <is>
          <t>Public payer</t>
        </is>
      </c>
      <c r="J3584" t="inlineStr">
        <is>
          <t>Kofi Mensah</t>
        </is>
      </c>
      <c r="K3584" s="70" t="n">
        <v>536</v>
      </c>
      <c r="L3584" s="71" t="n">
        <v>2009.42</v>
      </c>
      <c r="M3584" s="71" t="n">
        <v>1077049.12</v>
      </c>
      <c r="N3584" s="71" t="n">
        <v>161557.37</v>
      </c>
      <c r="O3584" s="71" t="n">
        <v>915491.75</v>
      </c>
      <c r="P3584" s="71" t="n">
        <v>131636.58</v>
      </c>
      <c r="Q3584" s="71" t="n">
        <v>783855.17</v>
      </c>
      <c r="R3584" t="inlineStr">
        <is>
          <t>Inflammation</t>
        </is>
      </c>
      <c r="S3584" s="70" t="n">
        <v>418</v>
      </c>
      <c r="T3584" s="71" t="n">
        <v>150434.1</v>
      </c>
      <c r="U3584" t="inlineStr">
        <is>
          <t>High</t>
        </is>
      </c>
      <c r="V3584">
        <f>IF(AND(OR(Dashboard!$C$6="All",E3584=Dashboard!$C$6),OR(Dashboard!$F$6="All",G3584=Dashboard!$F$6),OR(Dashboard!$I$6="All",H3584=Dashboard!$I$6)),1,0)</f>
        <v/>
      </c>
    </row>
    <row r="3585">
      <c r="A3585" t="inlineStr">
        <is>
          <t>PF103576</t>
        </is>
      </c>
      <c r="B3585" s="68" t="n">
        <v>46087</v>
      </c>
      <c r="C3585" s="69" t="n">
        <v>2026</v>
      </c>
      <c r="D3585" t="inlineStr">
        <is>
          <t>Mar</t>
        </is>
      </c>
      <c r="E3585" t="inlineStr">
        <is>
          <t>United States</t>
        </is>
      </c>
      <c r="F3585" t="inlineStr">
        <is>
          <t>USA</t>
        </is>
      </c>
      <c r="G3585" t="inlineStr">
        <is>
          <t>Ibrance</t>
        </is>
      </c>
      <c r="H3585" t="inlineStr">
        <is>
          <t>Retail pharmacy</t>
        </is>
      </c>
      <c r="I3585" t="inlineStr">
        <is>
          <t>Public payer</t>
        </is>
      </c>
      <c r="J3585" t="inlineStr">
        <is>
          <t>Olivia Brown</t>
        </is>
      </c>
      <c r="K3585" s="70" t="n">
        <v>320</v>
      </c>
      <c r="L3585" s="71" t="n">
        <v>4745.66</v>
      </c>
      <c r="M3585" s="71" t="n">
        <v>1518611.2</v>
      </c>
      <c r="N3585" s="71" t="n">
        <v>303722.24</v>
      </c>
      <c r="O3585" s="71" t="n">
        <v>1214888.96</v>
      </c>
      <c r="P3585" s="71" t="n">
        <v>135184.33</v>
      </c>
      <c r="Q3585" s="71" t="n">
        <v>1079704.63</v>
      </c>
      <c r="R3585" t="inlineStr">
        <is>
          <t>Oncology</t>
        </is>
      </c>
      <c r="S3585" s="70" t="n">
        <v>241</v>
      </c>
      <c r="T3585" s="71" t="n">
        <v>251143.54</v>
      </c>
      <c r="U3585" t="inlineStr">
        <is>
          <t>High</t>
        </is>
      </c>
      <c r="V3585">
        <f>IF(AND(OR(Dashboard!$C$6="All",E3585=Dashboard!$C$6),OR(Dashboard!$F$6="All",G3585=Dashboard!$F$6),OR(Dashboard!$I$6="All",H3585=Dashboard!$I$6)),1,0)</f>
        <v/>
      </c>
    </row>
    <row r="3586">
      <c r="A3586" t="inlineStr">
        <is>
          <t>PF103577</t>
        </is>
      </c>
      <c r="B3586" s="68" t="n">
        <v>46087</v>
      </c>
      <c r="C3586" s="69" t="n">
        <v>2026</v>
      </c>
      <c r="D3586" t="inlineStr">
        <is>
          <t>Mar</t>
        </is>
      </c>
      <c r="E3586" t="inlineStr">
        <is>
          <t>Europe</t>
        </is>
      </c>
      <c r="F3586" t="inlineStr">
        <is>
          <t>UK</t>
        </is>
      </c>
      <c r="G3586" t="inlineStr">
        <is>
          <t>Paxlovid</t>
        </is>
      </c>
      <c r="H3586" t="inlineStr">
        <is>
          <t>Government / tender</t>
        </is>
      </c>
      <c r="I3586" t="inlineStr">
        <is>
          <t>Private insurer</t>
        </is>
      </c>
      <c r="J3586" t="inlineStr">
        <is>
          <t>Wei Chen</t>
        </is>
      </c>
      <c r="K3586" s="70" t="n">
        <v>2227</v>
      </c>
      <c r="L3586" s="71" t="n">
        <v>943.05</v>
      </c>
      <c r="M3586" s="71" t="n">
        <v>2100172.35</v>
      </c>
      <c r="N3586" s="71" t="n">
        <v>105008.62</v>
      </c>
      <c r="O3586" s="71" t="n">
        <v>1995163.73</v>
      </c>
      <c r="P3586" s="71" t="n">
        <v>614920</v>
      </c>
      <c r="Q3586" s="71" t="n">
        <v>1380243.73</v>
      </c>
      <c r="R3586" t="inlineStr">
        <is>
          <t>Antiviral</t>
        </is>
      </c>
      <c r="S3586" s="70" t="n">
        <v>1467</v>
      </c>
      <c r="T3586" s="71" t="n">
        <v>410444.46</v>
      </c>
      <c r="U3586" t="inlineStr">
        <is>
          <t>Low</t>
        </is>
      </c>
      <c r="V3586">
        <f>IF(AND(OR(Dashboard!$C$6="All",E3586=Dashboard!$C$6),OR(Dashboard!$F$6="All",G3586=Dashboard!$F$6),OR(Dashboard!$I$6="All",H3586=Dashboard!$I$6)),1,0)</f>
        <v/>
      </c>
    </row>
    <row r="3587">
      <c r="A3587" t="inlineStr">
        <is>
          <t>PF103578</t>
        </is>
      </c>
      <c r="B3587" s="68" t="n">
        <v>46087</v>
      </c>
      <c r="C3587" s="69" t="n">
        <v>2026</v>
      </c>
      <c r="D3587" t="inlineStr">
        <is>
          <t>Mar</t>
        </is>
      </c>
      <c r="E3587" t="inlineStr">
        <is>
          <t>International developed</t>
        </is>
      </c>
      <c r="F3587" t="inlineStr">
        <is>
          <t>Canada</t>
        </is>
      </c>
      <c r="G3587" t="inlineStr">
        <is>
          <t>Vyndaqel</t>
        </is>
      </c>
      <c r="H3587" t="inlineStr">
        <is>
          <t>Retail pharmacy</t>
        </is>
      </c>
      <c r="I3587" t="inlineStr">
        <is>
          <t>Self-pay</t>
        </is>
      </c>
      <c r="J3587" t="inlineStr">
        <is>
          <t>Lucas Martin</t>
        </is>
      </c>
      <c r="K3587" s="70" t="n">
        <v>1750</v>
      </c>
      <c r="L3587" s="71" t="n">
        <v>5704.98</v>
      </c>
      <c r="M3587" s="71" t="n">
        <v>9983715</v>
      </c>
      <c r="N3587" s="71" t="n">
        <v>2495928.75</v>
      </c>
      <c r="O3587" s="71" t="n">
        <v>7487786.25</v>
      </c>
      <c r="P3587" s="71" t="n">
        <v>1071761.46</v>
      </c>
      <c r="Q3587" s="71" t="n">
        <v>6416024.79</v>
      </c>
      <c r="R3587" t="inlineStr">
        <is>
          <t>Rare disease</t>
        </is>
      </c>
      <c r="S3587" s="70" t="n">
        <v>1619</v>
      </c>
      <c r="T3587" s="71" t="n">
        <v>1817058.19</v>
      </c>
      <c r="U3587" t="inlineStr">
        <is>
          <t>Medium</t>
        </is>
      </c>
      <c r="V3587">
        <f>IF(AND(OR(Dashboard!$C$6="All",E3587=Dashboard!$C$6),OR(Dashboard!$F$6="All",G3587=Dashboard!$F$6),OR(Dashboard!$I$6="All",H3587=Dashboard!$I$6)),1,0)</f>
        <v/>
      </c>
    </row>
    <row r="3588">
      <c r="A3588" t="inlineStr">
        <is>
          <t>PF103579</t>
        </is>
      </c>
      <c r="B3588" s="68" t="n">
        <v>46087</v>
      </c>
      <c r="C3588" s="69" t="n">
        <v>2026</v>
      </c>
      <c r="D3588" t="inlineStr">
        <is>
          <t>Mar</t>
        </is>
      </c>
      <c r="E3588" t="inlineStr">
        <is>
          <t>United States</t>
        </is>
      </c>
      <c r="F3588" t="inlineStr">
        <is>
          <t>USA</t>
        </is>
      </c>
      <c r="G3588" t="inlineStr">
        <is>
          <t>Ibrance</t>
        </is>
      </c>
      <c r="H3588" t="inlineStr">
        <is>
          <t>Hospital</t>
        </is>
      </c>
      <c r="I3588" t="inlineStr">
        <is>
          <t>Private insurer</t>
        </is>
      </c>
      <c r="J3588" t="inlineStr">
        <is>
          <t>Lucas Martin</t>
        </is>
      </c>
      <c r="K3588" s="70" t="n">
        <v>1189</v>
      </c>
      <c r="L3588" s="71" t="n">
        <v>4801.91</v>
      </c>
      <c r="M3588" s="71" t="n">
        <v>5709470.99</v>
      </c>
      <c r="N3588" s="71" t="n">
        <v>1712841.3</v>
      </c>
      <c r="O3588" s="71" t="n">
        <v>3996629.69</v>
      </c>
      <c r="P3588" s="71" t="n">
        <v>532025.13</v>
      </c>
      <c r="Q3588" s="71" t="n">
        <v>3464604.56</v>
      </c>
      <c r="R3588" t="inlineStr">
        <is>
          <t>Oncology</t>
        </is>
      </c>
      <c r="S3588" s="70" t="n">
        <v>768</v>
      </c>
      <c r="T3588" s="71" t="n">
        <v>1036101.85</v>
      </c>
      <c r="U3588" t="inlineStr">
        <is>
          <t>High</t>
        </is>
      </c>
      <c r="V3588">
        <f>IF(AND(OR(Dashboard!$C$6="All",E3588=Dashboard!$C$6),OR(Dashboard!$F$6="All",G3588=Dashboard!$F$6),OR(Dashboard!$I$6="All",H3588=Dashboard!$I$6)),1,0)</f>
        <v/>
      </c>
    </row>
    <row r="3589">
      <c r="A3589" t="inlineStr">
        <is>
          <t>PF103580</t>
        </is>
      </c>
      <c r="B3589" s="68" t="n">
        <v>46087</v>
      </c>
      <c r="C3589" s="69" t="n">
        <v>2026</v>
      </c>
      <c r="D3589" t="inlineStr">
        <is>
          <t>Mar</t>
        </is>
      </c>
      <c r="E3589" t="inlineStr">
        <is>
          <t>Europe</t>
        </is>
      </c>
      <c r="F3589" t="inlineStr">
        <is>
          <t>UK</t>
        </is>
      </c>
      <c r="G3589" t="inlineStr">
        <is>
          <t>Eliquis</t>
        </is>
      </c>
      <c r="H3589" t="inlineStr">
        <is>
          <t>Government / tender</t>
        </is>
      </c>
      <c r="I3589" t="inlineStr">
        <is>
          <t>Self-pay</t>
        </is>
      </c>
      <c r="J3589" t="inlineStr">
        <is>
          <t>Zoya Ahmed</t>
        </is>
      </c>
      <c r="K3589" s="70" t="n">
        <v>1465</v>
      </c>
      <c r="L3589" s="71" t="n">
        <v>415.01</v>
      </c>
      <c r="M3589" s="71" t="n">
        <v>607989.65</v>
      </c>
      <c r="N3589" s="71" t="n">
        <v>151997.41</v>
      </c>
      <c r="O3589" s="71" t="n">
        <v>455992.24</v>
      </c>
      <c r="P3589" s="71" t="n">
        <v>106486.95</v>
      </c>
      <c r="Q3589" s="71" t="n">
        <v>349505.29</v>
      </c>
      <c r="R3589" t="inlineStr">
        <is>
          <t>Cardiology</t>
        </is>
      </c>
      <c r="S3589" s="70" t="n">
        <v>922</v>
      </c>
      <c r="T3589" s="71" t="n">
        <v>86608.06</v>
      </c>
      <c r="U3589" t="inlineStr">
        <is>
          <t>High</t>
        </is>
      </c>
      <c r="V3589">
        <f>IF(AND(OR(Dashboard!$C$6="All",E3589=Dashboard!$C$6),OR(Dashboard!$F$6="All",G3589=Dashboard!$F$6),OR(Dashboard!$I$6="All",H3589=Dashboard!$I$6)),1,0)</f>
        <v/>
      </c>
    </row>
    <row r="3590">
      <c r="A3590" t="inlineStr">
        <is>
          <t>PF103581</t>
        </is>
      </c>
      <c r="B3590" s="68" t="n">
        <v>46087</v>
      </c>
      <c r="C3590" s="69" t="n">
        <v>2026</v>
      </c>
      <c r="D3590" t="inlineStr">
        <is>
          <t>Mar</t>
        </is>
      </c>
      <c r="E3590" t="inlineStr">
        <is>
          <t>United States</t>
        </is>
      </c>
      <c r="F3590" t="inlineStr">
        <is>
          <t>USA</t>
        </is>
      </c>
      <c r="G3590" t="inlineStr">
        <is>
          <t>Prevnar 20</t>
        </is>
      </c>
      <c r="H3590" t="inlineStr">
        <is>
          <t>Retail pharmacy</t>
        </is>
      </c>
      <c r="I3590" t="inlineStr">
        <is>
          <t>Public payer</t>
        </is>
      </c>
      <c r="J3590" t="inlineStr">
        <is>
          <t>Zoya Ahmed</t>
        </is>
      </c>
      <c r="K3590" s="70" t="n">
        <v>1375</v>
      </c>
      <c r="L3590" s="71" t="n">
        <v>369.56</v>
      </c>
      <c r="M3590" s="71" t="n">
        <v>508145</v>
      </c>
      <c r="N3590" s="71" t="n">
        <v>127036.25</v>
      </c>
      <c r="O3590" s="71" t="n">
        <v>381108.75</v>
      </c>
      <c r="P3590" s="71" t="n">
        <v>91738.03</v>
      </c>
      <c r="Q3590" s="71" t="n">
        <v>289370.72</v>
      </c>
      <c r="R3590" t="inlineStr">
        <is>
          <t>Vaccines</t>
        </is>
      </c>
      <c r="S3590" s="70" t="n">
        <v>1267</v>
      </c>
      <c r="T3590" s="71" t="n">
        <v>107661.54</v>
      </c>
      <c r="U3590" t="inlineStr">
        <is>
          <t>Low</t>
        </is>
      </c>
      <c r="V3590">
        <f>IF(AND(OR(Dashboard!$C$6="All",E3590=Dashboard!$C$6),OR(Dashboard!$F$6="All",G3590=Dashboard!$F$6),OR(Dashboard!$I$6="All",H3590=Dashboard!$I$6)),1,0)</f>
        <v/>
      </c>
    </row>
    <row r="3591">
      <c r="A3591" t="inlineStr">
        <is>
          <t>PF103582</t>
        </is>
      </c>
      <c r="B3591" s="68" t="n">
        <v>46087</v>
      </c>
      <c r="C3591" s="69" t="n">
        <v>2026</v>
      </c>
      <c r="D3591" t="inlineStr">
        <is>
          <t>Mar</t>
        </is>
      </c>
      <c r="E3591" t="inlineStr">
        <is>
          <t>Europe</t>
        </is>
      </c>
      <c r="F3591" t="inlineStr">
        <is>
          <t>Germany</t>
        </is>
      </c>
      <c r="G3591" t="inlineStr">
        <is>
          <t>Prevnar 20</t>
        </is>
      </c>
      <c r="H3591" t="inlineStr">
        <is>
          <t>Retail pharmacy</t>
        </is>
      </c>
      <c r="I3591" t="inlineStr">
        <is>
          <t>Public payer</t>
        </is>
      </c>
      <c r="J3591" t="inlineStr">
        <is>
          <t>Mei Lin</t>
        </is>
      </c>
      <c r="K3591" s="70" t="n">
        <v>2526</v>
      </c>
      <c r="L3591" s="71" t="n">
        <v>248.42</v>
      </c>
      <c r="M3591" s="71" t="n">
        <v>627508.92</v>
      </c>
      <c r="N3591" s="71" t="n">
        <v>125501.78</v>
      </c>
      <c r="O3591" s="71" t="n">
        <v>502007.14</v>
      </c>
      <c r="P3591" s="71" t="n">
        <v>174738.44</v>
      </c>
      <c r="Q3591" s="71" t="n">
        <v>327268.7</v>
      </c>
      <c r="R3591" t="inlineStr">
        <is>
          <t>Vaccines</t>
        </is>
      </c>
      <c r="S3591" s="70" t="n">
        <v>1978</v>
      </c>
      <c r="T3591" s="71" t="n">
        <v>98900.09</v>
      </c>
      <c r="U3591" t="inlineStr">
        <is>
          <t>Low</t>
        </is>
      </c>
      <c r="V3591">
        <f>IF(AND(OR(Dashboard!$C$6="All",E3591=Dashboard!$C$6),OR(Dashboard!$F$6="All",G3591=Dashboard!$F$6),OR(Dashboard!$I$6="All",H3591=Dashboard!$I$6)),1,0)</f>
        <v/>
      </c>
    </row>
    <row r="3592">
      <c r="A3592" t="inlineStr">
        <is>
          <t>PF103583</t>
        </is>
      </c>
      <c r="B3592" s="68" t="n">
        <v>46087</v>
      </c>
      <c r="C3592" s="69" t="n">
        <v>2026</v>
      </c>
      <c r="D3592" t="inlineStr">
        <is>
          <t>Mar</t>
        </is>
      </c>
      <c r="E3592" t="inlineStr">
        <is>
          <t>United States</t>
        </is>
      </c>
      <c r="F3592" t="inlineStr">
        <is>
          <t>USA</t>
        </is>
      </c>
      <c r="G3592" t="inlineStr">
        <is>
          <t>Eliquis</t>
        </is>
      </c>
      <c r="H3592" t="inlineStr">
        <is>
          <t>Hospital</t>
        </is>
      </c>
      <c r="I3592" t="inlineStr">
        <is>
          <t>Private insurer</t>
        </is>
      </c>
      <c r="J3592" t="inlineStr">
        <is>
          <t>Ruhi Shaikh</t>
        </is>
      </c>
      <c r="K3592" s="70" t="n">
        <v>2723</v>
      </c>
      <c r="L3592" s="71" t="n">
        <v>631.3</v>
      </c>
      <c r="M3592" s="71" t="n">
        <v>1719029.9</v>
      </c>
      <c r="N3592" s="71" t="n">
        <v>257854.49</v>
      </c>
      <c r="O3592" s="71" t="n">
        <v>1461175.41</v>
      </c>
      <c r="P3592" s="71" t="n">
        <v>203063.82</v>
      </c>
      <c r="Q3592" s="71" t="n">
        <v>1258111.59</v>
      </c>
      <c r="R3592" t="inlineStr">
        <is>
          <t>Cardiology</t>
        </is>
      </c>
      <c r="S3592" s="70" t="n">
        <v>1981</v>
      </c>
      <c r="T3592" s="71" t="n">
        <v>362729.16</v>
      </c>
      <c r="U3592" t="inlineStr">
        <is>
          <t>High</t>
        </is>
      </c>
      <c r="V3592">
        <f>IF(AND(OR(Dashboard!$C$6="All",E3592=Dashboard!$C$6),OR(Dashboard!$F$6="All",G3592=Dashboard!$F$6),OR(Dashboard!$I$6="All",H3592=Dashboard!$I$6)),1,0)</f>
        <v/>
      </c>
    </row>
    <row r="3593">
      <c r="A3593" t="inlineStr">
        <is>
          <t>PF103584</t>
        </is>
      </c>
      <c r="B3593" s="68" t="n">
        <v>46087</v>
      </c>
      <c r="C3593" s="69" t="n">
        <v>2026</v>
      </c>
      <c r="D3593" t="inlineStr">
        <is>
          <t>Mar</t>
        </is>
      </c>
      <c r="E3593" t="inlineStr">
        <is>
          <t>United States</t>
        </is>
      </c>
      <c r="F3593" t="inlineStr">
        <is>
          <t>USA</t>
        </is>
      </c>
      <c r="G3593" t="inlineStr">
        <is>
          <t>Abrysvo</t>
        </is>
      </c>
      <c r="H3593" t="inlineStr">
        <is>
          <t>Government / tender</t>
        </is>
      </c>
      <c r="I3593" t="inlineStr">
        <is>
          <t>Private insurer</t>
        </is>
      </c>
      <c r="J3593" t="inlineStr">
        <is>
          <t>Fatima Al-Saud</t>
        </is>
      </c>
      <c r="K3593" s="70" t="n">
        <v>2308</v>
      </c>
      <c r="L3593" s="71" t="n">
        <v>519.9400000000001</v>
      </c>
      <c r="M3593" s="71" t="n">
        <v>1200021.52</v>
      </c>
      <c r="N3593" s="71" t="n">
        <v>420007.53</v>
      </c>
      <c r="O3593" s="71" t="n">
        <v>780013.99</v>
      </c>
      <c r="P3593" s="71" t="n">
        <v>192956.4</v>
      </c>
      <c r="Q3593" s="71" t="n">
        <v>587057.59</v>
      </c>
      <c r="R3593" t="inlineStr">
        <is>
          <t>Vaccines</t>
        </is>
      </c>
      <c r="S3593" s="70" t="n">
        <v>1878</v>
      </c>
      <c r="T3593" s="71" t="n">
        <v>208649.86</v>
      </c>
      <c r="U3593" t="inlineStr">
        <is>
          <t>Low</t>
        </is>
      </c>
      <c r="V3593">
        <f>IF(AND(OR(Dashboard!$C$6="All",E3593=Dashboard!$C$6),OR(Dashboard!$F$6="All",G3593=Dashboard!$F$6),OR(Dashboard!$I$6="All",H3593=Dashboard!$I$6)),1,0)</f>
        <v/>
      </c>
    </row>
    <row r="3594">
      <c r="A3594" t="inlineStr">
        <is>
          <t>PF103585</t>
        </is>
      </c>
      <c r="B3594" s="68" t="n">
        <v>46087</v>
      </c>
      <c r="C3594" s="69" t="n">
        <v>2026</v>
      </c>
      <c r="D3594" t="inlineStr">
        <is>
          <t>Mar</t>
        </is>
      </c>
      <c r="E3594" t="inlineStr">
        <is>
          <t>Emerging markets</t>
        </is>
      </c>
      <c r="F3594" t="inlineStr">
        <is>
          <t>Brazil</t>
        </is>
      </c>
      <c r="G3594" t="inlineStr">
        <is>
          <t>Prevnar 20</t>
        </is>
      </c>
      <c r="H3594" t="inlineStr">
        <is>
          <t>Retail pharmacy</t>
        </is>
      </c>
      <c r="I3594" t="inlineStr">
        <is>
          <t>Public payer</t>
        </is>
      </c>
      <c r="J3594" t="inlineStr">
        <is>
          <t>Carlos Silva</t>
        </is>
      </c>
      <c r="K3594" s="70" t="n">
        <v>158</v>
      </c>
      <c r="L3594" s="71" t="n">
        <v>228.58</v>
      </c>
      <c r="M3594" s="71" t="n">
        <v>36115.64</v>
      </c>
      <c r="N3594" s="71" t="n">
        <v>3611.56</v>
      </c>
      <c r="O3594" s="71" t="n">
        <v>32504.08</v>
      </c>
      <c r="P3594" s="71" t="n">
        <v>10742.43</v>
      </c>
      <c r="Q3594" s="71" t="n">
        <v>21761.65</v>
      </c>
      <c r="R3594" t="inlineStr">
        <is>
          <t>Vaccines</t>
        </is>
      </c>
      <c r="S3594" s="70" t="n">
        <v>116</v>
      </c>
      <c r="T3594" s="71" t="n">
        <v>5796.52</v>
      </c>
      <c r="U3594" t="inlineStr">
        <is>
          <t>Low</t>
        </is>
      </c>
      <c r="V3594">
        <f>IF(AND(OR(Dashboard!$C$6="All",E3594=Dashboard!$C$6),OR(Dashboard!$F$6="All",G3594=Dashboard!$F$6),OR(Dashboard!$I$6="All",H3594=Dashboard!$I$6)),1,0)</f>
        <v/>
      </c>
    </row>
    <row r="3595">
      <c r="A3595" t="inlineStr">
        <is>
          <t>PF103586</t>
        </is>
      </c>
      <c r="B3595" s="68" t="n">
        <v>46088</v>
      </c>
      <c r="C3595" s="69" t="n">
        <v>2026</v>
      </c>
      <c r="D3595" t="inlineStr">
        <is>
          <t>Mar</t>
        </is>
      </c>
      <c r="E3595" t="inlineStr">
        <is>
          <t>Emerging markets</t>
        </is>
      </c>
      <c r="F3595" t="inlineStr">
        <is>
          <t>Brazil</t>
        </is>
      </c>
      <c r="G3595" t="inlineStr">
        <is>
          <t>Abrysvo</t>
        </is>
      </c>
      <c r="H3595" t="inlineStr">
        <is>
          <t>Hospital</t>
        </is>
      </c>
      <c r="I3595" t="inlineStr">
        <is>
          <t>Public payer</t>
        </is>
      </c>
      <c r="J3595" t="inlineStr">
        <is>
          <t>Ana Costa</t>
        </is>
      </c>
      <c r="K3595" s="70" t="n">
        <v>3124</v>
      </c>
      <c r="L3595" s="71" t="n">
        <v>319.74</v>
      </c>
      <c r="M3595" s="71" t="n">
        <v>998867.76</v>
      </c>
      <c r="N3595" s="71" t="n">
        <v>199773.55</v>
      </c>
      <c r="O3595" s="71" t="n">
        <v>799094.21</v>
      </c>
      <c r="P3595" s="71" t="n">
        <v>257418.38</v>
      </c>
      <c r="Q3595" s="71" t="n">
        <v>541675.83</v>
      </c>
      <c r="R3595" t="inlineStr">
        <is>
          <t>Vaccines</t>
        </is>
      </c>
      <c r="S3595" s="70" t="n">
        <v>2087</v>
      </c>
      <c r="T3595" s="71" t="n">
        <v>108489.64</v>
      </c>
      <c r="U3595" t="inlineStr">
        <is>
          <t>Low</t>
        </is>
      </c>
      <c r="V3595">
        <f>IF(AND(OR(Dashboard!$C$6="All",E3595=Dashboard!$C$6),OR(Dashboard!$F$6="All",G3595=Dashboard!$F$6),OR(Dashboard!$I$6="All",H3595=Dashboard!$I$6)),1,0)</f>
        <v/>
      </c>
    </row>
    <row r="3596">
      <c r="A3596" t="inlineStr">
        <is>
          <t>PF103587</t>
        </is>
      </c>
      <c r="B3596" s="68" t="n">
        <v>46088</v>
      </c>
      <c r="C3596" s="69" t="n">
        <v>2026</v>
      </c>
      <c r="D3596" t="inlineStr">
        <is>
          <t>Mar</t>
        </is>
      </c>
      <c r="E3596" t="inlineStr">
        <is>
          <t>Emerging markets</t>
        </is>
      </c>
      <c r="F3596" t="inlineStr">
        <is>
          <t>Brazil</t>
        </is>
      </c>
      <c r="G3596" t="inlineStr">
        <is>
          <t>Vyndaqel</t>
        </is>
      </c>
      <c r="H3596" t="inlineStr">
        <is>
          <t>Retail pharmacy</t>
        </is>
      </c>
      <c r="I3596" t="inlineStr">
        <is>
          <t>Self-pay</t>
        </is>
      </c>
      <c r="J3596" t="inlineStr">
        <is>
          <t>Ana Costa</t>
        </is>
      </c>
      <c r="K3596" s="70" t="n">
        <v>2348</v>
      </c>
      <c r="L3596" s="71" t="n">
        <v>5685.49</v>
      </c>
      <c r="M3596" s="71" t="n">
        <v>13349530.52</v>
      </c>
      <c r="N3596" s="71" t="n">
        <v>1334953.05</v>
      </c>
      <c r="O3596" s="71" t="n">
        <v>12014577.47</v>
      </c>
      <c r="P3596" s="71" t="n">
        <v>1462811.09</v>
      </c>
      <c r="Q3596" s="71" t="n">
        <v>10551766.38</v>
      </c>
      <c r="R3596" t="inlineStr">
        <is>
          <t>Rare disease</t>
        </is>
      </c>
      <c r="S3596" s="70" t="n">
        <v>1619</v>
      </c>
      <c r="T3596" s="71" t="n">
        <v>1554635.38</v>
      </c>
      <c r="U3596" t="inlineStr">
        <is>
          <t>Medium</t>
        </is>
      </c>
      <c r="V3596">
        <f>IF(AND(OR(Dashboard!$C$6="All",E3596=Dashboard!$C$6),OR(Dashboard!$F$6="All",G3596=Dashboard!$F$6),OR(Dashboard!$I$6="All",H3596=Dashboard!$I$6)),1,0)</f>
        <v/>
      </c>
    </row>
    <row r="3597">
      <c r="A3597" t="inlineStr">
        <is>
          <t>PF103588</t>
        </is>
      </c>
      <c r="B3597" s="68" t="n">
        <v>46088</v>
      </c>
      <c r="C3597" s="69" t="n">
        <v>2026</v>
      </c>
      <c r="D3597" t="inlineStr">
        <is>
          <t>Mar</t>
        </is>
      </c>
      <c r="E3597" t="inlineStr">
        <is>
          <t>United States</t>
        </is>
      </c>
      <c r="F3597" t="inlineStr">
        <is>
          <t>USA</t>
        </is>
      </c>
      <c r="G3597" t="inlineStr">
        <is>
          <t>Paxlovid</t>
        </is>
      </c>
      <c r="H3597" t="inlineStr">
        <is>
          <t>Retail pharmacy</t>
        </is>
      </c>
      <c r="I3597" t="inlineStr">
        <is>
          <t>Self-pay</t>
        </is>
      </c>
      <c r="J3597" t="inlineStr">
        <is>
          <t>Sophie Müller</t>
        </is>
      </c>
      <c r="K3597" s="70" t="n">
        <v>801</v>
      </c>
      <c r="L3597" s="71" t="n">
        <v>1461.43</v>
      </c>
      <c r="M3597" s="71" t="n">
        <v>1170605.43</v>
      </c>
      <c r="N3597" s="71" t="n">
        <v>234121.09</v>
      </c>
      <c r="O3597" s="71" t="n">
        <v>936484.34</v>
      </c>
      <c r="P3597" s="71" t="n">
        <v>224460.74</v>
      </c>
      <c r="Q3597" s="71" t="n">
        <v>712023.6</v>
      </c>
      <c r="R3597" t="inlineStr">
        <is>
          <t>Antiviral</t>
        </is>
      </c>
      <c r="S3597" s="70" t="n">
        <v>502</v>
      </c>
      <c r="T3597" s="71" t="n">
        <v>223700.03</v>
      </c>
      <c r="U3597" t="inlineStr">
        <is>
          <t>Low</t>
        </is>
      </c>
      <c r="V3597">
        <f>IF(AND(OR(Dashboard!$C$6="All",E3597=Dashboard!$C$6),OR(Dashboard!$F$6="All",G3597=Dashboard!$F$6),OR(Dashboard!$I$6="All",H3597=Dashboard!$I$6)),1,0)</f>
        <v/>
      </c>
    </row>
    <row r="3598">
      <c r="A3598" t="inlineStr">
        <is>
          <t>PF103589</t>
        </is>
      </c>
      <c r="B3598" s="68" t="n">
        <v>46088</v>
      </c>
      <c r="C3598" s="69" t="n">
        <v>2026</v>
      </c>
      <c r="D3598" t="inlineStr">
        <is>
          <t>Mar</t>
        </is>
      </c>
      <c r="E3598" t="inlineStr">
        <is>
          <t>Europe</t>
        </is>
      </c>
      <c r="F3598" t="inlineStr">
        <is>
          <t>Germany</t>
        </is>
      </c>
      <c r="G3598" t="inlineStr">
        <is>
          <t>Prevnar 20</t>
        </is>
      </c>
      <c r="H3598" t="inlineStr">
        <is>
          <t>Retail pharmacy</t>
        </is>
      </c>
      <c r="I3598" t="inlineStr">
        <is>
          <t>Private insurer</t>
        </is>
      </c>
      <c r="J3598" t="inlineStr">
        <is>
          <t>Carlos Silva</t>
        </is>
      </c>
      <c r="K3598" s="70" t="n">
        <v>1110</v>
      </c>
      <c r="L3598" s="71" t="n">
        <v>235.31</v>
      </c>
      <c r="M3598" s="71" t="n">
        <v>261194.1</v>
      </c>
      <c r="N3598" s="71" t="n">
        <v>26119.41</v>
      </c>
      <c r="O3598" s="71" t="n">
        <v>235074.69</v>
      </c>
      <c r="P3598" s="71" t="n">
        <v>76274.91</v>
      </c>
      <c r="Q3598" s="71" t="n">
        <v>158799.78</v>
      </c>
      <c r="R3598" t="inlineStr">
        <is>
          <t>Vaccines</t>
        </is>
      </c>
      <c r="S3598" s="70" t="n">
        <v>834</v>
      </c>
      <c r="T3598" s="71" t="n">
        <v>38443.96</v>
      </c>
      <c r="U3598" t="inlineStr">
        <is>
          <t>Low</t>
        </is>
      </c>
      <c r="V3598">
        <f>IF(AND(OR(Dashboard!$C$6="All",E3598=Dashboard!$C$6),OR(Dashboard!$F$6="All",G3598=Dashboard!$F$6),OR(Dashboard!$I$6="All",H3598=Dashboard!$I$6)),1,0)</f>
        <v/>
      </c>
    </row>
    <row r="3599">
      <c r="A3599" t="inlineStr">
        <is>
          <t>PF103590</t>
        </is>
      </c>
      <c r="B3599" s="68" t="n">
        <v>46088</v>
      </c>
      <c r="C3599" s="69" t="n">
        <v>2026</v>
      </c>
      <c r="D3599" t="inlineStr">
        <is>
          <t>Mar</t>
        </is>
      </c>
      <c r="E3599" t="inlineStr">
        <is>
          <t>Emerging markets</t>
        </is>
      </c>
      <c r="F3599" t="inlineStr">
        <is>
          <t>China</t>
        </is>
      </c>
      <c r="G3599" t="inlineStr">
        <is>
          <t>Vyndaqel</t>
        </is>
      </c>
      <c r="H3599" t="inlineStr">
        <is>
          <t>Hospital</t>
        </is>
      </c>
      <c r="I3599" t="inlineStr">
        <is>
          <t>Private insurer</t>
        </is>
      </c>
      <c r="J3599" t="inlineStr">
        <is>
          <t>Emma Clarke</t>
        </is>
      </c>
      <c r="K3599" s="70" t="n">
        <v>1338</v>
      </c>
      <c r="L3599" s="71" t="n">
        <v>5403.8</v>
      </c>
      <c r="M3599" s="71" t="n">
        <v>7230284.4</v>
      </c>
      <c r="N3599" s="71" t="n">
        <v>1446056.88</v>
      </c>
      <c r="O3599" s="71" t="n">
        <v>5784227.52</v>
      </c>
      <c r="P3599" s="71" t="n">
        <v>821351.04</v>
      </c>
      <c r="Q3599" s="71" t="n">
        <v>4962876.48</v>
      </c>
      <c r="R3599" t="inlineStr">
        <is>
          <t>Rare disease</t>
        </is>
      </c>
      <c r="S3599" s="70" t="n">
        <v>1114</v>
      </c>
      <c r="T3599" s="71" t="n">
        <v>1005711.84</v>
      </c>
      <c r="U3599" t="inlineStr">
        <is>
          <t>Medium</t>
        </is>
      </c>
      <c r="V3599">
        <f>IF(AND(OR(Dashboard!$C$6="All",E3599=Dashboard!$C$6),OR(Dashboard!$F$6="All",G3599=Dashboard!$F$6),OR(Dashboard!$I$6="All",H3599=Dashboard!$I$6)),1,0)</f>
        <v/>
      </c>
    </row>
    <row r="3600">
      <c r="A3600" t="inlineStr">
        <is>
          <t>PF103591</t>
        </is>
      </c>
      <c r="B3600" s="68" t="n">
        <v>46088</v>
      </c>
      <c r="C3600" s="69" t="n">
        <v>2026</v>
      </c>
      <c r="D3600" t="inlineStr">
        <is>
          <t>Mar</t>
        </is>
      </c>
      <c r="E3600" t="inlineStr">
        <is>
          <t>Europe</t>
        </is>
      </c>
      <c r="F3600" t="inlineStr">
        <is>
          <t>Italy</t>
        </is>
      </c>
      <c r="G3600" t="inlineStr">
        <is>
          <t>Prevnar 20</t>
        </is>
      </c>
      <c r="H3600" t="inlineStr">
        <is>
          <t>Government / tender</t>
        </is>
      </c>
      <c r="I3600" t="inlineStr">
        <is>
          <t>Private insurer</t>
        </is>
      </c>
      <c r="J3600" t="inlineStr">
        <is>
          <t>Ruhi Shaikh</t>
        </is>
      </c>
      <c r="K3600" s="70" t="n">
        <v>1670</v>
      </c>
      <c r="L3600" s="71" t="n">
        <v>254.17</v>
      </c>
      <c r="M3600" s="71" t="n">
        <v>424463.9</v>
      </c>
      <c r="N3600" s="71" t="n">
        <v>63669.58</v>
      </c>
      <c r="O3600" s="71" t="n">
        <v>360794.32</v>
      </c>
      <c r="P3600" s="71" t="n">
        <v>116639.36</v>
      </c>
      <c r="Q3600" s="71" t="n">
        <v>244154.96</v>
      </c>
      <c r="R3600" t="inlineStr">
        <is>
          <t>Vaccines</t>
        </is>
      </c>
      <c r="S3600" s="70" t="n">
        <v>1545</v>
      </c>
      <c r="T3600" s="71" t="n">
        <v>62460.23</v>
      </c>
      <c r="U3600" t="inlineStr">
        <is>
          <t>Low</t>
        </is>
      </c>
      <c r="V3600">
        <f>IF(AND(OR(Dashboard!$C$6="All",E3600=Dashboard!$C$6),OR(Dashboard!$F$6="All",G3600=Dashboard!$F$6),OR(Dashboard!$I$6="All",H3600=Dashboard!$I$6)),1,0)</f>
        <v/>
      </c>
    </row>
    <row r="3601">
      <c r="A3601" t="inlineStr">
        <is>
          <t>PF103592</t>
        </is>
      </c>
      <c r="B3601" s="68" t="n">
        <v>46088</v>
      </c>
      <c r="C3601" s="69" t="n">
        <v>2026</v>
      </c>
      <c r="D3601" t="inlineStr">
        <is>
          <t>Mar</t>
        </is>
      </c>
      <c r="E3601" t="inlineStr">
        <is>
          <t>International developed</t>
        </is>
      </c>
      <c r="F3601" t="inlineStr">
        <is>
          <t>Japan</t>
        </is>
      </c>
      <c r="G3601" t="inlineStr">
        <is>
          <t>Comirnaty</t>
        </is>
      </c>
      <c r="H3601" t="inlineStr">
        <is>
          <t>Hospital</t>
        </is>
      </c>
      <c r="I3601" t="inlineStr">
        <is>
          <t>Private insurer</t>
        </is>
      </c>
      <c r="J3601" t="inlineStr">
        <is>
          <t>Aisha Bello</t>
        </is>
      </c>
      <c r="K3601" s="70" t="n">
        <v>62</v>
      </c>
      <c r="L3601" s="71" t="n">
        <v>85.98</v>
      </c>
      <c r="M3601" s="71" t="n">
        <v>5330.76</v>
      </c>
      <c r="N3601" s="71" t="n">
        <v>799.61</v>
      </c>
      <c r="O3601" s="71" t="n">
        <v>4531.15</v>
      </c>
      <c r="P3601" s="71" t="n">
        <v>2476.66</v>
      </c>
      <c r="Q3601" s="71" t="n">
        <v>2054.49</v>
      </c>
      <c r="R3601" t="inlineStr">
        <is>
          <t>Vaccines</t>
        </is>
      </c>
      <c r="S3601" s="70" t="n">
        <v>48</v>
      </c>
      <c r="T3601" s="71" t="n">
        <v>1067.27</v>
      </c>
      <c r="U3601" t="inlineStr">
        <is>
          <t>Low</t>
        </is>
      </c>
      <c r="V3601">
        <f>IF(AND(OR(Dashboard!$C$6="All",E3601=Dashboard!$C$6),OR(Dashboard!$F$6="All",G3601=Dashboard!$F$6),OR(Dashboard!$I$6="All",H3601=Dashboard!$I$6)),1,0)</f>
        <v/>
      </c>
    </row>
    <row r="3602">
      <c r="A3602" t="inlineStr">
        <is>
          <t>PF103593</t>
        </is>
      </c>
      <c r="B3602" s="68" t="n">
        <v>46088</v>
      </c>
      <c r="C3602" s="69" t="n">
        <v>2026</v>
      </c>
      <c r="D3602" t="inlineStr">
        <is>
          <t>Mar</t>
        </is>
      </c>
      <c r="E3602" t="inlineStr">
        <is>
          <t>Emerging markets</t>
        </is>
      </c>
      <c r="F3602" t="inlineStr">
        <is>
          <t>Brazil</t>
        </is>
      </c>
      <c r="G3602" t="inlineStr">
        <is>
          <t>Abrysvo</t>
        </is>
      </c>
      <c r="H3602" t="inlineStr">
        <is>
          <t>Hospital</t>
        </is>
      </c>
      <c r="I3602" t="inlineStr">
        <is>
          <t>Public payer</t>
        </is>
      </c>
      <c r="J3602" t="inlineStr">
        <is>
          <t>Noah Smith</t>
        </is>
      </c>
      <c r="K3602" s="70" t="n">
        <v>838</v>
      </c>
      <c r="L3602" s="71" t="n">
        <v>292.01</v>
      </c>
      <c r="M3602" s="71" t="n">
        <v>244704.38</v>
      </c>
      <c r="N3602" s="71" t="n">
        <v>12235.22</v>
      </c>
      <c r="O3602" s="71" t="n">
        <v>232469.16</v>
      </c>
      <c r="P3602" s="71" t="n">
        <v>73008.85000000001</v>
      </c>
      <c r="Q3602" s="71" t="n">
        <v>159460.31</v>
      </c>
      <c r="R3602" t="inlineStr">
        <is>
          <t>Vaccines</t>
        </is>
      </c>
      <c r="S3602" s="70" t="n">
        <v>563</v>
      </c>
      <c r="T3602" s="71" t="n">
        <v>36012.35</v>
      </c>
      <c r="U3602" t="inlineStr">
        <is>
          <t>Low</t>
        </is>
      </c>
      <c r="V3602">
        <f>IF(AND(OR(Dashboard!$C$6="All",E3602=Dashboard!$C$6),OR(Dashboard!$F$6="All",G3602=Dashboard!$F$6),OR(Dashboard!$I$6="All",H3602=Dashboard!$I$6)),1,0)</f>
        <v/>
      </c>
    </row>
    <row r="3603">
      <c r="A3603" t="inlineStr">
        <is>
          <t>PF103594</t>
        </is>
      </c>
      <c r="B3603" s="68" t="n">
        <v>46088</v>
      </c>
      <c r="C3603" s="69" t="n">
        <v>2026</v>
      </c>
      <c r="D3603" t="inlineStr">
        <is>
          <t>Mar</t>
        </is>
      </c>
      <c r="E3603" t="inlineStr">
        <is>
          <t>United States</t>
        </is>
      </c>
      <c r="F3603" t="inlineStr">
        <is>
          <t>USA</t>
        </is>
      </c>
      <c r="G3603" t="inlineStr">
        <is>
          <t>Ibrance</t>
        </is>
      </c>
      <c r="H3603" t="inlineStr">
        <is>
          <t>Retail pharmacy</t>
        </is>
      </c>
      <c r="I3603" t="inlineStr">
        <is>
          <t>Private insurer</t>
        </is>
      </c>
      <c r="J3603" t="inlineStr">
        <is>
          <t>Fatima Al-Saud</t>
        </is>
      </c>
      <c r="K3603" s="70" t="n">
        <v>171</v>
      </c>
      <c r="L3603" s="71" t="n">
        <v>4863.26</v>
      </c>
      <c r="M3603" s="71" t="n">
        <v>831617.46</v>
      </c>
      <c r="N3603" s="71" t="n">
        <v>291066.11</v>
      </c>
      <c r="O3603" s="71" t="n">
        <v>540551.35</v>
      </c>
      <c r="P3603" s="71" t="n">
        <v>76874.56</v>
      </c>
      <c r="Q3603" s="71" t="n">
        <v>463676.79</v>
      </c>
      <c r="R3603" t="inlineStr">
        <is>
          <t>Oncology</t>
        </is>
      </c>
      <c r="S3603" s="70" t="n">
        <v>152</v>
      </c>
      <c r="T3603" s="71" t="n">
        <v>140374.8</v>
      </c>
      <c r="U3603" t="inlineStr">
        <is>
          <t>High</t>
        </is>
      </c>
      <c r="V3603">
        <f>IF(AND(OR(Dashboard!$C$6="All",E3603=Dashboard!$C$6),OR(Dashboard!$F$6="All",G3603=Dashboard!$F$6),OR(Dashboard!$I$6="All",H3603=Dashboard!$I$6)),1,0)</f>
        <v/>
      </c>
    </row>
    <row r="3604">
      <c r="A3604" t="inlineStr">
        <is>
          <t>PF103595</t>
        </is>
      </c>
      <c r="B3604" s="68" t="n">
        <v>46088</v>
      </c>
      <c r="C3604" s="69" t="n">
        <v>2026</v>
      </c>
      <c r="D3604" t="inlineStr">
        <is>
          <t>Mar</t>
        </is>
      </c>
      <c r="E3604" t="inlineStr">
        <is>
          <t>United States</t>
        </is>
      </c>
      <c r="F3604" t="inlineStr">
        <is>
          <t>USA</t>
        </is>
      </c>
      <c r="G3604" t="inlineStr">
        <is>
          <t>Eliquis</t>
        </is>
      </c>
      <c r="H3604" t="inlineStr">
        <is>
          <t>Hospital</t>
        </is>
      </c>
      <c r="I3604" t="inlineStr">
        <is>
          <t>Public payer</t>
        </is>
      </c>
      <c r="J3604" t="inlineStr">
        <is>
          <t>Zoya Ahmed</t>
        </is>
      </c>
      <c r="K3604" s="70" t="n">
        <v>2408</v>
      </c>
      <c r="L3604" s="71" t="n">
        <v>715.64</v>
      </c>
      <c r="M3604" s="71" t="n">
        <v>1723261.12</v>
      </c>
      <c r="N3604" s="71" t="n">
        <v>258489.17</v>
      </c>
      <c r="O3604" s="71" t="n">
        <v>1464771.95</v>
      </c>
      <c r="P3604" s="71" t="n">
        <v>182774.89</v>
      </c>
      <c r="Q3604" s="71" t="n">
        <v>1281997.06</v>
      </c>
      <c r="R3604" t="inlineStr">
        <is>
          <t>Cardiology</t>
        </is>
      </c>
      <c r="S3604" s="70" t="n">
        <v>1600</v>
      </c>
      <c r="T3604" s="71" t="n">
        <v>337010.04</v>
      </c>
      <c r="U3604" t="inlineStr">
        <is>
          <t>High</t>
        </is>
      </c>
      <c r="V3604">
        <f>IF(AND(OR(Dashboard!$C$6="All",E3604=Dashboard!$C$6),OR(Dashboard!$F$6="All",G3604=Dashboard!$F$6),OR(Dashboard!$I$6="All",H3604=Dashboard!$I$6)),1,0)</f>
        <v/>
      </c>
    </row>
    <row r="3605">
      <c r="A3605" t="inlineStr">
        <is>
          <t>PF103596</t>
        </is>
      </c>
      <c r="B3605" s="68" t="n">
        <v>46088</v>
      </c>
      <c r="C3605" s="69" t="n">
        <v>2026</v>
      </c>
      <c r="D3605" t="inlineStr">
        <is>
          <t>Mar</t>
        </is>
      </c>
      <c r="E3605" t="inlineStr">
        <is>
          <t>United States</t>
        </is>
      </c>
      <c r="F3605" t="inlineStr">
        <is>
          <t>USA</t>
        </is>
      </c>
      <c r="G3605" t="inlineStr">
        <is>
          <t>Eliquis</t>
        </is>
      </c>
      <c r="H3605" t="inlineStr">
        <is>
          <t>Hospital</t>
        </is>
      </c>
      <c r="I3605" t="inlineStr">
        <is>
          <t>Private insurer</t>
        </is>
      </c>
      <c r="J3605" t="inlineStr">
        <is>
          <t>Hiroshi Tanaka</t>
        </is>
      </c>
      <c r="K3605" s="70" t="n">
        <v>1496</v>
      </c>
      <c r="L3605" s="71" t="n">
        <v>688.35</v>
      </c>
      <c r="M3605" s="71" t="n">
        <v>1029771.6</v>
      </c>
      <c r="N3605" s="71" t="n">
        <v>257442.9</v>
      </c>
      <c r="O3605" s="71" t="n">
        <v>772328.7</v>
      </c>
      <c r="P3605" s="71" t="n">
        <v>109957.35</v>
      </c>
      <c r="Q3605" s="71" t="n">
        <v>662371.35</v>
      </c>
      <c r="R3605" t="inlineStr">
        <is>
          <t>Cardiology</t>
        </is>
      </c>
      <c r="S3605" s="70" t="n">
        <v>1149</v>
      </c>
      <c r="T3605" s="71" t="n">
        <v>201569.58</v>
      </c>
      <c r="U3605" t="inlineStr">
        <is>
          <t>High</t>
        </is>
      </c>
      <c r="V3605">
        <f>IF(AND(OR(Dashboard!$C$6="All",E3605=Dashboard!$C$6),OR(Dashboard!$F$6="All",G3605=Dashboard!$F$6),OR(Dashboard!$I$6="All",H3605=Dashboard!$I$6)),1,0)</f>
        <v/>
      </c>
    </row>
    <row r="3606">
      <c r="A3606" t="inlineStr">
        <is>
          <t>PF103597</t>
        </is>
      </c>
      <c r="B3606" s="68" t="n">
        <v>46088</v>
      </c>
      <c r="C3606" s="69" t="n">
        <v>2026</v>
      </c>
      <c r="D3606" t="inlineStr">
        <is>
          <t>Mar</t>
        </is>
      </c>
      <c r="E3606" t="inlineStr">
        <is>
          <t>Emerging markets</t>
        </is>
      </c>
      <c r="F3606" t="inlineStr">
        <is>
          <t>India</t>
        </is>
      </c>
      <c r="G3606" t="inlineStr">
        <is>
          <t>Comirnaty</t>
        </is>
      </c>
      <c r="H3606" t="inlineStr">
        <is>
          <t>Hospital</t>
        </is>
      </c>
      <c r="I3606" t="inlineStr">
        <is>
          <t>Private insurer</t>
        </is>
      </c>
      <c r="J3606" t="inlineStr">
        <is>
          <t>Aisha Bello</t>
        </is>
      </c>
      <c r="K3606" s="70" t="n">
        <v>877</v>
      </c>
      <c r="L3606" s="71" t="n">
        <v>91.7</v>
      </c>
      <c r="M3606" s="71" t="n">
        <v>80420.89999999999</v>
      </c>
      <c r="N3606" s="71" t="n">
        <v>16084.18</v>
      </c>
      <c r="O3606" s="71" t="n">
        <v>64336.72</v>
      </c>
      <c r="P3606" s="71" t="n">
        <v>34962.57</v>
      </c>
      <c r="Q3606" s="71" t="n">
        <v>29374.15</v>
      </c>
      <c r="R3606" t="inlineStr">
        <is>
          <t>Vaccines</t>
        </is>
      </c>
      <c r="S3606" s="70" t="n">
        <v>675</v>
      </c>
      <c r="T3606" s="71" t="n">
        <v>17628.47</v>
      </c>
      <c r="U3606" t="inlineStr">
        <is>
          <t>Low</t>
        </is>
      </c>
      <c r="V3606">
        <f>IF(AND(OR(Dashboard!$C$6="All",E3606=Dashboard!$C$6),OR(Dashboard!$F$6="All",G3606=Dashboard!$F$6),OR(Dashboard!$I$6="All",H3606=Dashboard!$I$6)),1,0)</f>
        <v/>
      </c>
    </row>
    <row r="3607">
      <c r="A3607" t="inlineStr">
        <is>
          <t>PF103598</t>
        </is>
      </c>
      <c r="B3607" s="68" t="n">
        <v>46088</v>
      </c>
      <c r="C3607" s="69" t="n">
        <v>2026</v>
      </c>
      <c r="D3607" t="inlineStr">
        <is>
          <t>Mar</t>
        </is>
      </c>
      <c r="E3607" t="inlineStr">
        <is>
          <t>United States</t>
        </is>
      </c>
      <c r="F3607" t="inlineStr">
        <is>
          <t>USA</t>
        </is>
      </c>
      <c r="G3607" t="inlineStr">
        <is>
          <t>Prevnar 20</t>
        </is>
      </c>
      <c r="H3607" t="inlineStr">
        <is>
          <t>Retail pharmacy</t>
        </is>
      </c>
      <c r="I3607" t="inlineStr">
        <is>
          <t>Private insurer</t>
        </is>
      </c>
      <c r="J3607" t="inlineStr">
        <is>
          <t>Priya Nair</t>
        </is>
      </c>
      <c r="K3607" s="70" t="n">
        <v>1665</v>
      </c>
      <c r="L3607" s="71" t="n">
        <v>360.74</v>
      </c>
      <c r="M3607" s="71" t="n">
        <v>600632.1</v>
      </c>
      <c r="N3607" s="71" t="n">
        <v>90094.82000000001</v>
      </c>
      <c r="O3607" s="71" t="n">
        <v>510537.28</v>
      </c>
      <c r="P3607" s="71" t="n">
        <v>113398.16</v>
      </c>
      <c r="Q3607" s="71" t="n">
        <v>397139.12</v>
      </c>
      <c r="R3607" t="inlineStr">
        <is>
          <t>Vaccines</t>
        </is>
      </c>
      <c r="S3607" s="70" t="n">
        <v>1323</v>
      </c>
      <c r="T3607" s="71" t="n">
        <v>112433.97</v>
      </c>
      <c r="U3607" t="inlineStr">
        <is>
          <t>Low</t>
        </is>
      </c>
      <c r="V3607">
        <f>IF(AND(OR(Dashboard!$C$6="All",E3607=Dashboard!$C$6),OR(Dashboard!$F$6="All",G3607=Dashboard!$F$6),OR(Dashboard!$I$6="All",H3607=Dashboard!$I$6)),1,0)</f>
        <v/>
      </c>
    </row>
    <row r="3608">
      <c r="A3608" t="inlineStr">
        <is>
          <t>PF103599</t>
        </is>
      </c>
      <c r="B3608" s="68" t="n">
        <v>46088</v>
      </c>
      <c r="C3608" s="69" t="n">
        <v>2026</v>
      </c>
      <c r="D3608" t="inlineStr">
        <is>
          <t>Mar</t>
        </is>
      </c>
      <c r="E3608" t="inlineStr">
        <is>
          <t>United States</t>
        </is>
      </c>
      <c r="F3608" t="inlineStr">
        <is>
          <t>USA</t>
        </is>
      </c>
      <c r="G3608" t="inlineStr">
        <is>
          <t>Abrysvo</t>
        </is>
      </c>
      <c r="H3608" t="inlineStr">
        <is>
          <t>Hospital</t>
        </is>
      </c>
      <c r="I3608" t="inlineStr">
        <is>
          <t>Public payer</t>
        </is>
      </c>
      <c r="J3608" t="inlineStr">
        <is>
          <t>Hiroshi Tanaka</t>
        </is>
      </c>
      <c r="K3608" s="70" t="n">
        <v>562</v>
      </c>
      <c r="L3608" s="71" t="n">
        <v>470.88</v>
      </c>
      <c r="M3608" s="71" t="n">
        <v>264634.56</v>
      </c>
      <c r="N3608" s="71" t="n">
        <v>79390.37</v>
      </c>
      <c r="O3608" s="71" t="n">
        <v>185244.19</v>
      </c>
      <c r="P3608" s="71" t="n">
        <v>45729.97</v>
      </c>
      <c r="Q3608" s="71" t="n">
        <v>139514.22</v>
      </c>
      <c r="R3608" t="inlineStr">
        <is>
          <t>Vaccines</t>
        </is>
      </c>
      <c r="S3608" s="70" t="n">
        <v>546</v>
      </c>
      <c r="T3608" s="71" t="n">
        <v>35268.87</v>
      </c>
      <c r="U3608" t="inlineStr">
        <is>
          <t>Low</t>
        </is>
      </c>
      <c r="V3608">
        <f>IF(AND(OR(Dashboard!$C$6="All",E3608=Dashboard!$C$6),OR(Dashboard!$F$6="All",G3608=Dashboard!$F$6),OR(Dashboard!$I$6="All",H3608=Dashboard!$I$6)),1,0)</f>
        <v/>
      </c>
    </row>
    <row r="3609">
      <c r="A3609" t="inlineStr">
        <is>
          <t>PF103600</t>
        </is>
      </c>
      <c r="B3609" s="68" t="n">
        <v>46089</v>
      </c>
      <c r="C3609" s="69" t="n">
        <v>2026</v>
      </c>
      <c r="D3609" t="inlineStr">
        <is>
          <t>Mar</t>
        </is>
      </c>
      <c r="E3609" t="inlineStr">
        <is>
          <t>Emerging markets</t>
        </is>
      </c>
      <c r="F3609" t="inlineStr">
        <is>
          <t>India</t>
        </is>
      </c>
      <c r="G3609" t="inlineStr">
        <is>
          <t>Comirnaty</t>
        </is>
      </c>
      <c r="H3609" t="inlineStr">
        <is>
          <t>Retail pharmacy</t>
        </is>
      </c>
      <c r="I3609" t="inlineStr">
        <is>
          <t>Public payer</t>
        </is>
      </c>
      <c r="J3609" t="inlineStr">
        <is>
          <t>Yuki Sato</t>
        </is>
      </c>
      <c r="K3609" s="70" t="n">
        <v>716</v>
      </c>
      <c r="L3609" s="71" t="n">
        <v>89.77</v>
      </c>
      <c r="M3609" s="71" t="n">
        <v>64275.32</v>
      </c>
      <c r="N3609" s="71" t="n">
        <v>16068.83</v>
      </c>
      <c r="O3609" s="71" t="n">
        <v>48206.49</v>
      </c>
      <c r="P3609" s="71" t="n">
        <v>26471.28</v>
      </c>
      <c r="Q3609" s="71" t="n">
        <v>21735.21</v>
      </c>
      <c r="R3609" t="inlineStr">
        <is>
          <t>Vaccines</t>
        </is>
      </c>
      <c r="S3609" s="70" t="n">
        <v>452</v>
      </c>
      <c r="T3609" s="71" t="n">
        <v>14765.06</v>
      </c>
      <c r="U3609" t="inlineStr">
        <is>
          <t>Low</t>
        </is>
      </c>
      <c r="V3609">
        <f>IF(AND(OR(Dashboard!$C$6="All",E3609=Dashboard!$C$6),OR(Dashboard!$F$6="All",G3609=Dashboard!$F$6),OR(Dashboard!$I$6="All",H3609=Dashboard!$I$6)),1,0)</f>
        <v/>
      </c>
    </row>
    <row r="3610">
      <c r="A3610" t="inlineStr">
        <is>
          <t>PF103601</t>
        </is>
      </c>
      <c r="B3610" s="68" t="n">
        <v>46089</v>
      </c>
      <c r="C3610" s="69" t="n">
        <v>2026</v>
      </c>
      <c r="D3610" t="inlineStr">
        <is>
          <t>Mar</t>
        </is>
      </c>
      <c r="E3610" t="inlineStr">
        <is>
          <t>International developed</t>
        </is>
      </c>
      <c r="F3610" t="inlineStr">
        <is>
          <t>Japan</t>
        </is>
      </c>
      <c r="G3610" t="inlineStr">
        <is>
          <t>Xeljanz</t>
        </is>
      </c>
      <c r="H3610" t="inlineStr">
        <is>
          <t>Hospital</t>
        </is>
      </c>
      <c r="I3610" t="inlineStr">
        <is>
          <t>Public payer</t>
        </is>
      </c>
      <c r="J3610" t="inlineStr">
        <is>
          <t>Emma Clarke</t>
        </is>
      </c>
      <c r="K3610" s="70" t="n">
        <v>2462</v>
      </c>
      <c r="L3610" s="71" t="n">
        <v>1323.69</v>
      </c>
      <c r="M3610" s="71" t="n">
        <v>3258924.78</v>
      </c>
      <c r="N3610" s="71" t="n">
        <v>162946.24</v>
      </c>
      <c r="O3610" s="71" t="n">
        <v>3095978.54</v>
      </c>
      <c r="P3610" s="71" t="n">
        <v>629736.92</v>
      </c>
      <c r="Q3610" s="71" t="n">
        <v>2466241.62</v>
      </c>
      <c r="R3610" t="inlineStr">
        <is>
          <t>Inflammation</t>
        </is>
      </c>
      <c r="S3610" s="70" t="n">
        <v>2439</v>
      </c>
      <c r="T3610" s="71" t="n">
        <v>585505.0699999999</v>
      </c>
      <c r="U3610" t="inlineStr">
        <is>
          <t>High</t>
        </is>
      </c>
      <c r="V3610">
        <f>IF(AND(OR(Dashboard!$C$6="All",E3610=Dashboard!$C$6),OR(Dashboard!$F$6="All",G3610=Dashboard!$F$6),OR(Dashboard!$I$6="All",H3610=Dashboard!$I$6)),1,0)</f>
        <v/>
      </c>
    </row>
    <row r="3611">
      <c r="A3611" t="inlineStr">
        <is>
          <t>PF103602</t>
        </is>
      </c>
      <c r="B3611" s="68" t="n">
        <v>46089</v>
      </c>
      <c r="C3611" s="69" t="n">
        <v>2026</v>
      </c>
      <c r="D3611" t="inlineStr">
        <is>
          <t>Mar</t>
        </is>
      </c>
      <c r="E3611" t="inlineStr">
        <is>
          <t>United States</t>
        </is>
      </c>
      <c r="F3611" t="inlineStr">
        <is>
          <t>USA</t>
        </is>
      </c>
      <c r="G3611" t="inlineStr">
        <is>
          <t>Eliquis</t>
        </is>
      </c>
      <c r="H3611" t="inlineStr">
        <is>
          <t>Retail pharmacy</t>
        </is>
      </c>
      <c r="I3611" t="inlineStr">
        <is>
          <t>Public payer</t>
        </is>
      </c>
      <c r="J3611" t="inlineStr">
        <is>
          <t>Fatima Al-Saud</t>
        </is>
      </c>
      <c r="K3611" s="70" t="n">
        <v>2391</v>
      </c>
      <c r="L3611" s="71" t="n">
        <v>713.75</v>
      </c>
      <c r="M3611" s="71" t="n">
        <v>1706576.25</v>
      </c>
      <c r="N3611" s="71" t="n">
        <v>597301.6899999999</v>
      </c>
      <c r="O3611" s="71" t="n">
        <v>1109274.56</v>
      </c>
      <c r="P3611" s="71" t="n">
        <v>175971.52</v>
      </c>
      <c r="Q3611" s="71" t="n">
        <v>933303.04</v>
      </c>
      <c r="R3611" t="inlineStr">
        <is>
          <t>Cardiology</t>
        </is>
      </c>
      <c r="S3611" s="70" t="n">
        <v>1845</v>
      </c>
      <c r="T3611" s="71" t="n">
        <v>212230.63</v>
      </c>
      <c r="U3611" t="inlineStr">
        <is>
          <t>High</t>
        </is>
      </c>
      <c r="V3611">
        <f>IF(AND(OR(Dashboard!$C$6="All",E3611=Dashboard!$C$6),OR(Dashboard!$F$6="All",G3611=Dashboard!$F$6),OR(Dashboard!$I$6="All",H3611=Dashboard!$I$6)),1,0)</f>
        <v/>
      </c>
    </row>
    <row r="3612">
      <c r="A3612" t="inlineStr">
        <is>
          <t>PF103603</t>
        </is>
      </c>
      <c r="B3612" s="68" t="n">
        <v>46089</v>
      </c>
      <c r="C3612" s="69" t="n">
        <v>2026</v>
      </c>
      <c r="D3612" t="inlineStr">
        <is>
          <t>Mar</t>
        </is>
      </c>
      <c r="E3612" t="inlineStr">
        <is>
          <t>United States</t>
        </is>
      </c>
      <c r="F3612" t="inlineStr">
        <is>
          <t>USA</t>
        </is>
      </c>
      <c r="G3612" t="inlineStr">
        <is>
          <t>Eliquis</t>
        </is>
      </c>
      <c r="H3612" t="inlineStr">
        <is>
          <t>Retail pharmacy</t>
        </is>
      </c>
      <c r="I3612" t="inlineStr">
        <is>
          <t>Self-pay</t>
        </is>
      </c>
      <c r="J3612" t="inlineStr">
        <is>
          <t>Noah Smith</t>
        </is>
      </c>
      <c r="K3612" s="70" t="n">
        <v>1437</v>
      </c>
      <c r="L3612" s="71" t="n">
        <v>650.13</v>
      </c>
      <c r="M3612" s="71" t="n">
        <v>934236.8100000001</v>
      </c>
      <c r="N3612" s="71" t="n">
        <v>233559.2</v>
      </c>
      <c r="O3612" s="71" t="n">
        <v>700677.61</v>
      </c>
      <c r="P3612" s="71" t="n">
        <v>104985.1</v>
      </c>
      <c r="Q3612" s="71" t="n">
        <v>595692.51</v>
      </c>
      <c r="R3612" t="inlineStr">
        <is>
          <t>Cardiology</t>
        </is>
      </c>
      <c r="S3612" s="70" t="n">
        <v>1436</v>
      </c>
      <c r="T3612" s="71" t="n">
        <v>198786.21</v>
      </c>
      <c r="U3612" t="inlineStr">
        <is>
          <t>High</t>
        </is>
      </c>
      <c r="V3612">
        <f>IF(AND(OR(Dashboard!$C$6="All",E3612=Dashboard!$C$6),OR(Dashboard!$F$6="All",G3612=Dashboard!$F$6),OR(Dashboard!$I$6="All",H3612=Dashboard!$I$6)),1,0)</f>
        <v/>
      </c>
    </row>
    <row r="3613">
      <c r="A3613" t="inlineStr">
        <is>
          <t>PF103604</t>
        </is>
      </c>
      <c r="B3613" s="68" t="n">
        <v>46089</v>
      </c>
      <c r="C3613" s="69" t="n">
        <v>2026</v>
      </c>
      <c r="D3613" t="inlineStr">
        <is>
          <t>Mar</t>
        </is>
      </c>
      <c r="E3613" t="inlineStr">
        <is>
          <t>Emerging markets</t>
        </is>
      </c>
      <c r="F3613" t="inlineStr">
        <is>
          <t>India</t>
        </is>
      </c>
      <c r="G3613" t="inlineStr">
        <is>
          <t>Ibrance</t>
        </is>
      </c>
      <c r="H3613" t="inlineStr">
        <is>
          <t>Government / tender</t>
        </is>
      </c>
      <c r="I3613" t="inlineStr">
        <is>
          <t>Private insurer</t>
        </is>
      </c>
      <c r="J3613" t="inlineStr">
        <is>
          <t>Yuki Sato</t>
        </is>
      </c>
      <c r="K3613" s="70" t="n">
        <v>1601</v>
      </c>
      <c r="L3613" s="71" t="n">
        <v>3036.23</v>
      </c>
      <c r="M3613" s="71" t="n">
        <v>4861004.23</v>
      </c>
      <c r="N3613" s="71" t="n">
        <v>243050.21</v>
      </c>
      <c r="O3613" s="71" t="n">
        <v>4617954.02</v>
      </c>
      <c r="P3613" s="71" t="n">
        <v>680642.0699999999</v>
      </c>
      <c r="Q3613" s="71" t="n">
        <v>3937311.95</v>
      </c>
      <c r="R3613" t="inlineStr">
        <is>
          <t>Oncology</t>
        </is>
      </c>
      <c r="S3613" s="70" t="n">
        <v>1263</v>
      </c>
      <c r="T3613" s="71" t="n">
        <v>1034592.38</v>
      </c>
      <c r="U3613" t="inlineStr">
        <is>
          <t>High</t>
        </is>
      </c>
      <c r="V3613">
        <f>IF(AND(OR(Dashboard!$C$6="All",E3613=Dashboard!$C$6),OR(Dashboard!$F$6="All",G3613=Dashboard!$F$6),OR(Dashboard!$I$6="All",H3613=Dashboard!$I$6)),1,0)</f>
        <v/>
      </c>
    </row>
    <row r="3614">
      <c r="A3614" t="inlineStr">
        <is>
          <t>PF103605</t>
        </is>
      </c>
      <c r="B3614" s="68" t="n">
        <v>46089</v>
      </c>
      <c r="C3614" s="69" t="n">
        <v>2026</v>
      </c>
      <c r="D3614" t="inlineStr">
        <is>
          <t>Mar</t>
        </is>
      </c>
      <c r="E3614" t="inlineStr">
        <is>
          <t>Emerging markets</t>
        </is>
      </c>
      <c r="F3614" t="inlineStr">
        <is>
          <t>Brazil</t>
        </is>
      </c>
      <c r="G3614" t="inlineStr">
        <is>
          <t>Xeljanz</t>
        </is>
      </c>
      <c r="H3614" t="inlineStr">
        <is>
          <t>Hospital</t>
        </is>
      </c>
      <c r="I3614" t="inlineStr">
        <is>
          <t>Self-pay</t>
        </is>
      </c>
      <c r="J3614" t="inlineStr">
        <is>
          <t>Mei Lin</t>
        </is>
      </c>
      <c r="K3614" s="70" t="n">
        <v>1362</v>
      </c>
      <c r="L3614" s="71" t="n">
        <v>1373.34</v>
      </c>
      <c r="M3614" s="71" t="n">
        <v>1870489.08</v>
      </c>
      <c r="N3614" s="71" t="n">
        <v>93524.45</v>
      </c>
      <c r="O3614" s="71" t="n">
        <v>1776964.63</v>
      </c>
      <c r="P3614" s="71" t="n">
        <v>353067.75</v>
      </c>
      <c r="Q3614" s="71" t="n">
        <v>1423896.88</v>
      </c>
      <c r="R3614" t="inlineStr">
        <is>
          <t>Inflammation</t>
        </is>
      </c>
      <c r="S3614" s="70" t="n">
        <v>1122</v>
      </c>
      <c r="T3614" s="71" t="n">
        <v>405007.57</v>
      </c>
      <c r="U3614" t="inlineStr">
        <is>
          <t>High</t>
        </is>
      </c>
      <c r="V3614">
        <f>IF(AND(OR(Dashboard!$C$6="All",E3614=Dashboard!$C$6),OR(Dashboard!$F$6="All",G3614=Dashboard!$F$6),OR(Dashboard!$I$6="All",H3614=Dashboard!$I$6)),1,0)</f>
        <v/>
      </c>
    </row>
    <row r="3615">
      <c r="A3615" t="inlineStr">
        <is>
          <t>PF103606</t>
        </is>
      </c>
      <c r="B3615" s="68" t="n">
        <v>46089</v>
      </c>
      <c r="C3615" s="69" t="n">
        <v>2026</v>
      </c>
      <c r="D3615" t="inlineStr">
        <is>
          <t>Mar</t>
        </is>
      </c>
      <c r="E3615" t="inlineStr">
        <is>
          <t>United States</t>
        </is>
      </c>
      <c r="F3615" t="inlineStr">
        <is>
          <t>USA</t>
        </is>
      </c>
      <c r="G3615" t="inlineStr">
        <is>
          <t>Comirnaty</t>
        </is>
      </c>
      <c r="H3615" t="inlineStr">
        <is>
          <t>Retail pharmacy</t>
        </is>
      </c>
      <c r="I3615" t="inlineStr">
        <is>
          <t>Public payer</t>
        </is>
      </c>
      <c r="J3615" t="inlineStr">
        <is>
          <t>Olivia Brown</t>
        </is>
      </c>
      <c r="K3615" s="70" t="n">
        <v>2091</v>
      </c>
      <c r="L3615" s="71" t="n">
        <v>144.22</v>
      </c>
      <c r="M3615" s="71" t="n">
        <v>301564.02</v>
      </c>
      <c r="N3615" s="71" t="n">
        <v>60312.8</v>
      </c>
      <c r="O3615" s="71" t="n">
        <v>241251.22</v>
      </c>
      <c r="P3615" s="71" t="n">
        <v>83477.2</v>
      </c>
      <c r="Q3615" s="71" t="n">
        <v>157774.02</v>
      </c>
      <c r="R3615" t="inlineStr">
        <is>
          <t>Vaccines</t>
        </is>
      </c>
      <c r="S3615" s="70" t="n">
        <v>1365</v>
      </c>
      <c r="T3615" s="71" t="n">
        <v>68119.23</v>
      </c>
      <c r="U3615" t="inlineStr">
        <is>
          <t>Low</t>
        </is>
      </c>
      <c r="V3615">
        <f>IF(AND(OR(Dashboard!$C$6="All",E3615=Dashboard!$C$6),OR(Dashboard!$F$6="All",G3615=Dashboard!$F$6),OR(Dashboard!$I$6="All",H3615=Dashboard!$I$6)),1,0)</f>
        <v/>
      </c>
    </row>
    <row r="3616">
      <c r="A3616" t="inlineStr">
        <is>
          <t>PF103607</t>
        </is>
      </c>
      <c r="B3616" s="68" t="n">
        <v>46090</v>
      </c>
      <c r="C3616" s="69" t="n">
        <v>2026</v>
      </c>
      <c r="D3616" t="inlineStr">
        <is>
          <t>Mar</t>
        </is>
      </c>
      <c r="E3616" t="inlineStr">
        <is>
          <t>Europe</t>
        </is>
      </c>
      <c r="F3616" t="inlineStr">
        <is>
          <t>France</t>
        </is>
      </c>
      <c r="G3616" t="inlineStr">
        <is>
          <t>Eliquis</t>
        </is>
      </c>
      <c r="H3616" t="inlineStr">
        <is>
          <t>Retail pharmacy</t>
        </is>
      </c>
      <c r="I3616" t="inlineStr">
        <is>
          <t>Public payer</t>
        </is>
      </c>
      <c r="J3616" t="inlineStr">
        <is>
          <t>Hiroshi Tanaka</t>
        </is>
      </c>
      <c r="K3616" s="70" t="n">
        <v>2150</v>
      </c>
      <c r="L3616" s="71" t="n">
        <v>421.08</v>
      </c>
      <c r="M3616" s="71" t="n">
        <v>905322</v>
      </c>
      <c r="N3616" s="71" t="n">
        <v>45266.1</v>
      </c>
      <c r="O3616" s="71" t="n">
        <v>860055.9</v>
      </c>
      <c r="P3616" s="71" t="n">
        <v>158243.49</v>
      </c>
      <c r="Q3616" s="71" t="n">
        <v>701812.41</v>
      </c>
      <c r="R3616" t="inlineStr">
        <is>
          <t>Cardiology</t>
        </is>
      </c>
      <c r="S3616" s="70" t="n">
        <v>1565</v>
      </c>
      <c r="T3616" s="71" t="n">
        <v>120104.65</v>
      </c>
      <c r="U3616" t="inlineStr">
        <is>
          <t>High</t>
        </is>
      </c>
      <c r="V3616">
        <f>IF(AND(OR(Dashboard!$C$6="All",E3616=Dashboard!$C$6),OR(Dashboard!$F$6="All",G3616=Dashboard!$F$6),OR(Dashboard!$I$6="All",H3616=Dashboard!$I$6)),1,0)</f>
        <v/>
      </c>
    </row>
    <row r="3617">
      <c r="A3617" t="inlineStr">
        <is>
          <t>PF103608</t>
        </is>
      </c>
      <c r="B3617" s="68" t="n">
        <v>46090</v>
      </c>
      <c r="C3617" s="69" t="n">
        <v>2026</v>
      </c>
      <c r="D3617" t="inlineStr">
        <is>
          <t>Mar</t>
        </is>
      </c>
      <c r="E3617" t="inlineStr">
        <is>
          <t>International developed</t>
        </is>
      </c>
      <c r="F3617" t="inlineStr">
        <is>
          <t>Canada</t>
        </is>
      </c>
      <c r="G3617" t="inlineStr">
        <is>
          <t>Xeljanz</t>
        </is>
      </c>
      <c r="H3617" t="inlineStr">
        <is>
          <t>Retail pharmacy</t>
        </is>
      </c>
      <c r="I3617" t="inlineStr">
        <is>
          <t>Public payer</t>
        </is>
      </c>
      <c r="J3617" t="inlineStr">
        <is>
          <t>Liam O'Brien</t>
        </is>
      </c>
      <c r="K3617" s="70" t="n">
        <v>2471</v>
      </c>
      <c r="L3617" s="71" t="n">
        <v>1263.57</v>
      </c>
      <c r="M3617" s="71" t="n">
        <v>3122281.47</v>
      </c>
      <c r="N3617" s="71" t="n">
        <v>312228.15</v>
      </c>
      <c r="O3617" s="71" t="n">
        <v>2810053.32</v>
      </c>
      <c r="P3617" s="71" t="n">
        <v>614305.39</v>
      </c>
      <c r="Q3617" s="71" t="n">
        <v>2195747.93</v>
      </c>
      <c r="R3617" t="inlineStr">
        <is>
          <t>Inflammation</t>
        </is>
      </c>
      <c r="S3617" s="70" t="n">
        <v>1667</v>
      </c>
      <c r="T3617" s="71" t="n">
        <v>451705.74</v>
      </c>
      <c r="U3617" t="inlineStr">
        <is>
          <t>High</t>
        </is>
      </c>
      <c r="V3617">
        <f>IF(AND(OR(Dashboard!$C$6="All",E3617=Dashboard!$C$6),OR(Dashboard!$F$6="All",G3617=Dashboard!$F$6),OR(Dashboard!$I$6="All",H3617=Dashboard!$I$6)),1,0)</f>
        <v/>
      </c>
    </row>
    <row r="3618">
      <c r="A3618" t="inlineStr">
        <is>
          <t>PF103609</t>
        </is>
      </c>
      <c r="B3618" s="68" t="n">
        <v>46090</v>
      </c>
      <c r="C3618" s="69" t="n">
        <v>2026</v>
      </c>
      <c r="D3618" t="inlineStr">
        <is>
          <t>Mar</t>
        </is>
      </c>
      <c r="E3618" t="inlineStr">
        <is>
          <t>Emerging markets</t>
        </is>
      </c>
      <c r="F3618" t="inlineStr">
        <is>
          <t>China</t>
        </is>
      </c>
      <c r="G3618" t="inlineStr">
        <is>
          <t>Paxlovid</t>
        </is>
      </c>
      <c r="H3618" t="inlineStr">
        <is>
          <t>Retail pharmacy</t>
        </is>
      </c>
      <c r="I3618" t="inlineStr">
        <is>
          <t>Public payer</t>
        </is>
      </c>
      <c r="J3618" t="inlineStr">
        <is>
          <t>Noah Smith</t>
        </is>
      </c>
      <c r="K3618" s="70" t="n">
        <v>1381</v>
      </c>
      <c r="L3618" s="71" t="n">
        <v>935.64</v>
      </c>
      <c r="M3618" s="71" t="n">
        <v>1292118.84</v>
      </c>
      <c r="N3618" s="71" t="n">
        <v>258423.77</v>
      </c>
      <c r="O3618" s="71" t="n">
        <v>1033695.07</v>
      </c>
      <c r="P3618" s="71" t="n">
        <v>377515.12</v>
      </c>
      <c r="Q3618" s="71" t="n">
        <v>656179.95</v>
      </c>
      <c r="R3618" t="inlineStr">
        <is>
          <t>Antiviral</t>
        </is>
      </c>
      <c r="S3618" s="70" t="n">
        <v>1223</v>
      </c>
      <c r="T3618" s="71" t="n">
        <v>227930.56</v>
      </c>
      <c r="U3618" t="inlineStr">
        <is>
          <t>Low</t>
        </is>
      </c>
      <c r="V3618">
        <f>IF(AND(OR(Dashboard!$C$6="All",E3618=Dashboard!$C$6),OR(Dashboard!$F$6="All",G3618=Dashboard!$F$6),OR(Dashboard!$I$6="All",H3618=Dashboard!$I$6)),1,0)</f>
        <v/>
      </c>
    </row>
    <row r="3619">
      <c r="A3619" t="inlineStr">
        <is>
          <t>PF103610</t>
        </is>
      </c>
      <c r="B3619" s="68" t="n">
        <v>46090</v>
      </c>
      <c r="C3619" s="69" t="n">
        <v>2026</v>
      </c>
      <c r="D3619" t="inlineStr">
        <is>
          <t>Mar</t>
        </is>
      </c>
      <c r="E3619" t="inlineStr">
        <is>
          <t>United States</t>
        </is>
      </c>
      <c r="F3619" t="inlineStr">
        <is>
          <t>USA</t>
        </is>
      </c>
      <c r="G3619" t="inlineStr">
        <is>
          <t>Paxlovid</t>
        </is>
      </c>
      <c r="H3619" t="inlineStr">
        <is>
          <t>Retail pharmacy</t>
        </is>
      </c>
      <c r="I3619" t="inlineStr">
        <is>
          <t>Private insurer</t>
        </is>
      </c>
      <c r="J3619" t="inlineStr">
        <is>
          <t>Kofi Mensah</t>
        </is>
      </c>
      <c r="K3619" s="70" t="n">
        <v>1720</v>
      </c>
      <c r="L3619" s="71" t="n">
        <v>1492.78</v>
      </c>
      <c r="M3619" s="71" t="n">
        <v>2567581.6</v>
      </c>
      <c r="N3619" s="71" t="n">
        <v>641895.4</v>
      </c>
      <c r="O3619" s="71" t="n">
        <v>1925686.2</v>
      </c>
      <c r="P3619" s="71" t="n">
        <v>478343.23</v>
      </c>
      <c r="Q3619" s="71" t="n">
        <v>1447342.97</v>
      </c>
      <c r="R3619" t="inlineStr">
        <is>
          <t>Antiviral</t>
        </is>
      </c>
      <c r="S3619" s="70" t="n">
        <v>1244</v>
      </c>
      <c r="T3619" s="71" t="n">
        <v>664177.51</v>
      </c>
      <c r="U3619" t="inlineStr">
        <is>
          <t>Low</t>
        </is>
      </c>
      <c r="V3619">
        <f>IF(AND(OR(Dashboard!$C$6="All",E3619=Dashboard!$C$6),OR(Dashboard!$F$6="All",G3619=Dashboard!$F$6),OR(Dashboard!$I$6="All",H3619=Dashboard!$I$6)),1,0)</f>
        <v/>
      </c>
    </row>
    <row r="3620">
      <c r="A3620" t="inlineStr">
        <is>
          <t>PF103611</t>
        </is>
      </c>
      <c r="B3620" s="68" t="n">
        <v>46090</v>
      </c>
      <c r="C3620" s="69" t="n">
        <v>2026</v>
      </c>
      <c r="D3620" t="inlineStr">
        <is>
          <t>Mar</t>
        </is>
      </c>
      <c r="E3620" t="inlineStr">
        <is>
          <t>Emerging markets</t>
        </is>
      </c>
      <c r="F3620" t="inlineStr">
        <is>
          <t>Mexico</t>
        </is>
      </c>
      <c r="G3620" t="inlineStr">
        <is>
          <t>Prevnar 20</t>
        </is>
      </c>
      <c r="H3620" t="inlineStr">
        <is>
          <t>Hospital</t>
        </is>
      </c>
      <c r="I3620" t="inlineStr">
        <is>
          <t>Self-pay</t>
        </is>
      </c>
      <c r="J3620" t="inlineStr">
        <is>
          <t>Hiroshi Tanaka</t>
        </is>
      </c>
      <c r="K3620" s="70" t="n">
        <v>2151</v>
      </c>
      <c r="L3620" s="71" t="n">
        <v>243.26</v>
      </c>
      <c r="M3620" s="71" t="n">
        <v>523252.26</v>
      </c>
      <c r="N3620" s="71" t="n">
        <v>130813.07</v>
      </c>
      <c r="O3620" s="71" t="n">
        <v>392439.19</v>
      </c>
      <c r="P3620" s="71" t="n">
        <v>148608.07</v>
      </c>
      <c r="Q3620" s="71" t="n">
        <v>243831.12</v>
      </c>
      <c r="R3620" t="inlineStr">
        <is>
          <t>Vaccines</t>
        </is>
      </c>
      <c r="S3620" s="70" t="n">
        <v>1812</v>
      </c>
      <c r="T3620" s="71" t="n">
        <v>71697.17999999999</v>
      </c>
      <c r="U3620" t="inlineStr">
        <is>
          <t>Low</t>
        </is>
      </c>
      <c r="V3620">
        <f>IF(AND(OR(Dashboard!$C$6="All",E3620=Dashboard!$C$6),OR(Dashboard!$F$6="All",G3620=Dashboard!$F$6),OR(Dashboard!$I$6="All",H3620=Dashboard!$I$6)),1,0)</f>
        <v/>
      </c>
    </row>
    <row r="3621">
      <c r="A3621" t="inlineStr">
        <is>
          <t>PF103612</t>
        </is>
      </c>
      <c r="B3621" s="68" t="n">
        <v>46090</v>
      </c>
      <c r="C3621" s="69" t="n">
        <v>2026</v>
      </c>
      <c r="D3621" t="inlineStr">
        <is>
          <t>Mar</t>
        </is>
      </c>
      <c r="E3621" t="inlineStr">
        <is>
          <t>United States</t>
        </is>
      </c>
      <c r="F3621" t="inlineStr">
        <is>
          <t>USA</t>
        </is>
      </c>
      <c r="G3621" t="inlineStr">
        <is>
          <t>Prevnar 20</t>
        </is>
      </c>
      <c r="H3621" t="inlineStr">
        <is>
          <t>Government / tender</t>
        </is>
      </c>
      <c r="I3621" t="inlineStr">
        <is>
          <t>Public payer</t>
        </is>
      </c>
      <c r="J3621" t="inlineStr">
        <is>
          <t>Carlos Silva</t>
        </is>
      </c>
      <c r="K3621" s="70" t="n">
        <v>2198</v>
      </c>
      <c r="L3621" s="71" t="n">
        <v>361.06</v>
      </c>
      <c r="M3621" s="71" t="n">
        <v>793609.88</v>
      </c>
      <c r="N3621" s="71" t="n">
        <v>119041.48</v>
      </c>
      <c r="O3621" s="71" t="n">
        <v>674568.4</v>
      </c>
      <c r="P3621" s="71" t="n">
        <v>148325.77</v>
      </c>
      <c r="Q3621" s="71" t="n">
        <v>526242.63</v>
      </c>
      <c r="R3621" t="inlineStr">
        <is>
          <t>Vaccines</t>
        </is>
      </c>
      <c r="S3621" s="70" t="n">
        <v>1496</v>
      </c>
      <c r="T3621" s="71" t="n">
        <v>126834.47</v>
      </c>
      <c r="U3621" t="inlineStr">
        <is>
          <t>Low</t>
        </is>
      </c>
      <c r="V3621">
        <f>IF(AND(OR(Dashboard!$C$6="All",E3621=Dashboard!$C$6),OR(Dashboard!$F$6="All",G3621=Dashboard!$F$6),OR(Dashboard!$I$6="All",H3621=Dashboard!$I$6)),1,0)</f>
        <v/>
      </c>
    </row>
    <row r="3622">
      <c r="A3622" t="inlineStr">
        <is>
          <t>PF103613</t>
        </is>
      </c>
      <c r="B3622" s="68" t="n">
        <v>46090</v>
      </c>
      <c r="C3622" s="69" t="n">
        <v>2026</v>
      </c>
      <c r="D3622" t="inlineStr">
        <is>
          <t>Mar</t>
        </is>
      </c>
      <c r="E3622" t="inlineStr">
        <is>
          <t>Europe</t>
        </is>
      </c>
      <c r="F3622" t="inlineStr">
        <is>
          <t>Italy</t>
        </is>
      </c>
      <c r="G3622" t="inlineStr">
        <is>
          <t>Xeljanz</t>
        </is>
      </c>
      <c r="H3622" t="inlineStr">
        <is>
          <t>Hospital</t>
        </is>
      </c>
      <c r="I3622" t="inlineStr">
        <is>
          <t>Private insurer</t>
        </is>
      </c>
      <c r="J3622" t="inlineStr">
        <is>
          <t>Carlos Silva</t>
        </is>
      </c>
      <c r="K3622" s="70" t="n">
        <v>1545</v>
      </c>
      <c r="L3622" s="71" t="n">
        <v>1263.23</v>
      </c>
      <c r="M3622" s="71" t="n">
        <v>1951690.35</v>
      </c>
      <c r="N3622" s="71" t="n">
        <v>390338.07</v>
      </c>
      <c r="O3622" s="71" t="n">
        <v>1561352.28</v>
      </c>
      <c r="P3622" s="71" t="n">
        <v>400259.43</v>
      </c>
      <c r="Q3622" s="71" t="n">
        <v>1161092.85</v>
      </c>
      <c r="R3622" t="inlineStr">
        <is>
          <t>Inflammation</t>
        </is>
      </c>
      <c r="S3622" s="70" t="n">
        <v>1251</v>
      </c>
      <c r="T3622" s="71" t="n">
        <v>372007.85</v>
      </c>
      <c r="U3622" t="inlineStr">
        <is>
          <t>High</t>
        </is>
      </c>
      <c r="V3622">
        <f>IF(AND(OR(Dashboard!$C$6="All",E3622=Dashboard!$C$6),OR(Dashboard!$F$6="All",G3622=Dashboard!$F$6),OR(Dashboard!$I$6="All",H3622=Dashboard!$I$6)),1,0)</f>
        <v/>
      </c>
    </row>
    <row r="3623">
      <c r="A3623" t="inlineStr">
        <is>
          <t>PF103614</t>
        </is>
      </c>
      <c r="B3623" s="68" t="n">
        <v>46090</v>
      </c>
      <c r="C3623" s="69" t="n">
        <v>2026</v>
      </c>
      <c r="D3623" t="inlineStr">
        <is>
          <t>Mar</t>
        </is>
      </c>
      <c r="E3623" t="inlineStr">
        <is>
          <t>Europe</t>
        </is>
      </c>
      <c r="F3623" t="inlineStr">
        <is>
          <t>Germany</t>
        </is>
      </c>
      <c r="G3623" t="inlineStr">
        <is>
          <t>Eliquis</t>
        </is>
      </c>
      <c r="H3623" t="inlineStr">
        <is>
          <t>Retail pharmacy</t>
        </is>
      </c>
      <c r="I3623" t="inlineStr">
        <is>
          <t>Public payer</t>
        </is>
      </c>
      <c r="J3623" t="inlineStr">
        <is>
          <t>Zoya Ahmed</t>
        </is>
      </c>
      <c r="K3623" s="70" t="n">
        <v>2377</v>
      </c>
      <c r="L3623" s="71" t="n">
        <v>426.46</v>
      </c>
      <c r="M3623" s="71" t="n">
        <v>1013695.42</v>
      </c>
      <c r="N3623" s="71" t="n">
        <v>202739.08</v>
      </c>
      <c r="O3623" s="71" t="n">
        <v>810956.34</v>
      </c>
      <c r="P3623" s="71" t="n">
        <v>174609.72</v>
      </c>
      <c r="Q3623" s="71" t="n">
        <v>636346.62</v>
      </c>
      <c r="R3623" t="inlineStr">
        <is>
          <t>Cardiology</t>
        </is>
      </c>
      <c r="S3623" s="70" t="n">
        <v>1774</v>
      </c>
      <c r="T3623" s="71" t="n">
        <v>190358.03</v>
      </c>
      <c r="U3623" t="inlineStr">
        <is>
          <t>High</t>
        </is>
      </c>
      <c r="V3623">
        <f>IF(AND(OR(Dashboard!$C$6="All",E3623=Dashboard!$C$6),OR(Dashboard!$F$6="All",G3623=Dashboard!$F$6),OR(Dashboard!$I$6="All",H3623=Dashboard!$I$6)),1,0)</f>
        <v/>
      </c>
    </row>
    <row r="3624">
      <c r="A3624" t="inlineStr">
        <is>
          <t>PF103615</t>
        </is>
      </c>
      <c r="B3624" s="68" t="n">
        <v>46090</v>
      </c>
      <c r="C3624" s="69" t="n">
        <v>2026</v>
      </c>
      <c r="D3624" t="inlineStr">
        <is>
          <t>Mar</t>
        </is>
      </c>
      <c r="E3624" t="inlineStr">
        <is>
          <t>United States</t>
        </is>
      </c>
      <c r="F3624" t="inlineStr">
        <is>
          <t>USA</t>
        </is>
      </c>
      <c r="G3624" t="inlineStr">
        <is>
          <t>Comirnaty</t>
        </is>
      </c>
      <c r="H3624" t="inlineStr">
        <is>
          <t>Hospital</t>
        </is>
      </c>
      <c r="I3624" t="inlineStr">
        <is>
          <t>Public payer</t>
        </is>
      </c>
      <c r="J3624" t="inlineStr">
        <is>
          <t>Kofi Mensah</t>
        </is>
      </c>
      <c r="K3624" s="70" t="n">
        <v>2181</v>
      </c>
      <c r="L3624" s="71" t="n">
        <v>139.46</v>
      </c>
      <c r="M3624" s="71" t="n">
        <v>304162.26</v>
      </c>
      <c r="N3624" s="71" t="n">
        <v>45624.34</v>
      </c>
      <c r="O3624" s="71" t="n">
        <v>258537.92</v>
      </c>
      <c r="P3624" s="71" t="n">
        <v>86178.67999999999</v>
      </c>
      <c r="Q3624" s="71" t="n">
        <v>172359.24</v>
      </c>
      <c r="R3624" t="inlineStr">
        <is>
          <t>Vaccines</t>
        </is>
      </c>
      <c r="S3624" s="70" t="n">
        <v>1377</v>
      </c>
      <c r="T3624" s="71" t="n">
        <v>70151.03</v>
      </c>
      <c r="U3624" t="inlineStr">
        <is>
          <t>Low</t>
        </is>
      </c>
      <c r="V3624">
        <f>IF(AND(OR(Dashboard!$C$6="All",E3624=Dashboard!$C$6),OR(Dashboard!$F$6="All",G3624=Dashboard!$F$6),OR(Dashboard!$I$6="All",H3624=Dashboard!$I$6)),1,0)</f>
        <v/>
      </c>
    </row>
    <row r="3625">
      <c r="A3625" t="inlineStr">
        <is>
          <t>PF103616</t>
        </is>
      </c>
      <c r="B3625" s="68" t="n">
        <v>46091</v>
      </c>
      <c r="C3625" s="69" t="n">
        <v>2026</v>
      </c>
      <c r="D3625" t="inlineStr">
        <is>
          <t>Mar</t>
        </is>
      </c>
      <c r="E3625" t="inlineStr">
        <is>
          <t>United States</t>
        </is>
      </c>
      <c r="F3625" t="inlineStr">
        <is>
          <t>USA</t>
        </is>
      </c>
      <c r="G3625" t="inlineStr">
        <is>
          <t>Comirnaty</t>
        </is>
      </c>
      <c r="H3625" t="inlineStr">
        <is>
          <t>Hospital</t>
        </is>
      </c>
      <c r="I3625" t="inlineStr">
        <is>
          <t>Public payer</t>
        </is>
      </c>
      <c r="J3625" t="inlineStr">
        <is>
          <t>Shraddha Kulkarni</t>
        </is>
      </c>
      <c r="K3625" s="70" t="n">
        <v>1944</v>
      </c>
      <c r="L3625" s="71" t="n">
        <v>142.17</v>
      </c>
      <c r="M3625" s="71" t="n">
        <v>276378.48</v>
      </c>
      <c r="N3625" s="71" t="n">
        <v>41456.77</v>
      </c>
      <c r="O3625" s="71" t="n">
        <v>234921.71</v>
      </c>
      <c r="P3625" s="71" t="n">
        <v>77825.64999999999</v>
      </c>
      <c r="Q3625" s="71" t="n">
        <v>157096.06</v>
      </c>
      <c r="R3625" t="inlineStr">
        <is>
          <t>Vaccines</t>
        </is>
      </c>
      <c r="S3625" s="70" t="n">
        <v>1820</v>
      </c>
      <c r="T3625" s="71" t="n">
        <v>66391.38</v>
      </c>
      <c r="U3625" t="inlineStr">
        <is>
          <t>Low</t>
        </is>
      </c>
      <c r="V3625">
        <f>IF(AND(OR(Dashboard!$C$6="All",E3625=Dashboard!$C$6),OR(Dashboard!$F$6="All",G3625=Dashboard!$F$6),OR(Dashboard!$I$6="All",H3625=Dashboard!$I$6)),1,0)</f>
        <v/>
      </c>
    </row>
    <row r="3626">
      <c r="A3626" t="inlineStr">
        <is>
          <t>PF103617</t>
        </is>
      </c>
      <c r="B3626" s="68" t="n">
        <v>46091</v>
      </c>
      <c r="C3626" s="69" t="n">
        <v>2026</v>
      </c>
      <c r="D3626" t="inlineStr">
        <is>
          <t>Mar</t>
        </is>
      </c>
      <c r="E3626" t="inlineStr">
        <is>
          <t>United States</t>
        </is>
      </c>
      <c r="F3626" t="inlineStr">
        <is>
          <t>USA</t>
        </is>
      </c>
      <c r="G3626" t="inlineStr">
        <is>
          <t>Comirnaty</t>
        </is>
      </c>
      <c r="H3626" t="inlineStr">
        <is>
          <t>Government / tender</t>
        </is>
      </c>
      <c r="I3626" t="inlineStr">
        <is>
          <t>Public payer</t>
        </is>
      </c>
      <c r="J3626" t="inlineStr">
        <is>
          <t>Ravindra Patil</t>
        </is>
      </c>
      <c r="K3626" s="70" t="n">
        <v>1651</v>
      </c>
      <c r="L3626" s="71" t="n">
        <v>131.73</v>
      </c>
      <c r="M3626" s="71" t="n">
        <v>217486.23</v>
      </c>
      <c r="N3626" s="71" t="n">
        <v>54371.56</v>
      </c>
      <c r="O3626" s="71" t="n">
        <v>163114.67</v>
      </c>
      <c r="P3626" s="71" t="n">
        <v>64772.14</v>
      </c>
      <c r="Q3626" s="71" t="n">
        <v>98342.53</v>
      </c>
      <c r="R3626" t="inlineStr">
        <is>
          <t>Vaccines</t>
        </is>
      </c>
      <c r="S3626" s="70" t="n">
        <v>1278</v>
      </c>
      <c r="T3626" s="71" t="n">
        <v>44401.57</v>
      </c>
      <c r="U3626" t="inlineStr">
        <is>
          <t>Low</t>
        </is>
      </c>
      <c r="V3626">
        <f>IF(AND(OR(Dashboard!$C$6="All",E3626=Dashboard!$C$6),OR(Dashboard!$F$6="All",G3626=Dashboard!$F$6),OR(Dashboard!$I$6="All",H3626=Dashboard!$I$6)),1,0)</f>
        <v/>
      </c>
    </row>
    <row r="3627">
      <c r="A3627" t="inlineStr">
        <is>
          <t>PF103618</t>
        </is>
      </c>
      <c r="B3627" s="68" t="n">
        <v>46091</v>
      </c>
      <c r="C3627" s="69" t="n">
        <v>2026</v>
      </c>
      <c r="D3627" t="inlineStr">
        <is>
          <t>Mar</t>
        </is>
      </c>
      <c r="E3627" t="inlineStr">
        <is>
          <t>Emerging markets</t>
        </is>
      </c>
      <c r="F3627" t="inlineStr">
        <is>
          <t>Mexico</t>
        </is>
      </c>
      <c r="G3627" t="inlineStr">
        <is>
          <t>Prevnar 20</t>
        </is>
      </c>
      <c r="H3627" t="inlineStr">
        <is>
          <t>Government / tender</t>
        </is>
      </c>
      <c r="I3627" t="inlineStr">
        <is>
          <t>Public payer</t>
        </is>
      </c>
      <c r="J3627" t="inlineStr">
        <is>
          <t>Liam O'Brien</t>
        </is>
      </c>
      <c r="K3627" s="70" t="n">
        <v>2478</v>
      </c>
      <c r="L3627" s="71" t="n">
        <v>249.61</v>
      </c>
      <c r="M3627" s="71" t="n">
        <v>618533.58</v>
      </c>
      <c r="N3627" s="71" t="n">
        <v>30926.68</v>
      </c>
      <c r="O3627" s="71" t="n">
        <v>587606.9</v>
      </c>
      <c r="P3627" s="71" t="n">
        <v>174986.28</v>
      </c>
      <c r="Q3627" s="71" t="n">
        <v>412620.62</v>
      </c>
      <c r="R3627" t="inlineStr">
        <is>
          <t>Vaccines</t>
        </is>
      </c>
      <c r="S3627" s="70" t="n">
        <v>1555</v>
      </c>
      <c r="T3627" s="71" t="n">
        <v>80820.35000000001</v>
      </c>
      <c r="U3627" t="inlineStr">
        <is>
          <t>Low</t>
        </is>
      </c>
      <c r="V3627">
        <f>IF(AND(OR(Dashboard!$C$6="All",E3627=Dashboard!$C$6),OR(Dashboard!$F$6="All",G3627=Dashboard!$F$6),OR(Dashboard!$I$6="All",H3627=Dashboard!$I$6)),1,0)</f>
        <v/>
      </c>
    </row>
    <row r="3628">
      <c r="A3628" t="inlineStr">
        <is>
          <t>PF103619</t>
        </is>
      </c>
      <c r="B3628" s="68" t="n">
        <v>46091</v>
      </c>
      <c r="C3628" s="69" t="n">
        <v>2026</v>
      </c>
      <c r="D3628" t="inlineStr">
        <is>
          <t>Mar</t>
        </is>
      </c>
      <c r="E3628" t="inlineStr">
        <is>
          <t>United States</t>
        </is>
      </c>
      <c r="F3628" t="inlineStr">
        <is>
          <t>USA</t>
        </is>
      </c>
      <c r="G3628" t="inlineStr">
        <is>
          <t>Eliquis</t>
        </is>
      </c>
      <c r="H3628" t="inlineStr">
        <is>
          <t>Government / tender</t>
        </is>
      </c>
      <c r="I3628" t="inlineStr">
        <is>
          <t>Public payer</t>
        </is>
      </c>
      <c r="J3628" t="inlineStr">
        <is>
          <t>Noah Smith</t>
        </is>
      </c>
      <c r="K3628" s="70" t="n">
        <v>1750</v>
      </c>
      <c r="L3628" s="71" t="n">
        <v>676.16</v>
      </c>
      <c r="M3628" s="71" t="n">
        <v>1183280</v>
      </c>
      <c r="N3628" s="71" t="n">
        <v>236656</v>
      </c>
      <c r="O3628" s="71" t="n">
        <v>946624</v>
      </c>
      <c r="P3628" s="71" t="n">
        <v>131944.04</v>
      </c>
      <c r="Q3628" s="71" t="n">
        <v>814679.96</v>
      </c>
      <c r="R3628" t="inlineStr">
        <is>
          <t>Cardiology</t>
        </is>
      </c>
      <c r="S3628" s="70" t="n">
        <v>1346</v>
      </c>
      <c r="T3628" s="71" t="n">
        <v>212565.08</v>
      </c>
      <c r="U3628" t="inlineStr">
        <is>
          <t>High</t>
        </is>
      </c>
      <c r="V3628">
        <f>IF(AND(OR(Dashboard!$C$6="All",E3628=Dashboard!$C$6),OR(Dashboard!$F$6="All",G3628=Dashboard!$F$6),OR(Dashboard!$I$6="All",H3628=Dashboard!$I$6)),1,0)</f>
        <v/>
      </c>
    </row>
    <row r="3629">
      <c r="A3629" t="inlineStr">
        <is>
          <t>PF103620</t>
        </is>
      </c>
      <c r="B3629" s="68" t="n">
        <v>46091</v>
      </c>
      <c r="C3629" s="69" t="n">
        <v>2026</v>
      </c>
      <c r="D3629" t="inlineStr">
        <is>
          <t>Mar</t>
        </is>
      </c>
      <c r="E3629" t="inlineStr">
        <is>
          <t>United States</t>
        </is>
      </c>
      <c r="F3629" t="inlineStr">
        <is>
          <t>USA</t>
        </is>
      </c>
      <c r="G3629" t="inlineStr">
        <is>
          <t>Paxlovid</t>
        </is>
      </c>
      <c r="H3629" t="inlineStr">
        <is>
          <t>Hospital</t>
        </is>
      </c>
      <c r="I3629" t="inlineStr">
        <is>
          <t>Private insurer</t>
        </is>
      </c>
      <c r="J3629" t="inlineStr">
        <is>
          <t>Carlos Silva</t>
        </is>
      </c>
      <c r="K3629" s="70" t="n">
        <v>334</v>
      </c>
      <c r="L3629" s="71" t="n">
        <v>1465.12</v>
      </c>
      <c r="M3629" s="71" t="n">
        <v>489350.08</v>
      </c>
      <c r="N3629" s="71" t="n">
        <v>122337.52</v>
      </c>
      <c r="O3629" s="71" t="n">
        <v>367012.56</v>
      </c>
      <c r="P3629" s="71" t="n">
        <v>89776.98</v>
      </c>
      <c r="Q3629" s="71" t="n">
        <v>277235.58</v>
      </c>
      <c r="R3629" t="inlineStr">
        <is>
          <t>Antiviral</t>
        </is>
      </c>
      <c r="S3629" s="70" t="n">
        <v>294</v>
      </c>
      <c r="T3629" s="71" t="n">
        <v>93060.61</v>
      </c>
      <c r="U3629" t="inlineStr">
        <is>
          <t>Low</t>
        </is>
      </c>
      <c r="V3629">
        <f>IF(AND(OR(Dashboard!$C$6="All",E3629=Dashboard!$C$6),OR(Dashboard!$F$6="All",G3629=Dashboard!$F$6),OR(Dashboard!$I$6="All",H3629=Dashboard!$I$6)),1,0)</f>
        <v/>
      </c>
    </row>
    <row r="3630">
      <c r="A3630" t="inlineStr">
        <is>
          <t>PF103621</t>
        </is>
      </c>
      <c r="B3630" s="68" t="n">
        <v>46091</v>
      </c>
      <c r="C3630" s="69" t="n">
        <v>2026</v>
      </c>
      <c r="D3630" t="inlineStr">
        <is>
          <t>Mar</t>
        </is>
      </c>
      <c r="E3630" t="inlineStr">
        <is>
          <t>United States</t>
        </is>
      </c>
      <c r="F3630" t="inlineStr">
        <is>
          <t>USA</t>
        </is>
      </c>
      <c r="G3630" t="inlineStr">
        <is>
          <t>Ibrance</t>
        </is>
      </c>
      <c r="H3630" t="inlineStr">
        <is>
          <t>Retail pharmacy</t>
        </is>
      </c>
      <c r="I3630" t="inlineStr">
        <is>
          <t>Self-pay</t>
        </is>
      </c>
      <c r="J3630" t="inlineStr">
        <is>
          <t>Noah Smith</t>
        </is>
      </c>
      <c r="K3630" s="70" t="n">
        <v>1051</v>
      </c>
      <c r="L3630" s="71" t="n">
        <v>4538.09</v>
      </c>
      <c r="M3630" s="71" t="n">
        <v>4769532.59</v>
      </c>
      <c r="N3630" s="71" t="n">
        <v>1669336.41</v>
      </c>
      <c r="O3630" s="71" t="n">
        <v>3100196.18</v>
      </c>
      <c r="P3630" s="71" t="n">
        <v>468386.13</v>
      </c>
      <c r="Q3630" s="71" t="n">
        <v>2631810.05</v>
      </c>
      <c r="R3630" t="inlineStr">
        <is>
          <t>Oncology</t>
        </is>
      </c>
      <c r="S3630" s="70" t="n">
        <v>1051</v>
      </c>
      <c r="T3630" s="71" t="n">
        <v>757810.79</v>
      </c>
      <c r="U3630" t="inlineStr">
        <is>
          <t>High</t>
        </is>
      </c>
      <c r="V3630">
        <f>IF(AND(OR(Dashboard!$C$6="All",E3630=Dashboard!$C$6),OR(Dashboard!$F$6="All",G3630=Dashboard!$F$6),OR(Dashboard!$I$6="All",H3630=Dashboard!$I$6)),1,0)</f>
        <v/>
      </c>
    </row>
    <row r="3631">
      <c r="A3631" t="inlineStr">
        <is>
          <t>PF103622</t>
        </is>
      </c>
      <c r="B3631" s="68" t="n">
        <v>46091</v>
      </c>
      <c r="C3631" s="69" t="n">
        <v>2026</v>
      </c>
      <c r="D3631" t="inlineStr">
        <is>
          <t>Mar</t>
        </is>
      </c>
      <c r="E3631" t="inlineStr">
        <is>
          <t>Emerging markets</t>
        </is>
      </c>
      <c r="F3631" t="inlineStr">
        <is>
          <t>India</t>
        </is>
      </c>
      <c r="G3631" t="inlineStr">
        <is>
          <t>Abrysvo</t>
        </is>
      </c>
      <c r="H3631" t="inlineStr">
        <is>
          <t>Government / tender</t>
        </is>
      </c>
      <c r="I3631" t="inlineStr">
        <is>
          <t>Self-pay</t>
        </is>
      </c>
      <c r="J3631" t="inlineStr">
        <is>
          <t>Shraddha Kulkarni</t>
        </is>
      </c>
      <c r="K3631" s="70" t="n">
        <v>961</v>
      </c>
      <c r="L3631" s="71" t="n">
        <v>297.63</v>
      </c>
      <c r="M3631" s="71" t="n">
        <v>286022.43</v>
      </c>
      <c r="N3631" s="71" t="n">
        <v>14301.12</v>
      </c>
      <c r="O3631" s="71" t="n">
        <v>271721.31</v>
      </c>
      <c r="P3631" s="71" t="n">
        <v>81985.7</v>
      </c>
      <c r="Q3631" s="71" t="n">
        <v>189735.61</v>
      </c>
      <c r="R3631" t="inlineStr">
        <is>
          <t>Vaccines</t>
        </is>
      </c>
      <c r="S3631" s="70" t="n">
        <v>788</v>
      </c>
      <c r="T3631" s="71" t="n">
        <v>36288.24</v>
      </c>
      <c r="U3631" t="inlineStr">
        <is>
          <t>Low</t>
        </is>
      </c>
      <c r="V3631">
        <f>IF(AND(OR(Dashboard!$C$6="All",E3631=Dashboard!$C$6),OR(Dashboard!$F$6="All",G3631=Dashboard!$F$6),OR(Dashboard!$I$6="All",H3631=Dashboard!$I$6)),1,0)</f>
        <v/>
      </c>
    </row>
    <row r="3632">
      <c r="A3632" t="inlineStr">
        <is>
          <t>PF103623</t>
        </is>
      </c>
      <c r="B3632" s="68" t="n">
        <v>46091</v>
      </c>
      <c r="C3632" s="69" t="n">
        <v>2026</v>
      </c>
      <c r="D3632" t="inlineStr">
        <is>
          <t>Mar</t>
        </is>
      </c>
      <c r="E3632" t="inlineStr">
        <is>
          <t>United States</t>
        </is>
      </c>
      <c r="F3632" t="inlineStr">
        <is>
          <t>USA</t>
        </is>
      </c>
      <c r="G3632" t="inlineStr">
        <is>
          <t>Eliquis</t>
        </is>
      </c>
      <c r="H3632" t="inlineStr">
        <is>
          <t>Hospital</t>
        </is>
      </c>
      <c r="I3632" t="inlineStr">
        <is>
          <t>Private insurer</t>
        </is>
      </c>
      <c r="J3632" t="inlineStr">
        <is>
          <t>Wei Chen</t>
        </is>
      </c>
      <c r="K3632" s="70" t="n">
        <v>214</v>
      </c>
      <c r="L3632" s="71" t="n">
        <v>672.7</v>
      </c>
      <c r="M3632" s="71" t="n">
        <v>143957.8</v>
      </c>
      <c r="N3632" s="71" t="n">
        <v>21593.67</v>
      </c>
      <c r="O3632" s="71" t="n">
        <v>122364.13</v>
      </c>
      <c r="P3632" s="71" t="n">
        <v>16705.12</v>
      </c>
      <c r="Q3632" s="71" t="n">
        <v>105659.01</v>
      </c>
      <c r="R3632" t="inlineStr">
        <is>
          <t>Cardiology</t>
        </is>
      </c>
      <c r="S3632" s="70" t="n">
        <v>145</v>
      </c>
      <c r="T3632" s="71" t="n">
        <v>20143.45</v>
      </c>
      <c r="U3632" t="inlineStr">
        <is>
          <t>High</t>
        </is>
      </c>
      <c r="V3632">
        <f>IF(AND(OR(Dashboard!$C$6="All",E3632=Dashboard!$C$6),OR(Dashboard!$F$6="All",G3632=Dashboard!$F$6),OR(Dashboard!$I$6="All",H3632=Dashboard!$I$6)),1,0)</f>
        <v/>
      </c>
    </row>
    <row r="3633">
      <c r="A3633" t="inlineStr">
        <is>
          <t>PF103624</t>
        </is>
      </c>
      <c r="B3633" s="68" t="n">
        <v>46091</v>
      </c>
      <c r="C3633" s="69" t="n">
        <v>2026</v>
      </c>
      <c r="D3633" t="inlineStr">
        <is>
          <t>Mar</t>
        </is>
      </c>
      <c r="E3633" t="inlineStr">
        <is>
          <t>Europe</t>
        </is>
      </c>
      <c r="F3633" t="inlineStr">
        <is>
          <t>Spain</t>
        </is>
      </c>
      <c r="G3633" t="inlineStr">
        <is>
          <t>Eliquis</t>
        </is>
      </c>
      <c r="H3633" t="inlineStr">
        <is>
          <t>Retail pharmacy</t>
        </is>
      </c>
      <c r="I3633" t="inlineStr">
        <is>
          <t>Public payer</t>
        </is>
      </c>
      <c r="J3633" t="inlineStr">
        <is>
          <t>Aisha Bello</t>
        </is>
      </c>
      <c r="K3633" s="70" t="n">
        <v>2974</v>
      </c>
      <c r="L3633" s="71" t="n">
        <v>399.65</v>
      </c>
      <c r="M3633" s="71" t="n">
        <v>1188559.1</v>
      </c>
      <c r="N3633" s="71" t="n">
        <v>178283.87</v>
      </c>
      <c r="O3633" s="71" t="n">
        <v>1010275.23</v>
      </c>
      <c r="P3633" s="71" t="n">
        <v>227047.44</v>
      </c>
      <c r="Q3633" s="71" t="n">
        <v>783227.79</v>
      </c>
      <c r="R3633" t="inlineStr">
        <is>
          <t>Cardiology</t>
        </is>
      </c>
      <c r="S3633" s="70" t="n">
        <v>1976</v>
      </c>
      <c r="T3633" s="71" t="n">
        <v>195219.43</v>
      </c>
      <c r="U3633" t="inlineStr">
        <is>
          <t>High</t>
        </is>
      </c>
      <c r="V3633">
        <f>IF(AND(OR(Dashboard!$C$6="All",E3633=Dashboard!$C$6),OR(Dashboard!$F$6="All",G3633=Dashboard!$F$6),OR(Dashboard!$I$6="All",H3633=Dashboard!$I$6)),1,0)</f>
        <v/>
      </c>
    </row>
    <row r="3634">
      <c r="A3634" t="inlineStr">
        <is>
          <t>PF103625</t>
        </is>
      </c>
      <c r="B3634" s="68" t="n">
        <v>46091</v>
      </c>
      <c r="C3634" s="69" t="n">
        <v>2026</v>
      </c>
      <c r="D3634" t="inlineStr">
        <is>
          <t>Mar</t>
        </is>
      </c>
      <c r="E3634" t="inlineStr">
        <is>
          <t>United States</t>
        </is>
      </c>
      <c r="F3634" t="inlineStr">
        <is>
          <t>USA</t>
        </is>
      </c>
      <c r="G3634" t="inlineStr">
        <is>
          <t>Prevnar 20</t>
        </is>
      </c>
      <c r="H3634" t="inlineStr">
        <is>
          <t>Hospital</t>
        </is>
      </c>
      <c r="I3634" t="inlineStr">
        <is>
          <t>Public payer</t>
        </is>
      </c>
      <c r="J3634" t="inlineStr">
        <is>
          <t>Liam O'Brien</t>
        </is>
      </c>
      <c r="K3634" s="70" t="n">
        <v>2241</v>
      </c>
      <c r="L3634" s="71" t="n">
        <v>406.18</v>
      </c>
      <c r="M3634" s="71" t="n">
        <v>910249.38</v>
      </c>
      <c r="N3634" s="71" t="n">
        <v>182049.88</v>
      </c>
      <c r="O3634" s="71" t="n">
        <v>728199.5</v>
      </c>
      <c r="P3634" s="71" t="n">
        <v>149044.6</v>
      </c>
      <c r="Q3634" s="71" t="n">
        <v>579154.9</v>
      </c>
      <c r="R3634" t="inlineStr">
        <is>
          <t>Vaccines</t>
        </is>
      </c>
      <c r="S3634" s="70" t="n">
        <v>1647</v>
      </c>
      <c r="T3634" s="71" t="n">
        <v>134620.28</v>
      </c>
      <c r="U3634" t="inlineStr">
        <is>
          <t>Low</t>
        </is>
      </c>
      <c r="V3634">
        <f>IF(AND(OR(Dashboard!$C$6="All",E3634=Dashboard!$C$6),OR(Dashboard!$F$6="All",G3634=Dashboard!$F$6),OR(Dashboard!$I$6="All",H3634=Dashboard!$I$6)),1,0)</f>
        <v/>
      </c>
    </row>
    <row r="3635">
      <c r="A3635" t="inlineStr">
        <is>
          <t>PF103626</t>
        </is>
      </c>
      <c r="B3635" s="68" t="n">
        <v>46092</v>
      </c>
      <c r="C3635" s="69" t="n">
        <v>2026</v>
      </c>
      <c r="D3635" t="inlineStr">
        <is>
          <t>Mar</t>
        </is>
      </c>
      <c r="E3635" t="inlineStr">
        <is>
          <t>International developed</t>
        </is>
      </c>
      <c r="F3635" t="inlineStr">
        <is>
          <t>Japan</t>
        </is>
      </c>
      <c r="G3635" t="inlineStr">
        <is>
          <t>Abrysvo</t>
        </is>
      </c>
      <c r="H3635" t="inlineStr">
        <is>
          <t>Retail pharmacy</t>
        </is>
      </c>
      <c r="I3635" t="inlineStr">
        <is>
          <t>Public payer</t>
        </is>
      </c>
      <c r="J3635" t="inlineStr">
        <is>
          <t>Sophie Müller</t>
        </is>
      </c>
      <c r="K3635" s="70" t="n">
        <v>2828</v>
      </c>
      <c r="L3635" s="71" t="n">
        <v>336.16</v>
      </c>
      <c r="M3635" s="71" t="n">
        <v>950660.48</v>
      </c>
      <c r="N3635" s="71" t="n">
        <v>237665.12</v>
      </c>
      <c r="O3635" s="71" t="n">
        <v>712995.36</v>
      </c>
      <c r="P3635" s="71" t="n">
        <v>246935.94</v>
      </c>
      <c r="Q3635" s="71" t="n">
        <v>466059.42</v>
      </c>
      <c r="R3635" t="inlineStr">
        <is>
          <t>Vaccines</t>
        </is>
      </c>
      <c r="S3635" s="70" t="n">
        <v>2046</v>
      </c>
      <c r="T3635" s="71" t="n">
        <v>169895.54</v>
      </c>
      <c r="U3635" t="inlineStr">
        <is>
          <t>Low</t>
        </is>
      </c>
      <c r="V3635">
        <f>IF(AND(OR(Dashboard!$C$6="All",E3635=Dashboard!$C$6),OR(Dashboard!$F$6="All",G3635=Dashboard!$F$6),OR(Dashboard!$I$6="All",H3635=Dashboard!$I$6)),1,0)</f>
        <v/>
      </c>
    </row>
    <row r="3636">
      <c r="A3636" t="inlineStr">
        <is>
          <t>PF103627</t>
        </is>
      </c>
      <c r="B3636" s="68" t="n">
        <v>46092</v>
      </c>
      <c r="C3636" s="69" t="n">
        <v>2026</v>
      </c>
      <c r="D3636" t="inlineStr">
        <is>
          <t>Mar</t>
        </is>
      </c>
      <c r="E3636" t="inlineStr">
        <is>
          <t>Europe</t>
        </is>
      </c>
      <c r="F3636" t="inlineStr">
        <is>
          <t>Germany</t>
        </is>
      </c>
      <c r="G3636" t="inlineStr">
        <is>
          <t>Eliquis</t>
        </is>
      </c>
      <c r="H3636" t="inlineStr">
        <is>
          <t>Retail pharmacy</t>
        </is>
      </c>
      <c r="I3636" t="inlineStr">
        <is>
          <t>Public payer</t>
        </is>
      </c>
      <c r="J3636" t="inlineStr">
        <is>
          <t>Carlos Silva</t>
        </is>
      </c>
      <c r="K3636" s="70" t="n">
        <v>2301</v>
      </c>
      <c r="L3636" s="71" t="n">
        <v>398.23</v>
      </c>
      <c r="M3636" s="71" t="n">
        <v>916327.23</v>
      </c>
      <c r="N3636" s="71" t="n">
        <v>137449.08</v>
      </c>
      <c r="O3636" s="71" t="n">
        <v>778878.15</v>
      </c>
      <c r="P3636" s="71" t="n">
        <v>176218.28</v>
      </c>
      <c r="Q3636" s="71" t="n">
        <v>602659.87</v>
      </c>
      <c r="R3636" t="inlineStr">
        <is>
          <t>Cardiology</t>
        </is>
      </c>
      <c r="S3636" s="70" t="n">
        <v>1608</v>
      </c>
      <c r="T3636" s="71" t="n">
        <v>180044.05</v>
      </c>
      <c r="U3636" t="inlineStr">
        <is>
          <t>High</t>
        </is>
      </c>
      <c r="V3636">
        <f>IF(AND(OR(Dashboard!$C$6="All",E3636=Dashboard!$C$6),OR(Dashboard!$F$6="All",G3636=Dashboard!$F$6),OR(Dashboard!$I$6="All",H3636=Dashboard!$I$6)),1,0)</f>
        <v/>
      </c>
    </row>
    <row r="3637">
      <c r="A3637" t="inlineStr">
        <is>
          <t>PF103628</t>
        </is>
      </c>
      <c r="B3637" s="68" t="n">
        <v>46092</v>
      </c>
      <c r="C3637" s="69" t="n">
        <v>2026</v>
      </c>
      <c r="D3637" t="inlineStr">
        <is>
          <t>Mar</t>
        </is>
      </c>
      <c r="E3637" t="inlineStr">
        <is>
          <t>United States</t>
        </is>
      </c>
      <c r="F3637" t="inlineStr">
        <is>
          <t>USA</t>
        </is>
      </c>
      <c r="G3637" t="inlineStr">
        <is>
          <t>Paxlovid</t>
        </is>
      </c>
      <c r="H3637" t="inlineStr">
        <is>
          <t>Government / tender</t>
        </is>
      </c>
      <c r="I3637" t="inlineStr">
        <is>
          <t>Private insurer</t>
        </is>
      </c>
      <c r="J3637" t="inlineStr">
        <is>
          <t>Ravindra Patil</t>
        </is>
      </c>
      <c r="K3637" s="70" t="n">
        <v>1810</v>
      </c>
      <c r="L3637" s="71" t="n">
        <v>1477.17</v>
      </c>
      <c r="M3637" s="71" t="n">
        <v>2673677.7</v>
      </c>
      <c r="N3637" s="71" t="n">
        <v>935787.1899999999</v>
      </c>
      <c r="O3637" s="71" t="n">
        <v>1737890.51</v>
      </c>
      <c r="P3637" s="71" t="n">
        <v>500677.9</v>
      </c>
      <c r="Q3637" s="71" t="n">
        <v>1237212.61</v>
      </c>
      <c r="R3637" t="inlineStr">
        <is>
          <t>Antiviral</t>
        </is>
      </c>
      <c r="S3637" s="70" t="n">
        <v>1790</v>
      </c>
      <c r="T3637" s="71" t="n">
        <v>529100.25</v>
      </c>
      <c r="U3637" t="inlineStr">
        <is>
          <t>Low</t>
        </is>
      </c>
      <c r="V3637">
        <f>IF(AND(OR(Dashboard!$C$6="All",E3637=Dashboard!$C$6),OR(Dashboard!$F$6="All",G3637=Dashboard!$F$6),OR(Dashboard!$I$6="All",H3637=Dashboard!$I$6)),1,0)</f>
        <v/>
      </c>
    </row>
    <row r="3638">
      <c r="A3638" t="inlineStr">
        <is>
          <t>PF103629</t>
        </is>
      </c>
      <c r="B3638" s="68" t="n">
        <v>46092</v>
      </c>
      <c r="C3638" s="69" t="n">
        <v>2026</v>
      </c>
      <c r="D3638" t="inlineStr">
        <is>
          <t>Mar</t>
        </is>
      </c>
      <c r="E3638" t="inlineStr">
        <is>
          <t>International developed</t>
        </is>
      </c>
      <c r="F3638" t="inlineStr">
        <is>
          <t>Australia</t>
        </is>
      </c>
      <c r="G3638" t="inlineStr">
        <is>
          <t>Eliquis</t>
        </is>
      </c>
      <c r="H3638" t="inlineStr">
        <is>
          <t>Government / tender</t>
        </is>
      </c>
      <c r="I3638" t="inlineStr">
        <is>
          <t>Private insurer</t>
        </is>
      </c>
      <c r="J3638" t="inlineStr">
        <is>
          <t>Shraddha Kulkarni</t>
        </is>
      </c>
      <c r="K3638" s="70" t="n">
        <v>2818</v>
      </c>
      <c r="L3638" s="71" t="n">
        <v>444.43</v>
      </c>
      <c r="M3638" s="71" t="n">
        <v>1252403.74</v>
      </c>
      <c r="N3638" s="71" t="n">
        <v>62620.19</v>
      </c>
      <c r="O3638" s="71" t="n">
        <v>1189783.55</v>
      </c>
      <c r="P3638" s="71" t="n">
        <v>211525.44</v>
      </c>
      <c r="Q3638" s="71" t="n">
        <v>978258.11</v>
      </c>
      <c r="R3638" t="inlineStr">
        <is>
          <t>Cardiology</t>
        </is>
      </c>
      <c r="S3638" s="70" t="n">
        <v>2420</v>
      </c>
      <c r="T3638" s="71" t="n">
        <v>207535.66</v>
      </c>
      <c r="U3638" t="inlineStr">
        <is>
          <t>High</t>
        </is>
      </c>
      <c r="V3638">
        <f>IF(AND(OR(Dashboard!$C$6="All",E3638=Dashboard!$C$6),OR(Dashboard!$F$6="All",G3638=Dashboard!$F$6),OR(Dashboard!$I$6="All",H3638=Dashboard!$I$6)),1,0)</f>
        <v/>
      </c>
    </row>
    <row r="3639">
      <c r="A3639" t="inlineStr">
        <is>
          <t>PF103630</t>
        </is>
      </c>
      <c r="B3639" s="68" t="n">
        <v>46092</v>
      </c>
      <c r="C3639" s="69" t="n">
        <v>2026</v>
      </c>
      <c r="D3639" t="inlineStr">
        <is>
          <t>Mar</t>
        </is>
      </c>
      <c r="E3639" t="inlineStr">
        <is>
          <t>United States</t>
        </is>
      </c>
      <c r="F3639" t="inlineStr">
        <is>
          <t>USA</t>
        </is>
      </c>
      <c r="G3639" t="inlineStr">
        <is>
          <t>Eliquis</t>
        </is>
      </c>
      <c r="H3639" t="inlineStr">
        <is>
          <t>Retail pharmacy</t>
        </is>
      </c>
      <c r="I3639" t="inlineStr">
        <is>
          <t>Private insurer</t>
        </is>
      </c>
      <c r="J3639" t="inlineStr">
        <is>
          <t>Kofi Mensah</t>
        </is>
      </c>
      <c r="K3639" s="70" t="n">
        <v>796</v>
      </c>
      <c r="L3639" s="71" t="n">
        <v>676.27</v>
      </c>
      <c r="M3639" s="71" t="n">
        <v>538310.92</v>
      </c>
      <c r="N3639" s="71" t="n">
        <v>161493.28</v>
      </c>
      <c r="O3639" s="71" t="n">
        <v>376817.64</v>
      </c>
      <c r="P3639" s="71" t="n">
        <v>60019.75</v>
      </c>
      <c r="Q3639" s="71" t="n">
        <v>316797.89</v>
      </c>
      <c r="R3639" t="inlineStr">
        <is>
          <t>Cardiology</t>
        </is>
      </c>
      <c r="S3639" s="70" t="n">
        <v>709</v>
      </c>
      <c r="T3639" s="71" t="n">
        <v>79531.57000000001</v>
      </c>
      <c r="U3639" t="inlineStr">
        <is>
          <t>High</t>
        </is>
      </c>
      <c r="V3639">
        <f>IF(AND(OR(Dashboard!$C$6="All",E3639=Dashboard!$C$6),OR(Dashboard!$F$6="All",G3639=Dashboard!$F$6),OR(Dashboard!$I$6="All",H3639=Dashboard!$I$6)),1,0)</f>
        <v/>
      </c>
    </row>
    <row r="3640">
      <c r="A3640" t="inlineStr">
        <is>
          <t>PF103631</t>
        </is>
      </c>
      <c r="B3640" s="68" t="n">
        <v>46092</v>
      </c>
      <c r="C3640" s="69" t="n">
        <v>2026</v>
      </c>
      <c r="D3640" t="inlineStr">
        <is>
          <t>Mar</t>
        </is>
      </c>
      <c r="E3640" t="inlineStr">
        <is>
          <t>Emerging markets</t>
        </is>
      </c>
      <c r="F3640" t="inlineStr">
        <is>
          <t>Brazil</t>
        </is>
      </c>
      <c r="G3640" t="inlineStr">
        <is>
          <t>Comirnaty</t>
        </is>
      </c>
      <c r="H3640" t="inlineStr">
        <is>
          <t>Hospital</t>
        </is>
      </c>
      <c r="I3640" t="inlineStr">
        <is>
          <t>Self-pay</t>
        </is>
      </c>
      <c r="J3640" t="inlineStr">
        <is>
          <t>Hiroshi Tanaka</t>
        </is>
      </c>
      <c r="K3640" s="70" t="n">
        <v>2266</v>
      </c>
      <c r="L3640" s="71" t="n">
        <v>96.56999999999999</v>
      </c>
      <c r="M3640" s="71" t="n">
        <v>218827.62</v>
      </c>
      <c r="N3640" s="71" t="n">
        <v>43765.52</v>
      </c>
      <c r="O3640" s="71" t="n">
        <v>175062.1</v>
      </c>
      <c r="P3640" s="71" t="n">
        <v>86669.44</v>
      </c>
      <c r="Q3640" s="71" t="n">
        <v>88392.66</v>
      </c>
      <c r="R3640" t="inlineStr">
        <is>
          <t>Vaccines</t>
        </is>
      </c>
      <c r="S3640" s="70" t="n">
        <v>1782</v>
      </c>
      <c r="T3640" s="71" t="n">
        <v>37497.09</v>
      </c>
      <c r="U3640" t="inlineStr">
        <is>
          <t>Low</t>
        </is>
      </c>
      <c r="V3640">
        <f>IF(AND(OR(Dashboard!$C$6="All",E3640=Dashboard!$C$6),OR(Dashboard!$F$6="All",G3640=Dashboard!$F$6),OR(Dashboard!$I$6="All",H3640=Dashboard!$I$6)),1,0)</f>
        <v/>
      </c>
    </row>
    <row r="3641">
      <c r="A3641" t="inlineStr">
        <is>
          <t>PF103632</t>
        </is>
      </c>
      <c r="B3641" s="68" t="n">
        <v>46092</v>
      </c>
      <c r="C3641" s="69" t="n">
        <v>2026</v>
      </c>
      <c r="D3641" t="inlineStr">
        <is>
          <t>Mar</t>
        </is>
      </c>
      <c r="E3641" t="inlineStr">
        <is>
          <t>United States</t>
        </is>
      </c>
      <c r="F3641" t="inlineStr">
        <is>
          <t>USA</t>
        </is>
      </c>
      <c r="G3641" t="inlineStr">
        <is>
          <t>Vyndaqel</t>
        </is>
      </c>
      <c r="H3641" t="inlineStr">
        <is>
          <t>Retail pharmacy</t>
        </is>
      </c>
      <c r="I3641" t="inlineStr">
        <is>
          <t>Public payer</t>
        </is>
      </c>
      <c r="J3641" t="inlineStr">
        <is>
          <t>Aisha Bello</t>
        </is>
      </c>
      <c r="K3641" s="70" t="n">
        <v>2183</v>
      </c>
      <c r="L3641" s="71" t="n">
        <v>9890.219999999999</v>
      </c>
      <c r="M3641" s="71" t="n">
        <v>21590350.26</v>
      </c>
      <c r="N3641" s="71" t="n">
        <v>3238552.54</v>
      </c>
      <c r="O3641" s="71" t="n">
        <v>18351797.72</v>
      </c>
      <c r="P3641" s="71" t="n">
        <v>1401964.4</v>
      </c>
      <c r="Q3641" s="71" t="n">
        <v>16949833.32</v>
      </c>
      <c r="R3641" t="inlineStr">
        <is>
          <t>Rare disease</t>
        </is>
      </c>
      <c r="S3641" s="70" t="n">
        <v>1640</v>
      </c>
      <c r="T3641" s="71" t="n">
        <v>2376275.46</v>
      </c>
      <c r="U3641" t="inlineStr">
        <is>
          <t>Medium</t>
        </is>
      </c>
      <c r="V3641">
        <f>IF(AND(OR(Dashboard!$C$6="All",E3641=Dashboard!$C$6),OR(Dashboard!$F$6="All",G3641=Dashboard!$F$6),OR(Dashboard!$I$6="All",H3641=Dashboard!$I$6)),1,0)</f>
        <v/>
      </c>
    </row>
    <row r="3642">
      <c r="A3642" t="inlineStr">
        <is>
          <t>PF103633</t>
        </is>
      </c>
      <c r="B3642" s="68" t="n">
        <v>46092</v>
      </c>
      <c r="C3642" s="69" t="n">
        <v>2026</v>
      </c>
      <c r="D3642" t="inlineStr">
        <is>
          <t>Mar</t>
        </is>
      </c>
      <c r="E3642" t="inlineStr">
        <is>
          <t>Europe</t>
        </is>
      </c>
      <c r="F3642" t="inlineStr">
        <is>
          <t>UK</t>
        </is>
      </c>
      <c r="G3642" t="inlineStr">
        <is>
          <t>Xeljanz</t>
        </is>
      </c>
      <c r="H3642" t="inlineStr">
        <is>
          <t>Retail pharmacy</t>
        </is>
      </c>
      <c r="I3642" t="inlineStr">
        <is>
          <t>Private insurer</t>
        </is>
      </c>
      <c r="J3642" t="inlineStr">
        <is>
          <t>Wei Chen</t>
        </is>
      </c>
      <c r="K3642" s="70" t="n">
        <v>209</v>
      </c>
      <c r="L3642" s="71" t="n">
        <v>1411.88</v>
      </c>
      <c r="M3642" s="71" t="n">
        <v>295082.92</v>
      </c>
      <c r="N3642" s="71" t="n">
        <v>29508.29</v>
      </c>
      <c r="O3642" s="71" t="n">
        <v>265574.63</v>
      </c>
      <c r="P3642" s="71" t="n">
        <v>54410.13</v>
      </c>
      <c r="Q3642" s="71" t="n">
        <v>211164.5</v>
      </c>
      <c r="R3642" t="inlineStr">
        <is>
          <t>Inflammation</t>
        </is>
      </c>
      <c r="S3642" s="70" t="n">
        <v>138</v>
      </c>
      <c r="T3642" s="71" t="n">
        <v>61674.72</v>
      </c>
      <c r="U3642" t="inlineStr">
        <is>
          <t>High</t>
        </is>
      </c>
      <c r="V3642">
        <f>IF(AND(OR(Dashboard!$C$6="All",E3642=Dashboard!$C$6),OR(Dashboard!$F$6="All",G3642=Dashboard!$F$6),OR(Dashboard!$I$6="All",H3642=Dashboard!$I$6)),1,0)</f>
        <v/>
      </c>
    </row>
    <row r="3643">
      <c r="A3643" t="inlineStr">
        <is>
          <t>PF103634</t>
        </is>
      </c>
      <c r="B3643" s="68" t="n">
        <v>46093</v>
      </c>
      <c r="C3643" s="69" t="n">
        <v>2026</v>
      </c>
      <c r="D3643" t="inlineStr">
        <is>
          <t>Mar</t>
        </is>
      </c>
      <c r="E3643" t="inlineStr">
        <is>
          <t>United States</t>
        </is>
      </c>
      <c r="F3643" t="inlineStr">
        <is>
          <t>USA</t>
        </is>
      </c>
      <c r="G3643" t="inlineStr">
        <is>
          <t>Paxlovid</t>
        </is>
      </c>
      <c r="H3643" t="inlineStr">
        <is>
          <t>Government / tender</t>
        </is>
      </c>
      <c r="I3643" t="inlineStr">
        <is>
          <t>Private insurer</t>
        </is>
      </c>
      <c r="J3643" t="inlineStr">
        <is>
          <t>Emma Clarke</t>
        </is>
      </c>
      <c r="K3643" s="70" t="n">
        <v>947</v>
      </c>
      <c r="L3643" s="71" t="n">
        <v>1437.37</v>
      </c>
      <c r="M3643" s="71" t="n">
        <v>1361189.39</v>
      </c>
      <c r="N3643" s="71" t="n">
        <v>204178.41</v>
      </c>
      <c r="O3643" s="71" t="n">
        <v>1157010.98</v>
      </c>
      <c r="P3643" s="71" t="n">
        <v>251269.12</v>
      </c>
      <c r="Q3643" s="71" t="n">
        <v>905741.86</v>
      </c>
      <c r="R3643" t="inlineStr">
        <is>
          <t>Antiviral</t>
        </is>
      </c>
      <c r="S3643" s="70" t="n">
        <v>670</v>
      </c>
      <c r="T3643" s="71" t="n">
        <v>246259.13</v>
      </c>
      <c r="U3643" t="inlineStr">
        <is>
          <t>Low</t>
        </is>
      </c>
      <c r="V3643">
        <f>IF(AND(OR(Dashboard!$C$6="All",E3643=Dashboard!$C$6),OR(Dashboard!$F$6="All",G3643=Dashboard!$F$6),OR(Dashboard!$I$6="All",H3643=Dashboard!$I$6)),1,0)</f>
        <v/>
      </c>
    </row>
    <row r="3644">
      <c r="A3644" t="inlineStr">
        <is>
          <t>PF103635</t>
        </is>
      </c>
      <c r="B3644" s="68" t="n">
        <v>46093</v>
      </c>
      <c r="C3644" s="69" t="n">
        <v>2026</v>
      </c>
      <c r="D3644" t="inlineStr">
        <is>
          <t>Mar</t>
        </is>
      </c>
      <c r="E3644" t="inlineStr">
        <is>
          <t>International developed</t>
        </is>
      </c>
      <c r="F3644" t="inlineStr">
        <is>
          <t>Canada</t>
        </is>
      </c>
      <c r="G3644" t="inlineStr">
        <is>
          <t>Eliquis</t>
        </is>
      </c>
      <c r="H3644" t="inlineStr">
        <is>
          <t>Retail pharmacy</t>
        </is>
      </c>
      <c r="I3644" t="inlineStr">
        <is>
          <t>Public payer</t>
        </is>
      </c>
      <c r="J3644" t="inlineStr">
        <is>
          <t>Ruhi Shaikh</t>
        </is>
      </c>
      <c r="K3644" s="70" t="n">
        <v>2684</v>
      </c>
      <c r="L3644" s="71" t="n">
        <v>412.37</v>
      </c>
      <c r="M3644" s="71" t="n">
        <v>1106801.08</v>
      </c>
      <c r="N3644" s="71" t="n">
        <v>166020.16</v>
      </c>
      <c r="O3644" s="71" t="n">
        <v>940780.92</v>
      </c>
      <c r="P3644" s="71" t="n">
        <v>202743.54</v>
      </c>
      <c r="Q3644" s="71" t="n">
        <v>738037.38</v>
      </c>
      <c r="R3644" t="inlineStr">
        <is>
          <t>Cardiology</t>
        </is>
      </c>
      <c r="S3644" s="70" t="n">
        <v>2014</v>
      </c>
      <c r="T3644" s="71" t="n">
        <v>153617.65</v>
      </c>
      <c r="U3644" t="inlineStr">
        <is>
          <t>High</t>
        </is>
      </c>
      <c r="V3644">
        <f>IF(AND(OR(Dashboard!$C$6="All",E3644=Dashboard!$C$6),OR(Dashboard!$F$6="All",G3644=Dashboard!$F$6),OR(Dashboard!$I$6="All",H3644=Dashboard!$I$6)),1,0)</f>
        <v/>
      </c>
    </row>
    <row r="3645">
      <c r="A3645" t="inlineStr">
        <is>
          <t>PF103636</t>
        </is>
      </c>
      <c r="B3645" s="68" t="n">
        <v>46093</v>
      </c>
      <c r="C3645" s="69" t="n">
        <v>2026</v>
      </c>
      <c r="D3645" t="inlineStr">
        <is>
          <t>Mar</t>
        </is>
      </c>
      <c r="E3645" t="inlineStr">
        <is>
          <t>International developed</t>
        </is>
      </c>
      <c r="F3645" t="inlineStr">
        <is>
          <t>Japan</t>
        </is>
      </c>
      <c r="G3645" t="inlineStr">
        <is>
          <t>Comirnaty</t>
        </is>
      </c>
      <c r="H3645" t="inlineStr">
        <is>
          <t>Government / tender</t>
        </is>
      </c>
      <c r="I3645" t="inlineStr">
        <is>
          <t>Public payer</t>
        </is>
      </c>
      <c r="J3645" t="inlineStr">
        <is>
          <t>Ana Costa</t>
        </is>
      </c>
      <c r="K3645" s="70" t="n">
        <v>2166</v>
      </c>
      <c r="L3645" s="71" t="n">
        <v>93.41</v>
      </c>
      <c r="M3645" s="71" t="n">
        <v>202326.06</v>
      </c>
      <c r="N3645" s="71" t="n">
        <v>10116.3</v>
      </c>
      <c r="O3645" s="71" t="n">
        <v>192209.76</v>
      </c>
      <c r="P3645" s="71" t="n">
        <v>80524.47</v>
      </c>
      <c r="Q3645" s="71" t="n">
        <v>111685.29</v>
      </c>
      <c r="R3645" t="inlineStr">
        <is>
          <t>Vaccines</t>
        </is>
      </c>
      <c r="S3645" s="70" t="n">
        <v>1515</v>
      </c>
      <c r="T3645" s="71" t="n">
        <v>52303.62</v>
      </c>
      <c r="U3645" t="inlineStr">
        <is>
          <t>Low</t>
        </is>
      </c>
      <c r="V3645">
        <f>IF(AND(OR(Dashboard!$C$6="All",E3645=Dashboard!$C$6),OR(Dashboard!$F$6="All",G3645=Dashboard!$F$6),OR(Dashboard!$I$6="All",H3645=Dashboard!$I$6)),1,0)</f>
        <v/>
      </c>
    </row>
    <row r="3646">
      <c r="A3646" t="inlineStr">
        <is>
          <t>PF103637</t>
        </is>
      </c>
      <c r="B3646" s="68" t="n">
        <v>46093</v>
      </c>
      <c r="C3646" s="69" t="n">
        <v>2026</v>
      </c>
      <c r="D3646" t="inlineStr">
        <is>
          <t>Mar</t>
        </is>
      </c>
      <c r="E3646" t="inlineStr">
        <is>
          <t>United States</t>
        </is>
      </c>
      <c r="F3646" t="inlineStr">
        <is>
          <t>USA</t>
        </is>
      </c>
      <c r="G3646" t="inlineStr">
        <is>
          <t>Abrysvo</t>
        </is>
      </c>
      <c r="H3646" t="inlineStr">
        <is>
          <t>Retail pharmacy</t>
        </is>
      </c>
      <c r="I3646" t="inlineStr">
        <is>
          <t>Private insurer</t>
        </is>
      </c>
      <c r="J3646" t="inlineStr">
        <is>
          <t>Shraddha Kulkarni</t>
        </is>
      </c>
      <c r="K3646" s="70" t="n">
        <v>787</v>
      </c>
      <c r="L3646" s="71" t="n">
        <v>483.49</v>
      </c>
      <c r="M3646" s="71" t="n">
        <v>380506.63</v>
      </c>
      <c r="N3646" s="71" t="n">
        <v>57075.99</v>
      </c>
      <c r="O3646" s="71" t="n">
        <v>323430.64</v>
      </c>
      <c r="P3646" s="71" t="n">
        <v>68725.60000000001</v>
      </c>
      <c r="Q3646" s="71" t="n">
        <v>254705.04</v>
      </c>
      <c r="R3646" t="inlineStr">
        <is>
          <t>Vaccines</t>
        </is>
      </c>
      <c r="S3646" s="70" t="n">
        <v>743</v>
      </c>
      <c r="T3646" s="71" t="n">
        <v>63944.4</v>
      </c>
      <c r="U3646" t="inlineStr">
        <is>
          <t>Low</t>
        </is>
      </c>
      <c r="V3646">
        <f>IF(AND(OR(Dashboard!$C$6="All",E3646=Dashboard!$C$6),OR(Dashboard!$F$6="All",G3646=Dashboard!$F$6),OR(Dashboard!$I$6="All",H3646=Dashboard!$I$6)),1,0)</f>
        <v/>
      </c>
    </row>
    <row r="3647">
      <c r="A3647" t="inlineStr">
        <is>
          <t>PF103638</t>
        </is>
      </c>
      <c r="B3647" s="68" t="n">
        <v>46093</v>
      </c>
      <c r="C3647" s="69" t="n">
        <v>2026</v>
      </c>
      <c r="D3647" t="inlineStr">
        <is>
          <t>Mar</t>
        </is>
      </c>
      <c r="E3647" t="inlineStr">
        <is>
          <t>United States</t>
        </is>
      </c>
      <c r="F3647" t="inlineStr">
        <is>
          <t>USA</t>
        </is>
      </c>
      <c r="G3647" t="inlineStr">
        <is>
          <t>Eliquis</t>
        </is>
      </c>
      <c r="H3647" t="inlineStr">
        <is>
          <t>Retail pharmacy</t>
        </is>
      </c>
      <c r="I3647" t="inlineStr">
        <is>
          <t>Private insurer</t>
        </is>
      </c>
      <c r="J3647" t="inlineStr">
        <is>
          <t>Ana Costa</t>
        </is>
      </c>
      <c r="K3647" s="70" t="n">
        <v>790</v>
      </c>
      <c r="L3647" s="71" t="n">
        <v>723.22</v>
      </c>
      <c r="M3647" s="71" t="n">
        <v>571343.8</v>
      </c>
      <c r="N3647" s="71" t="n">
        <v>199970.33</v>
      </c>
      <c r="O3647" s="71" t="n">
        <v>371373.47</v>
      </c>
      <c r="P3647" s="71" t="n">
        <v>61396.5</v>
      </c>
      <c r="Q3647" s="71" t="n">
        <v>309976.97</v>
      </c>
      <c r="R3647" t="inlineStr">
        <is>
          <t>Cardiology</t>
        </is>
      </c>
      <c r="S3647" s="70" t="n">
        <v>612</v>
      </c>
      <c r="T3647" s="71" t="n">
        <v>121213.24</v>
      </c>
      <c r="U3647" t="inlineStr">
        <is>
          <t>High</t>
        </is>
      </c>
      <c r="V3647">
        <f>IF(AND(OR(Dashboard!$C$6="All",E3647=Dashboard!$C$6),OR(Dashboard!$F$6="All",G3647=Dashboard!$F$6),OR(Dashboard!$I$6="All",H3647=Dashboard!$I$6)),1,0)</f>
        <v/>
      </c>
    </row>
    <row r="3648">
      <c r="A3648" t="inlineStr">
        <is>
          <t>PF103639</t>
        </is>
      </c>
      <c r="B3648" s="68" t="n">
        <v>46093</v>
      </c>
      <c r="C3648" s="69" t="n">
        <v>2026</v>
      </c>
      <c r="D3648" t="inlineStr">
        <is>
          <t>Mar</t>
        </is>
      </c>
      <c r="E3648" t="inlineStr">
        <is>
          <t>United States</t>
        </is>
      </c>
      <c r="F3648" t="inlineStr">
        <is>
          <t>USA</t>
        </is>
      </c>
      <c r="G3648" t="inlineStr">
        <is>
          <t>Eliquis</t>
        </is>
      </c>
      <c r="H3648" t="inlineStr">
        <is>
          <t>Retail pharmacy</t>
        </is>
      </c>
      <c r="I3648" t="inlineStr">
        <is>
          <t>Private insurer</t>
        </is>
      </c>
      <c r="J3648" t="inlineStr">
        <is>
          <t>Ana Costa</t>
        </is>
      </c>
      <c r="K3648" s="70" t="n">
        <v>2074</v>
      </c>
      <c r="L3648" s="71" t="n">
        <v>638.55</v>
      </c>
      <c r="M3648" s="71" t="n">
        <v>1324352.7</v>
      </c>
      <c r="N3648" s="71" t="n">
        <v>264870.54</v>
      </c>
      <c r="O3648" s="71" t="n">
        <v>1059482.16</v>
      </c>
      <c r="P3648" s="71" t="n">
        <v>160403.82</v>
      </c>
      <c r="Q3648" s="71" t="n">
        <v>899078.34</v>
      </c>
      <c r="R3648" t="inlineStr">
        <is>
          <t>Cardiology</t>
        </is>
      </c>
      <c r="S3648" s="70" t="n">
        <v>1715</v>
      </c>
      <c r="T3648" s="71" t="n">
        <v>270699.86</v>
      </c>
      <c r="U3648" t="inlineStr">
        <is>
          <t>High</t>
        </is>
      </c>
      <c r="V3648">
        <f>IF(AND(OR(Dashboard!$C$6="All",E3648=Dashboard!$C$6),OR(Dashboard!$F$6="All",G3648=Dashboard!$F$6),OR(Dashboard!$I$6="All",H3648=Dashboard!$I$6)),1,0)</f>
        <v/>
      </c>
    </row>
    <row r="3649">
      <c r="A3649" t="inlineStr">
        <is>
          <t>PF103640</t>
        </is>
      </c>
      <c r="B3649" s="68" t="n">
        <v>46093</v>
      </c>
      <c r="C3649" s="69" t="n">
        <v>2026</v>
      </c>
      <c r="D3649" t="inlineStr">
        <is>
          <t>Mar</t>
        </is>
      </c>
      <c r="E3649" t="inlineStr">
        <is>
          <t>International developed</t>
        </is>
      </c>
      <c r="F3649" t="inlineStr">
        <is>
          <t>Japan</t>
        </is>
      </c>
      <c r="G3649" t="inlineStr">
        <is>
          <t>Ibrance</t>
        </is>
      </c>
      <c r="H3649" t="inlineStr">
        <is>
          <t>Retail pharmacy</t>
        </is>
      </c>
      <c r="I3649" t="inlineStr">
        <is>
          <t>Public payer</t>
        </is>
      </c>
      <c r="J3649" t="inlineStr">
        <is>
          <t>Fatima Al-Saud</t>
        </is>
      </c>
      <c r="K3649" s="70" t="n">
        <v>85</v>
      </c>
      <c r="L3649" s="71" t="n">
        <v>2827.77</v>
      </c>
      <c r="M3649" s="71" t="n">
        <v>240360.45</v>
      </c>
      <c r="N3649" s="71" t="n">
        <v>24036.05</v>
      </c>
      <c r="O3649" s="71" t="n">
        <v>216324.4</v>
      </c>
      <c r="P3649" s="71" t="n">
        <v>35823.6</v>
      </c>
      <c r="Q3649" s="71" t="n">
        <v>180500.8</v>
      </c>
      <c r="R3649" t="inlineStr">
        <is>
          <t>Oncology</t>
        </is>
      </c>
      <c r="S3649" s="70" t="n">
        <v>56</v>
      </c>
      <c r="T3649" s="71" t="n">
        <v>50356.24</v>
      </c>
      <c r="U3649" t="inlineStr">
        <is>
          <t>High</t>
        </is>
      </c>
      <c r="V3649">
        <f>IF(AND(OR(Dashboard!$C$6="All",E3649=Dashboard!$C$6),OR(Dashboard!$F$6="All",G3649=Dashboard!$F$6),OR(Dashboard!$I$6="All",H3649=Dashboard!$I$6)),1,0)</f>
        <v/>
      </c>
    </row>
    <row r="3650">
      <c r="A3650" t="inlineStr">
        <is>
          <t>PF103641</t>
        </is>
      </c>
      <c r="B3650" s="68" t="n">
        <v>46093</v>
      </c>
      <c r="C3650" s="69" t="n">
        <v>2026</v>
      </c>
      <c r="D3650" t="inlineStr">
        <is>
          <t>Mar</t>
        </is>
      </c>
      <c r="E3650" t="inlineStr">
        <is>
          <t>United States</t>
        </is>
      </c>
      <c r="F3650" t="inlineStr">
        <is>
          <t>USA</t>
        </is>
      </c>
      <c r="G3650" t="inlineStr">
        <is>
          <t>Xeljanz</t>
        </is>
      </c>
      <c r="H3650" t="inlineStr">
        <is>
          <t>Hospital</t>
        </is>
      </c>
      <c r="I3650" t="inlineStr">
        <is>
          <t>Public payer</t>
        </is>
      </c>
      <c r="J3650" t="inlineStr">
        <is>
          <t>Mei Lin</t>
        </is>
      </c>
      <c r="K3650" s="70" t="n">
        <v>1738</v>
      </c>
      <c r="L3650" s="71" t="n">
        <v>1943.93</v>
      </c>
      <c r="M3650" s="71" t="n">
        <v>3378550.34</v>
      </c>
      <c r="N3650" s="71" t="n">
        <v>1182492.62</v>
      </c>
      <c r="O3650" s="71" t="n">
        <v>2196057.72</v>
      </c>
      <c r="P3650" s="71" t="n">
        <v>437619.66</v>
      </c>
      <c r="Q3650" s="71" t="n">
        <v>1758438.06</v>
      </c>
      <c r="R3650" t="inlineStr">
        <is>
          <t>Inflammation</t>
        </is>
      </c>
      <c r="S3650" s="70" t="n">
        <v>1403</v>
      </c>
      <c r="T3650" s="71" t="n">
        <v>556396.6800000001</v>
      </c>
      <c r="U3650" t="inlineStr">
        <is>
          <t>High</t>
        </is>
      </c>
      <c r="V3650">
        <f>IF(AND(OR(Dashboard!$C$6="All",E3650=Dashboard!$C$6),OR(Dashboard!$F$6="All",G3650=Dashboard!$F$6),OR(Dashboard!$I$6="All",H3650=Dashboard!$I$6)),1,0)</f>
        <v/>
      </c>
    </row>
    <row r="3651">
      <c r="A3651" t="inlineStr">
        <is>
          <t>PF103642</t>
        </is>
      </c>
      <c r="B3651" s="68" t="n">
        <v>46093</v>
      </c>
      <c r="C3651" s="69" t="n">
        <v>2026</v>
      </c>
      <c r="D3651" t="inlineStr">
        <is>
          <t>Mar</t>
        </is>
      </c>
      <c r="E3651" t="inlineStr">
        <is>
          <t>Emerging markets</t>
        </is>
      </c>
      <c r="F3651" t="inlineStr">
        <is>
          <t>Brazil</t>
        </is>
      </c>
      <c r="G3651" t="inlineStr">
        <is>
          <t>Eliquis</t>
        </is>
      </c>
      <c r="H3651" t="inlineStr">
        <is>
          <t>Retail pharmacy</t>
        </is>
      </c>
      <c r="I3651" t="inlineStr">
        <is>
          <t>Private insurer</t>
        </is>
      </c>
      <c r="J3651" t="inlineStr">
        <is>
          <t>Amir Khan</t>
        </is>
      </c>
      <c r="K3651" s="70" t="n">
        <v>1369</v>
      </c>
      <c r="L3651" s="71" t="n">
        <v>439.3</v>
      </c>
      <c r="M3651" s="71" t="n">
        <v>601401.7</v>
      </c>
      <c r="N3651" s="71" t="n">
        <v>60140.17</v>
      </c>
      <c r="O3651" s="71" t="n">
        <v>541261.53</v>
      </c>
      <c r="P3651" s="71" t="n">
        <v>101483.42</v>
      </c>
      <c r="Q3651" s="71" t="n">
        <v>439778.11</v>
      </c>
      <c r="R3651" t="inlineStr">
        <is>
          <t>Cardiology</t>
        </is>
      </c>
      <c r="S3651" s="70" t="n">
        <v>1148</v>
      </c>
      <c r="T3651" s="71" t="n">
        <v>82168.97</v>
      </c>
      <c r="U3651" t="inlineStr">
        <is>
          <t>High</t>
        </is>
      </c>
      <c r="V3651">
        <f>IF(AND(OR(Dashboard!$C$6="All",E3651=Dashboard!$C$6),OR(Dashboard!$F$6="All",G3651=Dashboard!$F$6),OR(Dashboard!$I$6="All",H3651=Dashboard!$I$6)),1,0)</f>
        <v/>
      </c>
    </row>
    <row r="3652">
      <c r="A3652" t="inlineStr">
        <is>
          <t>PF103643</t>
        </is>
      </c>
      <c r="B3652" s="68" t="n">
        <v>46093</v>
      </c>
      <c r="C3652" s="69" t="n">
        <v>2026</v>
      </c>
      <c r="D3652" t="inlineStr">
        <is>
          <t>Mar</t>
        </is>
      </c>
      <c r="E3652" t="inlineStr">
        <is>
          <t>Europe</t>
        </is>
      </c>
      <c r="F3652" t="inlineStr">
        <is>
          <t>Italy</t>
        </is>
      </c>
      <c r="G3652" t="inlineStr">
        <is>
          <t>Comirnaty</t>
        </is>
      </c>
      <c r="H3652" t="inlineStr">
        <is>
          <t>Government / tender</t>
        </is>
      </c>
      <c r="I3652" t="inlineStr">
        <is>
          <t>Public payer</t>
        </is>
      </c>
      <c r="J3652" t="inlineStr">
        <is>
          <t>Sara Rossi</t>
        </is>
      </c>
      <c r="K3652" s="70" t="n">
        <v>1402</v>
      </c>
      <c r="L3652" s="71" t="n">
        <v>81.31999999999999</v>
      </c>
      <c r="M3652" s="71" t="n">
        <v>114010.64</v>
      </c>
      <c r="N3652" s="71" t="n">
        <v>17101.6</v>
      </c>
      <c r="O3652" s="71" t="n">
        <v>96909.03999999999</v>
      </c>
      <c r="P3652" s="71" t="n">
        <v>55433.89</v>
      </c>
      <c r="Q3652" s="71" t="n">
        <v>41475.15</v>
      </c>
      <c r="R3652" t="inlineStr">
        <is>
          <t>Vaccines</t>
        </is>
      </c>
      <c r="S3652" s="70" t="n">
        <v>1103</v>
      </c>
      <c r="T3652" s="71" t="n">
        <v>27787.58</v>
      </c>
      <c r="U3652" t="inlineStr">
        <is>
          <t>Low</t>
        </is>
      </c>
      <c r="V3652">
        <f>IF(AND(OR(Dashboard!$C$6="All",E3652=Dashboard!$C$6),OR(Dashboard!$F$6="All",G3652=Dashboard!$F$6),OR(Dashboard!$I$6="All",H3652=Dashboard!$I$6)),1,0)</f>
        <v/>
      </c>
    </row>
    <row r="3653">
      <c r="A3653" t="inlineStr">
        <is>
          <t>PF103644</t>
        </is>
      </c>
      <c r="B3653" s="68" t="n">
        <v>46093</v>
      </c>
      <c r="C3653" s="69" t="n">
        <v>2026</v>
      </c>
      <c r="D3653" t="inlineStr">
        <is>
          <t>Mar</t>
        </is>
      </c>
      <c r="E3653" t="inlineStr">
        <is>
          <t>Emerging markets</t>
        </is>
      </c>
      <c r="F3653" t="inlineStr">
        <is>
          <t>India</t>
        </is>
      </c>
      <c r="G3653" t="inlineStr">
        <is>
          <t>Prevnar 20</t>
        </is>
      </c>
      <c r="H3653" t="inlineStr">
        <is>
          <t>Hospital</t>
        </is>
      </c>
      <c r="I3653" t="inlineStr">
        <is>
          <t>Public payer</t>
        </is>
      </c>
      <c r="J3653" t="inlineStr">
        <is>
          <t>Lucas Martin</t>
        </is>
      </c>
      <c r="K3653" s="70" t="n">
        <v>2466</v>
      </c>
      <c r="L3653" s="71" t="n">
        <v>215.29</v>
      </c>
      <c r="M3653" s="71" t="n">
        <v>530905.14</v>
      </c>
      <c r="N3653" s="71" t="n">
        <v>53090.51</v>
      </c>
      <c r="O3653" s="71" t="n">
        <v>477814.63</v>
      </c>
      <c r="P3653" s="71" t="n">
        <v>164316.15</v>
      </c>
      <c r="Q3653" s="71" t="n">
        <v>313498.48</v>
      </c>
      <c r="R3653" t="inlineStr">
        <is>
          <t>Vaccines</t>
        </is>
      </c>
      <c r="S3653" s="70" t="n">
        <v>2121</v>
      </c>
      <c r="T3653" s="71" t="n">
        <v>78046.45</v>
      </c>
      <c r="U3653" t="inlineStr">
        <is>
          <t>Low</t>
        </is>
      </c>
      <c r="V3653">
        <f>IF(AND(OR(Dashboard!$C$6="All",E3653=Dashboard!$C$6),OR(Dashboard!$F$6="All",G3653=Dashboard!$F$6),OR(Dashboard!$I$6="All",H3653=Dashboard!$I$6)),1,0)</f>
        <v/>
      </c>
    </row>
    <row r="3654">
      <c r="A3654" t="inlineStr">
        <is>
          <t>PF103645</t>
        </is>
      </c>
      <c r="B3654" s="68" t="n">
        <v>46093</v>
      </c>
      <c r="C3654" s="69" t="n">
        <v>2026</v>
      </c>
      <c r="D3654" t="inlineStr">
        <is>
          <t>Mar</t>
        </is>
      </c>
      <c r="E3654" t="inlineStr">
        <is>
          <t>Europe</t>
        </is>
      </c>
      <c r="F3654" t="inlineStr">
        <is>
          <t>UK</t>
        </is>
      </c>
      <c r="G3654" t="inlineStr">
        <is>
          <t>Eliquis</t>
        </is>
      </c>
      <c r="H3654" t="inlineStr">
        <is>
          <t>Hospital</t>
        </is>
      </c>
      <c r="I3654" t="inlineStr">
        <is>
          <t>Private insurer</t>
        </is>
      </c>
      <c r="J3654" t="inlineStr">
        <is>
          <t>Olivia Brown</t>
        </is>
      </c>
      <c r="K3654" s="70" t="n">
        <v>438</v>
      </c>
      <c r="L3654" s="71" t="n">
        <v>400.26</v>
      </c>
      <c r="M3654" s="71" t="n">
        <v>175313.88</v>
      </c>
      <c r="N3654" s="71" t="n">
        <v>26297.08</v>
      </c>
      <c r="O3654" s="71" t="n">
        <v>149016.8</v>
      </c>
      <c r="P3654" s="71" t="n">
        <v>32844</v>
      </c>
      <c r="Q3654" s="71" t="n">
        <v>116172.8</v>
      </c>
      <c r="R3654" t="inlineStr">
        <is>
          <t>Cardiology</t>
        </is>
      </c>
      <c r="S3654" s="70" t="n">
        <v>354</v>
      </c>
      <c r="T3654" s="71" t="n">
        <v>33746.22</v>
      </c>
      <c r="U3654" t="inlineStr">
        <is>
          <t>High</t>
        </is>
      </c>
      <c r="V3654">
        <f>IF(AND(OR(Dashboard!$C$6="All",E3654=Dashboard!$C$6),OR(Dashboard!$F$6="All",G3654=Dashboard!$F$6),OR(Dashboard!$I$6="All",H3654=Dashboard!$I$6)),1,0)</f>
        <v/>
      </c>
    </row>
    <row r="3655">
      <c r="A3655" t="inlineStr">
        <is>
          <t>PF103646</t>
        </is>
      </c>
      <c r="B3655" s="68" t="n">
        <v>46094</v>
      </c>
      <c r="C3655" s="69" t="n">
        <v>2026</v>
      </c>
      <c r="D3655" t="inlineStr">
        <is>
          <t>Mar</t>
        </is>
      </c>
      <c r="E3655" t="inlineStr">
        <is>
          <t>Europe</t>
        </is>
      </c>
      <c r="F3655" t="inlineStr">
        <is>
          <t>UK</t>
        </is>
      </c>
      <c r="G3655" t="inlineStr">
        <is>
          <t>Xeljanz</t>
        </is>
      </c>
      <c r="H3655" t="inlineStr">
        <is>
          <t>Retail pharmacy</t>
        </is>
      </c>
      <c r="I3655" t="inlineStr">
        <is>
          <t>Private insurer</t>
        </is>
      </c>
      <c r="J3655" t="inlineStr">
        <is>
          <t>Lucas Martin</t>
        </is>
      </c>
      <c r="K3655" s="70" t="n">
        <v>2044</v>
      </c>
      <c r="L3655" s="71" t="n">
        <v>1313.3</v>
      </c>
      <c r="M3655" s="71" t="n">
        <v>2684385.2</v>
      </c>
      <c r="N3655" s="71" t="n">
        <v>268438.52</v>
      </c>
      <c r="O3655" s="71" t="n">
        <v>2415946.68</v>
      </c>
      <c r="P3655" s="71" t="n">
        <v>497326.06</v>
      </c>
      <c r="Q3655" s="71" t="n">
        <v>1918620.62</v>
      </c>
      <c r="R3655" t="inlineStr">
        <is>
          <t>Inflammation</t>
        </is>
      </c>
      <c r="S3655" s="70" t="n">
        <v>1519</v>
      </c>
      <c r="T3655" s="71" t="n">
        <v>398577.43</v>
      </c>
      <c r="U3655" t="inlineStr">
        <is>
          <t>High</t>
        </is>
      </c>
      <c r="V3655">
        <f>IF(AND(OR(Dashboard!$C$6="All",E3655=Dashboard!$C$6),OR(Dashboard!$F$6="All",G3655=Dashboard!$F$6),OR(Dashboard!$I$6="All",H3655=Dashboard!$I$6)),1,0)</f>
        <v/>
      </c>
    </row>
    <row r="3656">
      <c r="A3656" t="inlineStr">
        <is>
          <t>PF103647</t>
        </is>
      </c>
      <c r="B3656" s="68" t="n">
        <v>46094</v>
      </c>
      <c r="C3656" s="69" t="n">
        <v>2026</v>
      </c>
      <c r="D3656" t="inlineStr">
        <is>
          <t>Mar</t>
        </is>
      </c>
      <c r="E3656" t="inlineStr">
        <is>
          <t>United States</t>
        </is>
      </c>
      <c r="F3656" t="inlineStr">
        <is>
          <t>USA</t>
        </is>
      </c>
      <c r="G3656" t="inlineStr">
        <is>
          <t>Eliquis</t>
        </is>
      </c>
      <c r="H3656" t="inlineStr">
        <is>
          <t>Hospital</t>
        </is>
      </c>
      <c r="I3656" t="inlineStr">
        <is>
          <t>Private insurer</t>
        </is>
      </c>
      <c r="J3656" t="inlineStr">
        <is>
          <t>Arjun Mehta</t>
        </is>
      </c>
      <c r="K3656" s="70" t="n">
        <v>2042</v>
      </c>
      <c r="L3656" s="71" t="n">
        <v>628.5599999999999</v>
      </c>
      <c r="M3656" s="71" t="n">
        <v>1283519.52</v>
      </c>
      <c r="N3656" s="71" t="n">
        <v>449231.83</v>
      </c>
      <c r="O3656" s="71" t="n">
        <v>834287.6899999999</v>
      </c>
      <c r="P3656" s="71" t="n">
        <v>157409.89</v>
      </c>
      <c r="Q3656" s="71" t="n">
        <v>676877.8</v>
      </c>
      <c r="R3656" t="inlineStr">
        <is>
          <t>Cardiology</t>
        </is>
      </c>
      <c r="S3656" s="70" t="n">
        <v>2024</v>
      </c>
      <c r="T3656" s="71" t="n">
        <v>194735.82</v>
      </c>
      <c r="U3656" t="inlineStr">
        <is>
          <t>High</t>
        </is>
      </c>
      <c r="V3656">
        <f>IF(AND(OR(Dashboard!$C$6="All",E3656=Dashboard!$C$6),OR(Dashboard!$F$6="All",G3656=Dashboard!$F$6),OR(Dashboard!$I$6="All",H3656=Dashboard!$I$6)),1,0)</f>
        <v/>
      </c>
    </row>
    <row r="3657">
      <c r="A3657" t="inlineStr">
        <is>
          <t>PF103648</t>
        </is>
      </c>
      <c r="B3657" s="68" t="n">
        <v>46094</v>
      </c>
      <c r="C3657" s="69" t="n">
        <v>2026</v>
      </c>
      <c r="D3657" t="inlineStr">
        <is>
          <t>Mar</t>
        </is>
      </c>
      <c r="E3657" t="inlineStr">
        <is>
          <t>Europe</t>
        </is>
      </c>
      <c r="F3657" t="inlineStr">
        <is>
          <t>Spain</t>
        </is>
      </c>
      <c r="G3657" t="inlineStr">
        <is>
          <t>Paxlovid</t>
        </is>
      </c>
      <c r="H3657" t="inlineStr">
        <is>
          <t>Retail pharmacy</t>
        </is>
      </c>
      <c r="I3657" t="inlineStr">
        <is>
          <t>Self-pay</t>
        </is>
      </c>
      <c r="J3657" t="inlineStr">
        <is>
          <t>Mei Lin</t>
        </is>
      </c>
      <c r="K3657" s="70" t="n">
        <v>489</v>
      </c>
      <c r="L3657" s="71" t="n">
        <v>848.67</v>
      </c>
      <c r="M3657" s="71" t="n">
        <v>414999.63</v>
      </c>
      <c r="N3657" s="71" t="n">
        <v>20749.98</v>
      </c>
      <c r="O3657" s="71" t="n">
        <v>394249.65</v>
      </c>
      <c r="P3657" s="71" t="n">
        <v>137051.33</v>
      </c>
      <c r="Q3657" s="71" t="n">
        <v>257198.32</v>
      </c>
      <c r="R3657" t="inlineStr">
        <is>
          <t>Antiviral</t>
        </is>
      </c>
      <c r="S3657" s="70" t="n">
        <v>429</v>
      </c>
      <c r="T3657" s="71" t="n">
        <v>80233.5</v>
      </c>
      <c r="U3657" t="inlineStr">
        <is>
          <t>Low</t>
        </is>
      </c>
      <c r="V3657">
        <f>IF(AND(OR(Dashboard!$C$6="All",E3657=Dashboard!$C$6),OR(Dashboard!$F$6="All",G3657=Dashboard!$F$6),OR(Dashboard!$I$6="All",H3657=Dashboard!$I$6)),1,0)</f>
        <v/>
      </c>
    </row>
    <row r="3658">
      <c r="A3658" t="inlineStr">
        <is>
          <t>PF103649</t>
        </is>
      </c>
      <c r="B3658" s="68" t="n">
        <v>46094</v>
      </c>
      <c r="C3658" s="69" t="n">
        <v>2026</v>
      </c>
      <c r="D3658" t="inlineStr">
        <is>
          <t>Mar</t>
        </is>
      </c>
      <c r="E3658" t="inlineStr">
        <is>
          <t>Europe</t>
        </is>
      </c>
      <c r="F3658" t="inlineStr">
        <is>
          <t>UK</t>
        </is>
      </c>
      <c r="G3658" t="inlineStr">
        <is>
          <t>Vyndaqel</t>
        </is>
      </c>
      <c r="H3658" t="inlineStr">
        <is>
          <t>Retail pharmacy</t>
        </is>
      </c>
      <c r="I3658" t="inlineStr">
        <is>
          <t>Private insurer</t>
        </is>
      </c>
      <c r="J3658" t="inlineStr">
        <is>
          <t>Aisha Bello</t>
        </is>
      </c>
      <c r="K3658" s="70" t="n">
        <v>1881</v>
      </c>
      <c r="L3658" s="71" t="n">
        <v>6041.56</v>
      </c>
      <c r="M3658" s="71" t="n">
        <v>11364174.36</v>
      </c>
      <c r="N3658" s="71" t="n">
        <v>2841043.59</v>
      </c>
      <c r="O3658" s="71" t="n">
        <v>8523130.77</v>
      </c>
      <c r="P3658" s="71" t="n">
        <v>1178781.6</v>
      </c>
      <c r="Q3658" s="71" t="n">
        <v>7344349.17</v>
      </c>
      <c r="R3658" t="inlineStr">
        <is>
          <t>Rare disease</t>
        </is>
      </c>
      <c r="S3658" s="70" t="n">
        <v>1691</v>
      </c>
      <c r="T3658" s="71" t="n">
        <v>1382929.92</v>
      </c>
      <c r="U3658" t="inlineStr">
        <is>
          <t>Medium</t>
        </is>
      </c>
      <c r="V3658">
        <f>IF(AND(OR(Dashboard!$C$6="All",E3658=Dashboard!$C$6),OR(Dashboard!$F$6="All",G3658=Dashboard!$F$6),OR(Dashboard!$I$6="All",H3658=Dashboard!$I$6)),1,0)</f>
        <v/>
      </c>
    </row>
    <row r="3659">
      <c r="A3659" t="inlineStr">
        <is>
          <t>PF103650</t>
        </is>
      </c>
      <c r="B3659" s="68" t="n">
        <v>46094</v>
      </c>
      <c r="C3659" s="69" t="n">
        <v>2026</v>
      </c>
      <c r="D3659" t="inlineStr">
        <is>
          <t>Mar</t>
        </is>
      </c>
      <c r="E3659" t="inlineStr">
        <is>
          <t>United States</t>
        </is>
      </c>
      <c r="F3659" t="inlineStr">
        <is>
          <t>USA</t>
        </is>
      </c>
      <c r="G3659" t="inlineStr">
        <is>
          <t>Comirnaty</t>
        </is>
      </c>
      <c r="H3659" t="inlineStr">
        <is>
          <t>Hospital</t>
        </is>
      </c>
      <c r="I3659" t="inlineStr">
        <is>
          <t>Public payer</t>
        </is>
      </c>
      <c r="J3659" t="inlineStr">
        <is>
          <t>Liam O'Brien</t>
        </is>
      </c>
      <c r="K3659" s="70" t="n">
        <v>708</v>
      </c>
      <c r="L3659" s="71" t="n">
        <v>135.06</v>
      </c>
      <c r="M3659" s="71" t="n">
        <v>95622.48</v>
      </c>
      <c r="N3659" s="71" t="n">
        <v>14343.37</v>
      </c>
      <c r="O3659" s="71" t="n">
        <v>81279.11</v>
      </c>
      <c r="P3659" s="71" t="n">
        <v>28085.66</v>
      </c>
      <c r="Q3659" s="71" t="n">
        <v>53193.45</v>
      </c>
      <c r="R3659" t="inlineStr">
        <is>
          <t>Vaccines</t>
        </is>
      </c>
      <c r="S3659" s="70" t="n">
        <v>636</v>
      </c>
      <c r="T3659" s="71" t="n">
        <v>17705.37</v>
      </c>
      <c r="U3659" t="inlineStr">
        <is>
          <t>Low</t>
        </is>
      </c>
      <c r="V3659">
        <f>IF(AND(OR(Dashboard!$C$6="All",E3659=Dashboard!$C$6),OR(Dashboard!$F$6="All",G3659=Dashboard!$F$6),OR(Dashboard!$I$6="All",H3659=Dashboard!$I$6)),1,0)</f>
        <v/>
      </c>
    </row>
    <row r="3660">
      <c r="A3660" t="inlineStr">
        <is>
          <t>PF103651</t>
        </is>
      </c>
      <c r="B3660" s="68" t="n">
        <v>46094</v>
      </c>
      <c r="C3660" s="69" t="n">
        <v>2026</v>
      </c>
      <c r="D3660" t="inlineStr">
        <is>
          <t>Mar</t>
        </is>
      </c>
      <c r="E3660" t="inlineStr">
        <is>
          <t>Europe</t>
        </is>
      </c>
      <c r="F3660" t="inlineStr">
        <is>
          <t>France</t>
        </is>
      </c>
      <c r="G3660" t="inlineStr">
        <is>
          <t>Vyndaqel</t>
        </is>
      </c>
      <c r="H3660" t="inlineStr">
        <is>
          <t>Government / tender</t>
        </is>
      </c>
      <c r="I3660" t="inlineStr">
        <is>
          <t>Private insurer</t>
        </is>
      </c>
      <c r="J3660" t="inlineStr">
        <is>
          <t>Sophie Müller</t>
        </is>
      </c>
      <c r="K3660" s="70" t="n">
        <v>2292</v>
      </c>
      <c r="L3660" s="71" t="n">
        <v>5627.62</v>
      </c>
      <c r="M3660" s="71" t="n">
        <v>12898505.04</v>
      </c>
      <c r="N3660" s="71" t="n">
        <v>1289850.5</v>
      </c>
      <c r="O3660" s="71" t="n">
        <v>11608654.54</v>
      </c>
      <c r="P3660" s="71" t="n">
        <v>1480994.16</v>
      </c>
      <c r="Q3660" s="71" t="n">
        <v>10127660.38</v>
      </c>
      <c r="R3660" t="inlineStr">
        <is>
          <t>Rare disease</t>
        </is>
      </c>
      <c r="S3660" s="70" t="n">
        <v>1440</v>
      </c>
      <c r="T3660" s="71" t="n">
        <v>2040343.92</v>
      </c>
      <c r="U3660" t="inlineStr">
        <is>
          <t>Medium</t>
        </is>
      </c>
      <c r="V3660">
        <f>IF(AND(OR(Dashboard!$C$6="All",E3660=Dashboard!$C$6),OR(Dashboard!$F$6="All",G3660=Dashboard!$F$6),OR(Dashboard!$I$6="All",H3660=Dashboard!$I$6)),1,0)</f>
        <v/>
      </c>
    </row>
    <row r="3661">
      <c r="A3661" t="inlineStr">
        <is>
          <t>PF103652</t>
        </is>
      </c>
      <c r="B3661" s="68" t="n">
        <v>46094</v>
      </c>
      <c r="C3661" s="69" t="n">
        <v>2026</v>
      </c>
      <c r="D3661" t="inlineStr">
        <is>
          <t>Mar</t>
        </is>
      </c>
      <c r="E3661" t="inlineStr">
        <is>
          <t>International developed</t>
        </is>
      </c>
      <c r="F3661" t="inlineStr">
        <is>
          <t>Australia</t>
        </is>
      </c>
      <c r="G3661" t="inlineStr">
        <is>
          <t>Abrysvo</t>
        </is>
      </c>
      <c r="H3661" t="inlineStr">
        <is>
          <t>Hospital</t>
        </is>
      </c>
      <c r="I3661" t="inlineStr">
        <is>
          <t>Private insurer</t>
        </is>
      </c>
      <c r="J3661" t="inlineStr">
        <is>
          <t>Ravindra Patil</t>
        </is>
      </c>
      <c r="K3661" s="70" t="n">
        <v>1358</v>
      </c>
      <c r="L3661" s="71" t="n">
        <v>313.55</v>
      </c>
      <c r="M3661" s="71" t="n">
        <v>425800.9</v>
      </c>
      <c r="N3661" s="71" t="n">
        <v>85160.17999999999</v>
      </c>
      <c r="O3661" s="71" t="n">
        <v>340640.72</v>
      </c>
      <c r="P3661" s="71" t="n">
        <v>114235.6</v>
      </c>
      <c r="Q3661" s="71" t="n">
        <v>226405.12</v>
      </c>
      <c r="R3661" t="inlineStr">
        <is>
          <t>Vaccines</t>
        </is>
      </c>
      <c r="S3661" s="70" t="n">
        <v>1020</v>
      </c>
      <c r="T3661" s="71" t="n">
        <v>75231.38</v>
      </c>
      <c r="U3661" t="inlineStr">
        <is>
          <t>Low</t>
        </is>
      </c>
      <c r="V3661">
        <f>IF(AND(OR(Dashboard!$C$6="All",E3661=Dashboard!$C$6),OR(Dashboard!$F$6="All",G3661=Dashboard!$F$6),OR(Dashboard!$I$6="All",H3661=Dashboard!$I$6)),1,0)</f>
        <v/>
      </c>
    </row>
    <row r="3662">
      <c r="A3662" t="inlineStr">
        <is>
          <t>PF103653</t>
        </is>
      </c>
      <c r="B3662" s="68" t="n">
        <v>46094</v>
      </c>
      <c r="C3662" s="69" t="n">
        <v>2026</v>
      </c>
      <c r="D3662" t="inlineStr">
        <is>
          <t>Mar</t>
        </is>
      </c>
      <c r="E3662" t="inlineStr">
        <is>
          <t>International developed</t>
        </is>
      </c>
      <c r="F3662" t="inlineStr">
        <is>
          <t>Japan</t>
        </is>
      </c>
      <c r="G3662" t="inlineStr">
        <is>
          <t>Prevnar 20</t>
        </is>
      </c>
      <c r="H3662" t="inlineStr">
        <is>
          <t>Retail pharmacy</t>
        </is>
      </c>
      <c r="I3662" t="inlineStr">
        <is>
          <t>Public payer</t>
        </is>
      </c>
      <c r="J3662" t="inlineStr">
        <is>
          <t>Hiroshi Tanaka</t>
        </is>
      </c>
      <c r="K3662" s="70" t="n">
        <v>56</v>
      </c>
      <c r="L3662" s="71" t="n">
        <v>225.14</v>
      </c>
      <c r="M3662" s="71" t="n">
        <v>12607.84</v>
      </c>
      <c r="N3662" s="71" t="n">
        <v>630.39</v>
      </c>
      <c r="O3662" s="71" t="n">
        <v>11977.45</v>
      </c>
      <c r="P3662" s="71" t="n">
        <v>3856.37</v>
      </c>
      <c r="Q3662" s="71" t="n">
        <v>8121.08</v>
      </c>
      <c r="R3662" t="inlineStr">
        <is>
          <t>Vaccines</t>
        </is>
      </c>
      <c r="S3662" s="70" t="n">
        <v>46</v>
      </c>
      <c r="T3662" s="71" t="n">
        <v>2019.15</v>
      </c>
      <c r="U3662" t="inlineStr">
        <is>
          <t>Low</t>
        </is>
      </c>
      <c r="V3662">
        <f>IF(AND(OR(Dashboard!$C$6="All",E3662=Dashboard!$C$6),OR(Dashboard!$F$6="All",G3662=Dashboard!$F$6),OR(Dashboard!$I$6="All",H3662=Dashboard!$I$6)),1,0)</f>
        <v/>
      </c>
    </row>
    <row r="3663">
      <c r="A3663" t="inlineStr">
        <is>
          <t>PF103654</t>
        </is>
      </c>
      <c r="B3663" s="68" t="n">
        <v>46095</v>
      </c>
      <c r="C3663" s="69" t="n">
        <v>2026</v>
      </c>
      <c r="D3663" t="inlineStr">
        <is>
          <t>Mar</t>
        </is>
      </c>
      <c r="E3663" t="inlineStr">
        <is>
          <t>International developed</t>
        </is>
      </c>
      <c r="F3663" t="inlineStr">
        <is>
          <t>Canada</t>
        </is>
      </c>
      <c r="G3663" t="inlineStr">
        <is>
          <t>Comirnaty</t>
        </is>
      </c>
      <c r="H3663" t="inlineStr">
        <is>
          <t>Hospital</t>
        </is>
      </c>
      <c r="I3663" t="inlineStr">
        <is>
          <t>Private insurer</t>
        </is>
      </c>
      <c r="J3663" t="inlineStr">
        <is>
          <t>Sara Rossi</t>
        </is>
      </c>
      <c r="K3663" s="70" t="n">
        <v>2326</v>
      </c>
      <c r="L3663" s="71" t="n">
        <v>91.8</v>
      </c>
      <c r="M3663" s="71" t="n">
        <v>213526.8</v>
      </c>
      <c r="N3663" s="71" t="n">
        <v>42705.36</v>
      </c>
      <c r="O3663" s="71" t="n">
        <v>170821.44</v>
      </c>
      <c r="P3663" s="71" t="n">
        <v>86109.49000000001</v>
      </c>
      <c r="Q3663" s="71" t="n">
        <v>84711.95</v>
      </c>
      <c r="R3663" t="inlineStr">
        <is>
          <t>Vaccines</t>
        </is>
      </c>
      <c r="S3663" s="70" t="n">
        <v>1653</v>
      </c>
      <c r="T3663" s="71" t="n">
        <v>43460.66</v>
      </c>
      <c r="U3663" t="inlineStr">
        <is>
          <t>Low</t>
        </is>
      </c>
      <c r="V3663">
        <f>IF(AND(OR(Dashboard!$C$6="All",E3663=Dashboard!$C$6),OR(Dashboard!$F$6="All",G3663=Dashboard!$F$6),OR(Dashboard!$I$6="All",H3663=Dashboard!$I$6)),1,0)</f>
        <v/>
      </c>
    </row>
    <row r="3664">
      <c r="A3664" t="inlineStr">
        <is>
          <t>PF103655</t>
        </is>
      </c>
      <c r="B3664" s="68" t="n">
        <v>46095</v>
      </c>
      <c r="C3664" s="69" t="n">
        <v>2026</v>
      </c>
      <c r="D3664" t="inlineStr">
        <is>
          <t>Mar</t>
        </is>
      </c>
      <c r="E3664" t="inlineStr">
        <is>
          <t>United States</t>
        </is>
      </c>
      <c r="F3664" t="inlineStr">
        <is>
          <t>USA</t>
        </is>
      </c>
      <c r="G3664" t="inlineStr">
        <is>
          <t>Abrysvo</t>
        </is>
      </c>
      <c r="H3664" t="inlineStr">
        <is>
          <t>Hospital</t>
        </is>
      </c>
      <c r="I3664" t="inlineStr">
        <is>
          <t>Private insurer</t>
        </is>
      </c>
      <c r="J3664" t="inlineStr">
        <is>
          <t>Mei Lin</t>
        </is>
      </c>
      <c r="K3664" s="70" t="n">
        <v>1722</v>
      </c>
      <c r="L3664" s="71" t="n">
        <v>505.21</v>
      </c>
      <c r="M3664" s="71" t="n">
        <v>869971.62</v>
      </c>
      <c r="N3664" s="71" t="n">
        <v>260991.49</v>
      </c>
      <c r="O3664" s="71" t="n">
        <v>608980.13</v>
      </c>
      <c r="P3664" s="71" t="n">
        <v>148410.73</v>
      </c>
      <c r="Q3664" s="71" t="n">
        <v>460569.4</v>
      </c>
      <c r="R3664" t="inlineStr">
        <is>
          <t>Vaccines</t>
        </is>
      </c>
      <c r="S3664" s="70" t="n">
        <v>1144</v>
      </c>
      <c r="T3664" s="71" t="n">
        <v>100219.93</v>
      </c>
      <c r="U3664" t="inlineStr">
        <is>
          <t>Low</t>
        </is>
      </c>
      <c r="V3664">
        <f>IF(AND(OR(Dashboard!$C$6="All",E3664=Dashboard!$C$6),OR(Dashboard!$F$6="All",G3664=Dashboard!$F$6),OR(Dashboard!$I$6="All",H3664=Dashboard!$I$6)),1,0)</f>
        <v/>
      </c>
    </row>
    <row r="3665">
      <c r="A3665" t="inlineStr">
        <is>
          <t>PF103656</t>
        </is>
      </c>
      <c r="B3665" s="68" t="n">
        <v>46095</v>
      </c>
      <c r="C3665" s="69" t="n">
        <v>2026</v>
      </c>
      <c r="D3665" t="inlineStr">
        <is>
          <t>Mar</t>
        </is>
      </c>
      <c r="E3665" t="inlineStr">
        <is>
          <t>United States</t>
        </is>
      </c>
      <c r="F3665" t="inlineStr">
        <is>
          <t>USA</t>
        </is>
      </c>
      <c r="G3665" t="inlineStr">
        <is>
          <t>Paxlovid</t>
        </is>
      </c>
      <c r="H3665" t="inlineStr">
        <is>
          <t>Hospital</t>
        </is>
      </c>
      <c r="I3665" t="inlineStr">
        <is>
          <t>Public payer</t>
        </is>
      </c>
      <c r="J3665" t="inlineStr">
        <is>
          <t>Sophie Müller</t>
        </is>
      </c>
      <c r="K3665" s="70" t="n">
        <v>1370</v>
      </c>
      <c r="L3665" s="71" t="n">
        <v>1482.7</v>
      </c>
      <c r="M3665" s="71" t="n">
        <v>2031299</v>
      </c>
      <c r="N3665" s="71" t="n">
        <v>507824.75</v>
      </c>
      <c r="O3665" s="71" t="n">
        <v>1523474.25</v>
      </c>
      <c r="P3665" s="71" t="n">
        <v>388693.26</v>
      </c>
      <c r="Q3665" s="71" t="n">
        <v>1134780.99</v>
      </c>
      <c r="R3665" t="inlineStr">
        <is>
          <t>Antiviral</t>
        </is>
      </c>
      <c r="S3665" s="70" t="n">
        <v>1087</v>
      </c>
      <c r="T3665" s="71" t="n">
        <v>368946.3</v>
      </c>
      <c r="U3665" t="inlineStr">
        <is>
          <t>Low</t>
        </is>
      </c>
      <c r="V3665">
        <f>IF(AND(OR(Dashboard!$C$6="All",E3665=Dashboard!$C$6),OR(Dashboard!$F$6="All",G3665=Dashboard!$F$6),OR(Dashboard!$I$6="All",H3665=Dashboard!$I$6)),1,0)</f>
        <v/>
      </c>
    </row>
    <row r="3666">
      <c r="A3666" t="inlineStr">
        <is>
          <t>PF103657</t>
        </is>
      </c>
      <c r="B3666" s="68" t="n">
        <v>46095</v>
      </c>
      <c r="C3666" s="69" t="n">
        <v>2026</v>
      </c>
      <c r="D3666" t="inlineStr">
        <is>
          <t>Mar</t>
        </is>
      </c>
      <c r="E3666" t="inlineStr">
        <is>
          <t>United States</t>
        </is>
      </c>
      <c r="F3666" t="inlineStr">
        <is>
          <t>USA</t>
        </is>
      </c>
      <c r="G3666" t="inlineStr">
        <is>
          <t>Paxlovid</t>
        </is>
      </c>
      <c r="H3666" t="inlineStr">
        <is>
          <t>Government / tender</t>
        </is>
      </c>
      <c r="I3666" t="inlineStr">
        <is>
          <t>Private insurer</t>
        </is>
      </c>
      <c r="J3666" t="inlineStr">
        <is>
          <t>Priya Nair</t>
        </is>
      </c>
      <c r="K3666" s="70" t="n">
        <v>1803</v>
      </c>
      <c r="L3666" s="71" t="n">
        <v>1568.68</v>
      </c>
      <c r="M3666" s="71" t="n">
        <v>2828330.04</v>
      </c>
      <c r="N3666" s="71" t="n">
        <v>707082.51</v>
      </c>
      <c r="O3666" s="71" t="n">
        <v>2121247.53</v>
      </c>
      <c r="P3666" s="71" t="n">
        <v>493989.52</v>
      </c>
      <c r="Q3666" s="71" t="n">
        <v>1627258.01</v>
      </c>
      <c r="R3666" t="inlineStr">
        <is>
          <t>Antiviral</t>
        </is>
      </c>
      <c r="S3666" s="70" t="n">
        <v>1739</v>
      </c>
      <c r="T3666" s="71" t="n">
        <v>641468.14</v>
      </c>
      <c r="U3666" t="inlineStr">
        <is>
          <t>Low</t>
        </is>
      </c>
      <c r="V3666">
        <f>IF(AND(OR(Dashboard!$C$6="All",E3666=Dashboard!$C$6),OR(Dashboard!$F$6="All",G3666=Dashboard!$F$6),OR(Dashboard!$I$6="All",H3666=Dashboard!$I$6)),1,0)</f>
        <v/>
      </c>
    </row>
    <row r="3667">
      <c r="A3667" t="inlineStr">
        <is>
          <t>PF103658</t>
        </is>
      </c>
      <c r="B3667" s="68" t="n">
        <v>46095</v>
      </c>
      <c r="C3667" s="69" t="n">
        <v>2026</v>
      </c>
      <c r="D3667" t="inlineStr">
        <is>
          <t>Mar</t>
        </is>
      </c>
      <c r="E3667" t="inlineStr">
        <is>
          <t>International developed</t>
        </is>
      </c>
      <c r="F3667" t="inlineStr">
        <is>
          <t>Australia</t>
        </is>
      </c>
      <c r="G3667" t="inlineStr">
        <is>
          <t>Prevnar 20</t>
        </is>
      </c>
      <c r="H3667" t="inlineStr">
        <is>
          <t>Hospital</t>
        </is>
      </c>
      <c r="I3667" t="inlineStr">
        <is>
          <t>Private insurer</t>
        </is>
      </c>
      <c r="J3667" t="inlineStr">
        <is>
          <t>Hiroshi Tanaka</t>
        </is>
      </c>
      <c r="K3667" s="70" t="n">
        <v>1644</v>
      </c>
      <c r="L3667" s="71" t="n">
        <v>237.48</v>
      </c>
      <c r="M3667" s="71" t="n">
        <v>390417.12</v>
      </c>
      <c r="N3667" s="71" t="n">
        <v>78083.42</v>
      </c>
      <c r="O3667" s="71" t="n">
        <v>312333.7</v>
      </c>
      <c r="P3667" s="71" t="n">
        <v>117507.53</v>
      </c>
      <c r="Q3667" s="71" t="n">
        <v>194826.17</v>
      </c>
      <c r="R3667" t="inlineStr">
        <is>
          <t>Vaccines</t>
        </is>
      </c>
      <c r="S3667" s="70" t="n">
        <v>1088</v>
      </c>
      <c r="T3667" s="71" t="n">
        <v>67632.3</v>
      </c>
      <c r="U3667" t="inlineStr">
        <is>
          <t>Low</t>
        </is>
      </c>
      <c r="V3667">
        <f>IF(AND(OR(Dashboard!$C$6="All",E3667=Dashboard!$C$6),OR(Dashboard!$F$6="All",G3667=Dashboard!$F$6),OR(Dashboard!$I$6="All",H3667=Dashboard!$I$6)),1,0)</f>
        <v/>
      </c>
    </row>
    <row r="3668">
      <c r="A3668" t="inlineStr">
        <is>
          <t>PF103659</t>
        </is>
      </c>
      <c r="B3668" s="68" t="n">
        <v>46095</v>
      </c>
      <c r="C3668" s="69" t="n">
        <v>2026</v>
      </c>
      <c r="D3668" t="inlineStr">
        <is>
          <t>Mar</t>
        </is>
      </c>
      <c r="E3668" t="inlineStr">
        <is>
          <t>United States</t>
        </is>
      </c>
      <c r="F3668" t="inlineStr">
        <is>
          <t>USA</t>
        </is>
      </c>
      <c r="G3668" t="inlineStr">
        <is>
          <t>Prevnar 20</t>
        </is>
      </c>
      <c r="H3668" t="inlineStr">
        <is>
          <t>Government / tender</t>
        </is>
      </c>
      <c r="I3668" t="inlineStr">
        <is>
          <t>Public payer</t>
        </is>
      </c>
      <c r="J3668" t="inlineStr">
        <is>
          <t>Aisha Bello</t>
        </is>
      </c>
      <c r="K3668" s="70" t="n">
        <v>1377</v>
      </c>
      <c r="L3668" s="71" t="n">
        <v>367.7</v>
      </c>
      <c r="M3668" s="71" t="n">
        <v>506322.9</v>
      </c>
      <c r="N3668" s="71" t="n">
        <v>126580.73</v>
      </c>
      <c r="O3668" s="71" t="n">
        <v>379742.17</v>
      </c>
      <c r="P3668" s="71" t="n">
        <v>92568.48</v>
      </c>
      <c r="Q3668" s="71" t="n">
        <v>287173.69</v>
      </c>
      <c r="R3668" t="inlineStr">
        <is>
          <t>Vaccines</t>
        </is>
      </c>
      <c r="S3668" s="70" t="n">
        <v>1303</v>
      </c>
      <c r="T3668" s="71" t="n">
        <v>95889.42</v>
      </c>
      <c r="U3668" t="inlineStr">
        <is>
          <t>Low</t>
        </is>
      </c>
      <c r="V3668">
        <f>IF(AND(OR(Dashboard!$C$6="All",E3668=Dashboard!$C$6),OR(Dashboard!$F$6="All",G3668=Dashboard!$F$6),OR(Dashboard!$I$6="All",H3668=Dashboard!$I$6)),1,0)</f>
        <v/>
      </c>
    </row>
    <row r="3669">
      <c r="A3669" t="inlineStr">
        <is>
          <t>PF103660</t>
        </is>
      </c>
      <c r="B3669" s="68" t="n">
        <v>46095</v>
      </c>
      <c r="C3669" s="69" t="n">
        <v>2026</v>
      </c>
      <c r="D3669" t="inlineStr">
        <is>
          <t>Mar</t>
        </is>
      </c>
      <c r="E3669" t="inlineStr">
        <is>
          <t>United States</t>
        </is>
      </c>
      <c r="F3669" t="inlineStr">
        <is>
          <t>USA</t>
        </is>
      </c>
      <c r="G3669" t="inlineStr">
        <is>
          <t>Prevnar 20</t>
        </is>
      </c>
      <c r="H3669" t="inlineStr">
        <is>
          <t>Government / tender</t>
        </is>
      </c>
      <c r="I3669" t="inlineStr">
        <is>
          <t>Public payer</t>
        </is>
      </c>
      <c r="J3669" t="inlineStr">
        <is>
          <t>Lucas Martin</t>
        </is>
      </c>
      <c r="K3669" s="70" t="n">
        <v>1461</v>
      </c>
      <c r="L3669" s="71" t="n">
        <v>371.89</v>
      </c>
      <c r="M3669" s="71" t="n">
        <v>543331.29</v>
      </c>
      <c r="N3669" s="71" t="n">
        <v>81499.69</v>
      </c>
      <c r="O3669" s="71" t="n">
        <v>461831.6</v>
      </c>
      <c r="P3669" s="71" t="n">
        <v>98121.73</v>
      </c>
      <c r="Q3669" s="71" t="n">
        <v>363709.87</v>
      </c>
      <c r="R3669" t="inlineStr">
        <is>
          <t>Vaccines</t>
        </is>
      </c>
      <c r="S3669" s="70" t="n">
        <v>1041</v>
      </c>
      <c r="T3669" s="71" t="n">
        <v>84480.39</v>
      </c>
      <c r="U3669" t="inlineStr">
        <is>
          <t>Low</t>
        </is>
      </c>
      <c r="V3669">
        <f>IF(AND(OR(Dashboard!$C$6="All",E3669=Dashboard!$C$6),OR(Dashboard!$F$6="All",G3669=Dashboard!$F$6),OR(Dashboard!$I$6="All",H3669=Dashboard!$I$6)),1,0)</f>
        <v/>
      </c>
    </row>
    <row r="3670">
      <c r="A3670" t="inlineStr">
        <is>
          <t>PF103661</t>
        </is>
      </c>
      <c r="B3670" s="68" t="n">
        <v>46095</v>
      </c>
      <c r="C3670" s="69" t="n">
        <v>2026</v>
      </c>
      <c r="D3670" t="inlineStr">
        <is>
          <t>Mar</t>
        </is>
      </c>
      <c r="E3670" t="inlineStr">
        <is>
          <t>Europe</t>
        </is>
      </c>
      <c r="F3670" t="inlineStr">
        <is>
          <t>UK</t>
        </is>
      </c>
      <c r="G3670" t="inlineStr">
        <is>
          <t>Prevnar 20</t>
        </is>
      </c>
      <c r="H3670" t="inlineStr">
        <is>
          <t>Government / tender</t>
        </is>
      </c>
      <c r="I3670" t="inlineStr">
        <is>
          <t>Private insurer</t>
        </is>
      </c>
      <c r="J3670" t="inlineStr">
        <is>
          <t>Mei Lin</t>
        </is>
      </c>
      <c r="K3670" s="70" t="n">
        <v>1453</v>
      </c>
      <c r="L3670" s="71" t="n">
        <v>241.12</v>
      </c>
      <c r="M3670" s="71" t="n">
        <v>350347.36</v>
      </c>
      <c r="N3670" s="71" t="n">
        <v>17517.37</v>
      </c>
      <c r="O3670" s="71" t="n">
        <v>332829.99</v>
      </c>
      <c r="P3670" s="71" t="n">
        <v>102542.48</v>
      </c>
      <c r="Q3670" s="71" t="n">
        <v>230287.51</v>
      </c>
      <c r="R3670" t="inlineStr">
        <is>
          <t>Vaccines</t>
        </is>
      </c>
      <c r="S3670" s="70" t="n">
        <v>925</v>
      </c>
      <c r="T3670" s="71" t="n">
        <v>74286.59</v>
      </c>
      <c r="U3670" t="inlineStr">
        <is>
          <t>Low</t>
        </is>
      </c>
      <c r="V3670">
        <f>IF(AND(OR(Dashboard!$C$6="All",E3670=Dashboard!$C$6),OR(Dashboard!$F$6="All",G3670=Dashboard!$F$6),OR(Dashboard!$I$6="All",H3670=Dashboard!$I$6)),1,0)</f>
        <v/>
      </c>
    </row>
    <row r="3671">
      <c r="A3671" t="inlineStr">
        <is>
          <t>PF103662</t>
        </is>
      </c>
      <c r="B3671" s="68" t="n">
        <v>46095</v>
      </c>
      <c r="C3671" s="69" t="n">
        <v>2026</v>
      </c>
      <c r="D3671" t="inlineStr">
        <is>
          <t>Mar</t>
        </is>
      </c>
      <c r="E3671" t="inlineStr">
        <is>
          <t>United States</t>
        </is>
      </c>
      <c r="F3671" t="inlineStr">
        <is>
          <t>USA</t>
        </is>
      </c>
      <c r="G3671" t="inlineStr">
        <is>
          <t>Eliquis</t>
        </is>
      </c>
      <c r="H3671" t="inlineStr">
        <is>
          <t>Hospital</t>
        </is>
      </c>
      <c r="I3671" t="inlineStr">
        <is>
          <t>Private insurer</t>
        </is>
      </c>
      <c r="J3671" t="inlineStr">
        <is>
          <t>Priya Nair</t>
        </is>
      </c>
      <c r="K3671" s="70" t="n">
        <v>969</v>
      </c>
      <c r="L3671" s="71" t="n">
        <v>715.39</v>
      </c>
      <c r="M3671" s="71" t="n">
        <v>693212.91</v>
      </c>
      <c r="N3671" s="71" t="n">
        <v>242624.52</v>
      </c>
      <c r="O3671" s="71" t="n">
        <v>450588.39</v>
      </c>
      <c r="P3671" s="71" t="n">
        <v>75399.53999999999</v>
      </c>
      <c r="Q3671" s="71" t="n">
        <v>375188.85</v>
      </c>
      <c r="R3671" t="inlineStr">
        <is>
          <t>Cardiology</t>
        </is>
      </c>
      <c r="S3671" s="70" t="n">
        <v>929</v>
      </c>
      <c r="T3671" s="71" t="n">
        <v>130096.91</v>
      </c>
      <c r="U3671" t="inlineStr">
        <is>
          <t>High</t>
        </is>
      </c>
      <c r="V3671">
        <f>IF(AND(OR(Dashboard!$C$6="All",E3671=Dashboard!$C$6),OR(Dashboard!$F$6="All",G3671=Dashboard!$F$6),OR(Dashboard!$I$6="All",H3671=Dashboard!$I$6)),1,0)</f>
        <v/>
      </c>
    </row>
    <row r="3672">
      <c r="A3672" t="inlineStr">
        <is>
          <t>PF103663</t>
        </is>
      </c>
      <c r="B3672" s="68" t="n">
        <v>46095</v>
      </c>
      <c r="C3672" s="69" t="n">
        <v>2026</v>
      </c>
      <c r="D3672" t="inlineStr">
        <is>
          <t>Mar</t>
        </is>
      </c>
      <c r="E3672" t="inlineStr">
        <is>
          <t>United States</t>
        </is>
      </c>
      <c r="F3672" t="inlineStr">
        <is>
          <t>USA</t>
        </is>
      </c>
      <c r="G3672" t="inlineStr">
        <is>
          <t>Xeljanz</t>
        </is>
      </c>
      <c r="H3672" t="inlineStr">
        <is>
          <t>Retail pharmacy</t>
        </is>
      </c>
      <c r="I3672" t="inlineStr">
        <is>
          <t>Public payer</t>
        </is>
      </c>
      <c r="J3672" t="inlineStr">
        <is>
          <t>Sophie Müller</t>
        </is>
      </c>
      <c r="K3672" s="70" t="n">
        <v>675</v>
      </c>
      <c r="L3672" s="71" t="n">
        <v>2027.62</v>
      </c>
      <c r="M3672" s="71" t="n">
        <v>1368643.5</v>
      </c>
      <c r="N3672" s="71" t="n">
        <v>273728.7</v>
      </c>
      <c r="O3672" s="71" t="n">
        <v>1094914.8</v>
      </c>
      <c r="P3672" s="71" t="n">
        <v>176350.09</v>
      </c>
      <c r="Q3672" s="71" t="n">
        <v>918564.71</v>
      </c>
      <c r="R3672" t="inlineStr">
        <is>
          <t>Inflammation</t>
        </is>
      </c>
      <c r="S3672" s="70" t="n">
        <v>520</v>
      </c>
      <c r="T3672" s="71" t="n">
        <v>206231.79</v>
      </c>
      <c r="U3672" t="inlineStr">
        <is>
          <t>High</t>
        </is>
      </c>
      <c r="V3672">
        <f>IF(AND(OR(Dashboard!$C$6="All",E3672=Dashboard!$C$6),OR(Dashboard!$F$6="All",G3672=Dashboard!$F$6),OR(Dashboard!$I$6="All",H3672=Dashboard!$I$6)),1,0)</f>
        <v/>
      </c>
    </row>
    <row r="3673">
      <c r="A3673" t="inlineStr">
        <is>
          <t>PF103664</t>
        </is>
      </c>
      <c r="B3673" s="68" t="n">
        <v>46095</v>
      </c>
      <c r="C3673" s="69" t="n">
        <v>2026</v>
      </c>
      <c r="D3673" t="inlineStr">
        <is>
          <t>Mar</t>
        </is>
      </c>
      <c r="E3673" t="inlineStr">
        <is>
          <t>Europe</t>
        </is>
      </c>
      <c r="F3673" t="inlineStr">
        <is>
          <t>Germany</t>
        </is>
      </c>
      <c r="G3673" t="inlineStr">
        <is>
          <t>Eliquis</t>
        </is>
      </c>
      <c r="H3673" t="inlineStr">
        <is>
          <t>Retail pharmacy</t>
        </is>
      </c>
      <c r="I3673" t="inlineStr">
        <is>
          <t>Public payer</t>
        </is>
      </c>
      <c r="J3673" t="inlineStr">
        <is>
          <t>Olivia Brown</t>
        </is>
      </c>
      <c r="K3673" s="70" t="n">
        <v>913</v>
      </c>
      <c r="L3673" s="71" t="n">
        <v>447.75</v>
      </c>
      <c r="M3673" s="71" t="n">
        <v>408795.75</v>
      </c>
      <c r="N3673" s="71" t="n">
        <v>40879.58</v>
      </c>
      <c r="O3673" s="71" t="n">
        <v>367916.17</v>
      </c>
      <c r="P3673" s="71" t="n">
        <v>70764.12</v>
      </c>
      <c r="Q3673" s="71" t="n">
        <v>297152.05</v>
      </c>
      <c r="R3673" t="inlineStr">
        <is>
          <t>Cardiology</t>
        </is>
      </c>
      <c r="S3673" s="70" t="n">
        <v>704</v>
      </c>
      <c r="T3673" s="71" t="n">
        <v>81507.89</v>
      </c>
      <c r="U3673" t="inlineStr">
        <is>
          <t>High</t>
        </is>
      </c>
      <c r="V3673">
        <f>IF(AND(OR(Dashboard!$C$6="All",E3673=Dashboard!$C$6),OR(Dashboard!$F$6="All",G3673=Dashboard!$F$6),OR(Dashboard!$I$6="All",H3673=Dashboard!$I$6)),1,0)</f>
        <v/>
      </c>
    </row>
    <row r="3674">
      <c r="A3674" t="inlineStr">
        <is>
          <t>PF103665</t>
        </is>
      </c>
      <c r="B3674" s="68" t="n">
        <v>46095</v>
      </c>
      <c r="C3674" s="69" t="n">
        <v>2026</v>
      </c>
      <c r="D3674" t="inlineStr">
        <is>
          <t>Mar</t>
        </is>
      </c>
      <c r="E3674" t="inlineStr">
        <is>
          <t>United States</t>
        </is>
      </c>
      <c r="F3674" t="inlineStr">
        <is>
          <t>USA</t>
        </is>
      </c>
      <c r="G3674" t="inlineStr">
        <is>
          <t>Vyndaqel</t>
        </is>
      </c>
      <c r="H3674" t="inlineStr">
        <is>
          <t>Government / tender</t>
        </is>
      </c>
      <c r="I3674" t="inlineStr">
        <is>
          <t>Private insurer</t>
        </is>
      </c>
      <c r="J3674" t="inlineStr">
        <is>
          <t>Yuki Sato</t>
        </is>
      </c>
      <c r="K3674" s="70" t="n">
        <v>2909</v>
      </c>
      <c r="L3674" s="71" t="n">
        <v>8540.690000000001</v>
      </c>
      <c r="M3674" s="71" t="n">
        <v>24844867.21</v>
      </c>
      <c r="N3674" s="71" t="n">
        <v>8695703.52</v>
      </c>
      <c r="O3674" s="71" t="n">
        <v>16149163.69</v>
      </c>
      <c r="P3674" s="71" t="n">
        <v>1808643.87</v>
      </c>
      <c r="Q3674" s="71" t="n">
        <v>14340519.82</v>
      </c>
      <c r="R3674" t="inlineStr">
        <is>
          <t>Rare disease</t>
        </is>
      </c>
      <c r="S3674" s="70" t="n">
        <v>2270</v>
      </c>
      <c r="T3674" s="71" t="n">
        <v>3914738.47</v>
      </c>
      <c r="U3674" t="inlineStr">
        <is>
          <t>Medium</t>
        </is>
      </c>
      <c r="V3674">
        <f>IF(AND(OR(Dashboard!$C$6="All",E3674=Dashboard!$C$6),OR(Dashboard!$F$6="All",G3674=Dashboard!$F$6),OR(Dashboard!$I$6="All",H3674=Dashboard!$I$6)),1,0)</f>
        <v/>
      </c>
    </row>
    <row r="3675">
      <c r="A3675" t="inlineStr">
        <is>
          <t>PF103666</t>
        </is>
      </c>
      <c r="B3675" s="68" t="n">
        <v>46095</v>
      </c>
      <c r="C3675" s="69" t="n">
        <v>2026</v>
      </c>
      <c r="D3675" t="inlineStr">
        <is>
          <t>Mar</t>
        </is>
      </c>
      <c r="E3675" t="inlineStr">
        <is>
          <t>United States</t>
        </is>
      </c>
      <c r="F3675" t="inlineStr">
        <is>
          <t>USA</t>
        </is>
      </c>
      <c r="G3675" t="inlineStr">
        <is>
          <t>Xeljanz</t>
        </is>
      </c>
      <c r="H3675" t="inlineStr">
        <is>
          <t>Government / tender</t>
        </is>
      </c>
      <c r="I3675" t="inlineStr">
        <is>
          <t>Public payer</t>
        </is>
      </c>
      <c r="J3675" t="inlineStr">
        <is>
          <t>Wei Chen</t>
        </is>
      </c>
      <c r="K3675" s="70" t="n">
        <v>1870</v>
      </c>
      <c r="L3675" s="71" t="n">
        <v>2077.69</v>
      </c>
      <c r="M3675" s="71" t="n">
        <v>3885280.3</v>
      </c>
      <c r="N3675" s="71" t="n">
        <v>582792.05</v>
      </c>
      <c r="O3675" s="71" t="n">
        <v>3302488.25</v>
      </c>
      <c r="P3675" s="71" t="n">
        <v>471422.99</v>
      </c>
      <c r="Q3675" s="71" t="n">
        <v>2831065.26</v>
      </c>
      <c r="R3675" t="inlineStr">
        <is>
          <t>Inflammation</t>
        </is>
      </c>
      <c r="S3675" s="70" t="n">
        <v>1568</v>
      </c>
      <c r="T3675" s="71" t="n">
        <v>693857.25</v>
      </c>
      <c r="U3675" t="inlineStr">
        <is>
          <t>High</t>
        </is>
      </c>
      <c r="V3675">
        <f>IF(AND(OR(Dashboard!$C$6="All",E3675=Dashboard!$C$6),OR(Dashboard!$F$6="All",G3675=Dashboard!$F$6),OR(Dashboard!$I$6="All",H3675=Dashboard!$I$6)),1,0)</f>
        <v/>
      </c>
    </row>
    <row r="3676">
      <c r="A3676" t="inlineStr">
        <is>
          <t>PF103667</t>
        </is>
      </c>
      <c r="B3676" s="68" t="n">
        <v>46096</v>
      </c>
      <c r="C3676" s="69" t="n">
        <v>2026</v>
      </c>
      <c r="D3676" t="inlineStr">
        <is>
          <t>Mar</t>
        </is>
      </c>
      <c r="E3676" t="inlineStr">
        <is>
          <t>United States</t>
        </is>
      </c>
      <c r="F3676" t="inlineStr">
        <is>
          <t>USA</t>
        </is>
      </c>
      <c r="G3676" t="inlineStr">
        <is>
          <t>Prevnar 20</t>
        </is>
      </c>
      <c r="H3676" t="inlineStr">
        <is>
          <t>Hospital</t>
        </is>
      </c>
      <c r="I3676" t="inlineStr">
        <is>
          <t>Public payer</t>
        </is>
      </c>
      <c r="J3676" t="inlineStr">
        <is>
          <t>Emma Clarke</t>
        </is>
      </c>
      <c r="K3676" s="70" t="n">
        <v>2268</v>
      </c>
      <c r="L3676" s="71" t="n">
        <v>408.71</v>
      </c>
      <c r="M3676" s="71" t="n">
        <v>926954.28</v>
      </c>
      <c r="N3676" s="71" t="n">
        <v>185390.86</v>
      </c>
      <c r="O3676" s="71" t="n">
        <v>741563.42</v>
      </c>
      <c r="P3676" s="71" t="n">
        <v>151693.84</v>
      </c>
      <c r="Q3676" s="71" t="n">
        <v>589869.58</v>
      </c>
      <c r="R3676" t="inlineStr">
        <is>
          <t>Vaccines</t>
        </is>
      </c>
      <c r="S3676" s="70" t="n">
        <v>1766</v>
      </c>
      <c r="T3676" s="71" t="n">
        <v>131465.13</v>
      </c>
      <c r="U3676" t="inlineStr">
        <is>
          <t>Low</t>
        </is>
      </c>
      <c r="V3676">
        <f>IF(AND(OR(Dashboard!$C$6="All",E3676=Dashboard!$C$6),OR(Dashboard!$F$6="All",G3676=Dashboard!$F$6),OR(Dashboard!$I$6="All",H3676=Dashboard!$I$6)),1,0)</f>
        <v/>
      </c>
    </row>
    <row r="3677">
      <c r="A3677" t="inlineStr">
        <is>
          <t>PF103668</t>
        </is>
      </c>
      <c r="B3677" s="68" t="n">
        <v>46096</v>
      </c>
      <c r="C3677" s="69" t="n">
        <v>2026</v>
      </c>
      <c r="D3677" t="inlineStr">
        <is>
          <t>Mar</t>
        </is>
      </c>
      <c r="E3677" t="inlineStr">
        <is>
          <t>United States</t>
        </is>
      </c>
      <c r="F3677" t="inlineStr">
        <is>
          <t>USA</t>
        </is>
      </c>
      <c r="G3677" t="inlineStr">
        <is>
          <t>Ibrance</t>
        </is>
      </c>
      <c r="H3677" t="inlineStr">
        <is>
          <t>Hospital</t>
        </is>
      </c>
      <c r="I3677" t="inlineStr">
        <is>
          <t>Public payer</t>
        </is>
      </c>
      <c r="J3677" t="inlineStr">
        <is>
          <t>Mei Lin</t>
        </is>
      </c>
      <c r="K3677" s="70" t="n">
        <v>2233</v>
      </c>
      <c r="L3677" s="71" t="n">
        <v>4177.69</v>
      </c>
      <c r="M3677" s="71" t="n">
        <v>9328781.77</v>
      </c>
      <c r="N3677" s="71" t="n">
        <v>1865756.35</v>
      </c>
      <c r="O3677" s="71" t="n">
        <v>7463025.42</v>
      </c>
      <c r="P3677" s="71" t="n">
        <v>988459.5600000001</v>
      </c>
      <c r="Q3677" s="71" t="n">
        <v>6474565.86</v>
      </c>
      <c r="R3677" t="inlineStr">
        <is>
          <t>Oncology</t>
        </is>
      </c>
      <c r="S3677" s="70" t="n">
        <v>1784</v>
      </c>
      <c r="T3677" s="71" t="n">
        <v>1242714.23</v>
      </c>
      <c r="U3677" t="inlineStr">
        <is>
          <t>High</t>
        </is>
      </c>
      <c r="V3677">
        <f>IF(AND(OR(Dashboard!$C$6="All",E3677=Dashboard!$C$6),OR(Dashboard!$F$6="All",G3677=Dashboard!$F$6),OR(Dashboard!$I$6="All",H3677=Dashboard!$I$6)),1,0)</f>
        <v/>
      </c>
    </row>
    <row r="3678">
      <c r="A3678" t="inlineStr">
        <is>
          <t>PF103669</t>
        </is>
      </c>
      <c r="B3678" s="68" t="n">
        <v>46096</v>
      </c>
      <c r="C3678" s="69" t="n">
        <v>2026</v>
      </c>
      <c r="D3678" t="inlineStr">
        <is>
          <t>Mar</t>
        </is>
      </c>
      <c r="E3678" t="inlineStr">
        <is>
          <t>Emerging markets</t>
        </is>
      </c>
      <c r="F3678" t="inlineStr">
        <is>
          <t>China</t>
        </is>
      </c>
      <c r="G3678" t="inlineStr">
        <is>
          <t>Xeljanz</t>
        </is>
      </c>
      <c r="H3678" t="inlineStr">
        <is>
          <t>Retail pharmacy</t>
        </is>
      </c>
      <c r="I3678" t="inlineStr">
        <is>
          <t>Private insurer</t>
        </is>
      </c>
      <c r="J3678" t="inlineStr">
        <is>
          <t>Fatima Al-Saud</t>
        </is>
      </c>
      <c r="K3678" s="70" t="n">
        <v>2319</v>
      </c>
      <c r="L3678" s="71" t="n">
        <v>1399.22</v>
      </c>
      <c r="M3678" s="71" t="n">
        <v>3244791.18</v>
      </c>
      <c r="N3678" s="71" t="n">
        <v>324479.12</v>
      </c>
      <c r="O3678" s="71" t="n">
        <v>2920312.06</v>
      </c>
      <c r="P3678" s="71" t="n">
        <v>591043.92</v>
      </c>
      <c r="Q3678" s="71" t="n">
        <v>2329268.14</v>
      </c>
      <c r="R3678" t="inlineStr">
        <is>
          <t>Inflammation</t>
        </is>
      </c>
      <c r="S3678" s="70" t="n">
        <v>1723</v>
      </c>
      <c r="T3678" s="71" t="n">
        <v>716994.84</v>
      </c>
      <c r="U3678" t="inlineStr">
        <is>
          <t>High</t>
        </is>
      </c>
      <c r="V3678">
        <f>IF(AND(OR(Dashboard!$C$6="All",E3678=Dashboard!$C$6),OR(Dashboard!$F$6="All",G3678=Dashboard!$F$6),OR(Dashboard!$I$6="All",H3678=Dashboard!$I$6)),1,0)</f>
        <v/>
      </c>
    </row>
    <row r="3679">
      <c r="A3679" t="inlineStr">
        <is>
          <t>PF103670</t>
        </is>
      </c>
      <c r="B3679" s="68" t="n">
        <v>46096</v>
      </c>
      <c r="C3679" s="69" t="n">
        <v>2026</v>
      </c>
      <c r="D3679" t="inlineStr">
        <is>
          <t>Mar</t>
        </is>
      </c>
      <c r="E3679" t="inlineStr">
        <is>
          <t>United States</t>
        </is>
      </c>
      <c r="F3679" t="inlineStr">
        <is>
          <t>USA</t>
        </is>
      </c>
      <c r="G3679" t="inlineStr">
        <is>
          <t>Xeljanz</t>
        </is>
      </c>
      <c r="H3679" t="inlineStr">
        <is>
          <t>Retail pharmacy</t>
        </is>
      </c>
      <c r="I3679" t="inlineStr">
        <is>
          <t>Public payer</t>
        </is>
      </c>
      <c r="J3679" t="inlineStr">
        <is>
          <t>Carlos Silva</t>
        </is>
      </c>
      <c r="K3679" s="70" t="n">
        <v>620</v>
      </c>
      <c r="L3679" s="71" t="n">
        <v>2141.68</v>
      </c>
      <c r="M3679" s="71" t="n">
        <v>1327841.6</v>
      </c>
      <c r="N3679" s="71" t="n">
        <v>464744.56</v>
      </c>
      <c r="O3679" s="71" t="n">
        <v>863097.04</v>
      </c>
      <c r="P3679" s="71" t="n">
        <v>155447.11</v>
      </c>
      <c r="Q3679" s="71" t="n">
        <v>707649.9300000001</v>
      </c>
      <c r="R3679" t="inlineStr">
        <is>
          <t>Inflammation</t>
        </is>
      </c>
      <c r="S3679" s="70" t="n">
        <v>568</v>
      </c>
      <c r="T3679" s="71" t="n">
        <v>217818.14</v>
      </c>
      <c r="U3679" t="inlineStr">
        <is>
          <t>High</t>
        </is>
      </c>
      <c r="V3679">
        <f>IF(AND(OR(Dashboard!$C$6="All",E3679=Dashboard!$C$6),OR(Dashboard!$F$6="All",G3679=Dashboard!$F$6),OR(Dashboard!$I$6="All",H3679=Dashboard!$I$6)),1,0)</f>
        <v/>
      </c>
    </row>
    <row r="3680">
      <c r="A3680" t="inlineStr">
        <is>
          <t>PF103671</t>
        </is>
      </c>
      <c r="B3680" s="68" t="n">
        <v>46096</v>
      </c>
      <c r="C3680" s="69" t="n">
        <v>2026</v>
      </c>
      <c r="D3680" t="inlineStr">
        <is>
          <t>Mar</t>
        </is>
      </c>
      <c r="E3680" t="inlineStr">
        <is>
          <t>International developed</t>
        </is>
      </c>
      <c r="F3680" t="inlineStr">
        <is>
          <t>Canada</t>
        </is>
      </c>
      <c r="G3680" t="inlineStr">
        <is>
          <t>Vyndaqel</t>
        </is>
      </c>
      <c r="H3680" t="inlineStr">
        <is>
          <t>Hospital</t>
        </is>
      </c>
      <c r="I3680" t="inlineStr">
        <is>
          <t>Self-pay</t>
        </is>
      </c>
      <c r="J3680" t="inlineStr">
        <is>
          <t>Sophie Müller</t>
        </is>
      </c>
      <c r="K3680" s="70" t="n">
        <v>3220</v>
      </c>
      <c r="L3680" s="71" t="n">
        <v>5970.67</v>
      </c>
      <c r="M3680" s="71" t="n">
        <v>19225557.4</v>
      </c>
      <c r="N3680" s="71" t="n">
        <v>4806389.35</v>
      </c>
      <c r="O3680" s="71" t="n">
        <v>14419168.05</v>
      </c>
      <c r="P3680" s="71" t="n">
        <v>1998434.66</v>
      </c>
      <c r="Q3680" s="71" t="n">
        <v>12420733.39</v>
      </c>
      <c r="R3680" t="inlineStr">
        <is>
          <t>Rare disease</t>
        </is>
      </c>
      <c r="S3680" s="70" t="n">
        <v>3091</v>
      </c>
      <c r="T3680" s="71" t="n">
        <v>3137815.26</v>
      </c>
      <c r="U3680" t="inlineStr">
        <is>
          <t>Medium</t>
        </is>
      </c>
      <c r="V3680">
        <f>IF(AND(OR(Dashboard!$C$6="All",E3680=Dashboard!$C$6),OR(Dashboard!$F$6="All",G3680=Dashboard!$F$6),OR(Dashboard!$I$6="All",H3680=Dashboard!$I$6)),1,0)</f>
        <v/>
      </c>
    </row>
    <row r="3681">
      <c r="A3681" t="inlineStr">
        <is>
          <t>PF103672</t>
        </is>
      </c>
      <c r="B3681" s="68" t="n">
        <v>46096</v>
      </c>
      <c r="C3681" s="69" t="n">
        <v>2026</v>
      </c>
      <c r="D3681" t="inlineStr">
        <is>
          <t>Mar</t>
        </is>
      </c>
      <c r="E3681" t="inlineStr">
        <is>
          <t>Emerging markets</t>
        </is>
      </c>
      <c r="F3681" t="inlineStr">
        <is>
          <t>Brazil</t>
        </is>
      </c>
      <c r="G3681" t="inlineStr">
        <is>
          <t>Prevnar 20</t>
        </is>
      </c>
      <c r="H3681" t="inlineStr">
        <is>
          <t>Government / tender</t>
        </is>
      </c>
      <c r="I3681" t="inlineStr">
        <is>
          <t>Public payer</t>
        </is>
      </c>
      <c r="J3681" t="inlineStr">
        <is>
          <t>Omar Haddad</t>
        </is>
      </c>
      <c r="K3681" s="70" t="n">
        <v>2777</v>
      </c>
      <c r="L3681" s="71" t="n">
        <v>214.78</v>
      </c>
      <c r="M3681" s="71" t="n">
        <v>596444.0600000001</v>
      </c>
      <c r="N3681" s="71" t="n">
        <v>29822.2</v>
      </c>
      <c r="O3681" s="71" t="n">
        <v>566621.86</v>
      </c>
      <c r="P3681" s="71" t="n">
        <v>194687.58</v>
      </c>
      <c r="Q3681" s="71" t="n">
        <v>371934.28</v>
      </c>
      <c r="R3681" t="inlineStr">
        <is>
          <t>Vaccines</t>
        </is>
      </c>
      <c r="S3681" s="70" t="n">
        <v>2055</v>
      </c>
      <c r="T3681" s="71" t="n">
        <v>105577.83</v>
      </c>
      <c r="U3681" t="inlineStr">
        <is>
          <t>Low</t>
        </is>
      </c>
      <c r="V3681">
        <f>IF(AND(OR(Dashboard!$C$6="All",E3681=Dashboard!$C$6),OR(Dashboard!$F$6="All",G3681=Dashboard!$F$6),OR(Dashboard!$I$6="All",H3681=Dashboard!$I$6)),1,0)</f>
        <v/>
      </c>
    </row>
    <row r="3682">
      <c r="A3682" t="inlineStr">
        <is>
          <t>PF103673</t>
        </is>
      </c>
      <c r="B3682" s="68" t="n">
        <v>46096</v>
      </c>
      <c r="C3682" s="69" t="n">
        <v>2026</v>
      </c>
      <c r="D3682" t="inlineStr">
        <is>
          <t>Mar</t>
        </is>
      </c>
      <c r="E3682" t="inlineStr">
        <is>
          <t>Europe</t>
        </is>
      </c>
      <c r="F3682" t="inlineStr">
        <is>
          <t>Italy</t>
        </is>
      </c>
      <c r="G3682" t="inlineStr">
        <is>
          <t>Vyndaqel</t>
        </is>
      </c>
      <c r="H3682" t="inlineStr">
        <is>
          <t>Hospital</t>
        </is>
      </c>
      <c r="I3682" t="inlineStr">
        <is>
          <t>Public payer</t>
        </is>
      </c>
      <c r="J3682" t="inlineStr">
        <is>
          <t>Wei Chen</t>
        </is>
      </c>
      <c r="K3682" s="70" t="n">
        <v>2053</v>
      </c>
      <c r="L3682" s="71" t="n">
        <v>5806.39</v>
      </c>
      <c r="M3682" s="71" t="n">
        <v>11920518.67</v>
      </c>
      <c r="N3682" s="71" t="n">
        <v>1788077.8</v>
      </c>
      <c r="O3682" s="71" t="n">
        <v>10132440.87</v>
      </c>
      <c r="P3682" s="71" t="n">
        <v>1264193.61</v>
      </c>
      <c r="Q3682" s="71" t="n">
        <v>8868247.26</v>
      </c>
      <c r="R3682" t="inlineStr">
        <is>
          <t>Rare disease</t>
        </is>
      </c>
      <c r="S3682" s="70" t="n">
        <v>1328</v>
      </c>
      <c r="T3682" s="71" t="n">
        <v>1775874.92</v>
      </c>
      <c r="U3682" t="inlineStr">
        <is>
          <t>Medium</t>
        </is>
      </c>
      <c r="V3682">
        <f>IF(AND(OR(Dashboard!$C$6="All",E3682=Dashboard!$C$6),OR(Dashboard!$F$6="All",G3682=Dashboard!$F$6),OR(Dashboard!$I$6="All",H3682=Dashboard!$I$6)),1,0)</f>
        <v/>
      </c>
    </row>
    <row r="3683">
      <c r="A3683" t="inlineStr">
        <is>
          <t>PF103674</t>
        </is>
      </c>
      <c r="B3683" s="68" t="n">
        <v>46096</v>
      </c>
      <c r="C3683" s="69" t="n">
        <v>2026</v>
      </c>
      <c r="D3683" t="inlineStr">
        <is>
          <t>Mar</t>
        </is>
      </c>
      <c r="E3683" t="inlineStr">
        <is>
          <t>United States</t>
        </is>
      </c>
      <c r="F3683" t="inlineStr">
        <is>
          <t>USA</t>
        </is>
      </c>
      <c r="G3683" t="inlineStr">
        <is>
          <t>Abrysvo</t>
        </is>
      </c>
      <c r="H3683" t="inlineStr">
        <is>
          <t>Hospital</t>
        </is>
      </c>
      <c r="I3683" t="inlineStr">
        <is>
          <t>Self-pay</t>
        </is>
      </c>
      <c r="J3683" t="inlineStr">
        <is>
          <t>Noah Smith</t>
        </is>
      </c>
      <c r="K3683" s="70" t="n">
        <v>285</v>
      </c>
      <c r="L3683" s="71" t="n">
        <v>497.72</v>
      </c>
      <c r="M3683" s="71" t="n">
        <v>141850.2</v>
      </c>
      <c r="N3683" s="71" t="n">
        <v>42555.06</v>
      </c>
      <c r="O3683" s="71" t="n">
        <v>99295.14</v>
      </c>
      <c r="P3683" s="71" t="n">
        <v>23395.74</v>
      </c>
      <c r="Q3683" s="71" t="n">
        <v>75899.39999999999</v>
      </c>
      <c r="R3683" t="inlineStr">
        <is>
          <t>Vaccines</t>
        </is>
      </c>
      <c r="S3683" s="70" t="n">
        <v>270</v>
      </c>
      <c r="T3683" s="71" t="n">
        <v>25810.16</v>
      </c>
      <c r="U3683" t="inlineStr">
        <is>
          <t>Low</t>
        </is>
      </c>
      <c r="V3683">
        <f>IF(AND(OR(Dashboard!$C$6="All",E3683=Dashboard!$C$6),OR(Dashboard!$F$6="All",G3683=Dashboard!$F$6),OR(Dashboard!$I$6="All",H3683=Dashboard!$I$6)),1,0)</f>
        <v/>
      </c>
    </row>
    <row r="3684">
      <c r="A3684" t="inlineStr">
        <is>
          <t>PF103675</t>
        </is>
      </c>
      <c r="B3684" s="68" t="n">
        <v>46096</v>
      </c>
      <c r="C3684" s="69" t="n">
        <v>2026</v>
      </c>
      <c r="D3684" t="inlineStr">
        <is>
          <t>Mar</t>
        </is>
      </c>
      <c r="E3684" t="inlineStr">
        <is>
          <t>Europe</t>
        </is>
      </c>
      <c r="F3684" t="inlineStr">
        <is>
          <t>Italy</t>
        </is>
      </c>
      <c r="G3684" t="inlineStr">
        <is>
          <t>Prevnar 20</t>
        </is>
      </c>
      <c r="H3684" t="inlineStr">
        <is>
          <t>Hospital</t>
        </is>
      </c>
      <c r="I3684" t="inlineStr">
        <is>
          <t>Public payer</t>
        </is>
      </c>
      <c r="J3684" t="inlineStr">
        <is>
          <t>Kofi Mensah</t>
        </is>
      </c>
      <c r="K3684" s="70" t="n">
        <v>297</v>
      </c>
      <c r="L3684" s="71" t="n">
        <v>211.13</v>
      </c>
      <c r="M3684" s="71" t="n">
        <v>62705.61</v>
      </c>
      <c r="N3684" s="71" t="n">
        <v>6270.56</v>
      </c>
      <c r="O3684" s="71" t="n">
        <v>56435.05</v>
      </c>
      <c r="P3684" s="71" t="n">
        <v>19697.38</v>
      </c>
      <c r="Q3684" s="71" t="n">
        <v>36737.67</v>
      </c>
      <c r="R3684" t="inlineStr">
        <is>
          <t>Vaccines</t>
        </is>
      </c>
      <c r="S3684" s="70" t="n">
        <v>187</v>
      </c>
      <c r="T3684" s="71" t="n">
        <v>12125.3</v>
      </c>
      <c r="U3684" t="inlineStr">
        <is>
          <t>Low</t>
        </is>
      </c>
      <c r="V3684">
        <f>IF(AND(OR(Dashboard!$C$6="All",E3684=Dashboard!$C$6),OR(Dashboard!$F$6="All",G3684=Dashboard!$F$6),OR(Dashboard!$I$6="All",H3684=Dashboard!$I$6)),1,0)</f>
        <v/>
      </c>
    </row>
    <row r="3685">
      <c r="A3685" t="inlineStr">
        <is>
          <t>PF103676</t>
        </is>
      </c>
      <c r="B3685" s="68" t="n">
        <v>46097</v>
      </c>
      <c r="C3685" s="69" t="n">
        <v>2026</v>
      </c>
      <c r="D3685" t="inlineStr">
        <is>
          <t>Mar</t>
        </is>
      </c>
      <c r="E3685" t="inlineStr">
        <is>
          <t>United States</t>
        </is>
      </c>
      <c r="F3685" t="inlineStr">
        <is>
          <t>USA</t>
        </is>
      </c>
      <c r="G3685" t="inlineStr">
        <is>
          <t>Comirnaty</t>
        </is>
      </c>
      <c r="H3685" t="inlineStr">
        <is>
          <t>Retail pharmacy</t>
        </is>
      </c>
      <c r="I3685" t="inlineStr">
        <is>
          <t>Public payer</t>
        </is>
      </c>
      <c r="J3685" t="inlineStr">
        <is>
          <t>Kofi Mensah</t>
        </is>
      </c>
      <c r="K3685" s="70" t="n">
        <v>149</v>
      </c>
      <c r="L3685" s="71" t="n">
        <v>153.47</v>
      </c>
      <c r="M3685" s="71" t="n">
        <v>22867.03</v>
      </c>
      <c r="N3685" s="71" t="n">
        <v>4573.41</v>
      </c>
      <c r="O3685" s="71" t="n">
        <v>18293.62</v>
      </c>
      <c r="P3685" s="71" t="n">
        <v>5847.18</v>
      </c>
      <c r="Q3685" s="71" t="n">
        <v>12446.44</v>
      </c>
      <c r="R3685" t="inlineStr">
        <is>
          <t>Vaccines</t>
        </is>
      </c>
      <c r="S3685" s="70" t="n">
        <v>116</v>
      </c>
      <c r="T3685" s="71" t="n">
        <v>3897.89</v>
      </c>
      <c r="U3685" t="inlineStr">
        <is>
          <t>Low</t>
        </is>
      </c>
      <c r="V3685">
        <f>IF(AND(OR(Dashboard!$C$6="All",E3685=Dashboard!$C$6),OR(Dashboard!$F$6="All",G3685=Dashboard!$F$6),OR(Dashboard!$I$6="All",H3685=Dashboard!$I$6)),1,0)</f>
        <v/>
      </c>
    </row>
    <row r="3686">
      <c r="A3686" t="inlineStr">
        <is>
          <t>PF103677</t>
        </is>
      </c>
      <c r="B3686" s="68" t="n">
        <v>46097</v>
      </c>
      <c r="C3686" s="69" t="n">
        <v>2026</v>
      </c>
      <c r="D3686" t="inlineStr">
        <is>
          <t>Mar</t>
        </is>
      </c>
      <c r="E3686" t="inlineStr">
        <is>
          <t>Emerging markets</t>
        </is>
      </c>
      <c r="F3686" t="inlineStr">
        <is>
          <t>Mexico</t>
        </is>
      </c>
      <c r="G3686" t="inlineStr">
        <is>
          <t>Xeljanz</t>
        </is>
      </c>
      <c r="H3686" t="inlineStr">
        <is>
          <t>Hospital</t>
        </is>
      </c>
      <c r="I3686" t="inlineStr">
        <is>
          <t>Private insurer</t>
        </is>
      </c>
      <c r="J3686" t="inlineStr">
        <is>
          <t>Amir Khan</t>
        </is>
      </c>
      <c r="K3686" s="70" t="n">
        <v>2755</v>
      </c>
      <c r="L3686" s="71" t="n">
        <v>1227.2</v>
      </c>
      <c r="M3686" s="71" t="n">
        <v>3380936</v>
      </c>
      <c r="N3686" s="71" t="n">
        <v>507140.4</v>
      </c>
      <c r="O3686" s="71" t="n">
        <v>2873795.6</v>
      </c>
      <c r="P3686" s="71" t="n">
        <v>721712.26</v>
      </c>
      <c r="Q3686" s="71" t="n">
        <v>2152083.34</v>
      </c>
      <c r="R3686" t="inlineStr">
        <is>
          <t>Inflammation</t>
        </is>
      </c>
      <c r="S3686" s="70" t="n">
        <v>2603</v>
      </c>
      <c r="T3686" s="71" t="n">
        <v>487816.39</v>
      </c>
      <c r="U3686" t="inlineStr">
        <is>
          <t>High</t>
        </is>
      </c>
      <c r="V3686">
        <f>IF(AND(OR(Dashboard!$C$6="All",E3686=Dashboard!$C$6),OR(Dashboard!$F$6="All",G3686=Dashboard!$F$6),OR(Dashboard!$I$6="All",H3686=Dashboard!$I$6)),1,0)</f>
        <v/>
      </c>
    </row>
    <row r="3687">
      <c r="A3687" t="inlineStr">
        <is>
          <t>PF103678</t>
        </is>
      </c>
      <c r="B3687" s="68" t="n">
        <v>46097</v>
      </c>
      <c r="C3687" s="69" t="n">
        <v>2026</v>
      </c>
      <c r="D3687" t="inlineStr">
        <is>
          <t>Mar</t>
        </is>
      </c>
      <c r="E3687" t="inlineStr">
        <is>
          <t>United States</t>
        </is>
      </c>
      <c r="F3687" t="inlineStr">
        <is>
          <t>USA</t>
        </is>
      </c>
      <c r="G3687" t="inlineStr">
        <is>
          <t>Xeljanz</t>
        </is>
      </c>
      <c r="H3687" t="inlineStr">
        <is>
          <t>Government / tender</t>
        </is>
      </c>
      <c r="I3687" t="inlineStr">
        <is>
          <t>Public payer</t>
        </is>
      </c>
      <c r="J3687" t="inlineStr">
        <is>
          <t>Zoya Ahmed</t>
        </is>
      </c>
      <c r="K3687" s="70" t="n">
        <v>1381</v>
      </c>
      <c r="L3687" s="71" t="n">
        <v>2185.11</v>
      </c>
      <c r="M3687" s="71" t="n">
        <v>3017636.91</v>
      </c>
      <c r="N3687" s="71" t="n">
        <v>452645.54</v>
      </c>
      <c r="O3687" s="71" t="n">
        <v>2564991.37</v>
      </c>
      <c r="P3687" s="71" t="n">
        <v>342083.75</v>
      </c>
      <c r="Q3687" s="71" t="n">
        <v>2222907.62</v>
      </c>
      <c r="R3687" t="inlineStr">
        <is>
          <t>Inflammation</t>
        </is>
      </c>
      <c r="S3687" s="70" t="n">
        <v>1094</v>
      </c>
      <c r="T3687" s="71" t="n">
        <v>433207.26</v>
      </c>
      <c r="U3687" t="inlineStr">
        <is>
          <t>High</t>
        </is>
      </c>
      <c r="V3687">
        <f>IF(AND(OR(Dashboard!$C$6="All",E3687=Dashboard!$C$6),OR(Dashboard!$F$6="All",G3687=Dashboard!$F$6),OR(Dashboard!$I$6="All",H3687=Dashboard!$I$6)),1,0)</f>
        <v/>
      </c>
    </row>
    <row r="3688">
      <c r="A3688" t="inlineStr">
        <is>
          <t>PF103679</t>
        </is>
      </c>
      <c r="B3688" s="68" t="n">
        <v>46097</v>
      </c>
      <c r="C3688" s="69" t="n">
        <v>2026</v>
      </c>
      <c r="D3688" t="inlineStr">
        <is>
          <t>Mar</t>
        </is>
      </c>
      <c r="E3688" t="inlineStr">
        <is>
          <t>Europe</t>
        </is>
      </c>
      <c r="F3688" t="inlineStr">
        <is>
          <t>Spain</t>
        </is>
      </c>
      <c r="G3688" t="inlineStr">
        <is>
          <t>Vyndaqel</t>
        </is>
      </c>
      <c r="H3688" t="inlineStr">
        <is>
          <t>Retail pharmacy</t>
        </is>
      </c>
      <c r="I3688" t="inlineStr">
        <is>
          <t>Private insurer</t>
        </is>
      </c>
      <c r="J3688" t="inlineStr">
        <is>
          <t>Sara Rossi</t>
        </is>
      </c>
      <c r="K3688" s="70" t="n">
        <v>1237</v>
      </c>
      <c r="L3688" s="71" t="n">
        <v>5979.55</v>
      </c>
      <c r="M3688" s="71" t="n">
        <v>7396703.35</v>
      </c>
      <c r="N3688" s="71" t="n">
        <v>369835.17</v>
      </c>
      <c r="O3688" s="71" t="n">
        <v>7026868.18</v>
      </c>
      <c r="P3688" s="71" t="n">
        <v>759583.3</v>
      </c>
      <c r="Q3688" s="71" t="n">
        <v>6267284.88</v>
      </c>
      <c r="R3688" t="inlineStr">
        <is>
          <t>Rare disease</t>
        </is>
      </c>
      <c r="S3688" s="70" t="n">
        <v>788</v>
      </c>
      <c r="T3688" s="71" t="n">
        <v>1282130.88</v>
      </c>
      <c r="U3688" t="inlineStr">
        <is>
          <t>Medium</t>
        </is>
      </c>
      <c r="V3688">
        <f>IF(AND(OR(Dashboard!$C$6="All",E3688=Dashboard!$C$6),OR(Dashboard!$F$6="All",G3688=Dashboard!$F$6),OR(Dashboard!$I$6="All",H3688=Dashboard!$I$6)),1,0)</f>
        <v/>
      </c>
    </row>
    <row r="3689">
      <c r="A3689" t="inlineStr">
        <is>
          <t>PF103680</t>
        </is>
      </c>
      <c r="B3689" s="68" t="n">
        <v>46097</v>
      </c>
      <c r="C3689" s="69" t="n">
        <v>2026</v>
      </c>
      <c r="D3689" t="inlineStr">
        <is>
          <t>Mar</t>
        </is>
      </c>
      <c r="E3689" t="inlineStr">
        <is>
          <t>Europe</t>
        </is>
      </c>
      <c r="F3689" t="inlineStr">
        <is>
          <t>France</t>
        </is>
      </c>
      <c r="G3689" t="inlineStr">
        <is>
          <t>Eliquis</t>
        </is>
      </c>
      <c r="H3689" t="inlineStr">
        <is>
          <t>Government / tender</t>
        </is>
      </c>
      <c r="I3689" t="inlineStr">
        <is>
          <t>Private insurer</t>
        </is>
      </c>
      <c r="J3689" t="inlineStr">
        <is>
          <t>Shraddha Kulkarni</t>
        </is>
      </c>
      <c r="K3689" s="70" t="n">
        <v>320</v>
      </c>
      <c r="L3689" s="71" t="n">
        <v>434.88</v>
      </c>
      <c r="M3689" s="71" t="n">
        <v>139161.6</v>
      </c>
      <c r="N3689" s="71" t="n">
        <v>27832.32</v>
      </c>
      <c r="O3689" s="71" t="n">
        <v>111329.28</v>
      </c>
      <c r="P3689" s="71" t="n">
        <v>23763.37</v>
      </c>
      <c r="Q3689" s="71" t="n">
        <v>87565.91</v>
      </c>
      <c r="R3689" t="inlineStr">
        <is>
          <t>Cardiology</t>
        </is>
      </c>
      <c r="S3689" s="70" t="n">
        <v>264</v>
      </c>
      <c r="T3689" s="71" t="n">
        <v>20123.71</v>
      </c>
      <c r="U3689" t="inlineStr">
        <is>
          <t>High</t>
        </is>
      </c>
      <c r="V3689">
        <f>IF(AND(OR(Dashboard!$C$6="All",E3689=Dashboard!$C$6),OR(Dashboard!$F$6="All",G3689=Dashboard!$F$6),OR(Dashboard!$I$6="All",H3689=Dashboard!$I$6)),1,0)</f>
        <v/>
      </c>
    </row>
    <row r="3690">
      <c r="A3690" t="inlineStr">
        <is>
          <t>PF103681</t>
        </is>
      </c>
      <c r="B3690" s="68" t="n">
        <v>46097</v>
      </c>
      <c r="C3690" s="69" t="n">
        <v>2026</v>
      </c>
      <c r="D3690" t="inlineStr">
        <is>
          <t>Mar</t>
        </is>
      </c>
      <c r="E3690" t="inlineStr">
        <is>
          <t>Europe</t>
        </is>
      </c>
      <c r="F3690" t="inlineStr">
        <is>
          <t>Spain</t>
        </is>
      </c>
      <c r="G3690" t="inlineStr">
        <is>
          <t>Prevnar 20</t>
        </is>
      </c>
      <c r="H3690" t="inlineStr">
        <is>
          <t>Retail pharmacy</t>
        </is>
      </c>
      <c r="I3690" t="inlineStr">
        <is>
          <t>Public payer</t>
        </is>
      </c>
      <c r="J3690" t="inlineStr">
        <is>
          <t>Ruhi Shaikh</t>
        </is>
      </c>
      <c r="K3690" s="70" t="n">
        <v>1170</v>
      </c>
      <c r="L3690" s="71" t="n">
        <v>257.36</v>
      </c>
      <c r="M3690" s="71" t="n">
        <v>301111.2</v>
      </c>
      <c r="N3690" s="71" t="n">
        <v>45166.68</v>
      </c>
      <c r="O3690" s="71" t="n">
        <v>255944.52</v>
      </c>
      <c r="P3690" s="71" t="n">
        <v>79301.52</v>
      </c>
      <c r="Q3690" s="71" t="n">
        <v>176643</v>
      </c>
      <c r="R3690" t="inlineStr">
        <is>
          <t>Vaccines</t>
        </is>
      </c>
      <c r="S3690" s="70" t="n">
        <v>789</v>
      </c>
      <c r="T3690" s="71" t="n">
        <v>58722.59</v>
      </c>
      <c r="U3690" t="inlineStr">
        <is>
          <t>Low</t>
        </is>
      </c>
      <c r="V3690">
        <f>IF(AND(OR(Dashboard!$C$6="All",E3690=Dashboard!$C$6),OR(Dashboard!$F$6="All",G3690=Dashboard!$F$6),OR(Dashboard!$I$6="All",H3690=Dashboard!$I$6)),1,0)</f>
        <v/>
      </c>
    </row>
    <row r="3691">
      <c r="A3691" t="inlineStr">
        <is>
          <t>PF103682</t>
        </is>
      </c>
      <c r="B3691" s="68" t="n">
        <v>46097</v>
      </c>
      <c r="C3691" s="69" t="n">
        <v>2026</v>
      </c>
      <c r="D3691" t="inlineStr">
        <is>
          <t>Mar</t>
        </is>
      </c>
      <c r="E3691" t="inlineStr">
        <is>
          <t>United States</t>
        </is>
      </c>
      <c r="F3691" t="inlineStr">
        <is>
          <t>USA</t>
        </is>
      </c>
      <c r="G3691" t="inlineStr">
        <is>
          <t>Ibrance</t>
        </is>
      </c>
      <c r="H3691" t="inlineStr">
        <is>
          <t>Government / tender</t>
        </is>
      </c>
      <c r="I3691" t="inlineStr">
        <is>
          <t>Private insurer</t>
        </is>
      </c>
      <c r="J3691" t="inlineStr">
        <is>
          <t>Lucas Martin</t>
        </is>
      </c>
      <c r="K3691" s="70" t="n">
        <v>1521</v>
      </c>
      <c r="L3691" s="71" t="n">
        <v>4890.05</v>
      </c>
      <c r="M3691" s="71" t="n">
        <v>7437766.05</v>
      </c>
      <c r="N3691" s="71" t="n">
        <v>1115664.91</v>
      </c>
      <c r="O3691" s="71" t="n">
        <v>6322101.14</v>
      </c>
      <c r="P3691" s="71" t="n">
        <v>636082.58</v>
      </c>
      <c r="Q3691" s="71" t="n">
        <v>5686018.56</v>
      </c>
      <c r="R3691" t="inlineStr">
        <is>
          <t>Oncology</t>
        </is>
      </c>
      <c r="S3691" s="70" t="n">
        <v>1467</v>
      </c>
      <c r="T3691" s="71" t="n">
        <v>1552640.86</v>
      </c>
      <c r="U3691" t="inlineStr">
        <is>
          <t>High</t>
        </is>
      </c>
      <c r="V3691">
        <f>IF(AND(OR(Dashboard!$C$6="All",E3691=Dashboard!$C$6),OR(Dashboard!$F$6="All",G3691=Dashboard!$F$6),OR(Dashboard!$I$6="All",H3691=Dashboard!$I$6)),1,0)</f>
        <v/>
      </c>
    </row>
    <row r="3692">
      <c r="A3692" t="inlineStr">
        <is>
          <t>PF103683</t>
        </is>
      </c>
      <c r="B3692" s="68" t="n">
        <v>46098</v>
      </c>
      <c r="C3692" s="69" t="n">
        <v>2026</v>
      </c>
      <c r="D3692" t="inlineStr">
        <is>
          <t>Mar</t>
        </is>
      </c>
      <c r="E3692" t="inlineStr">
        <is>
          <t>Europe</t>
        </is>
      </c>
      <c r="F3692" t="inlineStr">
        <is>
          <t>Italy</t>
        </is>
      </c>
      <c r="G3692" t="inlineStr">
        <is>
          <t>Xeljanz</t>
        </is>
      </c>
      <c r="H3692" t="inlineStr">
        <is>
          <t>Hospital</t>
        </is>
      </c>
      <c r="I3692" t="inlineStr">
        <is>
          <t>Public payer</t>
        </is>
      </c>
      <c r="J3692" t="inlineStr">
        <is>
          <t>Olivia Brown</t>
        </is>
      </c>
      <c r="K3692" s="70" t="n">
        <v>619</v>
      </c>
      <c r="L3692" s="71" t="n">
        <v>1336.11</v>
      </c>
      <c r="M3692" s="71" t="n">
        <v>827052.09</v>
      </c>
      <c r="N3692" s="71" t="n">
        <v>41352.6</v>
      </c>
      <c r="O3692" s="71" t="n">
        <v>785699.49</v>
      </c>
      <c r="P3692" s="71" t="n">
        <v>161218.92</v>
      </c>
      <c r="Q3692" s="71" t="n">
        <v>624480.5699999999</v>
      </c>
      <c r="R3692" t="inlineStr">
        <is>
          <t>Inflammation</t>
        </is>
      </c>
      <c r="S3692" s="70" t="n">
        <v>579</v>
      </c>
      <c r="T3692" s="71" t="n">
        <v>111719.52</v>
      </c>
      <c r="U3692" t="inlineStr">
        <is>
          <t>High</t>
        </is>
      </c>
      <c r="V3692">
        <f>IF(AND(OR(Dashboard!$C$6="All",E3692=Dashboard!$C$6),OR(Dashboard!$F$6="All",G3692=Dashboard!$F$6),OR(Dashboard!$I$6="All",H3692=Dashboard!$I$6)),1,0)</f>
        <v/>
      </c>
    </row>
    <row r="3693">
      <c r="A3693" t="inlineStr">
        <is>
          <t>PF103684</t>
        </is>
      </c>
      <c r="B3693" s="68" t="n">
        <v>46098</v>
      </c>
      <c r="C3693" s="69" t="n">
        <v>2026</v>
      </c>
      <c r="D3693" t="inlineStr">
        <is>
          <t>Mar</t>
        </is>
      </c>
      <c r="E3693" t="inlineStr">
        <is>
          <t>Emerging markets</t>
        </is>
      </c>
      <c r="F3693" t="inlineStr">
        <is>
          <t>Brazil</t>
        </is>
      </c>
      <c r="G3693" t="inlineStr">
        <is>
          <t>Xeljanz</t>
        </is>
      </c>
      <c r="H3693" t="inlineStr">
        <is>
          <t>Hospital</t>
        </is>
      </c>
      <c r="I3693" t="inlineStr">
        <is>
          <t>Self-pay</t>
        </is>
      </c>
      <c r="J3693" t="inlineStr">
        <is>
          <t>Lucas Martin</t>
        </is>
      </c>
      <c r="K3693" s="70" t="n">
        <v>860</v>
      </c>
      <c r="L3693" s="71" t="n">
        <v>1393.59</v>
      </c>
      <c r="M3693" s="71" t="n">
        <v>1198487.4</v>
      </c>
      <c r="N3693" s="71" t="n">
        <v>119848.74</v>
      </c>
      <c r="O3693" s="71" t="n">
        <v>1078638.66</v>
      </c>
      <c r="P3693" s="71" t="n">
        <v>219231.81</v>
      </c>
      <c r="Q3693" s="71" t="n">
        <v>859406.85</v>
      </c>
      <c r="R3693" t="inlineStr">
        <is>
          <t>Inflammation</t>
        </is>
      </c>
      <c r="S3693" s="70" t="n">
        <v>761</v>
      </c>
      <c r="T3693" s="71" t="n">
        <v>253344.83</v>
      </c>
      <c r="U3693" t="inlineStr">
        <is>
          <t>High</t>
        </is>
      </c>
      <c r="V3693">
        <f>IF(AND(OR(Dashboard!$C$6="All",E3693=Dashboard!$C$6),OR(Dashboard!$F$6="All",G3693=Dashboard!$F$6),OR(Dashboard!$I$6="All",H3693=Dashboard!$I$6)),1,0)</f>
        <v/>
      </c>
    </row>
    <row r="3694">
      <c r="A3694" t="inlineStr">
        <is>
          <t>PF103685</t>
        </is>
      </c>
      <c r="B3694" s="68" t="n">
        <v>46098</v>
      </c>
      <c r="C3694" s="69" t="n">
        <v>2026</v>
      </c>
      <c r="D3694" t="inlineStr">
        <is>
          <t>Mar</t>
        </is>
      </c>
      <c r="E3694" t="inlineStr">
        <is>
          <t>United States</t>
        </is>
      </c>
      <c r="F3694" t="inlineStr">
        <is>
          <t>USA</t>
        </is>
      </c>
      <c r="G3694" t="inlineStr">
        <is>
          <t>Eliquis</t>
        </is>
      </c>
      <c r="H3694" t="inlineStr">
        <is>
          <t>Government / tender</t>
        </is>
      </c>
      <c r="I3694" t="inlineStr">
        <is>
          <t>Private insurer</t>
        </is>
      </c>
      <c r="J3694" t="inlineStr">
        <is>
          <t>Omar Haddad</t>
        </is>
      </c>
      <c r="K3694" s="70" t="n">
        <v>2384</v>
      </c>
      <c r="L3694" s="71" t="n">
        <v>638.14</v>
      </c>
      <c r="M3694" s="71" t="n">
        <v>1521325.76</v>
      </c>
      <c r="N3694" s="71" t="n">
        <v>532464.02</v>
      </c>
      <c r="O3694" s="71" t="n">
        <v>988861.74</v>
      </c>
      <c r="P3694" s="71" t="n">
        <v>181639.46</v>
      </c>
      <c r="Q3694" s="71" t="n">
        <v>807222.28</v>
      </c>
      <c r="R3694" t="inlineStr">
        <is>
          <t>Cardiology</t>
        </is>
      </c>
      <c r="S3694" s="70" t="n">
        <v>2034</v>
      </c>
      <c r="T3694" s="71" t="n">
        <v>217019.72</v>
      </c>
      <c r="U3694" t="inlineStr">
        <is>
          <t>High</t>
        </is>
      </c>
      <c r="V3694">
        <f>IF(AND(OR(Dashboard!$C$6="All",E3694=Dashboard!$C$6),OR(Dashboard!$F$6="All",G3694=Dashboard!$F$6),OR(Dashboard!$I$6="All",H3694=Dashboard!$I$6)),1,0)</f>
        <v/>
      </c>
    </row>
    <row r="3695">
      <c r="A3695" t="inlineStr">
        <is>
          <t>PF103686</t>
        </is>
      </c>
      <c r="B3695" s="68" t="n">
        <v>46099</v>
      </c>
      <c r="C3695" s="69" t="n">
        <v>2026</v>
      </c>
      <c r="D3695" t="inlineStr">
        <is>
          <t>Mar</t>
        </is>
      </c>
      <c r="E3695" t="inlineStr">
        <is>
          <t>Emerging markets</t>
        </is>
      </c>
      <c r="F3695" t="inlineStr">
        <is>
          <t>Brazil</t>
        </is>
      </c>
      <c r="G3695" t="inlineStr">
        <is>
          <t>Xeljanz</t>
        </is>
      </c>
      <c r="H3695" t="inlineStr">
        <is>
          <t>Retail pharmacy</t>
        </is>
      </c>
      <c r="I3695" t="inlineStr">
        <is>
          <t>Public payer</t>
        </is>
      </c>
      <c r="J3695" t="inlineStr">
        <is>
          <t>Ana Costa</t>
        </is>
      </c>
      <c r="K3695" s="70" t="n">
        <v>1679</v>
      </c>
      <c r="L3695" s="71" t="n">
        <v>1424.58</v>
      </c>
      <c r="M3695" s="71" t="n">
        <v>2391869.82</v>
      </c>
      <c r="N3695" s="71" t="n">
        <v>239186.98</v>
      </c>
      <c r="O3695" s="71" t="n">
        <v>2152682.84</v>
      </c>
      <c r="P3695" s="71" t="n">
        <v>408055.46</v>
      </c>
      <c r="Q3695" s="71" t="n">
        <v>1744627.38</v>
      </c>
      <c r="R3695" t="inlineStr">
        <is>
          <t>Inflammation</t>
        </is>
      </c>
      <c r="S3695" s="70" t="n">
        <v>1059</v>
      </c>
      <c r="T3695" s="71" t="n">
        <v>528900.5</v>
      </c>
      <c r="U3695" t="inlineStr">
        <is>
          <t>High</t>
        </is>
      </c>
      <c r="V3695">
        <f>IF(AND(OR(Dashboard!$C$6="All",E3695=Dashboard!$C$6),OR(Dashboard!$F$6="All",G3695=Dashboard!$F$6),OR(Dashboard!$I$6="All",H3695=Dashboard!$I$6)),1,0)</f>
        <v/>
      </c>
    </row>
    <row r="3696">
      <c r="A3696" t="inlineStr">
        <is>
          <t>PF103687</t>
        </is>
      </c>
      <c r="B3696" s="68" t="n">
        <v>46099</v>
      </c>
      <c r="C3696" s="69" t="n">
        <v>2026</v>
      </c>
      <c r="D3696" t="inlineStr">
        <is>
          <t>Mar</t>
        </is>
      </c>
      <c r="E3696" t="inlineStr">
        <is>
          <t>United States</t>
        </is>
      </c>
      <c r="F3696" t="inlineStr">
        <is>
          <t>USA</t>
        </is>
      </c>
      <c r="G3696" t="inlineStr">
        <is>
          <t>Comirnaty</t>
        </is>
      </c>
      <c r="H3696" t="inlineStr">
        <is>
          <t>Retail pharmacy</t>
        </is>
      </c>
      <c r="I3696" t="inlineStr">
        <is>
          <t>Private insurer</t>
        </is>
      </c>
      <c r="J3696" t="inlineStr">
        <is>
          <t>Omar Haddad</t>
        </is>
      </c>
      <c r="K3696" s="70" t="n">
        <v>2328</v>
      </c>
      <c r="L3696" s="71" t="n">
        <v>147.85</v>
      </c>
      <c r="M3696" s="71" t="n">
        <v>344194.8</v>
      </c>
      <c r="N3696" s="71" t="n">
        <v>68838.96000000001</v>
      </c>
      <c r="O3696" s="71" t="n">
        <v>275355.84</v>
      </c>
      <c r="P3696" s="71" t="n">
        <v>90318</v>
      </c>
      <c r="Q3696" s="71" t="n">
        <v>185037.84</v>
      </c>
      <c r="R3696" t="inlineStr">
        <is>
          <t>Vaccines</t>
        </is>
      </c>
      <c r="S3696" s="70" t="n">
        <v>2175</v>
      </c>
      <c r="T3696" s="71" t="n">
        <v>70759.57000000001</v>
      </c>
      <c r="U3696" t="inlineStr">
        <is>
          <t>Low</t>
        </is>
      </c>
      <c r="V3696">
        <f>IF(AND(OR(Dashboard!$C$6="All",E3696=Dashboard!$C$6),OR(Dashboard!$F$6="All",G3696=Dashboard!$F$6),OR(Dashboard!$I$6="All",H3696=Dashboard!$I$6)),1,0)</f>
        <v/>
      </c>
    </row>
    <row r="3697">
      <c r="A3697" t="inlineStr">
        <is>
          <t>PF103688</t>
        </is>
      </c>
      <c r="B3697" s="68" t="n">
        <v>46099</v>
      </c>
      <c r="C3697" s="69" t="n">
        <v>2026</v>
      </c>
      <c r="D3697" t="inlineStr">
        <is>
          <t>Mar</t>
        </is>
      </c>
      <c r="E3697" t="inlineStr">
        <is>
          <t>United States</t>
        </is>
      </c>
      <c r="F3697" t="inlineStr">
        <is>
          <t>USA</t>
        </is>
      </c>
      <c r="G3697" t="inlineStr">
        <is>
          <t>Ibrance</t>
        </is>
      </c>
      <c r="H3697" t="inlineStr">
        <is>
          <t>Retail pharmacy</t>
        </is>
      </c>
      <c r="I3697" t="inlineStr">
        <is>
          <t>Private insurer</t>
        </is>
      </c>
      <c r="J3697" t="inlineStr">
        <is>
          <t>Mei Lin</t>
        </is>
      </c>
      <c r="K3697" s="70" t="n">
        <v>1700</v>
      </c>
      <c r="L3697" s="71" t="n">
        <v>4854.47</v>
      </c>
      <c r="M3697" s="71" t="n">
        <v>8252599</v>
      </c>
      <c r="N3697" s="71" t="n">
        <v>2888409.65</v>
      </c>
      <c r="O3697" s="71" t="n">
        <v>5364189.35</v>
      </c>
      <c r="P3697" s="71" t="n">
        <v>718204.49</v>
      </c>
      <c r="Q3697" s="71" t="n">
        <v>4645984.86</v>
      </c>
      <c r="R3697" t="inlineStr">
        <is>
          <t>Oncology</t>
        </is>
      </c>
      <c r="S3697" s="70" t="n">
        <v>1576</v>
      </c>
      <c r="T3697" s="71" t="n">
        <v>1038785.61</v>
      </c>
      <c r="U3697" t="inlineStr">
        <is>
          <t>High</t>
        </is>
      </c>
      <c r="V3697">
        <f>IF(AND(OR(Dashboard!$C$6="All",E3697=Dashboard!$C$6),OR(Dashboard!$F$6="All",G3697=Dashboard!$F$6),OR(Dashboard!$I$6="All",H3697=Dashboard!$I$6)),1,0)</f>
        <v/>
      </c>
    </row>
    <row r="3698">
      <c r="A3698" t="inlineStr">
        <is>
          <t>PF103689</t>
        </is>
      </c>
      <c r="B3698" s="68" t="n">
        <v>46099</v>
      </c>
      <c r="C3698" s="69" t="n">
        <v>2026</v>
      </c>
      <c r="D3698" t="inlineStr">
        <is>
          <t>Mar</t>
        </is>
      </c>
      <c r="E3698" t="inlineStr">
        <is>
          <t>International developed</t>
        </is>
      </c>
      <c r="F3698" t="inlineStr">
        <is>
          <t>Australia</t>
        </is>
      </c>
      <c r="G3698" t="inlineStr">
        <is>
          <t>Abrysvo</t>
        </is>
      </c>
      <c r="H3698" t="inlineStr">
        <is>
          <t>Hospital</t>
        </is>
      </c>
      <c r="I3698" t="inlineStr">
        <is>
          <t>Public payer</t>
        </is>
      </c>
      <c r="J3698" t="inlineStr">
        <is>
          <t>Carlos Silva</t>
        </is>
      </c>
      <c r="K3698" s="70" t="n">
        <v>1921</v>
      </c>
      <c r="L3698" s="71" t="n">
        <v>340.35</v>
      </c>
      <c r="M3698" s="71" t="n">
        <v>653812.35</v>
      </c>
      <c r="N3698" s="71" t="n">
        <v>163453.09</v>
      </c>
      <c r="O3698" s="71" t="n">
        <v>490359.26</v>
      </c>
      <c r="P3698" s="71" t="n">
        <v>167683.56</v>
      </c>
      <c r="Q3698" s="71" t="n">
        <v>322675.7</v>
      </c>
      <c r="R3698" t="inlineStr">
        <is>
          <t>Vaccines</t>
        </is>
      </c>
      <c r="S3698" s="70" t="n">
        <v>1340</v>
      </c>
      <c r="T3698" s="71" t="n">
        <v>107241.04</v>
      </c>
      <c r="U3698" t="inlineStr">
        <is>
          <t>Low</t>
        </is>
      </c>
      <c r="V3698">
        <f>IF(AND(OR(Dashboard!$C$6="All",E3698=Dashboard!$C$6),OR(Dashboard!$F$6="All",G3698=Dashboard!$F$6),OR(Dashboard!$I$6="All",H3698=Dashboard!$I$6)),1,0)</f>
        <v/>
      </c>
    </row>
    <row r="3699">
      <c r="A3699" t="inlineStr">
        <is>
          <t>PF103690</t>
        </is>
      </c>
      <c r="B3699" s="68" t="n">
        <v>46099</v>
      </c>
      <c r="C3699" s="69" t="n">
        <v>2026</v>
      </c>
      <c r="D3699" t="inlineStr">
        <is>
          <t>Mar</t>
        </is>
      </c>
      <c r="E3699" t="inlineStr">
        <is>
          <t>United States</t>
        </is>
      </c>
      <c r="F3699" t="inlineStr">
        <is>
          <t>USA</t>
        </is>
      </c>
      <c r="G3699" t="inlineStr">
        <is>
          <t>Eliquis</t>
        </is>
      </c>
      <c r="H3699" t="inlineStr">
        <is>
          <t>Hospital</t>
        </is>
      </c>
      <c r="I3699" t="inlineStr">
        <is>
          <t>Private insurer</t>
        </is>
      </c>
      <c r="J3699" t="inlineStr">
        <is>
          <t>Omar Haddad</t>
        </is>
      </c>
      <c r="K3699" s="70" t="n">
        <v>247</v>
      </c>
      <c r="L3699" s="71" t="n">
        <v>731.8099999999999</v>
      </c>
      <c r="M3699" s="71" t="n">
        <v>180757.07</v>
      </c>
      <c r="N3699" s="71" t="n">
        <v>27113.56</v>
      </c>
      <c r="O3699" s="71" t="n">
        <v>153643.51</v>
      </c>
      <c r="P3699" s="71" t="n">
        <v>18866.93</v>
      </c>
      <c r="Q3699" s="71" t="n">
        <v>134776.58</v>
      </c>
      <c r="R3699" t="inlineStr">
        <is>
          <t>Cardiology</t>
        </is>
      </c>
      <c r="S3699" s="70" t="n">
        <v>191</v>
      </c>
      <c r="T3699" s="71" t="n">
        <v>25874.51</v>
      </c>
      <c r="U3699" t="inlineStr">
        <is>
          <t>High</t>
        </is>
      </c>
      <c r="V3699">
        <f>IF(AND(OR(Dashboard!$C$6="All",E3699=Dashboard!$C$6),OR(Dashboard!$F$6="All",G3699=Dashboard!$F$6),OR(Dashboard!$I$6="All",H3699=Dashboard!$I$6)),1,0)</f>
        <v/>
      </c>
    </row>
    <row r="3700">
      <c r="A3700" t="inlineStr">
        <is>
          <t>PF103691</t>
        </is>
      </c>
      <c r="B3700" s="68" t="n">
        <v>46099</v>
      </c>
      <c r="C3700" s="69" t="n">
        <v>2026</v>
      </c>
      <c r="D3700" t="inlineStr">
        <is>
          <t>Mar</t>
        </is>
      </c>
      <c r="E3700" t="inlineStr">
        <is>
          <t>Emerging markets</t>
        </is>
      </c>
      <c r="F3700" t="inlineStr">
        <is>
          <t>China</t>
        </is>
      </c>
      <c r="G3700" t="inlineStr">
        <is>
          <t>Eliquis</t>
        </is>
      </c>
      <c r="H3700" t="inlineStr">
        <is>
          <t>Retail pharmacy</t>
        </is>
      </c>
      <c r="I3700" t="inlineStr">
        <is>
          <t>Public payer</t>
        </is>
      </c>
      <c r="J3700" t="inlineStr">
        <is>
          <t>Ruhi Shaikh</t>
        </is>
      </c>
      <c r="K3700" s="70" t="n">
        <v>1588</v>
      </c>
      <c r="L3700" s="71" t="n">
        <v>458.55</v>
      </c>
      <c r="M3700" s="71" t="n">
        <v>728177.4</v>
      </c>
      <c r="N3700" s="71" t="n">
        <v>72817.74000000001</v>
      </c>
      <c r="O3700" s="71" t="n">
        <v>655359.66</v>
      </c>
      <c r="P3700" s="71" t="n">
        <v>119977.08</v>
      </c>
      <c r="Q3700" s="71" t="n">
        <v>535382.58</v>
      </c>
      <c r="R3700" t="inlineStr">
        <is>
          <t>Cardiology</t>
        </is>
      </c>
      <c r="S3700" s="70" t="n">
        <v>1173</v>
      </c>
      <c r="T3700" s="71" t="n">
        <v>143572.34</v>
      </c>
      <c r="U3700" t="inlineStr">
        <is>
          <t>High</t>
        </is>
      </c>
      <c r="V3700">
        <f>IF(AND(OR(Dashboard!$C$6="All",E3700=Dashboard!$C$6),OR(Dashboard!$F$6="All",G3700=Dashboard!$F$6),OR(Dashboard!$I$6="All",H3700=Dashboard!$I$6)),1,0)</f>
        <v/>
      </c>
    </row>
    <row r="3701">
      <c r="A3701" t="inlineStr">
        <is>
          <t>PF103692</t>
        </is>
      </c>
      <c r="B3701" s="68" t="n">
        <v>46099</v>
      </c>
      <c r="C3701" s="69" t="n">
        <v>2026</v>
      </c>
      <c r="D3701" t="inlineStr">
        <is>
          <t>Mar</t>
        </is>
      </c>
      <c r="E3701" t="inlineStr">
        <is>
          <t>United States</t>
        </is>
      </c>
      <c r="F3701" t="inlineStr">
        <is>
          <t>USA</t>
        </is>
      </c>
      <c r="G3701" t="inlineStr">
        <is>
          <t>Comirnaty</t>
        </is>
      </c>
      <c r="H3701" t="inlineStr">
        <is>
          <t>Retail pharmacy</t>
        </is>
      </c>
      <c r="I3701" t="inlineStr">
        <is>
          <t>Private insurer</t>
        </is>
      </c>
      <c r="J3701" t="inlineStr">
        <is>
          <t>Shraddha Kulkarni</t>
        </is>
      </c>
      <c r="K3701" s="70" t="n">
        <v>77</v>
      </c>
      <c r="L3701" s="71" t="n">
        <v>135.16</v>
      </c>
      <c r="M3701" s="71" t="n">
        <v>10407.32</v>
      </c>
      <c r="N3701" s="71" t="n">
        <v>1561.1</v>
      </c>
      <c r="O3701" s="71" t="n">
        <v>8846.219999999999</v>
      </c>
      <c r="P3701" s="71" t="n">
        <v>3058.91</v>
      </c>
      <c r="Q3701" s="71" t="n">
        <v>5787.31</v>
      </c>
      <c r="R3701" t="inlineStr">
        <is>
          <t>Vaccines</t>
        </is>
      </c>
      <c r="S3701" s="70" t="n">
        <v>61</v>
      </c>
      <c r="T3701" s="71" t="n">
        <v>2325.75</v>
      </c>
      <c r="U3701" t="inlineStr">
        <is>
          <t>Low</t>
        </is>
      </c>
      <c r="V3701">
        <f>IF(AND(OR(Dashboard!$C$6="All",E3701=Dashboard!$C$6),OR(Dashboard!$F$6="All",G3701=Dashboard!$F$6),OR(Dashboard!$I$6="All",H3701=Dashboard!$I$6)),1,0)</f>
        <v/>
      </c>
    </row>
    <row r="3702">
      <c r="A3702" t="inlineStr">
        <is>
          <t>PF103693</t>
        </is>
      </c>
      <c r="B3702" s="68" t="n">
        <v>46099</v>
      </c>
      <c r="C3702" s="69" t="n">
        <v>2026</v>
      </c>
      <c r="D3702" t="inlineStr">
        <is>
          <t>Mar</t>
        </is>
      </c>
      <c r="E3702" t="inlineStr">
        <is>
          <t>Europe</t>
        </is>
      </c>
      <c r="F3702" t="inlineStr">
        <is>
          <t>France</t>
        </is>
      </c>
      <c r="G3702" t="inlineStr">
        <is>
          <t>Eliquis</t>
        </is>
      </c>
      <c r="H3702" t="inlineStr">
        <is>
          <t>Government / tender</t>
        </is>
      </c>
      <c r="I3702" t="inlineStr">
        <is>
          <t>Public payer</t>
        </is>
      </c>
      <c r="J3702" t="inlineStr">
        <is>
          <t>Amir Khan</t>
        </is>
      </c>
      <c r="K3702" s="70" t="n">
        <v>1363</v>
      </c>
      <c r="L3702" s="71" t="n">
        <v>462.82</v>
      </c>
      <c r="M3702" s="71" t="n">
        <v>630823.66</v>
      </c>
      <c r="N3702" s="71" t="n">
        <v>126164.73</v>
      </c>
      <c r="O3702" s="71" t="n">
        <v>504658.93</v>
      </c>
      <c r="P3702" s="71" t="n">
        <v>102066.34</v>
      </c>
      <c r="Q3702" s="71" t="n">
        <v>402592.59</v>
      </c>
      <c r="R3702" t="inlineStr">
        <is>
          <t>Cardiology</t>
        </is>
      </c>
      <c r="S3702" s="70" t="n">
        <v>1100</v>
      </c>
      <c r="T3702" s="71" t="n">
        <v>119839.92</v>
      </c>
      <c r="U3702" t="inlineStr">
        <is>
          <t>High</t>
        </is>
      </c>
      <c r="V3702">
        <f>IF(AND(OR(Dashboard!$C$6="All",E3702=Dashboard!$C$6),OR(Dashboard!$F$6="All",G3702=Dashboard!$F$6),OR(Dashboard!$I$6="All",H3702=Dashboard!$I$6)),1,0)</f>
        <v/>
      </c>
    </row>
    <row r="3703">
      <c r="A3703" t="inlineStr">
        <is>
          <t>PF103694</t>
        </is>
      </c>
      <c r="B3703" s="68" t="n">
        <v>46099</v>
      </c>
      <c r="C3703" s="69" t="n">
        <v>2026</v>
      </c>
      <c r="D3703" t="inlineStr">
        <is>
          <t>Mar</t>
        </is>
      </c>
      <c r="E3703" t="inlineStr">
        <is>
          <t>United States</t>
        </is>
      </c>
      <c r="F3703" t="inlineStr">
        <is>
          <t>USA</t>
        </is>
      </c>
      <c r="G3703" t="inlineStr">
        <is>
          <t>Ibrance</t>
        </is>
      </c>
      <c r="H3703" t="inlineStr">
        <is>
          <t>Retail pharmacy</t>
        </is>
      </c>
      <c r="I3703" t="inlineStr">
        <is>
          <t>Private insurer</t>
        </is>
      </c>
      <c r="J3703" t="inlineStr">
        <is>
          <t>Emma Clarke</t>
        </is>
      </c>
      <c r="K3703" s="70" t="n">
        <v>1890</v>
      </c>
      <c r="L3703" s="71" t="n">
        <v>4833.11</v>
      </c>
      <c r="M3703" s="71" t="n">
        <v>9134577.9</v>
      </c>
      <c r="N3703" s="71" t="n">
        <v>2740373.37</v>
      </c>
      <c r="O3703" s="71" t="n">
        <v>6394204.53</v>
      </c>
      <c r="P3703" s="71" t="n">
        <v>800171</v>
      </c>
      <c r="Q3703" s="71" t="n">
        <v>5594033.53</v>
      </c>
      <c r="R3703" t="inlineStr">
        <is>
          <t>Oncology</t>
        </is>
      </c>
      <c r="S3703" s="70" t="n">
        <v>1513</v>
      </c>
      <c r="T3703" s="71" t="n">
        <v>1435983.36</v>
      </c>
      <c r="U3703" t="inlineStr">
        <is>
          <t>High</t>
        </is>
      </c>
      <c r="V3703">
        <f>IF(AND(OR(Dashboard!$C$6="All",E3703=Dashboard!$C$6),OR(Dashboard!$F$6="All",G3703=Dashboard!$F$6),OR(Dashboard!$I$6="All",H3703=Dashboard!$I$6)),1,0)</f>
        <v/>
      </c>
    </row>
    <row r="3704">
      <c r="A3704" t="inlineStr">
        <is>
          <t>PF103695</t>
        </is>
      </c>
      <c r="B3704" s="68" t="n">
        <v>46100</v>
      </c>
      <c r="C3704" s="69" t="n">
        <v>2026</v>
      </c>
      <c r="D3704" t="inlineStr">
        <is>
          <t>Mar</t>
        </is>
      </c>
      <c r="E3704" t="inlineStr">
        <is>
          <t>International developed</t>
        </is>
      </c>
      <c r="F3704" t="inlineStr">
        <is>
          <t>Canada</t>
        </is>
      </c>
      <c r="G3704" t="inlineStr">
        <is>
          <t>Prevnar 20</t>
        </is>
      </c>
      <c r="H3704" t="inlineStr">
        <is>
          <t>Government / tender</t>
        </is>
      </c>
      <c r="I3704" t="inlineStr">
        <is>
          <t>Public payer</t>
        </is>
      </c>
      <c r="J3704" t="inlineStr">
        <is>
          <t>Ana Costa</t>
        </is>
      </c>
      <c r="K3704" s="70" t="n">
        <v>279</v>
      </c>
      <c r="L3704" s="71" t="n">
        <v>228.49</v>
      </c>
      <c r="M3704" s="71" t="n">
        <v>63748.71</v>
      </c>
      <c r="N3704" s="71" t="n">
        <v>6374.87</v>
      </c>
      <c r="O3704" s="71" t="n">
        <v>57373.84</v>
      </c>
      <c r="P3704" s="71" t="n">
        <v>18628.13</v>
      </c>
      <c r="Q3704" s="71" t="n">
        <v>38745.71</v>
      </c>
      <c r="R3704" t="inlineStr">
        <is>
          <t>Vaccines</t>
        </is>
      </c>
      <c r="S3704" s="70" t="n">
        <v>261</v>
      </c>
      <c r="T3704" s="71" t="n">
        <v>12953.36</v>
      </c>
      <c r="U3704" t="inlineStr">
        <is>
          <t>Low</t>
        </is>
      </c>
      <c r="V3704">
        <f>IF(AND(OR(Dashboard!$C$6="All",E3704=Dashboard!$C$6),OR(Dashboard!$F$6="All",G3704=Dashboard!$F$6),OR(Dashboard!$I$6="All",H3704=Dashboard!$I$6)),1,0)</f>
        <v/>
      </c>
    </row>
    <row r="3705">
      <c r="A3705" t="inlineStr">
        <is>
          <t>PF103696</t>
        </is>
      </c>
      <c r="B3705" s="68" t="n">
        <v>46100</v>
      </c>
      <c r="C3705" s="69" t="n">
        <v>2026</v>
      </c>
      <c r="D3705" t="inlineStr">
        <is>
          <t>Mar</t>
        </is>
      </c>
      <c r="E3705" t="inlineStr">
        <is>
          <t>Europe</t>
        </is>
      </c>
      <c r="F3705" t="inlineStr">
        <is>
          <t>Italy</t>
        </is>
      </c>
      <c r="G3705" t="inlineStr">
        <is>
          <t>Prevnar 20</t>
        </is>
      </c>
      <c r="H3705" t="inlineStr">
        <is>
          <t>Retail pharmacy</t>
        </is>
      </c>
      <c r="I3705" t="inlineStr">
        <is>
          <t>Public payer</t>
        </is>
      </c>
      <c r="J3705" t="inlineStr">
        <is>
          <t>Ana Costa</t>
        </is>
      </c>
      <c r="K3705" s="70" t="n">
        <v>581</v>
      </c>
      <c r="L3705" s="71" t="n">
        <v>226.3</v>
      </c>
      <c r="M3705" s="71" t="n">
        <v>131480.3</v>
      </c>
      <c r="N3705" s="71" t="n">
        <v>32870.07</v>
      </c>
      <c r="O3705" s="71" t="n">
        <v>98610.23</v>
      </c>
      <c r="P3705" s="71" t="n">
        <v>39875.14</v>
      </c>
      <c r="Q3705" s="71" t="n">
        <v>58735.09</v>
      </c>
      <c r="R3705" t="inlineStr">
        <is>
          <t>Vaccines</t>
        </is>
      </c>
      <c r="S3705" s="70" t="n">
        <v>413</v>
      </c>
      <c r="T3705" s="71" t="n">
        <v>19738.11</v>
      </c>
      <c r="U3705" t="inlineStr">
        <is>
          <t>Low</t>
        </is>
      </c>
      <c r="V3705">
        <f>IF(AND(OR(Dashboard!$C$6="All",E3705=Dashboard!$C$6),OR(Dashboard!$F$6="All",G3705=Dashboard!$F$6),OR(Dashboard!$I$6="All",H3705=Dashboard!$I$6)),1,0)</f>
        <v/>
      </c>
    </row>
    <row r="3706">
      <c r="A3706" t="inlineStr">
        <is>
          <t>PF103697</t>
        </is>
      </c>
      <c r="B3706" s="68" t="n">
        <v>46100</v>
      </c>
      <c r="C3706" s="69" t="n">
        <v>2026</v>
      </c>
      <c r="D3706" t="inlineStr">
        <is>
          <t>Mar</t>
        </is>
      </c>
      <c r="E3706" t="inlineStr">
        <is>
          <t>Europe</t>
        </is>
      </c>
      <c r="F3706" t="inlineStr">
        <is>
          <t>Spain</t>
        </is>
      </c>
      <c r="G3706" t="inlineStr">
        <is>
          <t>Prevnar 20</t>
        </is>
      </c>
      <c r="H3706" t="inlineStr">
        <is>
          <t>Government / tender</t>
        </is>
      </c>
      <c r="I3706" t="inlineStr">
        <is>
          <t>Public payer</t>
        </is>
      </c>
      <c r="J3706" t="inlineStr">
        <is>
          <t>Lucas Martin</t>
        </is>
      </c>
      <c r="K3706" s="70" t="n">
        <v>2185</v>
      </c>
      <c r="L3706" s="71" t="n">
        <v>211.22</v>
      </c>
      <c r="M3706" s="71" t="n">
        <v>461515.7</v>
      </c>
      <c r="N3706" s="71" t="n">
        <v>92303.14</v>
      </c>
      <c r="O3706" s="71" t="n">
        <v>369212.56</v>
      </c>
      <c r="P3706" s="71" t="n">
        <v>147211.67</v>
      </c>
      <c r="Q3706" s="71" t="n">
        <v>222000.89</v>
      </c>
      <c r="R3706" t="inlineStr">
        <is>
          <t>Vaccines</t>
        </is>
      </c>
      <c r="S3706" s="70" t="n">
        <v>1744</v>
      </c>
      <c r="T3706" s="71" t="n">
        <v>75131.42</v>
      </c>
      <c r="U3706" t="inlineStr">
        <is>
          <t>Low</t>
        </is>
      </c>
      <c r="V3706">
        <f>IF(AND(OR(Dashboard!$C$6="All",E3706=Dashboard!$C$6),OR(Dashboard!$F$6="All",G3706=Dashboard!$F$6),OR(Dashboard!$I$6="All",H3706=Dashboard!$I$6)),1,0)</f>
        <v/>
      </c>
    </row>
    <row r="3707">
      <c r="A3707" t="inlineStr">
        <is>
          <t>PF103698</t>
        </is>
      </c>
      <c r="B3707" s="68" t="n">
        <v>46100</v>
      </c>
      <c r="C3707" s="69" t="n">
        <v>2026</v>
      </c>
      <c r="D3707" t="inlineStr">
        <is>
          <t>Mar</t>
        </is>
      </c>
      <c r="E3707" t="inlineStr">
        <is>
          <t>United States</t>
        </is>
      </c>
      <c r="F3707" t="inlineStr">
        <is>
          <t>USA</t>
        </is>
      </c>
      <c r="G3707" t="inlineStr">
        <is>
          <t>Eliquis</t>
        </is>
      </c>
      <c r="H3707" t="inlineStr">
        <is>
          <t>Retail pharmacy</t>
        </is>
      </c>
      <c r="I3707" t="inlineStr">
        <is>
          <t>Public payer</t>
        </is>
      </c>
      <c r="J3707" t="inlineStr">
        <is>
          <t>Fatima Al-Saud</t>
        </is>
      </c>
      <c r="K3707" s="70" t="n">
        <v>2434</v>
      </c>
      <c r="L3707" s="71" t="n">
        <v>738.1799999999999</v>
      </c>
      <c r="M3707" s="71" t="n">
        <v>1796730.12</v>
      </c>
      <c r="N3707" s="71" t="n">
        <v>539019.04</v>
      </c>
      <c r="O3707" s="71" t="n">
        <v>1257711.08</v>
      </c>
      <c r="P3707" s="71" t="n">
        <v>189961.68</v>
      </c>
      <c r="Q3707" s="71" t="n">
        <v>1067749.4</v>
      </c>
      <c r="R3707" t="inlineStr">
        <is>
          <t>Cardiology</t>
        </is>
      </c>
      <c r="S3707" s="70" t="n">
        <v>1678</v>
      </c>
      <c r="T3707" s="71" t="n">
        <v>367180.6</v>
      </c>
      <c r="U3707" t="inlineStr">
        <is>
          <t>High</t>
        </is>
      </c>
      <c r="V3707">
        <f>IF(AND(OR(Dashboard!$C$6="All",E3707=Dashboard!$C$6),OR(Dashboard!$F$6="All",G3707=Dashboard!$F$6),OR(Dashboard!$I$6="All",H3707=Dashboard!$I$6)),1,0)</f>
        <v/>
      </c>
    </row>
    <row r="3708">
      <c r="A3708" t="inlineStr">
        <is>
          <t>PF103699</t>
        </is>
      </c>
      <c r="B3708" s="68" t="n">
        <v>46100</v>
      </c>
      <c r="C3708" s="69" t="n">
        <v>2026</v>
      </c>
      <c r="D3708" t="inlineStr">
        <is>
          <t>Mar</t>
        </is>
      </c>
      <c r="E3708" t="inlineStr">
        <is>
          <t>United States</t>
        </is>
      </c>
      <c r="F3708" t="inlineStr">
        <is>
          <t>USA</t>
        </is>
      </c>
      <c r="G3708" t="inlineStr">
        <is>
          <t>Ibrance</t>
        </is>
      </c>
      <c r="H3708" t="inlineStr">
        <is>
          <t>Retail pharmacy</t>
        </is>
      </c>
      <c r="I3708" t="inlineStr">
        <is>
          <t>Private insurer</t>
        </is>
      </c>
      <c r="J3708" t="inlineStr">
        <is>
          <t>Lucas Martin</t>
        </is>
      </c>
      <c r="K3708" s="70" t="n">
        <v>2272</v>
      </c>
      <c r="L3708" s="71" t="n">
        <v>4081.04</v>
      </c>
      <c r="M3708" s="71" t="n">
        <v>9272122.880000001</v>
      </c>
      <c r="N3708" s="71" t="n">
        <v>3245243.01</v>
      </c>
      <c r="O3708" s="71" t="n">
        <v>6026879.87</v>
      </c>
      <c r="P3708" s="71" t="n">
        <v>1023767.03</v>
      </c>
      <c r="Q3708" s="71" t="n">
        <v>5003112.84</v>
      </c>
      <c r="R3708" t="inlineStr">
        <is>
          <t>Oncology</t>
        </is>
      </c>
      <c r="S3708" s="70" t="n">
        <v>1902</v>
      </c>
      <c r="T3708" s="71" t="n">
        <v>1281351.35</v>
      </c>
      <c r="U3708" t="inlineStr">
        <is>
          <t>High</t>
        </is>
      </c>
      <c r="V3708">
        <f>IF(AND(OR(Dashboard!$C$6="All",E3708=Dashboard!$C$6),OR(Dashboard!$F$6="All",G3708=Dashboard!$F$6),OR(Dashboard!$I$6="All",H3708=Dashboard!$I$6)),1,0)</f>
        <v/>
      </c>
    </row>
    <row r="3709">
      <c r="A3709" t="inlineStr">
        <is>
          <t>PF103700</t>
        </is>
      </c>
      <c r="B3709" s="68" t="n">
        <v>46100</v>
      </c>
      <c r="C3709" s="69" t="n">
        <v>2026</v>
      </c>
      <c r="D3709" t="inlineStr">
        <is>
          <t>Mar</t>
        </is>
      </c>
      <c r="E3709" t="inlineStr">
        <is>
          <t>Emerging markets</t>
        </is>
      </c>
      <c r="F3709" t="inlineStr">
        <is>
          <t>India</t>
        </is>
      </c>
      <c r="G3709" t="inlineStr">
        <is>
          <t>Xeljanz</t>
        </is>
      </c>
      <c r="H3709" t="inlineStr">
        <is>
          <t>Retail pharmacy</t>
        </is>
      </c>
      <c r="I3709" t="inlineStr">
        <is>
          <t>Public payer</t>
        </is>
      </c>
      <c r="J3709" t="inlineStr">
        <is>
          <t>Amir Khan</t>
        </is>
      </c>
      <c r="K3709" s="70" t="n">
        <v>775</v>
      </c>
      <c r="L3709" s="71" t="n">
        <v>1460.51</v>
      </c>
      <c r="M3709" s="71" t="n">
        <v>1131895.25</v>
      </c>
      <c r="N3709" s="71" t="n">
        <v>169784.29</v>
      </c>
      <c r="O3709" s="71" t="n">
        <v>962110.96</v>
      </c>
      <c r="P3709" s="71" t="n">
        <v>194027.13</v>
      </c>
      <c r="Q3709" s="71" t="n">
        <v>768083.83</v>
      </c>
      <c r="R3709" t="inlineStr">
        <is>
          <t>Inflammation</t>
        </is>
      </c>
      <c r="S3709" s="70" t="n">
        <v>554</v>
      </c>
      <c r="T3709" s="71" t="n">
        <v>197164.23</v>
      </c>
      <c r="U3709" t="inlineStr">
        <is>
          <t>High</t>
        </is>
      </c>
      <c r="V3709">
        <f>IF(AND(OR(Dashboard!$C$6="All",E3709=Dashboard!$C$6),OR(Dashboard!$F$6="All",G3709=Dashboard!$F$6),OR(Dashboard!$I$6="All",H3709=Dashboard!$I$6)),1,0)</f>
        <v/>
      </c>
    </row>
    <row r="3710">
      <c r="A3710" t="inlineStr">
        <is>
          <t>PF103701</t>
        </is>
      </c>
      <c r="B3710" s="68" t="n">
        <v>46100</v>
      </c>
      <c r="C3710" s="69" t="n">
        <v>2026</v>
      </c>
      <c r="D3710" t="inlineStr">
        <is>
          <t>Mar</t>
        </is>
      </c>
      <c r="E3710" t="inlineStr">
        <is>
          <t>Europe</t>
        </is>
      </c>
      <c r="F3710" t="inlineStr">
        <is>
          <t>Italy</t>
        </is>
      </c>
      <c r="G3710" t="inlineStr">
        <is>
          <t>Paxlovid</t>
        </is>
      </c>
      <c r="H3710" t="inlineStr">
        <is>
          <t>Retail pharmacy</t>
        </is>
      </c>
      <c r="I3710" t="inlineStr">
        <is>
          <t>Private insurer</t>
        </is>
      </c>
      <c r="J3710" t="inlineStr">
        <is>
          <t>Carlos Silva</t>
        </is>
      </c>
      <c r="K3710" s="70" t="n">
        <v>80</v>
      </c>
      <c r="L3710" s="71" t="n">
        <v>906.45</v>
      </c>
      <c r="M3710" s="71" t="n">
        <v>72516</v>
      </c>
      <c r="N3710" s="71" t="n">
        <v>14503.2</v>
      </c>
      <c r="O3710" s="71" t="n">
        <v>58012.8</v>
      </c>
      <c r="P3710" s="71" t="n">
        <v>22500.71</v>
      </c>
      <c r="Q3710" s="71" t="n">
        <v>35512.09</v>
      </c>
      <c r="R3710" t="inlineStr">
        <is>
          <t>Antiviral</t>
        </is>
      </c>
      <c r="S3710" s="70" t="n">
        <v>56</v>
      </c>
      <c r="T3710" s="71" t="n">
        <v>14603.03</v>
      </c>
      <c r="U3710" t="inlineStr">
        <is>
          <t>Low</t>
        </is>
      </c>
      <c r="V3710">
        <f>IF(AND(OR(Dashboard!$C$6="All",E3710=Dashboard!$C$6),OR(Dashboard!$F$6="All",G3710=Dashboard!$F$6),OR(Dashboard!$I$6="All",H3710=Dashboard!$I$6)),1,0)</f>
        <v/>
      </c>
    </row>
    <row r="3711">
      <c r="A3711" t="inlineStr">
        <is>
          <t>PF103702</t>
        </is>
      </c>
      <c r="B3711" s="68" t="n">
        <v>46100</v>
      </c>
      <c r="C3711" s="69" t="n">
        <v>2026</v>
      </c>
      <c r="D3711" t="inlineStr">
        <is>
          <t>Mar</t>
        </is>
      </c>
      <c r="E3711" t="inlineStr">
        <is>
          <t>United States</t>
        </is>
      </c>
      <c r="F3711" t="inlineStr">
        <is>
          <t>USA</t>
        </is>
      </c>
      <c r="G3711" t="inlineStr">
        <is>
          <t>Comirnaty</t>
        </is>
      </c>
      <c r="H3711" t="inlineStr">
        <is>
          <t>Retail pharmacy</t>
        </is>
      </c>
      <c r="I3711" t="inlineStr">
        <is>
          <t>Public payer</t>
        </is>
      </c>
      <c r="J3711" t="inlineStr">
        <is>
          <t>Carlos Silva</t>
        </is>
      </c>
      <c r="K3711" s="70" t="n">
        <v>1627</v>
      </c>
      <c r="L3711" s="71" t="n">
        <v>135.33</v>
      </c>
      <c r="M3711" s="71" t="n">
        <v>220181.91</v>
      </c>
      <c r="N3711" s="71" t="n">
        <v>77063.67</v>
      </c>
      <c r="O3711" s="71" t="n">
        <v>143118.24</v>
      </c>
      <c r="P3711" s="71" t="n">
        <v>61860.49</v>
      </c>
      <c r="Q3711" s="71" t="n">
        <v>81257.75</v>
      </c>
      <c r="R3711" t="inlineStr">
        <is>
          <t>Vaccines</t>
        </is>
      </c>
      <c r="S3711" s="70" t="n">
        <v>1197</v>
      </c>
      <c r="T3711" s="71" t="n">
        <v>44744</v>
      </c>
      <c r="U3711" t="inlineStr">
        <is>
          <t>Low</t>
        </is>
      </c>
      <c r="V3711">
        <f>IF(AND(OR(Dashboard!$C$6="All",E3711=Dashboard!$C$6),OR(Dashboard!$F$6="All",G3711=Dashboard!$F$6),OR(Dashboard!$I$6="All",H3711=Dashboard!$I$6)),1,0)</f>
        <v/>
      </c>
    </row>
    <row r="3712">
      <c r="A3712" t="inlineStr">
        <is>
          <t>PF103703</t>
        </is>
      </c>
      <c r="B3712" s="68" t="n">
        <v>46100</v>
      </c>
      <c r="C3712" s="69" t="n">
        <v>2026</v>
      </c>
      <c r="D3712" t="inlineStr">
        <is>
          <t>Mar</t>
        </is>
      </c>
      <c r="E3712" t="inlineStr">
        <is>
          <t>United States</t>
        </is>
      </c>
      <c r="F3712" t="inlineStr">
        <is>
          <t>USA</t>
        </is>
      </c>
      <c r="G3712" t="inlineStr">
        <is>
          <t>Comirnaty</t>
        </is>
      </c>
      <c r="H3712" t="inlineStr">
        <is>
          <t>Retail pharmacy</t>
        </is>
      </c>
      <c r="I3712" t="inlineStr">
        <is>
          <t>Private insurer</t>
        </is>
      </c>
      <c r="J3712" t="inlineStr">
        <is>
          <t>Mei Lin</t>
        </is>
      </c>
      <c r="K3712" s="70" t="n">
        <v>1363</v>
      </c>
      <c r="L3712" s="71" t="n">
        <v>144.78</v>
      </c>
      <c r="M3712" s="71" t="n">
        <v>197335.14</v>
      </c>
      <c r="N3712" s="71" t="n">
        <v>59200.54</v>
      </c>
      <c r="O3712" s="71" t="n">
        <v>138134.6</v>
      </c>
      <c r="P3712" s="71" t="n">
        <v>52184.12</v>
      </c>
      <c r="Q3712" s="71" t="n">
        <v>85950.48</v>
      </c>
      <c r="R3712" t="inlineStr">
        <is>
          <t>Vaccines</t>
        </is>
      </c>
      <c r="S3712" s="70" t="n">
        <v>1181</v>
      </c>
      <c r="T3712" s="71" t="n">
        <v>52280.79</v>
      </c>
      <c r="U3712" t="inlineStr">
        <is>
          <t>Low</t>
        </is>
      </c>
      <c r="V3712">
        <f>IF(AND(OR(Dashboard!$C$6="All",E3712=Dashboard!$C$6),OR(Dashboard!$F$6="All",G3712=Dashboard!$F$6),OR(Dashboard!$I$6="All",H3712=Dashboard!$I$6)),1,0)</f>
        <v/>
      </c>
    </row>
    <row r="3713">
      <c r="A3713" t="inlineStr">
        <is>
          <t>PF103704</t>
        </is>
      </c>
      <c r="B3713" s="68" t="n">
        <v>46100</v>
      </c>
      <c r="C3713" s="69" t="n">
        <v>2026</v>
      </c>
      <c r="D3713" t="inlineStr">
        <is>
          <t>Mar</t>
        </is>
      </c>
      <c r="E3713" t="inlineStr">
        <is>
          <t>Europe</t>
        </is>
      </c>
      <c r="F3713" t="inlineStr">
        <is>
          <t>Spain</t>
        </is>
      </c>
      <c r="G3713" t="inlineStr">
        <is>
          <t>Abrysvo</t>
        </is>
      </c>
      <c r="H3713" t="inlineStr">
        <is>
          <t>Retail pharmacy</t>
        </is>
      </c>
      <c r="I3713" t="inlineStr">
        <is>
          <t>Public payer</t>
        </is>
      </c>
      <c r="J3713" t="inlineStr">
        <is>
          <t>Arjun Mehta</t>
        </is>
      </c>
      <c r="K3713" s="70" t="n">
        <v>2219</v>
      </c>
      <c r="L3713" s="71" t="n">
        <v>306.71</v>
      </c>
      <c r="M3713" s="71" t="n">
        <v>680589.49</v>
      </c>
      <c r="N3713" s="71" t="n">
        <v>68058.95</v>
      </c>
      <c r="O3713" s="71" t="n">
        <v>612530.54</v>
      </c>
      <c r="P3713" s="71" t="n">
        <v>192232.27</v>
      </c>
      <c r="Q3713" s="71" t="n">
        <v>420298.27</v>
      </c>
      <c r="R3713" t="inlineStr">
        <is>
          <t>Vaccines</t>
        </is>
      </c>
      <c r="S3713" s="70" t="n">
        <v>1725</v>
      </c>
      <c r="T3713" s="71" t="n">
        <v>107761.48</v>
      </c>
      <c r="U3713" t="inlineStr">
        <is>
          <t>Low</t>
        </is>
      </c>
      <c r="V3713">
        <f>IF(AND(OR(Dashboard!$C$6="All",E3713=Dashboard!$C$6),OR(Dashboard!$F$6="All",G3713=Dashboard!$F$6),OR(Dashboard!$I$6="All",H3713=Dashboard!$I$6)),1,0)</f>
        <v/>
      </c>
    </row>
    <row r="3714">
      <c r="A3714" t="inlineStr">
        <is>
          <t>PF103705</t>
        </is>
      </c>
      <c r="B3714" s="68" t="n">
        <v>46100</v>
      </c>
      <c r="C3714" s="69" t="n">
        <v>2026</v>
      </c>
      <c r="D3714" t="inlineStr">
        <is>
          <t>Mar</t>
        </is>
      </c>
      <c r="E3714" t="inlineStr">
        <is>
          <t>Europe</t>
        </is>
      </c>
      <c r="F3714" t="inlineStr">
        <is>
          <t>Germany</t>
        </is>
      </c>
      <c r="G3714" t="inlineStr">
        <is>
          <t>Eliquis</t>
        </is>
      </c>
      <c r="H3714" t="inlineStr">
        <is>
          <t>Retail pharmacy</t>
        </is>
      </c>
      <c r="I3714" t="inlineStr">
        <is>
          <t>Private insurer</t>
        </is>
      </c>
      <c r="J3714" t="inlineStr">
        <is>
          <t>Priya Nair</t>
        </is>
      </c>
      <c r="K3714" s="70" t="n">
        <v>1802</v>
      </c>
      <c r="L3714" s="71" t="n">
        <v>447.3</v>
      </c>
      <c r="M3714" s="71" t="n">
        <v>806034.6</v>
      </c>
      <c r="N3714" s="71" t="n">
        <v>40301.73</v>
      </c>
      <c r="O3714" s="71" t="n">
        <v>765732.87</v>
      </c>
      <c r="P3714" s="71" t="n">
        <v>133499.19</v>
      </c>
      <c r="Q3714" s="71" t="n">
        <v>632233.6800000001</v>
      </c>
      <c r="R3714" t="inlineStr">
        <is>
          <t>Cardiology</t>
        </is>
      </c>
      <c r="S3714" s="70" t="n">
        <v>1284</v>
      </c>
      <c r="T3714" s="71" t="n">
        <v>117977.97</v>
      </c>
      <c r="U3714" t="inlineStr">
        <is>
          <t>High</t>
        </is>
      </c>
      <c r="V3714">
        <f>IF(AND(OR(Dashboard!$C$6="All",E3714=Dashboard!$C$6),OR(Dashboard!$F$6="All",G3714=Dashboard!$F$6),OR(Dashboard!$I$6="All",H3714=Dashboard!$I$6)),1,0)</f>
        <v/>
      </c>
    </row>
    <row r="3715">
      <c r="A3715" t="inlineStr">
        <is>
          <t>PF103706</t>
        </is>
      </c>
      <c r="B3715" s="68" t="n">
        <v>46101</v>
      </c>
      <c r="C3715" s="69" t="n">
        <v>2026</v>
      </c>
      <c r="D3715" t="inlineStr">
        <is>
          <t>Mar</t>
        </is>
      </c>
      <c r="E3715" t="inlineStr">
        <is>
          <t>International developed</t>
        </is>
      </c>
      <c r="F3715" t="inlineStr">
        <is>
          <t>Australia</t>
        </is>
      </c>
      <c r="G3715" t="inlineStr">
        <is>
          <t>Comirnaty</t>
        </is>
      </c>
      <c r="H3715" t="inlineStr">
        <is>
          <t>Retail pharmacy</t>
        </is>
      </c>
      <c r="I3715" t="inlineStr">
        <is>
          <t>Private insurer</t>
        </is>
      </c>
      <c r="J3715" t="inlineStr">
        <is>
          <t>Sara Rossi</t>
        </is>
      </c>
      <c r="K3715" s="70" t="n">
        <v>390</v>
      </c>
      <c r="L3715" s="71" t="n">
        <v>82.18000000000001</v>
      </c>
      <c r="M3715" s="71" t="n">
        <v>32050.2</v>
      </c>
      <c r="N3715" s="71" t="n">
        <v>3205.02</v>
      </c>
      <c r="O3715" s="71" t="n">
        <v>28845.18</v>
      </c>
      <c r="P3715" s="71" t="n">
        <v>14734.17</v>
      </c>
      <c r="Q3715" s="71" t="n">
        <v>14111.01</v>
      </c>
      <c r="R3715" t="inlineStr">
        <is>
          <t>Vaccines</t>
        </is>
      </c>
      <c r="S3715" s="70" t="n">
        <v>347</v>
      </c>
      <c r="T3715" s="71" t="n">
        <v>7530.73</v>
      </c>
      <c r="U3715" t="inlineStr">
        <is>
          <t>Low</t>
        </is>
      </c>
      <c r="V3715">
        <f>IF(AND(OR(Dashboard!$C$6="All",E3715=Dashboard!$C$6),OR(Dashboard!$F$6="All",G3715=Dashboard!$F$6),OR(Dashboard!$I$6="All",H3715=Dashboard!$I$6)),1,0)</f>
        <v/>
      </c>
    </row>
    <row r="3716">
      <c r="A3716" t="inlineStr">
        <is>
          <t>PF103707</t>
        </is>
      </c>
      <c r="B3716" s="68" t="n">
        <v>46101</v>
      </c>
      <c r="C3716" s="69" t="n">
        <v>2026</v>
      </c>
      <c r="D3716" t="inlineStr">
        <is>
          <t>Mar</t>
        </is>
      </c>
      <c r="E3716" t="inlineStr">
        <is>
          <t>Emerging markets</t>
        </is>
      </c>
      <c r="F3716" t="inlineStr">
        <is>
          <t>Mexico</t>
        </is>
      </c>
      <c r="G3716" t="inlineStr">
        <is>
          <t>Prevnar 20</t>
        </is>
      </c>
      <c r="H3716" t="inlineStr">
        <is>
          <t>Retail pharmacy</t>
        </is>
      </c>
      <c r="I3716" t="inlineStr">
        <is>
          <t>Private insurer</t>
        </is>
      </c>
      <c r="J3716" t="inlineStr">
        <is>
          <t>Sara Rossi</t>
        </is>
      </c>
      <c r="K3716" s="70" t="n">
        <v>1381</v>
      </c>
      <c r="L3716" s="71" t="n">
        <v>228.59</v>
      </c>
      <c r="M3716" s="71" t="n">
        <v>315682.79</v>
      </c>
      <c r="N3716" s="71" t="n">
        <v>47352.42</v>
      </c>
      <c r="O3716" s="71" t="n">
        <v>268330.37</v>
      </c>
      <c r="P3716" s="71" t="n">
        <v>98547.47</v>
      </c>
      <c r="Q3716" s="71" t="n">
        <v>169782.9</v>
      </c>
      <c r="R3716" t="inlineStr">
        <is>
          <t>Vaccines</t>
        </is>
      </c>
      <c r="S3716" s="70" t="n">
        <v>1288</v>
      </c>
      <c r="T3716" s="71" t="n">
        <v>42229.15</v>
      </c>
      <c r="U3716" t="inlineStr">
        <is>
          <t>Low</t>
        </is>
      </c>
      <c r="V3716">
        <f>IF(AND(OR(Dashboard!$C$6="All",E3716=Dashboard!$C$6),OR(Dashboard!$F$6="All",G3716=Dashboard!$F$6),OR(Dashboard!$I$6="All",H3716=Dashboard!$I$6)),1,0)</f>
        <v/>
      </c>
    </row>
    <row r="3717">
      <c r="A3717" t="inlineStr">
        <is>
          <t>PF103708</t>
        </is>
      </c>
      <c r="B3717" s="68" t="n">
        <v>46101</v>
      </c>
      <c r="C3717" s="69" t="n">
        <v>2026</v>
      </c>
      <c r="D3717" t="inlineStr">
        <is>
          <t>Mar</t>
        </is>
      </c>
      <c r="E3717" t="inlineStr">
        <is>
          <t>United States</t>
        </is>
      </c>
      <c r="F3717" t="inlineStr">
        <is>
          <t>USA</t>
        </is>
      </c>
      <c r="G3717" t="inlineStr">
        <is>
          <t>Paxlovid</t>
        </is>
      </c>
      <c r="H3717" t="inlineStr">
        <is>
          <t>Hospital</t>
        </is>
      </c>
      <c r="I3717" t="inlineStr">
        <is>
          <t>Public payer</t>
        </is>
      </c>
      <c r="J3717" t="inlineStr">
        <is>
          <t>Wei Chen</t>
        </is>
      </c>
      <c r="K3717" s="70" t="n">
        <v>988</v>
      </c>
      <c r="L3717" s="71" t="n">
        <v>1458.16</v>
      </c>
      <c r="M3717" s="71" t="n">
        <v>1440662.08</v>
      </c>
      <c r="N3717" s="71" t="n">
        <v>360165.52</v>
      </c>
      <c r="O3717" s="71" t="n">
        <v>1080496.56</v>
      </c>
      <c r="P3717" s="71" t="n">
        <v>269215.86</v>
      </c>
      <c r="Q3717" s="71" t="n">
        <v>811280.7</v>
      </c>
      <c r="R3717" t="inlineStr">
        <is>
          <t>Antiviral</t>
        </is>
      </c>
      <c r="S3717" s="70" t="n">
        <v>659</v>
      </c>
      <c r="T3717" s="71" t="n">
        <v>268670.11</v>
      </c>
      <c r="U3717" t="inlineStr">
        <is>
          <t>Low</t>
        </is>
      </c>
      <c r="V3717">
        <f>IF(AND(OR(Dashboard!$C$6="All",E3717=Dashboard!$C$6),OR(Dashboard!$F$6="All",G3717=Dashboard!$F$6),OR(Dashboard!$I$6="All",H3717=Dashboard!$I$6)),1,0)</f>
        <v/>
      </c>
    </row>
    <row r="3718">
      <c r="A3718" t="inlineStr">
        <is>
          <t>PF103709</t>
        </is>
      </c>
      <c r="B3718" s="68" t="n">
        <v>46101</v>
      </c>
      <c r="C3718" s="69" t="n">
        <v>2026</v>
      </c>
      <c r="D3718" t="inlineStr">
        <is>
          <t>Mar</t>
        </is>
      </c>
      <c r="E3718" t="inlineStr">
        <is>
          <t>Emerging markets</t>
        </is>
      </c>
      <c r="F3718" t="inlineStr">
        <is>
          <t>Brazil</t>
        </is>
      </c>
      <c r="G3718" t="inlineStr">
        <is>
          <t>Eliquis</t>
        </is>
      </c>
      <c r="H3718" t="inlineStr">
        <is>
          <t>Hospital</t>
        </is>
      </c>
      <c r="I3718" t="inlineStr">
        <is>
          <t>Private insurer</t>
        </is>
      </c>
      <c r="J3718" t="inlineStr">
        <is>
          <t>Arjun Mehta</t>
        </is>
      </c>
      <c r="K3718" s="70" t="n">
        <v>1217</v>
      </c>
      <c r="L3718" s="71" t="n">
        <v>460.8</v>
      </c>
      <c r="M3718" s="71" t="n">
        <v>560793.6</v>
      </c>
      <c r="N3718" s="71" t="n">
        <v>56079.36</v>
      </c>
      <c r="O3718" s="71" t="n">
        <v>504714.24</v>
      </c>
      <c r="P3718" s="71" t="n">
        <v>92051.03</v>
      </c>
      <c r="Q3718" s="71" t="n">
        <v>412663.21</v>
      </c>
      <c r="R3718" t="inlineStr">
        <is>
          <t>Cardiology</t>
        </is>
      </c>
      <c r="S3718" s="70" t="n">
        <v>1030</v>
      </c>
      <c r="T3718" s="71" t="n">
        <v>83330.31</v>
      </c>
      <c r="U3718" t="inlineStr">
        <is>
          <t>High</t>
        </is>
      </c>
      <c r="V3718">
        <f>IF(AND(OR(Dashboard!$C$6="All",E3718=Dashboard!$C$6),OR(Dashboard!$F$6="All",G3718=Dashboard!$F$6),OR(Dashboard!$I$6="All",H3718=Dashboard!$I$6)),1,0)</f>
        <v/>
      </c>
    </row>
    <row r="3719">
      <c r="A3719" t="inlineStr">
        <is>
          <t>PF103710</t>
        </is>
      </c>
      <c r="B3719" s="68" t="n">
        <v>46101</v>
      </c>
      <c r="C3719" s="69" t="n">
        <v>2026</v>
      </c>
      <c r="D3719" t="inlineStr">
        <is>
          <t>Mar</t>
        </is>
      </c>
      <c r="E3719" t="inlineStr">
        <is>
          <t>United States</t>
        </is>
      </c>
      <c r="F3719" t="inlineStr">
        <is>
          <t>USA</t>
        </is>
      </c>
      <c r="G3719" t="inlineStr">
        <is>
          <t>Prevnar 20</t>
        </is>
      </c>
      <c r="H3719" t="inlineStr">
        <is>
          <t>Hospital</t>
        </is>
      </c>
      <c r="I3719" t="inlineStr">
        <is>
          <t>Public payer</t>
        </is>
      </c>
      <c r="J3719" t="inlineStr">
        <is>
          <t>Hiroshi Tanaka</t>
        </is>
      </c>
      <c r="K3719" s="70" t="n">
        <v>1689</v>
      </c>
      <c r="L3719" s="71" t="n">
        <v>392.72</v>
      </c>
      <c r="M3719" s="71" t="n">
        <v>663304.08</v>
      </c>
      <c r="N3719" s="71" t="n">
        <v>165826.02</v>
      </c>
      <c r="O3719" s="71" t="n">
        <v>497478.06</v>
      </c>
      <c r="P3719" s="71" t="n">
        <v>119423.23</v>
      </c>
      <c r="Q3719" s="71" t="n">
        <v>378054.83</v>
      </c>
      <c r="R3719" t="inlineStr">
        <is>
          <t>Vaccines</t>
        </is>
      </c>
      <c r="S3719" s="70" t="n">
        <v>1419</v>
      </c>
      <c r="T3719" s="71" t="n">
        <v>127934.8</v>
      </c>
      <c r="U3719" t="inlineStr">
        <is>
          <t>Low</t>
        </is>
      </c>
      <c r="V3719">
        <f>IF(AND(OR(Dashboard!$C$6="All",E3719=Dashboard!$C$6),OR(Dashboard!$F$6="All",G3719=Dashboard!$F$6),OR(Dashboard!$I$6="All",H3719=Dashboard!$I$6)),1,0)</f>
        <v/>
      </c>
    </row>
    <row r="3720">
      <c r="A3720" t="inlineStr">
        <is>
          <t>PF103711</t>
        </is>
      </c>
      <c r="B3720" s="68" t="n">
        <v>46102</v>
      </c>
      <c r="C3720" s="69" t="n">
        <v>2026</v>
      </c>
      <c r="D3720" t="inlineStr">
        <is>
          <t>Mar</t>
        </is>
      </c>
      <c r="E3720" t="inlineStr">
        <is>
          <t>International developed</t>
        </is>
      </c>
      <c r="F3720" t="inlineStr">
        <is>
          <t>Australia</t>
        </is>
      </c>
      <c r="G3720" t="inlineStr">
        <is>
          <t>Ibrance</t>
        </is>
      </c>
      <c r="H3720" t="inlineStr">
        <is>
          <t>Government / tender</t>
        </is>
      </c>
      <c r="I3720" t="inlineStr">
        <is>
          <t>Private insurer</t>
        </is>
      </c>
      <c r="J3720" t="inlineStr">
        <is>
          <t>Carlos Silva</t>
        </is>
      </c>
      <c r="K3720" s="70" t="n">
        <v>1564</v>
      </c>
      <c r="L3720" s="71" t="n">
        <v>2844.84</v>
      </c>
      <c r="M3720" s="71" t="n">
        <v>4449329.76</v>
      </c>
      <c r="N3720" s="71" t="n">
        <v>1112332.44</v>
      </c>
      <c r="O3720" s="71" t="n">
        <v>3336997.32</v>
      </c>
      <c r="P3720" s="71" t="n">
        <v>665579.38</v>
      </c>
      <c r="Q3720" s="71" t="n">
        <v>2671417.94</v>
      </c>
      <c r="R3720" t="inlineStr">
        <is>
          <t>Oncology</t>
        </is>
      </c>
      <c r="S3720" s="70" t="n">
        <v>1143</v>
      </c>
      <c r="T3720" s="71" t="n">
        <v>811686.4300000001</v>
      </c>
      <c r="U3720" t="inlineStr">
        <is>
          <t>High</t>
        </is>
      </c>
      <c r="V3720">
        <f>IF(AND(OR(Dashboard!$C$6="All",E3720=Dashboard!$C$6),OR(Dashboard!$F$6="All",G3720=Dashboard!$F$6),OR(Dashboard!$I$6="All",H3720=Dashboard!$I$6)),1,0)</f>
        <v/>
      </c>
    </row>
    <row r="3721">
      <c r="A3721" t="inlineStr">
        <is>
          <t>PF103712</t>
        </is>
      </c>
      <c r="B3721" s="68" t="n">
        <v>46102</v>
      </c>
      <c r="C3721" s="69" t="n">
        <v>2026</v>
      </c>
      <c r="D3721" t="inlineStr">
        <is>
          <t>Mar</t>
        </is>
      </c>
      <c r="E3721" t="inlineStr">
        <is>
          <t>United States</t>
        </is>
      </c>
      <c r="F3721" t="inlineStr">
        <is>
          <t>USA</t>
        </is>
      </c>
      <c r="G3721" t="inlineStr">
        <is>
          <t>Eliquis</t>
        </is>
      </c>
      <c r="H3721" t="inlineStr">
        <is>
          <t>Retail pharmacy</t>
        </is>
      </c>
      <c r="I3721" t="inlineStr">
        <is>
          <t>Public payer</t>
        </is>
      </c>
      <c r="J3721" t="inlineStr">
        <is>
          <t>Kofi Mensah</t>
        </is>
      </c>
      <c r="K3721" s="70" t="n">
        <v>1744</v>
      </c>
      <c r="L3721" s="71" t="n">
        <v>721.87</v>
      </c>
      <c r="M3721" s="71" t="n">
        <v>1258941.28</v>
      </c>
      <c r="N3721" s="71" t="n">
        <v>440629.45</v>
      </c>
      <c r="O3721" s="71" t="n">
        <v>818311.83</v>
      </c>
      <c r="P3721" s="71" t="n">
        <v>127269.88</v>
      </c>
      <c r="Q3721" s="71" t="n">
        <v>691041.95</v>
      </c>
      <c r="R3721" t="inlineStr">
        <is>
          <t>Cardiology</t>
        </is>
      </c>
      <c r="S3721" s="70" t="n">
        <v>1285</v>
      </c>
      <c r="T3721" s="71" t="n">
        <v>160388.73</v>
      </c>
      <c r="U3721" t="inlineStr">
        <is>
          <t>High</t>
        </is>
      </c>
      <c r="V3721">
        <f>IF(AND(OR(Dashboard!$C$6="All",E3721=Dashboard!$C$6),OR(Dashboard!$F$6="All",G3721=Dashboard!$F$6),OR(Dashboard!$I$6="All",H3721=Dashboard!$I$6)),1,0)</f>
        <v/>
      </c>
    </row>
    <row r="3722">
      <c r="A3722" t="inlineStr">
        <is>
          <t>PF103713</t>
        </is>
      </c>
      <c r="B3722" s="68" t="n">
        <v>46102</v>
      </c>
      <c r="C3722" s="69" t="n">
        <v>2026</v>
      </c>
      <c r="D3722" t="inlineStr">
        <is>
          <t>Mar</t>
        </is>
      </c>
      <c r="E3722" t="inlineStr">
        <is>
          <t>Emerging markets</t>
        </is>
      </c>
      <c r="F3722" t="inlineStr">
        <is>
          <t>India</t>
        </is>
      </c>
      <c r="G3722" t="inlineStr">
        <is>
          <t>Prevnar 20</t>
        </is>
      </c>
      <c r="H3722" t="inlineStr">
        <is>
          <t>Government / tender</t>
        </is>
      </c>
      <c r="I3722" t="inlineStr">
        <is>
          <t>Public payer</t>
        </is>
      </c>
      <c r="J3722" t="inlineStr">
        <is>
          <t>Ravindra Patil</t>
        </is>
      </c>
      <c r="K3722" s="70" t="n">
        <v>2594</v>
      </c>
      <c r="L3722" s="71" t="n">
        <v>212.94</v>
      </c>
      <c r="M3722" s="71" t="n">
        <v>552366.36</v>
      </c>
      <c r="N3722" s="71" t="n">
        <v>138091.59</v>
      </c>
      <c r="O3722" s="71" t="n">
        <v>414274.77</v>
      </c>
      <c r="P3722" s="71" t="n">
        <v>182352.81</v>
      </c>
      <c r="Q3722" s="71" t="n">
        <v>231921.96</v>
      </c>
      <c r="R3722" t="inlineStr">
        <is>
          <t>Vaccines</t>
        </is>
      </c>
      <c r="S3722" s="70" t="n">
        <v>1923</v>
      </c>
      <c r="T3722" s="71" t="n">
        <v>89681.12</v>
      </c>
      <c r="U3722" t="inlineStr">
        <is>
          <t>Low</t>
        </is>
      </c>
      <c r="V3722">
        <f>IF(AND(OR(Dashboard!$C$6="All",E3722=Dashboard!$C$6),OR(Dashboard!$F$6="All",G3722=Dashboard!$F$6),OR(Dashboard!$I$6="All",H3722=Dashboard!$I$6)),1,0)</f>
        <v/>
      </c>
    </row>
    <row r="3723">
      <c r="A3723" t="inlineStr">
        <is>
          <t>PF103714</t>
        </is>
      </c>
      <c r="B3723" s="68" t="n">
        <v>46102</v>
      </c>
      <c r="C3723" s="69" t="n">
        <v>2026</v>
      </c>
      <c r="D3723" t="inlineStr">
        <is>
          <t>Mar</t>
        </is>
      </c>
      <c r="E3723" t="inlineStr">
        <is>
          <t>Europe</t>
        </is>
      </c>
      <c r="F3723" t="inlineStr">
        <is>
          <t>UK</t>
        </is>
      </c>
      <c r="G3723" t="inlineStr">
        <is>
          <t>Comirnaty</t>
        </is>
      </c>
      <c r="H3723" t="inlineStr">
        <is>
          <t>Retail pharmacy</t>
        </is>
      </c>
      <c r="I3723" t="inlineStr">
        <is>
          <t>Private insurer</t>
        </is>
      </c>
      <c r="J3723" t="inlineStr">
        <is>
          <t>Amir Khan</t>
        </is>
      </c>
      <c r="K3723" s="70" t="n">
        <v>81</v>
      </c>
      <c r="L3723" s="71" t="n">
        <v>82.87</v>
      </c>
      <c r="M3723" s="71" t="n">
        <v>6712.47</v>
      </c>
      <c r="N3723" s="71" t="n">
        <v>1006.87</v>
      </c>
      <c r="O3723" s="71" t="n">
        <v>5705.6</v>
      </c>
      <c r="P3723" s="71" t="n">
        <v>3142.8</v>
      </c>
      <c r="Q3723" s="71" t="n">
        <v>2562.8</v>
      </c>
      <c r="R3723" t="inlineStr">
        <is>
          <t>Vaccines</t>
        </is>
      </c>
      <c r="S3723" s="70" t="n">
        <v>52</v>
      </c>
      <c r="T3723" s="71" t="n">
        <v>1538.5</v>
      </c>
      <c r="U3723" t="inlineStr">
        <is>
          <t>Low</t>
        </is>
      </c>
      <c r="V3723">
        <f>IF(AND(OR(Dashboard!$C$6="All",E3723=Dashboard!$C$6),OR(Dashboard!$F$6="All",G3723=Dashboard!$F$6),OR(Dashboard!$I$6="All",H3723=Dashboard!$I$6)),1,0)</f>
        <v/>
      </c>
    </row>
    <row r="3724">
      <c r="A3724" t="inlineStr">
        <is>
          <t>PF103715</t>
        </is>
      </c>
      <c r="B3724" s="68" t="n">
        <v>46102</v>
      </c>
      <c r="C3724" s="69" t="n">
        <v>2026</v>
      </c>
      <c r="D3724" t="inlineStr">
        <is>
          <t>Mar</t>
        </is>
      </c>
      <c r="E3724" t="inlineStr">
        <is>
          <t>United States</t>
        </is>
      </c>
      <c r="F3724" t="inlineStr">
        <is>
          <t>USA</t>
        </is>
      </c>
      <c r="G3724" t="inlineStr">
        <is>
          <t>Ibrance</t>
        </is>
      </c>
      <c r="H3724" t="inlineStr">
        <is>
          <t>Hospital</t>
        </is>
      </c>
      <c r="I3724" t="inlineStr">
        <is>
          <t>Private insurer</t>
        </is>
      </c>
      <c r="J3724" t="inlineStr">
        <is>
          <t>Noah Smith</t>
        </is>
      </c>
      <c r="K3724" s="70" t="n">
        <v>1503</v>
      </c>
      <c r="L3724" s="71" t="n">
        <v>4710.37</v>
      </c>
      <c r="M3724" s="71" t="n">
        <v>7079686.11</v>
      </c>
      <c r="N3724" s="71" t="n">
        <v>1415937.22</v>
      </c>
      <c r="O3724" s="71" t="n">
        <v>5663748.89</v>
      </c>
      <c r="P3724" s="71" t="n">
        <v>645250.8</v>
      </c>
      <c r="Q3724" s="71" t="n">
        <v>5018498.09</v>
      </c>
      <c r="R3724" t="inlineStr">
        <is>
          <t>Oncology</t>
        </is>
      </c>
      <c r="S3724" s="70" t="n">
        <v>1071</v>
      </c>
      <c r="T3724" s="71" t="n">
        <v>1215621.68</v>
      </c>
      <c r="U3724" t="inlineStr">
        <is>
          <t>High</t>
        </is>
      </c>
      <c r="V3724">
        <f>IF(AND(OR(Dashboard!$C$6="All",E3724=Dashboard!$C$6),OR(Dashboard!$F$6="All",G3724=Dashboard!$F$6),OR(Dashboard!$I$6="All",H3724=Dashboard!$I$6)),1,0)</f>
        <v/>
      </c>
    </row>
    <row r="3725">
      <c r="A3725" t="inlineStr">
        <is>
          <t>PF103716</t>
        </is>
      </c>
      <c r="B3725" s="68" t="n">
        <v>46102</v>
      </c>
      <c r="C3725" s="69" t="n">
        <v>2026</v>
      </c>
      <c r="D3725" t="inlineStr">
        <is>
          <t>Mar</t>
        </is>
      </c>
      <c r="E3725" t="inlineStr">
        <is>
          <t>United States</t>
        </is>
      </c>
      <c r="F3725" t="inlineStr">
        <is>
          <t>USA</t>
        </is>
      </c>
      <c r="G3725" t="inlineStr">
        <is>
          <t>Abrysvo</t>
        </is>
      </c>
      <c r="H3725" t="inlineStr">
        <is>
          <t>Hospital</t>
        </is>
      </c>
      <c r="I3725" t="inlineStr">
        <is>
          <t>Public payer</t>
        </is>
      </c>
      <c r="J3725" t="inlineStr">
        <is>
          <t>Yuki Sato</t>
        </is>
      </c>
      <c r="K3725" s="70" t="n">
        <v>1479</v>
      </c>
      <c r="L3725" s="71" t="n">
        <v>510.87</v>
      </c>
      <c r="M3725" s="71" t="n">
        <v>755576.73</v>
      </c>
      <c r="N3725" s="71" t="n">
        <v>188894.18</v>
      </c>
      <c r="O3725" s="71" t="n">
        <v>566682.55</v>
      </c>
      <c r="P3725" s="71" t="n">
        <v>120014.04</v>
      </c>
      <c r="Q3725" s="71" t="n">
        <v>446668.51</v>
      </c>
      <c r="R3725" t="inlineStr">
        <is>
          <t>Vaccines</t>
        </is>
      </c>
      <c r="S3725" s="70" t="n">
        <v>1211</v>
      </c>
      <c r="T3725" s="71" t="n">
        <v>131237.76</v>
      </c>
      <c r="U3725" t="inlineStr">
        <is>
          <t>Low</t>
        </is>
      </c>
      <c r="V3725">
        <f>IF(AND(OR(Dashboard!$C$6="All",E3725=Dashboard!$C$6),OR(Dashboard!$F$6="All",G3725=Dashboard!$F$6),OR(Dashboard!$I$6="All",H3725=Dashboard!$I$6)),1,0)</f>
        <v/>
      </c>
    </row>
    <row r="3726">
      <c r="A3726" t="inlineStr">
        <is>
          <t>PF103717</t>
        </is>
      </c>
      <c r="B3726" s="68" t="n">
        <v>46102</v>
      </c>
      <c r="C3726" s="69" t="n">
        <v>2026</v>
      </c>
      <c r="D3726" t="inlineStr">
        <is>
          <t>Mar</t>
        </is>
      </c>
      <c r="E3726" t="inlineStr">
        <is>
          <t>United States</t>
        </is>
      </c>
      <c r="F3726" t="inlineStr">
        <is>
          <t>USA</t>
        </is>
      </c>
      <c r="G3726" t="inlineStr">
        <is>
          <t>Eliquis</t>
        </is>
      </c>
      <c r="H3726" t="inlineStr">
        <is>
          <t>Hospital</t>
        </is>
      </c>
      <c r="I3726" t="inlineStr">
        <is>
          <t>Private insurer</t>
        </is>
      </c>
      <c r="J3726" t="inlineStr">
        <is>
          <t>Kofi Mensah</t>
        </is>
      </c>
      <c r="K3726" s="70" t="n">
        <v>1514</v>
      </c>
      <c r="L3726" s="71" t="n">
        <v>750.8200000000001</v>
      </c>
      <c r="M3726" s="71" t="n">
        <v>1136741.48</v>
      </c>
      <c r="N3726" s="71" t="n">
        <v>397859.52</v>
      </c>
      <c r="O3726" s="71" t="n">
        <v>738881.96</v>
      </c>
      <c r="P3726" s="71" t="n">
        <v>111305.48</v>
      </c>
      <c r="Q3726" s="71" t="n">
        <v>627576.48</v>
      </c>
      <c r="R3726" t="inlineStr">
        <is>
          <t>Cardiology</t>
        </is>
      </c>
      <c r="S3726" s="70" t="n">
        <v>1157</v>
      </c>
      <c r="T3726" s="71" t="n">
        <v>175249.42</v>
      </c>
      <c r="U3726" t="inlineStr">
        <is>
          <t>High</t>
        </is>
      </c>
      <c r="V3726">
        <f>IF(AND(OR(Dashboard!$C$6="All",E3726=Dashboard!$C$6),OR(Dashboard!$F$6="All",G3726=Dashboard!$F$6),OR(Dashboard!$I$6="All",H3726=Dashboard!$I$6)),1,0)</f>
        <v/>
      </c>
    </row>
    <row r="3727">
      <c r="A3727" t="inlineStr">
        <is>
          <t>PF103718</t>
        </is>
      </c>
      <c r="B3727" s="68" t="n">
        <v>46102</v>
      </c>
      <c r="C3727" s="69" t="n">
        <v>2026</v>
      </c>
      <c r="D3727" t="inlineStr">
        <is>
          <t>Mar</t>
        </is>
      </c>
      <c r="E3727" t="inlineStr">
        <is>
          <t>United States</t>
        </is>
      </c>
      <c r="F3727" t="inlineStr">
        <is>
          <t>USA</t>
        </is>
      </c>
      <c r="G3727" t="inlineStr">
        <is>
          <t>Eliquis</t>
        </is>
      </c>
      <c r="H3727" t="inlineStr">
        <is>
          <t>Retail pharmacy</t>
        </is>
      </c>
      <c r="I3727" t="inlineStr">
        <is>
          <t>Public payer</t>
        </is>
      </c>
      <c r="J3727" t="inlineStr">
        <is>
          <t>Ravindra Patil</t>
        </is>
      </c>
      <c r="K3727" s="70" t="n">
        <v>851</v>
      </c>
      <c r="L3727" s="71" t="n">
        <v>749.08</v>
      </c>
      <c r="M3727" s="71" t="n">
        <v>637467.08</v>
      </c>
      <c r="N3727" s="71" t="n">
        <v>191240.12</v>
      </c>
      <c r="O3727" s="71" t="n">
        <v>446226.96</v>
      </c>
      <c r="P3727" s="71" t="n">
        <v>65459.02</v>
      </c>
      <c r="Q3727" s="71" t="n">
        <v>380767.94</v>
      </c>
      <c r="R3727" t="inlineStr">
        <is>
          <t>Cardiology</t>
        </is>
      </c>
      <c r="S3727" s="70" t="n">
        <v>534</v>
      </c>
      <c r="T3727" s="71" t="n">
        <v>104591.73</v>
      </c>
      <c r="U3727" t="inlineStr">
        <is>
          <t>High</t>
        </is>
      </c>
      <c r="V3727">
        <f>IF(AND(OR(Dashboard!$C$6="All",E3727=Dashboard!$C$6),OR(Dashboard!$F$6="All",G3727=Dashboard!$F$6),OR(Dashboard!$I$6="All",H3727=Dashboard!$I$6)),1,0)</f>
        <v/>
      </c>
    </row>
    <row r="3728">
      <c r="A3728" t="inlineStr">
        <is>
          <t>PF103719</t>
        </is>
      </c>
      <c r="B3728" s="68" t="n">
        <v>46102</v>
      </c>
      <c r="C3728" s="69" t="n">
        <v>2026</v>
      </c>
      <c r="D3728" t="inlineStr">
        <is>
          <t>Mar</t>
        </is>
      </c>
      <c r="E3728" t="inlineStr">
        <is>
          <t>Emerging markets</t>
        </is>
      </c>
      <c r="F3728" t="inlineStr">
        <is>
          <t>India</t>
        </is>
      </c>
      <c r="G3728" t="inlineStr">
        <is>
          <t>Comirnaty</t>
        </is>
      </c>
      <c r="H3728" t="inlineStr">
        <is>
          <t>Hospital</t>
        </is>
      </c>
      <c r="I3728" t="inlineStr">
        <is>
          <t>Public payer</t>
        </is>
      </c>
      <c r="J3728" t="inlineStr">
        <is>
          <t>Hiroshi Tanaka</t>
        </is>
      </c>
      <c r="K3728" s="70" t="n">
        <v>2028</v>
      </c>
      <c r="L3728" s="71" t="n">
        <v>84.58</v>
      </c>
      <c r="M3728" s="71" t="n">
        <v>171528.24</v>
      </c>
      <c r="N3728" s="71" t="n">
        <v>34305.65</v>
      </c>
      <c r="O3728" s="71" t="n">
        <v>137222.59</v>
      </c>
      <c r="P3728" s="71" t="n">
        <v>76749.7</v>
      </c>
      <c r="Q3728" s="71" t="n">
        <v>60472.89</v>
      </c>
      <c r="R3728" t="inlineStr">
        <is>
          <t>Vaccines</t>
        </is>
      </c>
      <c r="S3728" s="70" t="n">
        <v>1533</v>
      </c>
      <c r="T3728" s="71" t="n">
        <v>25724.95</v>
      </c>
      <c r="U3728" t="inlineStr">
        <is>
          <t>Low</t>
        </is>
      </c>
      <c r="V3728">
        <f>IF(AND(OR(Dashboard!$C$6="All",E3728=Dashboard!$C$6),OR(Dashboard!$F$6="All",G3728=Dashboard!$F$6),OR(Dashboard!$I$6="All",H3728=Dashboard!$I$6)),1,0)</f>
        <v/>
      </c>
    </row>
    <row r="3729">
      <c r="A3729" t="inlineStr">
        <is>
          <t>PF103720</t>
        </is>
      </c>
      <c r="B3729" s="68" t="n">
        <v>46102</v>
      </c>
      <c r="C3729" s="69" t="n">
        <v>2026</v>
      </c>
      <c r="D3729" t="inlineStr">
        <is>
          <t>Mar</t>
        </is>
      </c>
      <c r="E3729" t="inlineStr">
        <is>
          <t>United States</t>
        </is>
      </c>
      <c r="F3729" t="inlineStr">
        <is>
          <t>USA</t>
        </is>
      </c>
      <c r="G3729" t="inlineStr">
        <is>
          <t>Eliquis</t>
        </is>
      </c>
      <c r="H3729" t="inlineStr">
        <is>
          <t>Hospital</t>
        </is>
      </c>
      <c r="I3729" t="inlineStr">
        <is>
          <t>Public payer</t>
        </is>
      </c>
      <c r="J3729" t="inlineStr">
        <is>
          <t>Zoya Ahmed</t>
        </is>
      </c>
      <c r="K3729" s="70" t="n">
        <v>402</v>
      </c>
      <c r="L3729" s="71" t="n">
        <v>743.8200000000001</v>
      </c>
      <c r="M3729" s="71" t="n">
        <v>299015.64</v>
      </c>
      <c r="N3729" s="71" t="n">
        <v>44852.35</v>
      </c>
      <c r="O3729" s="71" t="n">
        <v>254163.29</v>
      </c>
      <c r="P3729" s="71" t="n">
        <v>30198.97</v>
      </c>
      <c r="Q3729" s="71" t="n">
        <v>223964.32</v>
      </c>
      <c r="R3729" t="inlineStr">
        <is>
          <t>Cardiology</t>
        </is>
      </c>
      <c r="S3729" s="70" t="n">
        <v>254</v>
      </c>
      <c r="T3729" s="71" t="n">
        <v>54757.01</v>
      </c>
      <c r="U3729" t="inlineStr">
        <is>
          <t>High</t>
        </is>
      </c>
      <c r="V3729">
        <f>IF(AND(OR(Dashboard!$C$6="All",E3729=Dashboard!$C$6),OR(Dashboard!$F$6="All",G3729=Dashboard!$F$6),OR(Dashboard!$I$6="All",H3729=Dashboard!$I$6)),1,0)</f>
        <v/>
      </c>
    </row>
    <row r="3730">
      <c r="A3730" t="inlineStr">
        <is>
          <t>PF103721</t>
        </is>
      </c>
      <c r="B3730" s="68" t="n">
        <v>46102</v>
      </c>
      <c r="C3730" s="69" t="n">
        <v>2026</v>
      </c>
      <c r="D3730" t="inlineStr">
        <is>
          <t>Mar</t>
        </is>
      </c>
      <c r="E3730" t="inlineStr">
        <is>
          <t>United States</t>
        </is>
      </c>
      <c r="F3730" t="inlineStr">
        <is>
          <t>USA</t>
        </is>
      </c>
      <c r="G3730" t="inlineStr">
        <is>
          <t>Comirnaty</t>
        </is>
      </c>
      <c r="H3730" t="inlineStr">
        <is>
          <t>Government / tender</t>
        </is>
      </c>
      <c r="I3730" t="inlineStr">
        <is>
          <t>Public payer</t>
        </is>
      </c>
      <c r="J3730" t="inlineStr">
        <is>
          <t>Kofi Mensah</t>
        </is>
      </c>
      <c r="K3730" s="70" t="n">
        <v>1165</v>
      </c>
      <c r="L3730" s="71" t="n">
        <v>136.61</v>
      </c>
      <c r="M3730" s="71" t="n">
        <v>159150.65</v>
      </c>
      <c r="N3730" s="71" t="n">
        <v>23872.6</v>
      </c>
      <c r="O3730" s="71" t="n">
        <v>135278.05</v>
      </c>
      <c r="P3730" s="71" t="n">
        <v>45638.81</v>
      </c>
      <c r="Q3730" s="71" t="n">
        <v>89639.24000000001</v>
      </c>
      <c r="R3730" t="inlineStr">
        <is>
          <t>Vaccines</t>
        </is>
      </c>
      <c r="S3730" s="70" t="n">
        <v>915</v>
      </c>
      <c r="T3730" s="71" t="n">
        <v>29033.22</v>
      </c>
      <c r="U3730" t="inlineStr">
        <is>
          <t>Low</t>
        </is>
      </c>
      <c r="V3730">
        <f>IF(AND(OR(Dashboard!$C$6="All",E3730=Dashboard!$C$6),OR(Dashboard!$F$6="All",G3730=Dashboard!$F$6),OR(Dashboard!$I$6="All",H3730=Dashboard!$I$6)),1,0)</f>
        <v/>
      </c>
    </row>
    <row r="3731">
      <c r="A3731" t="inlineStr">
        <is>
          <t>PF103722</t>
        </is>
      </c>
      <c r="B3731" s="68" t="n">
        <v>46102</v>
      </c>
      <c r="C3731" s="69" t="n">
        <v>2026</v>
      </c>
      <c r="D3731" t="inlineStr">
        <is>
          <t>Mar</t>
        </is>
      </c>
      <c r="E3731" t="inlineStr">
        <is>
          <t>United States</t>
        </is>
      </c>
      <c r="F3731" t="inlineStr">
        <is>
          <t>USA</t>
        </is>
      </c>
      <c r="G3731" t="inlineStr">
        <is>
          <t>Vyndaqel</t>
        </is>
      </c>
      <c r="H3731" t="inlineStr">
        <is>
          <t>Hospital</t>
        </is>
      </c>
      <c r="I3731" t="inlineStr">
        <is>
          <t>Public payer</t>
        </is>
      </c>
      <c r="J3731" t="inlineStr">
        <is>
          <t>Zoya Ahmed</t>
        </is>
      </c>
      <c r="K3731" s="70" t="n">
        <v>133</v>
      </c>
      <c r="L3731" s="71" t="n">
        <v>8441.77</v>
      </c>
      <c r="M3731" s="71" t="n">
        <v>1122755.41</v>
      </c>
      <c r="N3731" s="71" t="n">
        <v>392964.39</v>
      </c>
      <c r="O3731" s="71" t="n">
        <v>729791.02</v>
      </c>
      <c r="P3731" s="71" t="n">
        <v>83307.19</v>
      </c>
      <c r="Q3731" s="71" t="n">
        <v>646483.83</v>
      </c>
      <c r="R3731" t="inlineStr">
        <is>
          <t>Rare disease</t>
        </is>
      </c>
      <c r="S3731" s="70" t="n">
        <v>102</v>
      </c>
      <c r="T3731" s="71" t="n">
        <v>124552.46</v>
      </c>
      <c r="U3731" t="inlineStr">
        <is>
          <t>Medium</t>
        </is>
      </c>
      <c r="V3731">
        <f>IF(AND(OR(Dashboard!$C$6="All",E3731=Dashboard!$C$6),OR(Dashboard!$F$6="All",G3731=Dashboard!$F$6),OR(Dashboard!$I$6="All",H3731=Dashboard!$I$6)),1,0)</f>
        <v/>
      </c>
    </row>
    <row r="3732">
      <c r="A3732" t="inlineStr">
        <is>
          <t>PF103723</t>
        </is>
      </c>
      <c r="B3732" s="68" t="n">
        <v>46103</v>
      </c>
      <c r="C3732" s="69" t="n">
        <v>2026</v>
      </c>
      <c r="D3732" t="inlineStr">
        <is>
          <t>Mar</t>
        </is>
      </c>
      <c r="E3732" t="inlineStr">
        <is>
          <t>United States</t>
        </is>
      </c>
      <c r="F3732" t="inlineStr">
        <is>
          <t>USA</t>
        </is>
      </c>
      <c r="G3732" t="inlineStr">
        <is>
          <t>Comirnaty</t>
        </is>
      </c>
      <c r="H3732" t="inlineStr">
        <is>
          <t>Retail pharmacy</t>
        </is>
      </c>
      <c r="I3732" t="inlineStr">
        <is>
          <t>Public payer</t>
        </is>
      </c>
      <c r="J3732" t="inlineStr">
        <is>
          <t>Wei Chen</t>
        </is>
      </c>
      <c r="K3732" s="70" t="n">
        <v>1131</v>
      </c>
      <c r="L3732" s="71" t="n">
        <v>136.8</v>
      </c>
      <c r="M3732" s="71" t="n">
        <v>154720.8</v>
      </c>
      <c r="N3732" s="71" t="n">
        <v>38680.2</v>
      </c>
      <c r="O3732" s="71" t="n">
        <v>116040.6</v>
      </c>
      <c r="P3732" s="71" t="n">
        <v>43565.42</v>
      </c>
      <c r="Q3732" s="71" t="n">
        <v>72475.17999999999</v>
      </c>
      <c r="R3732" t="inlineStr">
        <is>
          <t>Vaccines</t>
        </is>
      </c>
      <c r="S3732" s="70" t="n">
        <v>1102</v>
      </c>
      <c r="T3732" s="71" t="n">
        <v>31350.61</v>
      </c>
      <c r="U3732" t="inlineStr">
        <is>
          <t>Low</t>
        </is>
      </c>
      <c r="V3732">
        <f>IF(AND(OR(Dashboard!$C$6="All",E3732=Dashboard!$C$6),OR(Dashboard!$F$6="All",G3732=Dashboard!$F$6),OR(Dashboard!$I$6="All",H3732=Dashboard!$I$6)),1,0)</f>
        <v/>
      </c>
    </row>
    <row r="3733">
      <c r="A3733" t="inlineStr">
        <is>
          <t>PF103724</t>
        </is>
      </c>
      <c r="B3733" s="68" t="n">
        <v>46103</v>
      </c>
      <c r="C3733" s="69" t="n">
        <v>2026</v>
      </c>
      <c r="D3733" t="inlineStr">
        <is>
          <t>Mar</t>
        </is>
      </c>
      <c r="E3733" t="inlineStr">
        <is>
          <t>Europe</t>
        </is>
      </c>
      <c r="F3733" t="inlineStr">
        <is>
          <t>Germany</t>
        </is>
      </c>
      <c r="G3733" t="inlineStr">
        <is>
          <t>Ibrance</t>
        </is>
      </c>
      <c r="H3733" t="inlineStr">
        <is>
          <t>Government / tender</t>
        </is>
      </c>
      <c r="I3733" t="inlineStr">
        <is>
          <t>Private insurer</t>
        </is>
      </c>
      <c r="J3733" t="inlineStr">
        <is>
          <t>Sara Rossi</t>
        </is>
      </c>
      <c r="K3733" s="70" t="n">
        <v>2340</v>
      </c>
      <c r="L3733" s="71" t="n">
        <v>2728.53</v>
      </c>
      <c r="M3733" s="71" t="n">
        <v>6384760.2</v>
      </c>
      <c r="N3733" s="71" t="n">
        <v>319238.01</v>
      </c>
      <c r="O3733" s="71" t="n">
        <v>6065522.19</v>
      </c>
      <c r="P3733" s="71" t="n">
        <v>979954.97</v>
      </c>
      <c r="Q3733" s="71" t="n">
        <v>5085567.22</v>
      </c>
      <c r="R3733" t="inlineStr">
        <is>
          <t>Oncology</t>
        </is>
      </c>
      <c r="S3733" s="70" t="n">
        <v>2266</v>
      </c>
      <c r="T3733" s="71" t="n">
        <v>1436241.33</v>
      </c>
      <c r="U3733" t="inlineStr">
        <is>
          <t>High</t>
        </is>
      </c>
      <c r="V3733">
        <f>IF(AND(OR(Dashboard!$C$6="All",E3733=Dashboard!$C$6),OR(Dashboard!$F$6="All",G3733=Dashboard!$F$6),OR(Dashboard!$I$6="All",H3733=Dashboard!$I$6)),1,0)</f>
        <v/>
      </c>
    </row>
    <row r="3734">
      <c r="A3734" t="inlineStr">
        <is>
          <t>PF103725</t>
        </is>
      </c>
      <c r="B3734" s="68" t="n">
        <v>46103</v>
      </c>
      <c r="C3734" s="69" t="n">
        <v>2026</v>
      </c>
      <c r="D3734" t="inlineStr">
        <is>
          <t>Mar</t>
        </is>
      </c>
      <c r="E3734" t="inlineStr">
        <is>
          <t>Europe</t>
        </is>
      </c>
      <c r="F3734" t="inlineStr">
        <is>
          <t>France</t>
        </is>
      </c>
      <c r="G3734" t="inlineStr">
        <is>
          <t>Eliquis</t>
        </is>
      </c>
      <c r="H3734" t="inlineStr">
        <is>
          <t>Government / tender</t>
        </is>
      </c>
      <c r="I3734" t="inlineStr">
        <is>
          <t>Private insurer</t>
        </is>
      </c>
      <c r="J3734" t="inlineStr">
        <is>
          <t>Fatima Al-Saud</t>
        </is>
      </c>
      <c r="K3734" s="70" t="n">
        <v>1875</v>
      </c>
      <c r="L3734" s="71" t="n">
        <v>402.14</v>
      </c>
      <c r="M3734" s="71" t="n">
        <v>754012.5</v>
      </c>
      <c r="N3734" s="71" t="n">
        <v>188503.12</v>
      </c>
      <c r="O3734" s="71" t="n">
        <v>565509.38</v>
      </c>
      <c r="P3734" s="71" t="n">
        <v>145037.36</v>
      </c>
      <c r="Q3734" s="71" t="n">
        <v>420472.02</v>
      </c>
      <c r="R3734" t="inlineStr">
        <is>
          <t>Cardiology</t>
        </is>
      </c>
      <c r="S3734" s="70" t="n">
        <v>1184</v>
      </c>
      <c r="T3734" s="71" t="n">
        <v>146907.62</v>
      </c>
      <c r="U3734" t="inlineStr">
        <is>
          <t>High</t>
        </is>
      </c>
      <c r="V3734">
        <f>IF(AND(OR(Dashboard!$C$6="All",E3734=Dashboard!$C$6),OR(Dashboard!$F$6="All",G3734=Dashboard!$F$6),OR(Dashboard!$I$6="All",H3734=Dashboard!$I$6)),1,0)</f>
        <v/>
      </c>
    </row>
    <row r="3735">
      <c r="A3735" t="inlineStr">
        <is>
          <t>PF103726</t>
        </is>
      </c>
      <c r="B3735" s="68" t="n">
        <v>46103</v>
      </c>
      <c r="C3735" s="69" t="n">
        <v>2026</v>
      </c>
      <c r="D3735" t="inlineStr">
        <is>
          <t>Mar</t>
        </is>
      </c>
      <c r="E3735" t="inlineStr">
        <is>
          <t>United States</t>
        </is>
      </c>
      <c r="F3735" t="inlineStr">
        <is>
          <t>USA</t>
        </is>
      </c>
      <c r="G3735" t="inlineStr">
        <is>
          <t>Vyndaqel</t>
        </is>
      </c>
      <c r="H3735" t="inlineStr">
        <is>
          <t>Retail pharmacy</t>
        </is>
      </c>
      <c r="I3735" t="inlineStr">
        <is>
          <t>Public payer</t>
        </is>
      </c>
      <c r="J3735" t="inlineStr">
        <is>
          <t>Shraddha Kulkarni</t>
        </is>
      </c>
      <c r="K3735" s="70" t="n">
        <v>2518</v>
      </c>
      <c r="L3735" s="71" t="n">
        <v>8720.83</v>
      </c>
      <c r="M3735" s="71" t="n">
        <v>21959049.94</v>
      </c>
      <c r="N3735" s="71" t="n">
        <v>6587714.98</v>
      </c>
      <c r="O3735" s="71" t="n">
        <v>15371334.96</v>
      </c>
      <c r="P3735" s="71" t="n">
        <v>1593732.03</v>
      </c>
      <c r="Q3735" s="71" t="n">
        <v>13777602.93</v>
      </c>
      <c r="R3735" t="inlineStr">
        <is>
          <t>Rare disease</t>
        </is>
      </c>
      <c r="S3735" s="70" t="n">
        <v>2138</v>
      </c>
      <c r="T3735" s="71" t="n">
        <v>2630135.38</v>
      </c>
      <c r="U3735" t="inlineStr">
        <is>
          <t>Medium</t>
        </is>
      </c>
      <c r="V3735">
        <f>IF(AND(OR(Dashboard!$C$6="All",E3735=Dashboard!$C$6),OR(Dashboard!$F$6="All",G3735=Dashboard!$F$6),OR(Dashboard!$I$6="All",H3735=Dashboard!$I$6)),1,0)</f>
        <v/>
      </c>
    </row>
    <row r="3736">
      <c r="A3736" t="inlineStr">
        <is>
          <t>PF103727</t>
        </is>
      </c>
      <c r="B3736" s="68" t="n">
        <v>46103</v>
      </c>
      <c r="C3736" s="69" t="n">
        <v>2026</v>
      </c>
      <c r="D3736" t="inlineStr">
        <is>
          <t>Mar</t>
        </is>
      </c>
      <c r="E3736" t="inlineStr">
        <is>
          <t>International developed</t>
        </is>
      </c>
      <c r="F3736" t="inlineStr">
        <is>
          <t>Australia</t>
        </is>
      </c>
      <c r="G3736" t="inlineStr">
        <is>
          <t>Prevnar 20</t>
        </is>
      </c>
      <c r="H3736" t="inlineStr">
        <is>
          <t>Hospital</t>
        </is>
      </c>
      <c r="I3736" t="inlineStr">
        <is>
          <t>Private insurer</t>
        </is>
      </c>
      <c r="J3736" t="inlineStr">
        <is>
          <t>Mei Lin</t>
        </is>
      </c>
      <c r="K3736" s="70" t="n">
        <v>1657</v>
      </c>
      <c r="L3736" s="71" t="n">
        <v>238.41</v>
      </c>
      <c r="M3736" s="71" t="n">
        <v>395045.37</v>
      </c>
      <c r="N3736" s="71" t="n">
        <v>79009.07000000001</v>
      </c>
      <c r="O3736" s="71" t="n">
        <v>316036.3</v>
      </c>
      <c r="P3736" s="71" t="n">
        <v>114107.18</v>
      </c>
      <c r="Q3736" s="71" t="n">
        <v>201929.12</v>
      </c>
      <c r="R3736" t="inlineStr">
        <is>
          <t>Vaccines</t>
        </is>
      </c>
      <c r="S3736" s="70" t="n">
        <v>1447</v>
      </c>
      <c r="T3736" s="71" t="n">
        <v>55426.14</v>
      </c>
      <c r="U3736" t="inlineStr">
        <is>
          <t>Low</t>
        </is>
      </c>
      <c r="V3736">
        <f>IF(AND(OR(Dashboard!$C$6="All",E3736=Dashboard!$C$6),OR(Dashboard!$F$6="All",G3736=Dashboard!$F$6),OR(Dashboard!$I$6="All",H3736=Dashboard!$I$6)),1,0)</f>
        <v/>
      </c>
    </row>
    <row r="3737">
      <c r="A3737" t="inlineStr">
        <is>
          <t>PF103728</t>
        </is>
      </c>
      <c r="B3737" s="68" t="n">
        <v>46103</v>
      </c>
      <c r="C3737" s="69" t="n">
        <v>2026</v>
      </c>
      <c r="D3737" t="inlineStr">
        <is>
          <t>Mar</t>
        </is>
      </c>
      <c r="E3737" t="inlineStr">
        <is>
          <t>Europe</t>
        </is>
      </c>
      <c r="F3737" t="inlineStr">
        <is>
          <t>France</t>
        </is>
      </c>
      <c r="G3737" t="inlineStr">
        <is>
          <t>Xeljanz</t>
        </is>
      </c>
      <c r="H3737" t="inlineStr">
        <is>
          <t>Retail pharmacy</t>
        </is>
      </c>
      <c r="I3737" t="inlineStr">
        <is>
          <t>Private insurer</t>
        </is>
      </c>
      <c r="J3737" t="inlineStr">
        <is>
          <t>Wei Chen</t>
        </is>
      </c>
      <c r="K3737" s="70" t="n">
        <v>654</v>
      </c>
      <c r="L3737" s="71" t="n">
        <v>1441.51</v>
      </c>
      <c r="M3737" s="71" t="n">
        <v>942747.54</v>
      </c>
      <c r="N3737" s="71" t="n">
        <v>235686.89</v>
      </c>
      <c r="O3737" s="71" t="n">
        <v>707060.65</v>
      </c>
      <c r="P3737" s="71" t="n">
        <v>158887.43</v>
      </c>
      <c r="Q3737" s="71" t="n">
        <v>548173.22</v>
      </c>
      <c r="R3737" t="inlineStr">
        <is>
          <t>Inflammation</t>
        </is>
      </c>
      <c r="S3737" s="70" t="n">
        <v>568</v>
      </c>
      <c r="T3737" s="71" t="n">
        <v>179066.7</v>
      </c>
      <c r="U3737" t="inlineStr">
        <is>
          <t>High</t>
        </is>
      </c>
      <c r="V3737">
        <f>IF(AND(OR(Dashboard!$C$6="All",E3737=Dashboard!$C$6),OR(Dashboard!$F$6="All",G3737=Dashboard!$F$6),OR(Dashboard!$I$6="All",H3737=Dashboard!$I$6)),1,0)</f>
        <v/>
      </c>
    </row>
    <row r="3738">
      <c r="A3738" t="inlineStr">
        <is>
          <t>PF103729</t>
        </is>
      </c>
      <c r="B3738" s="68" t="n">
        <v>46103</v>
      </c>
      <c r="C3738" s="69" t="n">
        <v>2026</v>
      </c>
      <c r="D3738" t="inlineStr">
        <is>
          <t>Mar</t>
        </is>
      </c>
      <c r="E3738" t="inlineStr">
        <is>
          <t>United States</t>
        </is>
      </c>
      <c r="F3738" t="inlineStr">
        <is>
          <t>USA</t>
        </is>
      </c>
      <c r="G3738" t="inlineStr">
        <is>
          <t>Xeljanz</t>
        </is>
      </c>
      <c r="H3738" t="inlineStr">
        <is>
          <t>Hospital</t>
        </is>
      </c>
      <c r="I3738" t="inlineStr">
        <is>
          <t>Public payer</t>
        </is>
      </c>
      <c r="J3738" t="inlineStr">
        <is>
          <t>Ruhi Shaikh</t>
        </is>
      </c>
      <c r="K3738" s="70" t="n">
        <v>1497</v>
      </c>
      <c r="L3738" s="71" t="n">
        <v>2347.21</v>
      </c>
      <c r="M3738" s="71" t="n">
        <v>3513773.37</v>
      </c>
      <c r="N3738" s="71" t="n">
        <v>702754.67</v>
      </c>
      <c r="O3738" s="71" t="n">
        <v>2811018.7</v>
      </c>
      <c r="P3738" s="71" t="n">
        <v>381222.08</v>
      </c>
      <c r="Q3738" s="71" t="n">
        <v>2429796.62</v>
      </c>
      <c r="R3738" t="inlineStr">
        <is>
          <t>Inflammation</t>
        </is>
      </c>
      <c r="S3738" s="70" t="n">
        <v>1118</v>
      </c>
      <c r="T3738" s="71" t="n">
        <v>560632.17</v>
      </c>
      <c r="U3738" t="inlineStr">
        <is>
          <t>High</t>
        </is>
      </c>
      <c r="V3738">
        <f>IF(AND(OR(Dashboard!$C$6="All",E3738=Dashboard!$C$6),OR(Dashboard!$F$6="All",G3738=Dashboard!$F$6),OR(Dashboard!$I$6="All",H3738=Dashboard!$I$6)),1,0)</f>
        <v/>
      </c>
    </row>
    <row r="3739">
      <c r="A3739" t="inlineStr">
        <is>
          <t>PF103730</t>
        </is>
      </c>
      <c r="B3739" s="68" t="n">
        <v>46103</v>
      </c>
      <c r="C3739" s="69" t="n">
        <v>2026</v>
      </c>
      <c r="D3739" t="inlineStr">
        <is>
          <t>Mar</t>
        </is>
      </c>
      <c r="E3739" t="inlineStr">
        <is>
          <t>United States</t>
        </is>
      </c>
      <c r="F3739" t="inlineStr">
        <is>
          <t>USA</t>
        </is>
      </c>
      <c r="G3739" t="inlineStr">
        <is>
          <t>Xeljanz</t>
        </is>
      </c>
      <c r="H3739" t="inlineStr">
        <is>
          <t>Retail pharmacy</t>
        </is>
      </c>
      <c r="I3739" t="inlineStr">
        <is>
          <t>Public payer</t>
        </is>
      </c>
      <c r="J3739" t="inlineStr">
        <is>
          <t>Carlos Silva</t>
        </is>
      </c>
      <c r="K3739" s="70" t="n">
        <v>2464</v>
      </c>
      <c r="L3739" s="71" t="n">
        <v>2242.61</v>
      </c>
      <c r="M3739" s="71" t="n">
        <v>5525791.04</v>
      </c>
      <c r="N3739" s="71" t="n">
        <v>1657737.31</v>
      </c>
      <c r="O3739" s="71" t="n">
        <v>3868053.73</v>
      </c>
      <c r="P3739" s="71" t="n">
        <v>609582.79</v>
      </c>
      <c r="Q3739" s="71" t="n">
        <v>3258470.94</v>
      </c>
      <c r="R3739" t="inlineStr">
        <is>
          <t>Inflammation</t>
        </is>
      </c>
      <c r="S3739" s="70" t="n">
        <v>1671</v>
      </c>
      <c r="T3739" s="71" t="n">
        <v>1236840.24</v>
      </c>
      <c r="U3739" t="inlineStr">
        <is>
          <t>High</t>
        </is>
      </c>
      <c r="V3739">
        <f>IF(AND(OR(Dashboard!$C$6="All",E3739=Dashboard!$C$6),OR(Dashboard!$F$6="All",G3739=Dashboard!$F$6),OR(Dashboard!$I$6="All",H3739=Dashboard!$I$6)),1,0)</f>
        <v/>
      </c>
    </row>
    <row r="3740">
      <c r="A3740" t="inlineStr">
        <is>
          <t>PF103731</t>
        </is>
      </c>
      <c r="B3740" s="68" t="n">
        <v>46103</v>
      </c>
      <c r="C3740" s="69" t="n">
        <v>2026</v>
      </c>
      <c r="D3740" t="inlineStr">
        <is>
          <t>Mar</t>
        </is>
      </c>
      <c r="E3740" t="inlineStr">
        <is>
          <t>United States</t>
        </is>
      </c>
      <c r="F3740" t="inlineStr">
        <is>
          <t>USA</t>
        </is>
      </c>
      <c r="G3740" t="inlineStr">
        <is>
          <t>Prevnar 20</t>
        </is>
      </c>
      <c r="H3740" t="inlineStr">
        <is>
          <t>Hospital</t>
        </is>
      </c>
      <c r="I3740" t="inlineStr">
        <is>
          <t>Private insurer</t>
        </is>
      </c>
      <c r="J3740" t="inlineStr">
        <is>
          <t>Emma Clarke</t>
        </is>
      </c>
      <c r="K3740" s="70" t="n">
        <v>830</v>
      </c>
      <c r="L3740" s="71" t="n">
        <v>376.87</v>
      </c>
      <c r="M3740" s="71" t="n">
        <v>312802.1</v>
      </c>
      <c r="N3740" s="71" t="n">
        <v>46920.32</v>
      </c>
      <c r="O3740" s="71" t="n">
        <v>265881.78</v>
      </c>
      <c r="P3740" s="71" t="n">
        <v>56747.3</v>
      </c>
      <c r="Q3740" s="71" t="n">
        <v>209134.48</v>
      </c>
      <c r="R3740" t="inlineStr">
        <is>
          <t>Vaccines</t>
        </is>
      </c>
      <c r="S3740" s="70" t="n">
        <v>669</v>
      </c>
      <c r="T3740" s="71" t="n">
        <v>51335.84</v>
      </c>
      <c r="U3740" t="inlineStr">
        <is>
          <t>Low</t>
        </is>
      </c>
      <c r="V3740">
        <f>IF(AND(OR(Dashboard!$C$6="All",E3740=Dashboard!$C$6),OR(Dashboard!$F$6="All",G3740=Dashboard!$F$6),OR(Dashboard!$I$6="All",H3740=Dashboard!$I$6)),1,0)</f>
        <v/>
      </c>
    </row>
    <row r="3741">
      <c r="A3741" t="inlineStr">
        <is>
          <t>PF103732</t>
        </is>
      </c>
      <c r="B3741" s="68" t="n">
        <v>46103</v>
      </c>
      <c r="C3741" s="69" t="n">
        <v>2026</v>
      </c>
      <c r="D3741" t="inlineStr">
        <is>
          <t>Mar</t>
        </is>
      </c>
      <c r="E3741" t="inlineStr">
        <is>
          <t>Emerging markets</t>
        </is>
      </c>
      <c r="F3741" t="inlineStr">
        <is>
          <t>China</t>
        </is>
      </c>
      <c r="G3741" t="inlineStr">
        <is>
          <t>Vyndaqel</t>
        </is>
      </c>
      <c r="H3741" t="inlineStr">
        <is>
          <t>Hospital</t>
        </is>
      </c>
      <c r="I3741" t="inlineStr">
        <is>
          <t>Private insurer</t>
        </is>
      </c>
      <c r="J3741" t="inlineStr">
        <is>
          <t>Priya Nair</t>
        </is>
      </c>
      <c r="K3741" s="70" t="n">
        <v>1208</v>
      </c>
      <c r="L3741" s="71" t="n">
        <v>5856.63</v>
      </c>
      <c r="M3741" s="71" t="n">
        <v>7074809.04</v>
      </c>
      <c r="N3741" s="71" t="n">
        <v>707480.9</v>
      </c>
      <c r="O3741" s="71" t="n">
        <v>6367328.14</v>
      </c>
      <c r="P3741" s="71" t="n">
        <v>781999.0600000001</v>
      </c>
      <c r="Q3741" s="71" t="n">
        <v>5585329.08</v>
      </c>
      <c r="R3741" t="inlineStr">
        <is>
          <t>Rare disease</t>
        </is>
      </c>
      <c r="S3741" s="70" t="n">
        <v>1090</v>
      </c>
      <c r="T3741" s="71" t="n">
        <v>779904.49</v>
      </c>
      <c r="U3741" t="inlineStr">
        <is>
          <t>Medium</t>
        </is>
      </c>
      <c r="V3741">
        <f>IF(AND(OR(Dashboard!$C$6="All",E3741=Dashboard!$C$6),OR(Dashboard!$F$6="All",G3741=Dashboard!$F$6),OR(Dashboard!$I$6="All",H3741=Dashboard!$I$6)),1,0)</f>
        <v/>
      </c>
    </row>
    <row r="3742">
      <c r="A3742" t="inlineStr">
        <is>
          <t>PF103733</t>
        </is>
      </c>
      <c r="B3742" s="68" t="n">
        <v>46103</v>
      </c>
      <c r="C3742" s="69" t="n">
        <v>2026</v>
      </c>
      <c r="D3742" t="inlineStr">
        <is>
          <t>Mar</t>
        </is>
      </c>
      <c r="E3742" t="inlineStr">
        <is>
          <t>Europe</t>
        </is>
      </c>
      <c r="F3742" t="inlineStr">
        <is>
          <t>UK</t>
        </is>
      </c>
      <c r="G3742" t="inlineStr">
        <is>
          <t>Prevnar 20</t>
        </is>
      </c>
      <c r="H3742" t="inlineStr">
        <is>
          <t>Hospital</t>
        </is>
      </c>
      <c r="I3742" t="inlineStr">
        <is>
          <t>Public payer</t>
        </is>
      </c>
      <c r="J3742" t="inlineStr">
        <is>
          <t>Sara Rossi</t>
        </is>
      </c>
      <c r="K3742" s="70" t="n">
        <v>2538</v>
      </c>
      <c r="L3742" s="71" t="n">
        <v>211.19</v>
      </c>
      <c r="M3742" s="71" t="n">
        <v>536000.22</v>
      </c>
      <c r="N3742" s="71" t="n">
        <v>134000.05</v>
      </c>
      <c r="O3742" s="71" t="n">
        <v>402000.17</v>
      </c>
      <c r="P3742" s="71" t="n">
        <v>175637.29</v>
      </c>
      <c r="Q3742" s="71" t="n">
        <v>226362.88</v>
      </c>
      <c r="R3742" t="inlineStr">
        <is>
          <t>Vaccines</t>
        </is>
      </c>
      <c r="S3742" s="70" t="n">
        <v>1793</v>
      </c>
      <c r="T3742" s="71" t="n">
        <v>72989.88</v>
      </c>
      <c r="U3742" t="inlineStr">
        <is>
          <t>Low</t>
        </is>
      </c>
      <c r="V3742">
        <f>IF(AND(OR(Dashboard!$C$6="All",E3742=Dashboard!$C$6),OR(Dashboard!$F$6="All",G3742=Dashboard!$F$6),OR(Dashboard!$I$6="All",H3742=Dashboard!$I$6)),1,0)</f>
        <v/>
      </c>
    </row>
    <row r="3743">
      <c r="A3743" t="inlineStr">
        <is>
          <t>PF103734</t>
        </is>
      </c>
      <c r="B3743" s="68" t="n">
        <v>46103</v>
      </c>
      <c r="C3743" s="69" t="n">
        <v>2026</v>
      </c>
      <c r="D3743" t="inlineStr">
        <is>
          <t>Mar</t>
        </is>
      </c>
      <c r="E3743" t="inlineStr">
        <is>
          <t>Europe</t>
        </is>
      </c>
      <c r="F3743" t="inlineStr">
        <is>
          <t>Italy</t>
        </is>
      </c>
      <c r="G3743" t="inlineStr">
        <is>
          <t>Abrysvo</t>
        </is>
      </c>
      <c r="H3743" t="inlineStr">
        <is>
          <t>Government / tender</t>
        </is>
      </c>
      <c r="I3743" t="inlineStr">
        <is>
          <t>Public payer</t>
        </is>
      </c>
      <c r="J3743" t="inlineStr">
        <is>
          <t>Omar Haddad</t>
        </is>
      </c>
      <c r="K3743" s="70" t="n">
        <v>301</v>
      </c>
      <c r="L3743" s="71" t="n">
        <v>295.4</v>
      </c>
      <c r="M3743" s="71" t="n">
        <v>88915.39999999999</v>
      </c>
      <c r="N3743" s="71" t="n">
        <v>8891.540000000001</v>
      </c>
      <c r="O3743" s="71" t="n">
        <v>80023.86</v>
      </c>
      <c r="P3743" s="71" t="n">
        <v>25529.75</v>
      </c>
      <c r="Q3743" s="71" t="n">
        <v>54494.11</v>
      </c>
      <c r="R3743" t="inlineStr">
        <is>
          <t>Vaccines</t>
        </is>
      </c>
      <c r="S3743" s="70" t="n">
        <v>227</v>
      </c>
      <c r="T3743" s="71" t="n">
        <v>14771.37</v>
      </c>
      <c r="U3743" t="inlineStr">
        <is>
          <t>Low</t>
        </is>
      </c>
      <c r="V3743">
        <f>IF(AND(OR(Dashboard!$C$6="All",E3743=Dashboard!$C$6),OR(Dashboard!$F$6="All",G3743=Dashboard!$F$6),OR(Dashboard!$I$6="All",H3743=Dashboard!$I$6)),1,0)</f>
        <v/>
      </c>
    </row>
    <row r="3744">
      <c r="A3744" t="inlineStr">
        <is>
          <t>PF103735</t>
        </is>
      </c>
      <c r="B3744" s="68" t="n">
        <v>46104</v>
      </c>
      <c r="C3744" s="69" t="n">
        <v>2026</v>
      </c>
      <c r="D3744" t="inlineStr">
        <is>
          <t>Mar</t>
        </is>
      </c>
      <c r="E3744" t="inlineStr">
        <is>
          <t>United States</t>
        </is>
      </c>
      <c r="F3744" t="inlineStr">
        <is>
          <t>USA</t>
        </is>
      </c>
      <c r="G3744" t="inlineStr">
        <is>
          <t>Eliquis</t>
        </is>
      </c>
      <c r="H3744" t="inlineStr">
        <is>
          <t>Hospital</t>
        </is>
      </c>
      <c r="I3744" t="inlineStr">
        <is>
          <t>Public payer</t>
        </is>
      </c>
      <c r="J3744" t="inlineStr">
        <is>
          <t>Yuki Sato</t>
        </is>
      </c>
      <c r="K3744" s="70" t="n">
        <v>2133</v>
      </c>
      <c r="L3744" s="71" t="n">
        <v>692.08</v>
      </c>
      <c r="M3744" s="71" t="n">
        <v>1476206.64</v>
      </c>
      <c r="N3744" s="71" t="n">
        <v>516672.32</v>
      </c>
      <c r="O3744" s="71" t="n">
        <v>959534.3199999999</v>
      </c>
      <c r="P3744" s="71" t="n">
        <v>155485.41</v>
      </c>
      <c r="Q3744" s="71" t="n">
        <v>804048.91</v>
      </c>
      <c r="R3744" t="inlineStr">
        <is>
          <t>Cardiology</t>
        </is>
      </c>
      <c r="S3744" s="70" t="n">
        <v>1534</v>
      </c>
      <c r="T3744" s="71" t="n">
        <v>228409.15</v>
      </c>
      <c r="U3744" t="inlineStr">
        <is>
          <t>High</t>
        </is>
      </c>
      <c r="V3744">
        <f>IF(AND(OR(Dashboard!$C$6="All",E3744=Dashboard!$C$6),OR(Dashboard!$F$6="All",G3744=Dashboard!$F$6),OR(Dashboard!$I$6="All",H3744=Dashboard!$I$6)),1,0)</f>
        <v/>
      </c>
    </row>
    <row r="3745">
      <c r="A3745" t="inlineStr">
        <is>
          <t>PF103736</t>
        </is>
      </c>
      <c r="B3745" s="68" t="n">
        <v>46104</v>
      </c>
      <c r="C3745" s="69" t="n">
        <v>2026</v>
      </c>
      <c r="D3745" t="inlineStr">
        <is>
          <t>Mar</t>
        </is>
      </c>
      <c r="E3745" t="inlineStr">
        <is>
          <t>Europe</t>
        </is>
      </c>
      <c r="F3745" t="inlineStr">
        <is>
          <t>France</t>
        </is>
      </c>
      <c r="G3745" t="inlineStr">
        <is>
          <t>Prevnar 20</t>
        </is>
      </c>
      <c r="H3745" t="inlineStr">
        <is>
          <t>Hospital</t>
        </is>
      </c>
      <c r="I3745" t="inlineStr">
        <is>
          <t>Public payer</t>
        </is>
      </c>
      <c r="J3745" t="inlineStr">
        <is>
          <t>Noah Smith</t>
        </is>
      </c>
      <c r="K3745" s="70" t="n">
        <v>279</v>
      </c>
      <c r="L3745" s="71" t="n">
        <v>212.75</v>
      </c>
      <c r="M3745" s="71" t="n">
        <v>59357.25</v>
      </c>
      <c r="N3745" s="71" t="n">
        <v>2967.86</v>
      </c>
      <c r="O3745" s="71" t="n">
        <v>56389.39</v>
      </c>
      <c r="P3745" s="71" t="n">
        <v>19879.54</v>
      </c>
      <c r="Q3745" s="71" t="n">
        <v>36509.85</v>
      </c>
      <c r="R3745" t="inlineStr">
        <is>
          <t>Vaccines</t>
        </is>
      </c>
      <c r="S3745" s="70" t="n">
        <v>220</v>
      </c>
      <c r="T3745" s="71" t="n">
        <v>11348.62</v>
      </c>
      <c r="U3745" t="inlineStr">
        <is>
          <t>Low</t>
        </is>
      </c>
      <c r="V3745">
        <f>IF(AND(OR(Dashboard!$C$6="All",E3745=Dashboard!$C$6),OR(Dashboard!$F$6="All",G3745=Dashboard!$F$6),OR(Dashboard!$I$6="All",H3745=Dashboard!$I$6)),1,0)</f>
        <v/>
      </c>
    </row>
    <row r="3746">
      <c r="A3746" t="inlineStr">
        <is>
          <t>PF103737</t>
        </is>
      </c>
      <c r="B3746" s="68" t="n">
        <v>46104</v>
      </c>
      <c r="C3746" s="69" t="n">
        <v>2026</v>
      </c>
      <c r="D3746" t="inlineStr">
        <is>
          <t>Mar</t>
        </is>
      </c>
      <c r="E3746" t="inlineStr">
        <is>
          <t>United States</t>
        </is>
      </c>
      <c r="F3746" t="inlineStr">
        <is>
          <t>USA</t>
        </is>
      </c>
      <c r="G3746" t="inlineStr">
        <is>
          <t>Abrysvo</t>
        </is>
      </c>
      <c r="H3746" t="inlineStr">
        <is>
          <t>Retail pharmacy</t>
        </is>
      </c>
      <c r="I3746" t="inlineStr">
        <is>
          <t>Private insurer</t>
        </is>
      </c>
      <c r="J3746" t="inlineStr">
        <is>
          <t>Zoya Ahmed</t>
        </is>
      </c>
      <c r="K3746" s="70" t="n">
        <v>412</v>
      </c>
      <c r="L3746" s="71" t="n">
        <v>513.9299999999999</v>
      </c>
      <c r="M3746" s="71" t="n">
        <v>211739.16</v>
      </c>
      <c r="N3746" s="71" t="n">
        <v>63521.75</v>
      </c>
      <c r="O3746" s="71" t="n">
        <v>148217.41</v>
      </c>
      <c r="P3746" s="71" t="n">
        <v>35223.42</v>
      </c>
      <c r="Q3746" s="71" t="n">
        <v>112993.99</v>
      </c>
      <c r="R3746" t="inlineStr">
        <is>
          <t>Vaccines</t>
        </is>
      </c>
      <c r="S3746" s="70" t="n">
        <v>315</v>
      </c>
      <c r="T3746" s="71" t="n">
        <v>29421.59</v>
      </c>
      <c r="U3746" t="inlineStr">
        <is>
          <t>Low</t>
        </is>
      </c>
      <c r="V3746">
        <f>IF(AND(OR(Dashboard!$C$6="All",E3746=Dashboard!$C$6),OR(Dashboard!$F$6="All",G3746=Dashboard!$F$6),OR(Dashboard!$I$6="All",H3746=Dashboard!$I$6)),1,0)</f>
        <v/>
      </c>
    </row>
    <row r="3747">
      <c r="A3747" t="inlineStr">
        <is>
          <t>PF103738</t>
        </is>
      </c>
      <c r="B3747" s="68" t="n">
        <v>46105</v>
      </c>
      <c r="C3747" s="69" t="n">
        <v>2026</v>
      </c>
      <c r="D3747" t="inlineStr">
        <is>
          <t>Mar</t>
        </is>
      </c>
      <c r="E3747" t="inlineStr">
        <is>
          <t>Emerging markets</t>
        </is>
      </c>
      <c r="F3747" t="inlineStr">
        <is>
          <t>India</t>
        </is>
      </c>
      <c r="G3747" t="inlineStr">
        <is>
          <t>Eliquis</t>
        </is>
      </c>
      <c r="H3747" t="inlineStr">
        <is>
          <t>Retail pharmacy</t>
        </is>
      </c>
      <c r="I3747" t="inlineStr">
        <is>
          <t>Self-pay</t>
        </is>
      </c>
      <c r="J3747" t="inlineStr">
        <is>
          <t>Olivia Brown</t>
        </is>
      </c>
      <c r="K3747" s="70" t="n">
        <v>970</v>
      </c>
      <c r="L3747" s="71" t="n">
        <v>406.86</v>
      </c>
      <c r="M3747" s="71" t="n">
        <v>394654.2</v>
      </c>
      <c r="N3747" s="71" t="n">
        <v>59198.13</v>
      </c>
      <c r="O3747" s="71" t="n">
        <v>335456.07</v>
      </c>
      <c r="P3747" s="71" t="n">
        <v>73968.78999999999</v>
      </c>
      <c r="Q3747" s="71" t="n">
        <v>261487.28</v>
      </c>
      <c r="R3747" t="inlineStr">
        <is>
          <t>Cardiology</t>
        </is>
      </c>
      <c r="S3747" s="70" t="n">
        <v>777</v>
      </c>
      <c r="T3747" s="71" t="n">
        <v>79437.11</v>
      </c>
      <c r="U3747" t="inlineStr">
        <is>
          <t>High</t>
        </is>
      </c>
      <c r="V3747">
        <f>IF(AND(OR(Dashboard!$C$6="All",E3747=Dashboard!$C$6),OR(Dashboard!$F$6="All",G3747=Dashboard!$F$6),OR(Dashboard!$I$6="All",H3747=Dashboard!$I$6)),1,0)</f>
        <v/>
      </c>
    </row>
    <row r="3748">
      <c r="A3748" t="inlineStr">
        <is>
          <t>PF103739</t>
        </is>
      </c>
      <c r="B3748" s="68" t="n">
        <v>46105</v>
      </c>
      <c r="C3748" s="69" t="n">
        <v>2026</v>
      </c>
      <c r="D3748" t="inlineStr">
        <is>
          <t>Mar</t>
        </is>
      </c>
      <c r="E3748" t="inlineStr">
        <is>
          <t>United States</t>
        </is>
      </c>
      <c r="F3748" t="inlineStr">
        <is>
          <t>USA</t>
        </is>
      </c>
      <c r="G3748" t="inlineStr">
        <is>
          <t>Prevnar 20</t>
        </is>
      </c>
      <c r="H3748" t="inlineStr">
        <is>
          <t>Hospital</t>
        </is>
      </c>
      <c r="I3748" t="inlineStr">
        <is>
          <t>Public payer</t>
        </is>
      </c>
      <c r="J3748" t="inlineStr">
        <is>
          <t>Kofi Mensah</t>
        </is>
      </c>
      <c r="K3748" s="70" t="n">
        <v>1813</v>
      </c>
      <c r="L3748" s="71" t="n">
        <v>340.97</v>
      </c>
      <c r="M3748" s="71" t="n">
        <v>618178.61</v>
      </c>
      <c r="N3748" s="71" t="n">
        <v>92726.78999999999</v>
      </c>
      <c r="O3748" s="71" t="n">
        <v>525451.8199999999</v>
      </c>
      <c r="P3748" s="71" t="n">
        <v>122056.02</v>
      </c>
      <c r="Q3748" s="71" t="n">
        <v>403395.8</v>
      </c>
      <c r="R3748" t="inlineStr">
        <is>
          <t>Vaccines</t>
        </is>
      </c>
      <c r="S3748" s="70" t="n">
        <v>1421</v>
      </c>
      <c r="T3748" s="71" t="n">
        <v>125642.16</v>
      </c>
      <c r="U3748" t="inlineStr">
        <is>
          <t>Low</t>
        </is>
      </c>
      <c r="V3748">
        <f>IF(AND(OR(Dashboard!$C$6="All",E3748=Dashboard!$C$6),OR(Dashboard!$F$6="All",G3748=Dashboard!$F$6),OR(Dashboard!$I$6="All",H3748=Dashboard!$I$6)),1,0)</f>
        <v/>
      </c>
    </row>
    <row r="3749">
      <c r="A3749" t="inlineStr">
        <is>
          <t>PF103740</t>
        </is>
      </c>
      <c r="B3749" s="68" t="n">
        <v>46105</v>
      </c>
      <c r="C3749" s="69" t="n">
        <v>2026</v>
      </c>
      <c r="D3749" t="inlineStr">
        <is>
          <t>Mar</t>
        </is>
      </c>
      <c r="E3749" t="inlineStr">
        <is>
          <t>Europe</t>
        </is>
      </c>
      <c r="F3749" t="inlineStr">
        <is>
          <t>Spain</t>
        </is>
      </c>
      <c r="G3749" t="inlineStr">
        <is>
          <t>Eliquis</t>
        </is>
      </c>
      <c r="H3749" t="inlineStr">
        <is>
          <t>Retail pharmacy</t>
        </is>
      </c>
      <c r="I3749" t="inlineStr">
        <is>
          <t>Private insurer</t>
        </is>
      </c>
      <c r="J3749" t="inlineStr">
        <is>
          <t>Mei Lin</t>
        </is>
      </c>
      <c r="K3749" s="70" t="n">
        <v>2925</v>
      </c>
      <c r="L3749" s="71" t="n">
        <v>424.03</v>
      </c>
      <c r="M3749" s="71" t="n">
        <v>1240287.75</v>
      </c>
      <c r="N3749" s="71" t="n">
        <v>124028.78</v>
      </c>
      <c r="O3749" s="71" t="n">
        <v>1116258.97</v>
      </c>
      <c r="P3749" s="71" t="n">
        <v>223439.34</v>
      </c>
      <c r="Q3749" s="71" t="n">
        <v>892819.63</v>
      </c>
      <c r="R3749" t="inlineStr">
        <is>
          <t>Cardiology</t>
        </is>
      </c>
      <c r="S3749" s="70" t="n">
        <v>2369</v>
      </c>
      <c r="T3749" s="71" t="n">
        <v>219648.41</v>
      </c>
      <c r="U3749" t="inlineStr">
        <is>
          <t>High</t>
        </is>
      </c>
      <c r="V3749">
        <f>IF(AND(OR(Dashboard!$C$6="All",E3749=Dashboard!$C$6),OR(Dashboard!$F$6="All",G3749=Dashboard!$F$6),OR(Dashboard!$I$6="All",H3749=Dashboard!$I$6)),1,0)</f>
        <v/>
      </c>
    </row>
    <row r="3750">
      <c r="A3750" t="inlineStr">
        <is>
          <t>PF103741</t>
        </is>
      </c>
      <c r="B3750" s="68" t="n">
        <v>46105</v>
      </c>
      <c r="C3750" s="69" t="n">
        <v>2026</v>
      </c>
      <c r="D3750" t="inlineStr">
        <is>
          <t>Mar</t>
        </is>
      </c>
      <c r="E3750" t="inlineStr">
        <is>
          <t>Emerging markets</t>
        </is>
      </c>
      <c r="F3750" t="inlineStr">
        <is>
          <t>China</t>
        </is>
      </c>
      <c r="G3750" t="inlineStr">
        <is>
          <t>Ibrance</t>
        </is>
      </c>
      <c r="H3750" t="inlineStr">
        <is>
          <t>Retail pharmacy</t>
        </is>
      </c>
      <c r="I3750" t="inlineStr">
        <is>
          <t>Private insurer</t>
        </is>
      </c>
      <c r="J3750" t="inlineStr">
        <is>
          <t>Wei Chen</t>
        </is>
      </c>
      <c r="K3750" s="70" t="n">
        <v>683</v>
      </c>
      <c r="L3750" s="71" t="n">
        <v>2623.91</v>
      </c>
      <c r="M3750" s="71" t="n">
        <v>1792130.53</v>
      </c>
      <c r="N3750" s="71" t="n">
        <v>179213.05</v>
      </c>
      <c r="O3750" s="71" t="n">
        <v>1612917.48</v>
      </c>
      <c r="P3750" s="71" t="n">
        <v>291029.64</v>
      </c>
      <c r="Q3750" s="71" t="n">
        <v>1321887.84</v>
      </c>
      <c r="R3750" t="inlineStr">
        <is>
          <t>Oncology</t>
        </is>
      </c>
      <c r="S3750" s="70" t="n">
        <v>589</v>
      </c>
      <c r="T3750" s="71" t="n">
        <v>322142.18</v>
      </c>
      <c r="U3750" t="inlineStr">
        <is>
          <t>High</t>
        </is>
      </c>
      <c r="V3750">
        <f>IF(AND(OR(Dashboard!$C$6="All",E3750=Dashboard!$C$6),OR(Dashboard!$F$6="All",G3750=Dashboard!$F$6),OR(Dashboard!$I$6="All",H3750=Dashboard!$I$6)),1,0)</f>
        <v/>
      </c>
    </row>
    <row r="3751">
      <c r="A3751" t="inlineStr">
        <is>
          <t>PF103742</t>
        </is>
      </c>
      <c r="B3751" s="68" t="n">
        <v>46105</v>
      </c>
      <c r="C3751" s="69" t="n">
        <v>2026</v>
      </c>
      <c r="D3751" t="inlineStr">
        <is>
          <t>Mar</t>
        </is>
      </c>
      <c r="E3751" t="inlineStr">
        <is>
          <t>Europe</t>
        </is>
      </c>
      <c r="F3751" t="inlineStr">
        <is>
          <t>Italy</t>
        </is>
      </c>
      <c r="G3751" t="inlineStr">
        <is>
          <t>Eliquis</t>
        </is>
      </c>
      <c r="H3751" t="inlineStr">
        <is>
          <t>Government / tender</t>
        </is>
      </c>
      <c r="I3751" t="inlineStr">
        <is>
          <t>Private insurer</t>
        </is>
      </c>
      <c r="J3751" t="inlineStr">
        <is>
          <t>Arjun Mehta</t>
        </is>
      </c>
      <c r="K3751" s="70" t="n">
        <v>490</v>
      </c>
      <c r="L3751" s="71" t="n">
        <v>440.01</v>
      </c>
      <c r="M3751" s="71" t="n">
        <v>215604.9</v>
      </c>
      <c r="N3751" s="71" t="n">
        <v>21560.49</v>
      </c>
      <c r="O3751" s="71" t="n">
        <v>194044.41</v>
      </c>
      <c r="P3751" s="71" t="n">
        <v>36613.75</v>
      </c>
      <c r="Q3751" s="71" t="n">
        <v>157430.66</v>
      </c>
      <c r="R3751" t="inlineStr">
        <is>
          <t>Cardiology</t>
        </is>
      </c>
      <c r="S3751" s="70" t="n">
        <v>370</v>
      </c>
      <c r="T3751" s="71" t="n">
        <v>45903.4</v>
      </c>
      <c r="U3751" t="inlineStr">
        <is>
          <t>High</t>
        </is>
      </c>
      <c r="V3751">
        <f>IF(AND(OR(Dashboard!$C$6="All",E3751=Dashboard!$C$6),OR(Dashboard!$F$6="All",G3751=Dashboard!$F$6),OR(Dashboard!$I$6="All",H3751=Dashboard!$I$6)),1,0)</f>
        <v/>
      </c>
    </row>
    <row r="3752">
      <c r="A3752" t="inlineStr">
        <is>
          <t>PF103743</t>
        </is>
      </c>
      <c r="B3752" s="68" t="n">
        <v>46105</v>
      </c>
      <c r="C3752" s="69" t="n">
        <v>2026</v>
      </c>
      <c r="D3752" t="inlineStr">
        <is>
          <t>Mar</t>
        </is>
      </c>
      <c r="E3752" t="inlineStr">
        <is>
          <t>United States</t>
        </is>
      </c>
      <c r="F3752" t="inlineStr">
        <is>
          <t>USA</t>
        </is>
      </c>
      <c r="G3752" t="inlineStr">
        <is>
          <t>Comirnaty</t>
        </is>
      </c>
      <c r="H3752" t="inlineStr">
        <is>
          <t>Retail pharmacy</t>
        </is>
      </c>
      <c r="I3752" t="inlineStr">
        <is>
          <t>Private insurer</t>
        </is>
      </c>
      <c r="J3752" t="inlineStr">
        <is>
          <t>Priya Nair</t>
        </is>
      </c>
      <c r="K3752" s="70" t="n">
        <v>2008</v>
      </c>
      <c r="L3752" s="71" t="n">
        <v>146.94</v>
      </c>
      <c r="M3752" s="71" t="n">
        <v>295055.52</v>
      </c>
      <c r="N3752" s="71" t="n">
        <v>44258.33</v>
      </c>
      <c r="O3752" s="71" t="n">
        <v>250797.19</v>
      </c>
      <c r="P3752" s="71" t="n">
        <v>79362.03</v>
      </c>
      <c r="Q3752" s="71" t="n">
        <v>171435.16</v>
      </c>
      <c r="R3752" t="inlineStr">
        <is>
          <t>Vaccines</t>
        </is>
      </c>
      <c r="S3752" s="70" t="n">
        <v>1453</v>
      </c>
      <c r="T3752" s="71" t="n">
        <v>73597.97</v>
      </c>
      <c r="U3752" t="inlineStr">
        <is>
          <t>Low</t>
        </is>
      </c>
      <c r="V3752">
        <f>IF(AND(OR(Dashboard!$C$6="All",E3752=Dashboard!$C$6),OR(Dashboard!$F$6="All",G3752=Dashboard!$F$6),OR(Dashboard!$I$6="All",H3752=Dashboard!$I$6)),1,0)</f>
        <v/>
      </c>
    </row>
    <row r="3753">
      <c r="A3753" t="inlineStr">
        <is>
          <t>PF103744</t>
        </is>
      </c>
      <c r="B3753" s="68" t="n">
        <v>46105</v>
      </c>
      <c r="C3753" s="69" t="n">
        <v>2026</v>
      </c>
      <c r="D3753" t="inlineStr">
        <is>
          <t>Mar</t>
        </is>
      </c>
      <c r="E3753" t="inlineStr">
        <is>
          <t>International developed</t>
        </is>
      </c>
      <c r="F3753" t="inlineStr">
        <is>
          <t>Australia</t>
        </is>
      </c>
      <c r="G3753" t="inlineStr">
        <is>
          <t>Eliquis</t>
        </is>
      </c>
      <c r="H3753" t="inlineStr">
        <is>
          <t>Retail pharmacy</t>
        </is>
      </c>
      <c r="I3753" t="inlineStr">
        <is>
          <t>Public payer</t>
        </is>
      </c>
      <c r="J3753" t="inlineStr">
        <is>
          <t>Shraddha Kulkarni</t>
        </is>
      </c>
      <c r="K3753" s="70" t="n">
        <v>2989</v>
      </c>
      <c r="L3753" s="71" t="n">
        <v>457.96</v>
      </c>
      <c r="M3753" s="71" t="n">
        <v>1368842.44</v>
      </c>
      <c r="N3753" s="71" t="n">
        <v>342210.61</v>
      </c>
      <c r="O3753" s="71" t="n">
        <v>1026631.83</v>
      </c>
      <c r="P3753" s="71" t="n">
        <v>222558.9</v>
      </c>
      <c r="Q3753" s="71" t="n">
        <v>804072.9300000001</v>
      </c>
      <c r="R3753" t="inlineStr">
        <is>
          <t>Cardiology</t>
        </is>
      </c>
      <c r="S3753" s="70" t="n">
        <v>2740</v>
      </c>
      <c r="T3753" s="71" t="n">
        <v>180529.15</v>
      </c>
      <c r="U3753" t="inlineStr">
        <is>
          <t>High</t>
        </is>
      </c>
      <c r="V3753">
        <f>IF(AND(OR(Dashboard!$C$6="All",E3753=Dashboard!$C$6),OR(Dashboard!$F$6="All",G3753=Dashboard!$F$6),OR(Dashboard!$I$6="All",H3753=Dashboard!$I$6)),1,0)</f>
        <v/>
      </c>
    </row>
    <row r="3754">
      <c r="A3754" t="inlineStr">
        <is>
          <t>PF103745</t>
        </is>
      </c>
      <c r="B3754" s="68" t="n">
        <v>46105</v>
      </c>
      <c r="C3754" s="69" t="n">
        <v>2026</v>
      </c>
      <c r="D3754" t="inlineStr">
        <is>
          <t>Mar</t>
        </is>
      </c>
      <c r="E3754" t="inlineStr">
        <is>
          <t>International developed</t>
        </is>
      </c>
      <c r="F3754" t="inlineStr">
        <is>
          <t>Japan</t>
        </is>
      </c>
      <c r="G3754" t="inlineStr">
        <is>
          <t>Eliquis</t>
        </is>
      </c>
      <c r="H3754" t="inlineStr">
        <is>
          <t>Retail pharmacy</t>
        </is>
      </c>
      <c r="I3754" t="inlineStr">
        <is>
          <t>Public payer</t>
        </is>
      </c>
      <c r="J3754" t="inlineStr">
        <is>
          <t>Aisha Bello</t>
        </is>
      </c>
      <c r="K3754" s="70" t="n">
        <v>640</v>
      </c>
      <c r="L3754" s="71" t="n">
        <v>455.78</v>
      </c>
      <c r="M3754" s="71" t="n">
        <v>291699.2</v>
      </c>
      <c r="N3754" s="71" t="n">
        <v>14584.96</v>
      </c>
      <c r="O3754" s="71" t="n">
        <v>277114.24</v>
      </c>
      <c r="P3754" s="71" t="n">
        <v>50121.77</v>
      </c>
      <c r="Q3754" s="71" t="n">
        <v>226992.47</v>
      </c>
      <c r="R3754" t="inlineStr">
        <is>
          <t>Cardiology</t>
        </is>
      </c>
      <c r="S3754" s="70" t="n">
        <v>633</v>
      </c>
      <c r="T3754" s="71" t="n">
        <v>36505.31</v>
      </c>
      <c r="U3754" t="inlineStr">
        <is>
          <t>High</t>
        </is>
      </c>
      <c r="V3754">
        <f>IF(AND(OR(Dashboard!$C$6="All",E3754=Dashboard!$C$6),OR(Dashboard!$F$6="All",G3754=Dashboard!$F$6),OR(Dashboard!$I$6="All",H3754=Dashboard!$I$6)),1,0)</f>
        <v/>
      </c>
    </row>
    <row r="3755">
      <c r="A3755" t="inlineStr">
        <is>
          <t>PF103746</t>
        </is>
      </c>
      <c r="B3755" s="68" t="n">
        <v>46106</v>
      </c>
      <c r="C3755" s="69" t="n">
        <v>2026</v>
      </c>
      <c r="D3755" t="inlineStr">
        <is>
          <t>Mar</t>
        </is>
      </c>
      <c r="E3755" t="inlineStr">
        <is>
          <t>Emerging markets</t>
        </is>
      </c>
      <c r="F3755" t="inlineStr">
        <is>
          <t>Brazil</t>
        </is>
      </c>
      <c r="G3755" t="inlineStr">
        <is>
          <t>Eliquis</t>
        </is>
      </c>
      <c r="H3755" t="inlineStr">
        <is>
          <t>Government / tender</t>
        </is>
      </c>
      <c r="I3755" t="inlineStr">
        <is>
          <t>Self-pay</t>
        </is>
      </c>
      <c r="J3755" t="inlineStr">
        <is>
          <t>Sophie Müller</t>
        </is>
      </c>
      <c r="K3755" s="70" t="n">
        <v>2080</v>
      </c>
      <c r="L3755" s="71" t="n">
        <v>446.63</v>
      </c>
      <c r="M3755" s="71" t="n">
        <v>928990.4</v>
      </c>
      <c r="N3755" s="71" t="n">
        <v>185798.08</v>
      </c>
      <c r="O3755" s="71" t="n">
        <v>743192.3199999999</v>
      </c>
      <c r="P3755" s="71" t="n">
        <v>153803.2</v>
      </c>
      <c r="Q3755" s="71" t="n">
        <v>589389.12</v>
      </c>
      <c r="R3755" t="inlineStr">
        <is>
          <t>Cardiology</t>
        </is>
      </c>
      <c r="S3755" s="70" t="n">
        <v>1857</v>
      </c>
      <c r="T3755" s="71" t="n">
        <v>159713.26</v>
      </c>
      <c r="U3755" t="inlineStr">
        <is>
          <t>High</t>
        </is>
      </c>
      <c r="V3755">
        <f>IF(AND(OR(Dashboard!$C$6="All",E3755=Dashboard!$C$6),OR(Dashboard!$F$6="All",G3755=Dashboard!$F$6),OR(Dashboard!$I$6="All",H3755=Dashboard!$I$6)),1,0)</f>
        <v/>
      </c>
    </row>
    <row r="3756">
      <c r="A3756" t="inlineStr">
        <is>
          <t>PF103747</t>
        </is>
      </c>
      <c r="B3756" s="68" t="n">
        <v>46106</v>
      </c>
      <c r="C3756" s="69" t="n">
        <v>2026</v>
      </c>
      <c r="D3756" t="inlineStr">
        <is>
          <t>Mar</t>
        </is>
      </c>
      <c r="E3756" t="inlineStr">
        <is>
          <t>United States</t>
        </is>
      </c>
      <c r="F3756" t="inlineStr">
        <is>
          <t>USA</t>
        </is>
      </c>
      <c r="G3756" t="inlineStr">
        <is>
          <t>Paxlovid</t>
        </is>
      </c>
      <c r="H3756" t="inlineStr">
        <is>
          <t>Government / tender</t>
        </is>
      </c>
      <c r="I3756" t="inlineStr">
        <is>
          <t>Private insurer</t>
        </is>
      </c>
      <c r="J3756" t="inlineStr">
        <is>
          <t>Yuki Sato</t>
        </is>
      </c>
      <c r="K3756" s="70" t="n">
        <v>2062</v>
      </c>
      <c r="L3756" s="71" t="n">
        <v>1460.11</v>
      </c>
      <c r="M3756" s="71" t="n">
        <v>3010746.82</v>
      </c>
      <c r="N3756" s="71" t="n">
        <v>1053761.39</v>
      </c>
      <c r="O3756" s="71" t="n">
        <v>1956985.43</v>
      </c>
      <c r="P3756" s="71" t="n">
        <v>574427.77</v>
      </c>
      <c r="Q3756" s="71" t="n">
        <v>1382557.66</v>
      </c>
      <c r="R3756" t="inlineStr">
        <is>
          <t>Antiviral</t>
        </is>
      </c>
      <c r="S3756" s="70" t="n">
        <v>1471</v>
      </c>
      <c r="T3756" s="71" t="n">
        <v>491698.17</v>
      </c>
      <c r="U3756" t="inlineStr">
        <is>
          <t>Low</t>
        </is>
      </c>
      <c r="V3756">
        <f>IF(AND(OR(Dashboard!$C$6="All",E3756=Dashboard!$C$6),OR(Dashboard!$F$6="All",G3756=Dashboard!$F$6),OR(Dashboard!$I$6="All",H3756=Dashboard!$I$6)),1,0)</f>
        <v/>
      </c>
    </row>
    <row r="3757">
      <c r="A3757" t="inlineStr">
        <is>
          <t>PF103748</t>
        </is>
      </c>
      <c r="B3757" s="68" t="n">
        <v>46106</v>
      </c>
      <c r="C3757" s="69" t="n">
        <v>2026</v>
      </c>
      <c r="D3757" t="inlineStr">
        <is>
          <t>Mar</t>
        </is>
      </c>
      <c r="E3757" t="inlineStr">
        <is>
          <t>United States</t>
        </is>
      </c>
      <c r="F3757" t="inlineStr">
        <is>
          <t>USA</t>
        </is>
      </c>
      <c r="G3757" t="inlineStr">
        <is>
          <t>Eliquis</t>
        </is>
      </c>
      <c r="H3757" t="inlineStr">
        <is>
          <t>Retail pharmacy</t>
        </is>
      </c>
      <c r="I3757" t="inlineStr">
        <is>
          <t>Public payer</t>
        </is>
      </c>
      <c r="J3757" t="inlineStr">
        <is>
          <t>Shraddha Kulkarni</t>
        </is>
      </c>
      <c r="K3757" s="70" t="n">
        <v>2357</v>
      </c>
      <c r="L3757" s="71" t="n">
        <v>640.9400000000001</v>
      </c>
      <c r="M3757" s="71" t="n">
        <v>1510695.58</v>
      </c>
      <c r="N3757" s="71" t="n">
        <v>226604.34</v>
      </c>
      <c r="O3757" s="71" t="n">
        <v>1284091.24</v>
      </c>
      <c r="P3757" s="71" t="n">
        <v>172255</v>
      </c>
      <c r="Q3757" s="71" t="n">
        <v>1111836.24</v>
      </c>
      <c r="R3757" t="inlineStr">
        <is>
          <t>Cardiology</t>
        </is>
      </c>
      <c r="S3757" s="70" t="n">
        <v>2022</v>
      </c>
      <c r="T3757" s="71" t="n">
        <v>307066.87</v>
      </c>
      <c r="U3757" t="inlineStr">
        <is>
          <t>High</t>
        </is>
      </c>
      <c r="V3757">
        <f>IF(AND(OR(Dashboard!$C$6="All",E3757=Dashboard!$C$6),OR(Dashboard!$F$6="All",G3757=Dashboard!$F$6),OR(Dashboard!$I$6="All",H3757=Dashboard!$I$6)),1,0)</f>
        <v/>
      </c>
    </row>
    <row r="3758">
      <c r="A3758" t="inlineStr">
        <is>
          <t>PF103749</t>
        </is>
      </c>
      <c r="B3758" s="68" t="n">
        <v>46106</v>
      </c>
      <c r="C3758" s="69" t="n">
        <v>2026</v>
      </c>
      <c r="D3758" t="inlineStr">
        <is>
          <t>Mar</t>
        </is>
      </c>
      <c r="E3758" t="inlineStr">
        <is>
          <t>United States</t>
        </is>
      </c>
      <c r="F3758" t="inlineStr">
        <is>
          <t>USA</t>
        </is>
      </c>
      <c r="G3758" t="inlineStr">
        <is>
          <t>Ibrance</t>
        </is>
      </c>
      <c r="H3758" t="inlineStr">
        <is>
          <t>Government / tender</t>
        </is>
      </c>
      <c r="I3758" t="inlineStr">
        <is>
          <t>Private insurer</t>
        </is>
      </c>
      <c r="J3758" t="inlineStr">
        <is>
          <t>Ana Costa</t>
        </is>
      </c>
      <c r="K3758" s="70" t="n">
        <v>1185</v>
      </c>
      <c r="L3758" s="71" t="n">
        <v>4140.18</v>
      </c>
      <c r="M3758" s="71" t="n">
        <v>4906113.3</v>
      </c>
      <c r="N3758" s="71" t="n">
        <v>1717139.65</v>
      </c>
      <c r="O3758" s="71" t="n">
        <v>3188973.65</v>
      </c>
      <c r="P3758" s="71" t="n">
        <v>508880.45</v>
      </c>
      <c r="Q3758" s="71" t="n">
        <v>2680093.2</v>
      </c>
      <c r="R3758" t="inlineStr">
        <is>
          <t>Oncology</t>
        </is>
      </c>
      <c r="S3758" s="70" t="n">
        <v>882</v>
      </c>
      <c r="T3758" s="71" t="n">
        <v>1003978.94</v>
      </c>
      <c r="U3758" t="inlineStr">
        <is>
          <t>High</t>
        </is>
      </c>
      <c r="V3758">
        <f>IF(AND(OR(Dashboard!$C$6="All",E3758=Dashboard!$C$6),OR(Dashboard!$F$6="All",G3758=Dashboard!$F$6),OR(Dashboard!$I$6="All",H3758=Dashboard!$I$6)),1,0)</f>
        <v/>
      </c>
    </row>
    <row r="3759">
      <c r="A3759" t="inlineStr">
        <is>
          <t>PF103750</t>
        </is>
      </c>
      <c r="B3759" s="68" t="n">
        <v>46106</v>
      </c>
      <c r="C3759" s="69" t="n">
        <v>2026</v>
      </c>
      <c r="D3759" t="inlineStr">
        <is>
          <t>Mar</t>
        </is>
      </c>
      <c r="E3759" t="inlineStr">
        <is>
          <t>United States</t>
        </is>
      </c>
      <c r="F3759" t="inlineStr">
        <is>
          <t>USA</t>
        </is>
      </c>
      <c r="G3759" t="inlineStr">
        <is>
          <t>Ibrance</t>
        </is>
      </c>
      <c r="H3759" t="inlineStr">
        <is>
          <t>Retail pharmacy</t>
        </is>
      </c>
      <c r="I3759" t="inlineStr">
        <is>
          <t>Public payer</t>
        </is>
      </c>
      <c r="J3759" t="inlineStr">
        <is>
          <t>Omar Haddad</t>
        </is>
      </c>
      <c r="K3759" s="70" t="n">
        <v>864</v>
      </c>
      <c r="L3759" s="71" t="n">
        <v>4082.05</v>
      </c>
      <c r="M3759" s="71" t="n">
        <v>3526891.2</v>
      </c>
      <c r="N3759" s="71" t="n">
        <v>529033.6800000001</v>
      </c>
      <c r="O3759" s="71" t="n">
        <v>2997857.52</v>
      </c>
      <c r="P3759" s="71" t="n">
        <v>364838.76</v>
      </c>
      <c r="Q3759" s="71" t="n">
        <v>2633018.76</v>
      </c>
      <c r="R3759" t="inlineStr">
        <is>
          <t>Oncology</t>
        </is>
      </c>
      <c r="S3759" s="70" t="n">
        <v>559</v>
      </c>
      <c r="T3759" s="71" t="n">
        <v>448268.3</v>
      </c>
      <c r="U3759" t="inlineStr">
        <is>
          <t>High</t>
        </is>
      </c>
      <c r="V3759">
        <f>IF(AND(OR(Dashboard!$C$6="All",E3759=Dashboard!$C$6),OR(Dashboard!$F$6="All",G3759=Dashboard!$F$6),OR(Dashboard!$I$6="All",H3759=Dashboard!$I$6)),1,0)</f>
        <v/>
      </c>
    </row>
    <row r="3760">
      <c r="A3760" t="inlineStr">
        <is>
          <t>PF103751</t>
        </is>
      </c>
      <c r="B3760" s="68" t="n">
        <v>46106</v>
      </c>
      <c r="C3760" s="69" t="n">
        <v>2026</v>
      </c>
      <c r="D3760" t="inlineStr">
        <is>
          <t>Mar</t>
        </is>
      </c>
      <c r="E3760" t="inlineStr">
        <is>
          <t>Emerging markets</t>
        </is>
      </c>
      <c r="F3760" t="inlineStr">
        <is>
          <t>China</t>
        </is>
      </c>
      <c r="G3760" t="inlineStr">
        <is>
          <t>Eliquis</t>
        </is>
      </c>
      <c r="H3760" t="inlineStr">
        <is>
          <t>Hospital</t>
        </is>
      </c>
      <c r="I3760" t="inlineStr">
        <is>
          <t>Private insurer</t>
        </is>
      </c>
      <c r="J3760" t="inlineStr">
        <is>
          <t>Amir Khan</t>
        </is>
      </c>
      <c r="K3760" s="70" t="n">
        <v>1311</v>
      </c>
      <c r="L3760" s="71" t="n">
        <v>425.69</v>
      </c>
      <c r="M3760" s="71" t="n">
        <v>558079.59</v>
      </c>
      <c r="N3760" s="71" t="n">
        <v>83711.94</v>
      </c>
      <c r="O3760" s="71" t="n">
        <v>474367.65</v>
      </c>
      <c r="P3760" s="71" t="n">
        <v>102483.37</v>
      </c>
      <c r="Q3760" s="71" t="n">
        <v>371884.28</v>
      </c>
      <c r="R3760" t="inlineStr">
        <is>
          <t>Cardiology</t>
        </is>
      </c>
      <c r="S3760" s="70" t="n">
        <v>1035</v>
      </c>
      <c r="T3760" s="71" t="n">
        <v>79660.27</v>
      </c>
      <c r="U3760" t="inlineStr">
        <is>
          <t>High</t>
        </is>
      </c>
      <c r="V3760">
        <f>IF(AND(OR(Dashboard!$C$6="All",E3760=Dashboard!$C$6),OR(Dashboard!$F$6="All",G3760=Dashboard!$F$6),OR(Dashboard!$I$6="All",H3760=Dashboard!$I$6)),1,0)</f>
        <v/>
      </c>
    </row>
    <row r="3761">
      <c r="A3761" t="inlineStr">
        <is>
          <t>PF103752</t>
        </is>
      </c>
      <c r="B3761" s="68" t="n">
        <v>46106</v>
      </c>
      <c r="C3761" s="69" t="n">
        <v>2026</v>
      </c>
      <c r="D3761" t="inlineStr">
        <is>
          <t>Mar</t>
        </is>
      </c>
      <c r="E3761" t="inlineStr">
        <is>
          <t>United States</t>
        </is>
      </c>
      <c r="F3761" t="inlineStr">
        <is>
          <t>USA</t>
        </is>
      </c>
      <c r="G3761" t="inlineStr">
        <is>
          <t>Prevnar 20</t>
        </is>
      </c>
      <c r="H3761" t="inlineStr">
        <is>
          <t>Government / tender</t>
        </is>
      </c>
      <c r="I3761" t="inlineStr">
        <is>
          <t>Public payer</t>
        </is>
      </c>
      <c r="J3761" t="inlineStr">
        <is>
          <t>Amir Khan</t>
        </is>
      </c>
      <c r="K3761" s="70" t="n">
        <v>1563</v>
      </c>
      <c r="L3761" s="71" t="n">
        <v>367.91</v>
      </c>
      <c r="M3761" s="71" t="n">
        <v>575043.33</v>
      </c>
      <c r="N3761" s="71" t="n">
        <v>172513</v>
      </c>
      <c r="O3761" s="71" t="n">
        <v>402530.33</v>
      </c>
      <c r="P3761" s="71" t="n">
        <v>106265.47</v>
      </c>
      <c r="Q3761" s="71" t="n">
        <v>296264.86</v>
      </c>
      <c r="R3761" t="inlineStr">
        <is>
          <t>Vaccines</t>
        </is>
      </c>
      <c r="S3761" s="70" t="n">
        <v>993</v>
      </c>
      <c r="T3761" s="71" t="n">
        <v>77475.55</v>
      </c>
      <c r="U3761" t="inlineStr">
        <is>
          <t>Low</t>
        </is>
      </c>
      <c r="V3761">
        <f>IF(AND(OR(Dashboard!$C$6="All",E3761=Dashboard!$C$6),OR(Dashboard!$F$6="All",G3761=Dashboard!$F$6),OR(Dashboard!$I$6="All",H3761=Dashboard!$I$6)),1,0)</f>
        <v/>
      </c>
    </row>
    <row r="3762">
      <c r="A3762" t="inlineStr">
        <is>
          <t>PF103753</t>
        </is>
      </c>
      <c r="B3762" s="68" t="n">
        <v>46107</v>
      </c>
      <c r="C3762" s="69" t="n">
        <v>2026</v>
      </c>
      <c r="D3762" t="inlineStr">
        <is>
          <t>Mar</t>
        </is>
      </c>
      <c r="E3762" t="inlineStr">
        <is>
          <t>United States</t>
        </is>
      </c>
      <c r="F3762" t="inlineStr">
        <is>
          <t>USA</t>
        </is>
      </c>
      <c r="G3762" t="inlineStr">
        <is>
          <t>Abrysvo</t>
        </is>
      </c>
      <c r="H3762" t="inlineStr">
        <is>
          <t>Government / tender</t>
        </is>
      </c>
      <c r="I3762" t="inlineStr">
        <is>
          <t>Private insurer</t>
        </is>
      </c>
      <c r="J3762" t="inlineStr">
        <is>
          <t>Noah Smith</t>
        </is>
      </c>
      <c r="K3762" s="70" t="n">
        <v>1553</v>
      </c>
      <c r="L3762" s="71" t="n">
        <v>488.49</v>
      </c>
      <c r="M3762" s="71" t="n">
        <v>758624.97</v>
      </c>
      <c r="N3762" s="71" t="n">
        <v>227587.49</v>
      </c>
      <c r="O3762" s="71" t="n">
        <v>531037.48</v>
      </c>
      <c r="P3762" s="71" t="n">
        <v>135109.84</v>
      </c>
      <c r="Q3762" s="71" t="n">
        <v>395927.64</v>
      </c>
      <c r="R3762" t="inlineStr">
        <is>
          <t>Vaccines</t>
        </is>
      </c>
      <c r="S3762" s="70" t="n">
        <v>1505</v>
      </c>
      <c r="T3762" s="71" t="n">
        <v>140195.2</v>
      </c>
      <c r="U3762" t="inlineStr">
        <is>
          <t>Low</t>
        </is>
      </c>
      <c r="V3762">
        <f>IF(AND(OR(Dashboard!$C$6="All",E3762=Dashboard!$C$6),OR(Dashboard!$F$6="All",G3762=Dashboard!$F$6),OR(Dashboard!$I$6="All",H3762=Dashboard!$I$6)),1,0)</f>
        <v/>
      </c>
    </row>
    <row r="3763">
      <c r="A3763" t="inlineStr">
        <is>
          <t>PF103754</t>
        </is>
      </c>
      <c r="B3763" s="68" t="n">
        <v>46107</v>
      </c>
      <c r="C3763" s="69" t="n">
        <v>2026</v>
      </c>
      <c r="D3763" t="inlineStr">
        <is>
          <t>Mar</t>
        </is>
      </c>
      <c r="E3763" t="inlineStr">
        <is>
          <t>Europe</t>
        </is>
      </c>
      <c r="F3763" t="inlineStr">
        <is>
          <t>Spain</t>
        </is>
      </c>
      <c r="G3763" t="inlineStr">
        <is>
          <t>Eliquis</t>
        </is>
      </c>
      <c r="H3763" t="inlineStr">
        <is>
          <t>Hospital</t>
        </is>
      </c>
      <c r="I3763" t="inlineStr">
        <is>
          <t>Public payer</t>
        </is>
      </c>
      <c r="J3763" t="inlineStr">
        <is>
          <t>Omar Haddad</t>
        </is>
      </c>
      <c r="K3763" s="70" t="n">
        <v>1636</v>
      </c>
      <c r="L3763" s="71" t="n">
        <v>437.47</v>
      </c>
      <c r="M3763" s="71" t="n">
        <v>715700.92</v>
      </c>
      <c r="N3763" s="71" t="n">
        <v>35785.05</v>
      </c>
      <c r="O3763" s="71" t="n">
        <v>679915.87</v>
      </c>
      <c r="P3763" s="71" t="n">
        <v>121324.9</v>
      </c>
      <c r="Q3763" s="71" t="n">
        <v>558590.97</v>
      </c>
      <c r="R3763" t="inlineStr">
        <is>
          <t>Cardiology</t>
        </is>
      </c>
      <c r="S3763" s="70" t="n">
        <v>1218</v>
      </c>
      <c r="T3763" s="71" t="n">
        <v>106792.89</v>
      </c>
      <c r="U3763" t="inlineStr">
        <is>
          <t>High</t>
        </is>
      </c>
      <c r="V3763">
        <f>IF(AND(OR(Dashboard!$C$6="All",E3763=Dashboard!$C$6),OR(Dashboard!$F$6="All",G3763=Dashboard!$F$6),OR(Dashboard!$I$6="All",H3763=Dashboard!$I$6)),1,0)</f>
        <v/>
      </c>
    </row>
    <row r="3764">
      <c r="A3764" t="inlineStr">
        <is>
          <t>PF103755</t>
        </is>
      </c>
      <c r="B3764" s="68" t="n">
        <v>46107</v>
      </c>
      <c r="C3764" s="69" t="n">
        <v>2026</v>
      </c>
      <c r="D3764" t="inlineStr">
        <is>
          <t>Mar</t>
        </is>
      </c>
      <c r="E3764" t="inlineStr">
        <is>
          <t>Emerging markets</t>
        </is>
      </c>
      <c r="F3764" t="inlineStr">
        <is>
          <t>China</t>
        </is>
      </c>
      <c r="G3764" t="inlineStr">
        <is>
          <t>Vyndaqel</t>
        </is>
      </c>
      <c r="H3764" t="inlineStr">
        <is>
          <t>Hospital</t>
        </is>
      </c>
      <c r="I3764" t="inlineStr">
        <is>
          <t>Public payer</t>
        </is>
      </c>
      <c r="J3764" t="inlineStr">
        <is>
          <t>Noah Smith</t>
        </is>
      </c>
      <c r="K3764" s="70" t="n">
        <v>2983</v>
      </c>
      <c r="L3764" s="71" t="n">
        <v>6059.33</v>
      </c>
      <c r="M3764" s="71" t="n">
        <v>18074981.39</v>
      </c>
      <c r="N3764" s="71" t="n">
        <v>4518745.35</v>
      </c>
      <c r="O3764" s="71" t="n">
        <v>13556236.04</v>
      </c>
      <c r="P3764" s="71" t="n">
        <v>1842930.4</v>
      </c>
      <c r="Q3764" s="71" t="n">
        <v>11713305.64</v>
      </c>
      <c r="R3764" t="inlineStr">
        <is>
          <t>Rare disease</t>
        </is>
      </c>
      <c r="S3764" s="70" t="n">
        <v>2038</v>
      </c>
      <c r="T3764" s="71" t="n">
        <v>2822976.33</v>
      </c>
      <c r="U3764" t="inlineStr">
        <is>
          <t>Medium</t>
        </is>
      </c>
      <c r="V3764">
        <f>IF(AND(OR(Dashboard!$C$6="All",E3764=Dashboard!$C$6),OR(Dashboard!$F$6="All",G3764=Dashboard!$F$6),OR(Dashboard!$I$6="All",H3764=Dashboard!$I$6)),1,0)</f>
        <v/>
      </c>
    </row>
    <row r="3765">
      <c r="A3765" t="inlineStr">
        <is>
          <t>PF103756</t>
        </is>
      </c>
      <c r="B3765" s="68" t="n">
        <v>46107</v>
      </c>
      <c r="C3765" s="69" t="n">
        <v>2026</v>
      </c>
      <c r="D3765" t="inlineStr">
        <is>
          <t>Mar</t>
        </is>
      </c>
      <c r="E3765" t="inlineStr">
        <is>
          <t>Europe</t>
        </is>
      </c>
      <c r="F3765" t="inlineStr">
        <is>
          <t>Italy</t>
        </is>
      </c>
      <c r="G3765" t="inlineStr">
        <is>
          <t>Eliquis</t>
        </is>
      </c>
      <c r="H3765" t="inlineStr">
        <is>
          <t>Government / tender</t>
        </is>
      </c>
      <c r="I3765" t="inlineStr">
        <is>
          <t>Private insurer</t>
        </is>
      </c>
      <c r="J3765" t="inlineStr">
        <is>
          <t>Liam O'Brien</t>
        </is>
      </c>
      <c r="K3765" s="70" t="n">
        <v>166</v>
      </c>
      <c r="L3765" s="71" t="n">
        <v>401.76</v>
      </c>
      <c r="M3765" s="71" t="n">
        <v>66692.16</v>
      </c>
      <c r="N3765" s="71" t="n">
        <v>6669.22</v>
      </c>
      <c r="O3765" s="71" t="n">
        <v>60022.94</v>
      </c>
      <c r="P3765" s="71" t="n">
        <v>12308.05</v>
      </c>
      <c r="Q3765" s="71" t="n">
        <v>47714.89</v>
      </c>
      <c r="R3765" t="inlineStr">
        <is>
          <t>Cardiology</t>
        </is>
      </c>
      <c r="S3765" s="70" t="n">
        <v>133</v>
      </c>
      <c r="T3765" s="71" t="n">
        <v>9780.32</v>
      </c>
      <c r="U3765" t="inlineStr">
        <is>
          <t>High</t>
        </is>
      </c>
      <c r="V3765">
        <f>IF(AND(OR(Dashboard!$C$6="All",E3765=Dashboard!$C$6),OR(Dashboard!$F$6="All",G3765=Dashboard!$F$6),OR(Dashboard!$I$6="All",H3765=Dashboard!$I$6)),1,0)</f>
        <v/>
      </c>
    </row>
    <row r="3766">
      <c r="A3766" t="inlineStr">
        <is>
          <t>PF103757</t>
        </is>
      </c>
      <c r="B3766" s="68" t="n">
        <v>46107</v>
      </c>
      <c r="C3766" s="69" t="n">
        <v>2026</v>
      </c>
      <c r="D3766" t="inlineStr">
        <is>
          <t>Mar</t>
        </is>
      </c>
      <c r="E3766" t="inlineStr">
        <is>
          <t>Europe</t>
        </is>
      </c>
      <c r="F3766" t="inlineStr">
        <is>
          <t>Germany</t>
        </is>
      </c>
      <c r="G3766" t="inlineStr">
        <is>
          <t>Ibrance</t>
        </is>
      </c>
      <c r="H3766" t="inlineStr">
        <is>
          <t>Hospital</t>
        </is>
      </c>
      <c r="I3766" t="inlineStr">
        <is>
          <t>Public payer</t>
        </is>
      </c>
      <c r="J3766" t="inlineStr">
        <is>
          <t>Lucas Martin</t>
        </is>
      </c>
      <c r="K3766" s="70" t="n">
        <v>106</v>
      </c>
      <c r="L3766" s="71" t="n">
        <v>2742.8</v>
      </c>
      <c r="M3766" s="71" t="n">
        <v>290736.8</v>
      </c>
      <c r="N3766" s="71" t="n">
        <v>58147.36</v>
      </c>
      <c r="O3766" s="71" t="n">
        <v>232589.44</v>
      </c>
      <c r="P3766" s="71" t="n">
        <v>45755.53</v>
      </c>
      <c r="Q3766" s="71" t="n">
        <v>186833.91</v>
      </c>
      <c r="R3766" t="inlineStr">
        <is>
          <t>Oncology</t>
        </is>
      </c>
      <c r="S3766" s="70" t="n">
        <v>74</v>
      </c>
      <c r="T3766" s="71" t="n">
        <v>54732.89</v>
      </c>
      <c r="U3766" t="inlineStr">
        <is>
          <t>High</t>
        </is>
      </c>
      <c r="V3766">
        <f>IF(AND(OR(Dashboard!$C$6="All",E3766=Dashboard!$C$6),OR(Dashboard!$F$6="All",G3766=Dashboard!$F$6),OR(Dashboard!$I$6="All",H3766=Dashboard!$I$6)),1,0)</f>
        <v/>
      </c>
    </row>
    <row r="3767">
      <c r="A3767" t="inlineStr">
        <is>
          <t>PF103758</t>
        </is>
      </c>
      <c r="B3767" s="68" t="n">
        <v>46107</v>
      </c>
      <c r="C3767" s="69" t="n">
        <v>2026</v>
      </c>
      <c r="D3767" t="inlineStr">
        <is>
          <t>Mar</t>
        </is>
      </c>
      <c r="E3767" t="inlineStr">
        <is>
          <t>United States</t>
        </is>
      </c>
      <c r="F3767" t="inlineStr">
        <is>
          <t>USA</t>
        </is>
      </c>
      <c r="G3767" t="inlineStr">
        <is>
          <t>Eliquis</t>
        </is>
      </c>
      <c r="H3767" t="inlineStr">
        <is>
          <t>Retail pharmacy</t>
        </is>
      </c>
      <c r="I3767" t="inlineStr">
        <is>
          <t>Public payer</t>
        </is>
      </c>
      <c r="J3767" t="inlineStr">
        <is>
          <t>Aisha Bello</t>
        </is>
      </c>
      <c r="K3767" s="70" t="n">
        <v>654</v>
      </c>
      <c r="L3767" s="71" t="n">
        <v>718.75</v>
      </c>
      <c r="M3767" s="71" t="n">
        <v>470062.5</v>
      </c>
      <c r="N3767" s="71" t="n">
        <v>117515.62</v>
      </c>
      <c r="O3767" s="71" t="n">
        <v>352546.88</v>
      </c>
      <c r="P3767" s="71" t="n">
        <v>50620.69</v>
      </c>
      <c r="Q3767" s="71" t="n">
        <v>301926.19</v>
      </c>
      <c r="R3767" t="inlineStr">
        <is>
          <t>Cardiology</t>
        </is>
      </c>
      <c r="S3767" s="70" t="n">
        <v>474</v>
      </c>
      <c r="T3767" s="71" t="n">
        <v>85933.74000000001</v>
      </c>
      <c r="U3767" t="inlineStr">
        <is>
          <t>High</t>
        </is>
      </c>
      <c r="V3767">
        <f>IF(AND(OR(Dashboard!$C$6="All",E3767=Dashboard!$C$6),OR(Dashboard!$F$6="All",G3767=Dashboard!$F$6),OR(Dashboard!$I$6="All",H3767=Dashboard!$I$6)),1,0)</f>
        <v/>
      </c>
    </row>
    <row r="3768">
      <c r="A3768" t="inlineStr">
        <is>
          <t>PF103759</t>
        </is>
      </c>
      <c r="B3768" s="68" t="n">
        <v>46108</v>
      </c>
      <c r="C3768" s="69" t="n">
        <v>2026</v>
      </c>
      <c r="D3768" t="inlineStr">
        <is>
          <t>Mar</t>
        </is>
      </c>
      <c r="E3768" t="inlineStr">
        <is>
          <t>United States</t>
        </is>
      </c>
      <c r="F3768" t="inlineStr">
        <is>
          <t>USA</t>
        </is>
      </c>
      <c r="G3768" t="inlineStr">
        <is>
          <t>Abrysvo</t>
        </is>
      </c>
      <c r="H3768" t="inlineStr">
        <is>
          <t>Hospital</t>
        </is>
      </c>
      <c r="I3768" t="inlineStr">
        <is>
          <t>Self-pay</t>
        </is>
      </c>
      <c r="J3768" t="inlineStr">
        <is>
          <t>Ana Costa</t>
        </is>
      </c>
      <c r="K3768" s="70" t="n">
        <v>2653</v>
      </c>
      <c r="L3768" s="71" t="n">
        <v>548.2</v>
      </c>
      <c r="M3768" s="71" t="n">
        <v>1454374.6</v>
      </c>
      <c r="N3768" s="71" t="n">
        <v>436312.38</v>
      </c>
      <c r="O3768" s="71" t="n">
        <v>1018062.22</v>
      </c>
      <c r="P3768" s="71" t="n">
        <v>217417.01</v>
      </c>
      <c r="Q3768" s="71" t="n">
        <v>800645.21</v>
      </c>
      <c r="R3768" t="inlineStr">
        <is>
          <t>Vaccines</t>
        </is>
      </c>
      <c r="S3768" s="70" t="n">
        <v>2073</v>
      </c>
      <c r="T3768" s="71" t="n">
        <v>230736.01</v>
      </c>
      <c r="U3768" t="inlineStr">
        <is>
          <t>Low</t>
        </is>
      </c>
      <c r="V3768">
        <f>IF(AND(OR(Dashboard!$C$6="All",E3768=Dashboard!$C$6),OR(Dashboard!$F$6="All",G3768=Dashboard!$F$6),OR(Dashboard!$I$6="All",H3768=Dashboard!$I$6)),1,0)</f>
        <v/>
      </c>
    </row>
    <row r="3769">
      <c r="A3769" t="inlineStr">
        <is>
          <t>PF103760</t>
        </is>
      </c>
      <c r="B3769" s="68" t="n">
        <v>46108</v>
      </c>
      <c r="C3769" s="69" t="n">
        <v>2026</v>
      </c>
      <c r="D3769" t="inlineStr">
        <is>
          <t>Mar</t>
        </is>
      </c>
      <c r="E3769" t="inlineStr">
        <is>
          <t>Emerging markets</t>
        </is>
      </c>
      <c r="F3769" t="inlineStr">
        <is>
          <t>Mexico</t>
        </is>
      </c>
      <c r="G3769" t="inlineStr">
        <is>
          <t>Prevnar 20</t>
        </is>
      </c>
      <c r="H3769" t="inlineStr">
        <is>
          <t>Retail pharmacy</t>
        </is>
      </c>
      <c r="I3769" t="inlineStr">
        <is>
          <t>Private insurer</t>
        </is>
      </c>
      <c r="J3769" t="inlineStr">
        <is>
          <t>Yuki Sato</t>
        </is>
      </c>
      <c r="K3769" s="70" t="n">
        <v>300</v>
      </c>
      <c r="L3769" s="71" t="n">
        <v>244.79</v>
      </c>
      <c r="M3769" s="71" t="n">
        <v>73437</v>
      </c>
      <c r="N3769" s="71" t="n">
        <v>18359.25</v>
      </c>
      <c r="O3769" s="71" t="n">
        <v>55077.75</v>
      </c>
      <c r="P3769" s="71" t="n">
        <v>21290.34</v>
      </c>
      <c r="Q3769" s="71" t="n">
        <v>33787.41</v>
      </c>
      <c r="R3769" t="inlineStr">
        <is>
          <t>Vaccines</t>
        </is>
      </c>
      <c r="S3769" s="70" t="n">
        <v>208</v>
      </c>
      <c r="T3769" s="71" t="n">
        <v>11723.19</v>
      </c>
      <c r="U3769" t="inlineStr">
        <is>
          <t>Low</t>
        </is>
      </c>
      <c r="V3769">
        <f>IF(AND(OR(Dashboard!$C$6="All",E3769=Dashboard!$C$6),OR(Dashboard!$F$6="All",G3769=Dashboard!$F$6),OR(Dashboard!$I$6="All",H3769=Dashboard!$I$6)),1,0)</f>
        <v/>
      </c>
    </row>
    <row r="3770">
      <c r="A3770" t="inlineStr">
        <is>
          <t>PF103761</t>
        </is>
      </c>
      <c r="B3770" s="68" t="n">
        <v>46108</v>
      </c>
      <c r="C3770" s="69" t="n">
        <v>2026</v>
      </c>
      <c r="D3770" t="inlineStr">
        <is>
          <t>Mar</t>
        </is>
      </c>
      <c r="E3770" t="inlineStr">
        <is>
          <t>Europe</t>
        </is>
      </c>
      <c r="F3770" t="inlineStr">
        <is>
          <t>Spain</t>
        </is>
      </c>
      <c r="G3770" t="inlineStr">
        <is>
          <t>Paxlovid</t>
        </is>
      </c>
      <c r="H3770" t="inlineStr">
        <is>
          <t>Retail pharmacy</t>
        </is>
      </c>
      <c r="I3770" t="inlineStr">
        <is>
          <t>Public payer</t>
        </is>
      </c>
      <c r="J3770" t="inlineStr">
        <is>
          <t>Lucas Martin</t>
        </is>
      </c>
      <c r="K3770" s="70" t="n">
        <v>1090</v>
      </c>
      <c r="L3770" s="71" t="n">
        <v>864.8</v>
      </c>
      <c r="M3770" s="71" t="n">
        <v>942632</v>
      </c>
      <c r="N3770" s="71" t="n">
        <v>47131.6</v>
      </c>
      <c r="O3770" s="71" t="n">
        <v>895500.4</v>
      </c>
      <c r="P3770" s="71" t="n">
        <v>289418.63</v>
      </c>
      <c r="Q3770" s="71" t="n">
        <v>606081.77</v>
      </c>
      <c r="R3770" t="inlineStr">
        <is>
          <t>Antiviral</t>
        </is>
      </c>
      <c r="S3770" s="70" t="n">
        <v>915</v>
      </c>
      <c r="T3770" s="71" t="n">
        <v>245217.38</v>
      </c>
      <c r="U3770" t="inlineStr">
        <is>
          <t>Low</t>
        </is>
      </c>
      <c r="V3770">
        <f>IF(AND(OR(Dashboard!$C$6="All",E3770=Dashboard!$C$6),OR(Dashboard!$F$6="All",G3770=Dashboard!$F$6),OR(Dashboard!$I$6="All",H3770=Dashboard!$I$6)),1,0)</f>
        <v/>
      </c>
    </row>
    <row r="3771">
      <c r="A3771" t="inlineStr">
        <is>
          <t>PF103762</t>
        </is>
      </c>
      <c r="B3771" s="68" t="n">
        <v>46108</v>
      </c>
      <c r="C3771" s="69" t="n">
        <v>2026</v>
      </c>
      <c r="D3771" t="inlineStr">
        <is>
          <t>Mar</t>
        </is>
      </c>
      <c r="E3771" t="inlineStr">
        <is>
          <t>International developed</t>
        </is>
      </c>
      <c r="F3771" t="inlineStr">
        <is>
          <t>Japan</t>
        </is>
      </c>
      <c r="G3771" t="inlineStr">
        <is>
          <t>Abrysvo</t>
        </is>
      </c>
      <c r="H3771" t="inlineStr">
        <is>
          <t>Government / tender</t>
        </is>
      </c>
      <c r="I3771" t="inlineStr">
        <is>
          <t>Private insurer</t>
        </is>
      </c>
      <c r="J3771" t="inlineStr">
        <is>
          <t>Shraddha Kulkarni</t>
        </is>
      </c>
      <c r="K3771" s="70" t="n">
        <v>1011</v>
      </c>
      <c r="L3771" s="71" t="n">
        <v>308.96</v>
      </c>
      <c r="M3771" s="71" t="n">
        <v>312358.56</v>
      </c>
      <c r="N3771" s="71" t="n">
        <v>46853.78</v>
      </c>
      <c r="O3771" s="71" t="n">
        <v>265504.78</v>
      </c>
      <c r="P3771" s="71" t="n">
        <v>86496.39999999999</v>
      </c>
      <c r="Q3771" s="71" t="n">
        <v>179008.38</v>
      </c>
      <c r="R3771" t="inlineStr">
        <is>
          <t>Vaccines</t>
        </is>
      </c>
      <c r="S3771" s="70" t="n">
        <v>695</v>
      </c>
      <c r="T3771" s="71" t="n">
        <v>41828.35</v>
      </c>
      <c r="U3771" t="inlineStr">
        <is>
          <t>Low</t>
        </is>
      </c>
      <c r="V3771">
        <f>IF(AND(OR(Dashboard!$C$6="All",E3771=Dashboard!$C$6),OR(Dashboard!$F$6="All",G3771=Dashboard!$F$6),OR(Dashboard!$I$6="All",H3771=Dashboard!$I$6)),1,0)</f>
        <v/>
      </c>
    </row>
    <row r="3772">
      <c r="A3772" t="inlineStr">
        <is>
          <t>PF103763</t>
        </is>
      </c>
      <c r="B3772" s="68" t="n">
        <v>46108</v>
      </c>
      <c r="C3772" s="69" t="n">
        <v>2026</v>
      </c>
      <c r="D3772" t="inlineStr">
        <is>
          <t>Mar</t>
        </is>
      </c>
      <c r="E3772" t="inlineStr">
        <is>
          <t>International developed</t>
        </is>
      </c>
      <c r="F3772" t="inlineStr">
        <is>
          <t>Japan</t>
        </is>
      </c>
      <c r="G3772" t="inlineStr">
        <is>
          <t>Comirnaty</t>
        </is>
      </c>
      <c r="H3772" t="inlineStr">
        <is>
          <t>Retail pharmacy</t>
        </is>
      </c>
      <c r="I3772" t="inlineStr">
        <is>
          <t>Private insurer</t>
        </is>
      </c>
      <c r="J3772" t="inlineStr">
        <is>
          <t>Hiroshi Tanaka</t>
        </is>
      </c>
      <c r="K3772" s="70" t="n">
        <v>433</v>
      </c>
      <c r="L3772" s="71" t="n">
        <v>93.87</v>
      </c>
      <c r="M3772" s="71" t="n">
        <v>40645.71</v>
      </c>
      <c r="N3772" s="71" t="n">
        <v>2032.29</v>
      </c>
      <c r="O3772" s="71" t="n">
        <v>38613.42</v>
      </c>
      <c r="P3772" s="71" t="n">
        <v>16714.59</v>
      </c>
      <c r="Q3772" s="71" t="n">
        <v>21898.83</v>
      </c>
      <c r="R3772" t="inlineStr">
        <is>
          <t>Vaccines</t>
        </is>
      </c>
      <c r="S3772" s="70" t="n">
        <v>332</v>
      </c>
      <c r="T3772" s="71" t="n">
        <v>7502.97</v>
      </c>
      <c r="U3772" t="inlineStr">
        <is>
          <t>Low</t>
        </is>
      </c>
      <c r="V3772">
        <f>IF(AND(OR(Dashboard!$C$6="All",E3772=Dashboard!$C$6),OR(Dashboard!$F$6="All",G3772=Dashboard!$F$6),OR(Dashboard!$I$6="All",H3772=Dashboard!$I$6)),1,0)</f>
        <v/>
      </c>
    </row>
    <row r="3773">
      <c r="A3773" t="inlineStr">
        <is>
          <t>PF103764</t>
        </is>
      </c>
      <c r="B3773" s="68" t="n">
        <v>46108</v>
      </c>
      <c r="C3773" s="69" t="n">
        <v>2026</v>
      </c>
      <c r="D3773" t="inlineStr">
        <is>
          <t>Mar</t>
        </is>
      </c>
      <c r="E3773" t="inlineStr">
        <is>
          <t>United States</t>
        </is>
      </c>
      <c r="F3773" t="inlineStr">
        <is>
          <t>USA</t>
        </is>
      </c>
      <c r="G3773" t="inlineStr">
        <is>
          <t>Vyndaqel</t>
        </is>
      </c>
      <c r="H3773" t="inlineStr">
        <is>
          <t>Hospital</t>
        </is>
      </c>
      <c r="I3773" t="inlineStr">
        <is>
          <t>Public payer</t>
        </is>
      </c>
      <c r="J3773" t="inlineStr">
        <is>
          <t>Emma Clarke</t>
        </is>
      </c>
      <c r="K3773" s="70" t="n">
        <v>2382</v>
      </c>
      <c r="L3773" s="71" t="n">
        <v>9732.469999999999</v>
      </c>
      <c r="M3773" s="71" t="n">
        <v>23182743.54</v>
      </c>
      <c r="N3773" s="71" t="n">
        <v>6954823.06</v>
      </c>
      <c r="O3773" s="71" t="n">
        <v>16227920.48</v>
      </c>
      <c r="P3773" s="71" t="n">
        <v>1533737.48</v>
      </c>
      <c r="Q3773" s="71" t="n">
        <v>14694183</v>
      </c>
      <c r="R3773" t="inlineStr">
        <is>
          <t>Rare disease</t>
        </is>
      </c>
      <c r="S3773" s="70" t="n">
        <v>1806</v>
      </c>
      <c r="T3773" s="71" t="n">
        <v>2751165.43</v>
      </c>
      <c r="U3773" t="inlineStr">
        <is>
          <t>Medium</t>
        </is>
      </c>
      <c r="V3773">
        <f>IF(AND(OR(Dashboard!$C$6="All",E3773=Dashboard!$C$6),OR(Dashboard!$F$6="All",G3773=Dashboard!$F$6),OR(Dashboard!$I$6="All",H3773=Dashboard!$I$6)),1,0)</f>
        <v/>
      </c>
    </row>
    <row r="3774">
      <c r="A3774" t="inlineStr">
        <is>
          <t>PF103765</t>
        </is>
      </c>
      <c r="B3774" s="68" t="n">
        <v>46108</v>
      </c>
      <c r="C3774" s="69" t="n">
        <v>2026</v>
      </c>
      <c r="D3774" t="inlineStr">
        <is>
          <t>Mar</t>
        </is>
      </c>
      <c r="E3774" t="inlineStr">
        <is>
          <t>United States</t>
        </is>
      </c>
      <c r="F3774" t="inlineStr">
        <is>
          <t>USA</t>
        </is>
      </c>
      <c r="G3774" t="inlineStr">
        <is>
          <t>Comirnaty</t>
        </is>
      </c>
      <c r="H3774" t="inlineStr">
        <is>
          <t>Retail pharmacy</t>
        </is>
      </c>
      <c r="I3774" t="inlineStr">
        <is>
          <t>Public payer</t>
        </is>
      </c>
      <c r="J3774" t="inlineStr">
        <is>
          <t>Liam O'Brien</t>
        </is>
      </c>
      <c r="K3774" s="70" t="n">
        <v>548</v>
      </c>
      <c r="L3774" s="71" t="n">
        <v>145.23</v>
      </c>
      <c r="M3774" s="71" t="n">
        <v>79586.03999999999</v>
      </c>
      <c r="N3774" s="71" t="n">
        <v>15917.21</v>
      </c>
      <c r="O3774" s="71" t="n">
        <v>63668.83</v>
      </c>
      <c r="P3774" s="71" t="n">
        <v>21227.97</v>
      </c>
      <c r="Q3774" s="71" t="n">
        <v>42440.86</v>
      </c>
      <c r="R3774" t="inlineStr">
        <is>
          <t>Vaccines</t>
        </is>
      </c>
      <c r="S3774" s="70" t="n">
        <v>532</v>
      </c>
      <c r="T3774" s="71" t="n">
        <v>16816.09</v>
      </c>
      <c r="U3774" t="inlineStr">
        <is>
          <t>Low</t>
        </is>
      </c>
      <c r="V3774">
        <f>IF(AND(OR(Dashboard!$C$6="All",E3774=Dashboard!$C$6),OR(Dashboard!$F$6="All",G3774=Dashboard!$F$6),OR(Dashboard!$I$6="All",H3774=Dashboard!$I$6)),1,0)</f>
        <v/>
      </c>
    </row>
    <row r="3775">
      <c r="A3775" t="inlineStr">
        <is>
          <t>PF103766</t>
        </is>
      </c>
      <c r="B3775" s="68" t="n">
        <v>46108</v>
      </c>
      <c r="C3775" s="69" t="n">
        <v>2026</v>
      </c>
      <c r="D3775" t="inlineStr">
        <is>
          <t>Mar</t>
        </is>
      </c>
      <c r="E3775" t="inlineStr">
        <is>
          <t>United States</t>
        </is>
      </c>
      <c r="F3775" t="inlineStr">
        <is>
          <t>USA</t>
        </is>
      </c>
      <c r="G3775" t="inlineStr">
        <is>
          <t>Comirnaty</t>
        </is>
      </c>
      <c r="H3775" t="inlineStr">
        <is>
          <t>Hospital</t>
        </is>
      </c>
      <c r="I3775" t="inlineStr">
        <is>
          <t>Private insurer</t>
        </is>
      </c>
      <c r="J3775" t="inlineStr">
        <is>
          <t>Sophie Müller</t>
        </is>
      </c>
      <c r="K3775" s="70" t="n">
        <v>2178</v>
      </c>
      <c r="L3775" s="71" t="n">
        <v>138.05</v>
      </c>
      <c r="M3775" s="71" t="n">
        <v>300672.9</v>
      </c>
      <c r="N3775" s="71" t="n">
        <v>45100.94</v>
      </c>
      <c r="O3775" s="71" t="n">
        <v>255571.96</v>
      </c>
      <c r="P3775" s="71" t="n">
        <v>84748.67</v>
      </c>
      <c r="Q3775" s="71" t="n">
        <v>170823.29</v>
      </c>
      <c r="R3775" t="inlineStr">
        <is>
          <t>Vaccines</t>
        </is>
      </c>
      <c r="S3775" s="70" t="n">
        <v>1373</v>
      </c>
      <c r="T3775" s="71" t="n">
        <v>71756.12</v>
      </c>
      <c r="U3775" t="inlineStr">
        <is>
          <t>Low</t>
        </is>
      </c>
      <c r="V3775">
        <f>IF(AND(OR(Dashboard!$C$6="All",E3775=Dashboard!$C$6),OR(Dashboard!$F$6="All",G3775=Dashboard!$F$6),OR(Dashboard!$I$6="All",H3775=Dashboard!$I$6)),1,0)</f>
        <v/>
      </c>
    </row>
    <row r="3776">
      <c r="A3776" t="inlineStr">
        <is>
          <t>PF103767</t>
        </is>
      </c>
      <c r="B3776" s="68" t="n">
        <v>46108</v>
      </c>
      <c r="C3776" s="69" t="n">
        <v>2026</v>
      </c>
      <c r="D3776" t="inlineStr">
        <is>
          <t>Mar</t>
        </is>
      </c>
      <c r="E3776" t="inlineStr">
        <is>
          <t>Emerging markets</t>
        </is>
      </c>
      <c r="F3776" t="inlineStr">
        <is>
          <t>India</t>
        </is>
      </c>
      <c r="G3776" t="inlineStr">
        <is>
          <t>Comirnaty</t>
        </is>
      </c>
      <c r="H3776" t="inlineStr">
        <is>
          <t>Hospital</t>
        </is>
      </c>
      <c r="I3776" t="inlineStr">
        <is>
          <t>Private insurer</t>
        </is>
      </c>
      <c r="J3776" t="inlineStr">
        <is>
          <t>Priya Nair</t>
        </is>
      </c>
      <c r="K3776" s="70" t="n">
        <v>217</v>
      </c>
      <c r="L3776" s="71" t="n">
        <v>90.43000000000001</v>
      </c>
      <c r="M3776" s="71" t="n">
        <v>19623.31</v>
      </c>
      <c r="N3776" s="71" t="n">
        <v>981.17</v>
      </c>
      <c r="O3776" s="71" t="n">
        <v>18642.14</v>
      </c>
      <c r="P3776" s="71" t="n">
        <v>8347.219999999999</v>
      </c>
      <c r="Q3776" s="71" t="n">
        <v>10294.92</v>
      </c>
      <c r="R3776" t="inlineStr">
        <is>
          <t>Vaccines</t>
        </is>
      </c>
      <c r="S3776" s="70" t="n">
        <v>207</v>
      </c>
      <c r="T3776" s="71" t="n">
        <v>3630.32</v>
      </c>
      <c r="U3776" t="inlineStr">
        <is>
          <t>Low</t>
        </is>
      </c>
      <c r="V3776">
        <f>IF(AND(OR(Dashboard!$C$6="All",E3776=Dashboard!$C$6),OR(Dashboard!$F$6="All",G3776=Dashboard!$F$6),OR(Dashboard!$I$6="All",H3776=Dashboard!$I$6)),1,0)</f>
        <v/>
      </c>
    </row>
    <row r="3777">
      <c r="A3777" t="inlineStr">
        <is>
          <t>PF103768</t>
        </is>
      </c>
      <c r="B3777" s="68" t="n">
        <v>46108</v>
      </c>
      <c r="C3777" s="69" t="n">
        <v>2026</v>
      </c>
      <c r="D3777" t="inlineStr">
        <is>
          <t>Mar</t>
        </is>
      </c>
      <c r="E3777" t="inlineStr">
        <is>
          <t>International developed</t>
        </is>
      </c>
      <c r="F3777" t="inlineStr">
        <is>
          <t>Japan</t>
        </is>
      </c>
      <c r="G3777" t="inlineStr">
        <is>
          <t>Xeljanz</t>
        </is>
      </c>
      <c r="H3777" t="inlineStr">
        <is>
          <t>Retail pharmacy</t>
        </is>
      </c>
      <c r="I3777" t="inlineStr">
        <is>
          <t>Public payer</t>
        </is>
      </c>
      <c r="J3777" t="inlineStr">
        <is>
          <t>Amir Khan</t>
        </is>
      </c>
      <c r="K3777" s="70" t="n">
        <v>2601</v>
      </c>
      <c r="L3777" s="71" t="n">
        <v>1221.27</v>
      </c>
      <c r="M3777" s="71" t="n">
        <v>3176523.27</v>
      </c>
      <c r="N3777" s="71" t="n">
        <v>794130.8199999999</v>
      </c>
      <c r="O3777" s="71" t="n">
        <v>2382392.45</v>
      </c>
      <c r="P3777" s="71" t="n">
        <v>660588.05</v>
      </c>
      <c r="Q3777" s="71" t="n">
        <v>1721804.4</v>
      </c>
      <c r="R3777" t="inlineStr">
        <is>
          <t>Inflammation</t>
        </is>
      </c>
      <c r="S3777" s="70" t="n">
        <v>2056</v>
      </c>
      <c r="T3777" s="71" t="n">
        <v>400194.15</v>
      </c>
      <c r="U3777" t="inlineStr">
        <is>
          <t>High</t>
        </is>
      </c>
      <c r="V3777">
        <f>IF(AND(OR(Dashboard!$C$6="All",E3777=Dashboard!$C$6),OR(Dashboard!$F$6="All",G3777=Dashboard!$F$6),OR(Dashboard!$I$6="All",H3777=Dashboard!$I$6)),1,0)</f>
        <v/>
      </c>
    </row>
    <row r="3778">
      <c r="A3778" t="inlineStr">
        <is>
          <t>PF103769</t>
        </is>
      </c>
      <c r="B3778" s="68" t="n">
        <v>46108</v>
      </c>
      <c r="C3778" s="69" t="n">
        <v>2026</v>
      </c>
      <c r="D3778" t="inlineStr">
        <is>
          <t>Mar</t>
        </is>
      </c>
      <c r="E3778" t="inlineStr">
        <is>
          <t>United States</t>
        </is>
      </c>
      <c r="F3778" t="inlineStr">
        <is>
          <t>USA</t>
        </is>
      </c>
      <c r="G3778" t="inlineStr">
        <is>
          <t>Prevnar 20</t>
        </is>
      </c>
      <c r="H3778" t="inlineStr">
        <is>
          <t>Hospital</t>
        </is>
      </c>
      <c r="I3778" t="inlineStr">
        <is>
          <t>Public payer</t>
        </is>
      </c>
      <c r="J3778" t="inlineStr">
        <is>
          <t>Mei Lin</t>
        </is>
      </c>
      <c r="K3778" s="70" t="n">
        <v>216</v>
      </c>
      <c r="L3778" s="71" t="n">
        <v>368.84</v>
      </c>
      <c r="M3778" s="71" t="n">
        <v>79669.44</v>
      </c>
      <c r="N3778" s="71" t="n">
        <v>23900.83</v>
      </c>
      <c r="O3778" s="71" t="n">
        <v>55768.61</v>
      </c>
      <c r="P3778" s="71" t="n">
        <v>14607.07</v>
      </c>
      <c r="Q3778" s="71" t="n">
        <v>41161.54</v>
      </c>
      <c r="R3778" t="inlineStr">
        <is>
          <t>Vaccines</t>
        </is>
      </c>
      <c r="S3778" s="70" t="n">
        <v>159</v>
      </c>
      <c r="T3778" s="71" t="n">
        <v>16101.65</v>
      </c>
      <c r="U3778" t="inlineStr">
        <is>
          <t>Low</t>
        </is>
      </c>
      <c r="V3778">
        <f>IF(AND(OR(Dashboard!$C$6="All",E3778=Dashboard!$C$6),OR(Dashboard!$F$6="All",G3778=Dashboard!$F$6),OR(Dashboard!$I$6="All",H3778=Dashboard!$I$6)),1,0)</f>
        <v/>
      </c>
    </row>
    <row r="3779">
      <c r="A3779" t="inlineStr">
        <is>
          <t>PF103770</t>
        </is>
      </c>
      <c r="B3779" s="68" t="n">
        <v>46108</v>
      </c>
      <c r="C3779" s="69" t="n">
        <v>2026</v>
      </c>
      <c r="D3779" t="inlineStr">
        <is>
          <t>Mar</t>
        </is>
      </c>
      <c r="E3779" t="inlineStr">
        <is>
          <t>International developed</t>
        </is>
      </c>
      <c r="F3779" t="inlineStr">
        <is>
          <t>Canada</t>
        </is>
      </c>
      <c r="G3779" t="inlineStr">
        <is>
          <t>Ibrance</t>
        </is>
      </c>
      <c r="H3779" t="inlineStr">
        <is>
          <t>Retail pharmacy</t>
        </is>
      </c>
      <c r="I3779" t="inlineStr">
        <is>
          <t>Public payer</t>
        </is>
      </c>
      <c r="J3779" t="inlineStr">
        <is>
          <t>Priya Nair</t>
        </is>
      </c>
      <c r="K3779" s="70" t="n">
        <v>777</v>
      </c>
      <c r="L3779" s="71" t="n">
        <v>2996.75</v>
      </c>
      <c r="M3779" s="71" t="n">
        <v>2328474.75</v>
      </c>
      <c r="N3779" s="71" t="n">
        <v>582118.6899999999</v>
      </c>
      <c r="O3779" s="71" t="n">
        <v>1746356.06</v>
      </c>
      <c r="P3779" s="71" t="n">
        <v>337930.22</v>
      </c>
      <c r="Q3779" s="71" t="n">
        <v>1408425.84</v>
      </c>
      <c r="R3779" t="inlineStr">
        <is>
          <t>Oncology</t>
        </is>
      </c>
      <c r="S3779" s="70" t="n">
        <v>564</v>
      </c>
      <c r="T3779" s="71" t="n">
        <v>298412.86</v>
      </c>
      <c r="U3779" t="inlineStr">
        <is>
          <t>High</t>
        </is>
      </c>
      <c r="V3779">
        <f>IF(AND(OR(Dashboard!$C$6="All",E3779=Dashboard!$C$6),OR(Dashboard!$F$6="All",G3779=Dashboard!$F$6),OR(Dashboard!$I$6="All",H3779=Dashboard!$I$6)),1,0)</f>
        <v/>
      </c>
    </row>
    <row r="3780">
      <c r="A3780" t="inlineStr">
        <is>
          <t>PF103771</t>
        </is>
      </c>
      <c r="B3780" s="68" t="n">
        <v>46108</v>
      </c>
      <c r="C3780" s="69" t="n">
        <v>2026</v>
      </c>
      <c r="D3780" t="inlineStr">
        <is>
          <t>Mar</t>
        </is>
      </c>
      <c r="E3780" t="inlineStr">
        <is>
          <t>Europe</t>
        </is>
      </c>
      <c r="F3780" t="inlineStr">
        <is>
          <t>UK</t>
        </is>
      </c>
      <c r="G3780" t="inlineStr">
        <is>
          <t>Xeljanz</t>
        </is>
      </c>
      <c r="H3780" t="inlineStr">
        <is>
          <t>Retail pharmacy</t>
        </is>
      </c>
      <c r="I3780" t="inlineStr">
        <is>
          <t>Public payer</t>
        </is>
      </c>
      <c r="J3780" t="inlineStr">
        <is>
          <t>Shraddha Kulkarni</t>
        </is>
      </c>
      <c r="K3780" s="70" t="n">
        <v>446</v>
      </c>
      <c r="L3780" s="71" t="n">
        <v>1251.95</v>
      </c>
      <c r="M3780" s="71" t="n">
        <v>558369.7</v>
      </c>
      <c r="N3780" s="71" t="n">
        <v>83755.45</v>
      </c>
      <c r="O3780" s="71" t="n">
        <v>474614.25</v>
      </c>
      <c r="P3780" s="71" t="n">
        <v>112465.75</v>
      </c>
      <c r="Q3780" s="71" t="n">
        <v>362148.5</v>
      </c>
      <c r="R3780" t="inlineStr">
        <is>
          <t>Inflammation</t>
        </is>
      </c>
      <c r="S3780" s="70" t="n">
        <v>401</v>
      </c>
      <c r="T3780" s="71" t="n">
        <v>121724.09</v>
      </c>
      <c r="U3780" t="inlineStr">
        <is>
          <t>High</t>
        </is>
      </c>
      <c r="V3780">
        <f>IF(AND(OR(Dashboard!$C$6="All",E3780=Dashboard!$C$6),OR(Dashboard!$F$6="All",G3780=Dashboard!$F$6),OR(Dashboard!$I$6="All",H3780=Dashboard!$I$6)),1,0)</f>
        <v/>
      </c>
    </row>
    <row r="3781">
      <c r="A3781" t="inlineStr">
        <is>
          <t>PF103772</t>
        </is>
      </c>
      <c r="B3781" s="68" t="n">
        <v>46109</v>
      </c>
      <c r="C3781" s="69" t="n">
        <v>2026</v>
      </c>
      <c r="D3781" t="inlineStr">
        <is>
          <t>Mar</t>
        </is>
      </c>
      <c r="E3781" t="inlineStr">
        <is>
          <t>Europe</t>
        </is>
      </c>
      <c r="F3781" t="inlineStr">
        <is>
          <t>UK</t>
        </is>
      </c>
      <c r="G3781" t="inlineStr">
        <is>
          <t>Eliquis</t>
        </is>
      </c>
      <c r="H3781" t="inlineStr">
        <is>
          <t>Retail pharmacy</t>
        </is>
      </c>
      <c r="I3781" t="inlineStr">
        <is>
          <t>Public payer</t>
        </is>
      </c>
      <c r="J3781" t="inlineStr">
        <is>
          <t>Mei Lin</t>
        </is>
      </c>
      <c r="K3781" s="70" t="n">
        <v>533</v>
      </c>
      <c r="L3781" s="71" t="n">
        <v>466.58</v>
      </c>
      <c r="M3781" s="71" t="n">
        <v>248687.14</v>
      </c>
      <c r="N3781" s="71" t="n">
        <v>12434.36</v>
      </c>
      <c r="O3781" s="71" t="n">
        <v>236252.78</v>
      </c>
      <c r="P3781" s="71" t="n">
        <v>40340.03</v>
      </c>
      <c r="Q3781" s="71" t="n">
        <v>195912.75</v>
      </c>
      <c r="R3781" t="inlineStr">
        <is>
          <t>Cardiology</t>
        </is>
      </c>
      <c r="S3781" s="70" t="n">
        <v>464</v>
      </c>
      <c r="T3781" s="71" t="n">
        <v>49849.54</v>
      </c>
      <c r="U3781" t="inlineStr">
        <is>
          <t>High</t>
        </is>
      </c>
      <c r="V3781">
        <f>IF(AND(OR(Dashboard!$C$6="All",E3781=Dashboard!$C$6),OR(Dashboard!$F$6="All",G3781=Dashboard!$F$6),OR(Dashboard!$I$6="All",H3781=Dashboard!$I$6)),1,0)</f>
        <v/>
      </c>
    </row>
    <row r="3782">
      <c r="A3782" t="inlineStr">
        <is>
          <t>PF103773</t>
        </is>
      </c>
      <c r="B3782" s="68" t="n">
        <v>46109</v>
      </c>
      <c r="C3782" s="69" t="n">
        <v>2026</v>
      </c>
      <c r="D3782" t="inlineStr">
        <is>
          <t>Mar</t>
        </is>
      </c>
      <c r="E3782" t="inlineStr">
        <is>
          <t>United States</t>
        </is>
      </c>
      <c r="F3782" t="inlineStr">
        <is>
          <t>USA</t>
        </is>
      </c>
      <c r="G3782" t="inlineStr">
        <is>
          <t>Eliquis</t>
        </is>
      </c>
      <c r="H3782" t="inlineStr">
        <is>
          <t>Hospital</t>
        </is>
      </c>
      <c r="I3782" t="inlineStr">
        <is>
          <t>Private insurer</t>
        </is>
      </c>
      <c r="J3782" t="inlineStr">
        <is>
          <t>Ana Costa</t>
        </is>
      </c>
      <c r="K3782" s="70" t="n">
        <v>419</v>
      </c>
      <c r="L3782" s="71" t="n">
        <v>677.01</v>
      </c>
      <c r="M3782" s="71" t="n">
        <v>283667.19</v>
      </c>
      <c r="N3782" s="71" t="n">
        <v>42550.08</v>
      </c>
      <c r="O3782" s="71" t="n">
        <v>241117.11</v>
      </c>
      <c r="P3782" s="71" t="n">
        <v>31857.24</v>
      </c>
      <c r="Q3782" s="71" t="n">
        <v>209259.87</v>
      </c>
      <c r="R3782" t="inlineStr">
        <is>
          <t>Cardiology</t>
        </is>
      </c>
      <c r="S3782" s="70" t="n">
        <v>284</v>
      </c>
      <c r="T3782" s="71" t="n">
        <v>35258.42</v>
      </c>
      <c r="U3782" t="inlineStr">
        <is>
          <t>High</t>
        </is>
      </c>
      <c r="V3782">
        <f>IF(AND(OR(Dashboard!$C$6="All",E3782=Dashboard!$C$6),OR(Dashboard!$F$6="All",G3782=Dashboard!$F$6),OR(Dashboard!$I$6="All",H3782=Dashboard!$I$6)),1,0)</f>
        <v/>
      </c>
    </row>
    <row r="3783">
      <c r="A3783" t="inlineStr">
        <is>
          <t>PF103774</t>
        </is>
      </c>
      <c r="B3783" s="68" t="n">
        <v>46109</v>
      </c>
      <c r="C3783" s="69" t="n">
        <v>2026</v>
      </c>
      <c r="D3783" t="inlineStr">
        <is>
          <t>Mar</t>
        </is>
      </c>
      <c r="E3783" t="inlineStr">
        <is>
          <t>United States</t>
        </is>
      </c>
      <c r="F3783" t="inlineStr">
        <is>
          <t>USA</t>
        </is>
      </c>
      <c r="G3783" t="inlineStr">
        <is>
          <t>Eliquis</t>
        </is>
      </c>
      <c r="H3783" t="inlineStr">
        <is>
          <t>Government / tender</t>
        </is>
      </c>
      <c r="I3783" t="inlineStr">
        <is>
          <t>Private insurer</t>
        </is>
      </c>
      <c r="J3783" t="inlineStr">
        <is>
          <t>Zoya Ahmed</t>
        </is>
      </c>
      <c r="K3783" s="70" t="n">
        <v>265</v>
      </c>
      <c r="L3783" s="71" t="n">
        <v>701.59</v>
      </c>
      <c r="M3783" s="71" t="n">
        <v>185921.35</v>
      </c>
      <c r="N3783" s="71" t="n">
        <v>37184.27</v>
      </c>
      <c r="O3783" s="71" t="n">
        <v>148737.08</v>
      </c>
      <c r="P3783" s="71" t="n">
        <v>19775.64</v>
      </c>
      <c r="Q3783" s="71" t="n">
        <v>128961.44</v>
      </c>
      <c r="R3783" t="inlineStr">
        <is>
          <t>Cardiology</t>
        </is>
      </c>
      <c r="S3783" s="70" t="n">
        <v>223</v>
      </c>
      <c r="T3783" s="71" t="n">
        <v>24241.99</v>
      </c>
      <c r="U3783" t="inlineStr">
        <is>
          <t>High</t>
        </is>
      </c>
      <c r="V3783">
        <f>IF(AND(OR(Dashboard!$C$6="All",E3783=Dashboard!$C$6),OR(Dashboard!$F$6="All",G3783=Dashboard!$F$6),OR(Dashboard!$I$6="All",H3783=Dashboard!$I$6)),1,0)</f>
        <v/>
      </c>
    </row>
    <row r="3784">
      <c r="A3784" t="inlineStr">
        <is>
          <t>PF103775</t>
        </is>
      </c>
      <c r="B3784" s="68" t="n">
        <v>46109</v>
      </c>
      <c r="C3784" s="69" t="n">
        <v>2026</v>
      </c>
      <c r="D3784" t="inlineStr">
        <is>
          <t>Mar</t>
        </is>
      </c>
      <c r="E3784" t="inlineStr">
        <is>
          <t>United States</t>
        </is>
      </c>
      <c r="F3784" t="inlineStr">
        <is>
          <t>USA</t>
        </is>
      </c>
      <c r="G3784" t="inlineStr">
        <is>
          <t>Vyndaqel</t>
        </is>
      </c>
      <c r="H3784" t="inlineStr">
        <is>
          <t>Retail pharmacy</t>
        </is>
      </c>
      <c r="I3784" t="inlineStr">
        <is>
          <t>Self-pay</t>
        </is>
      </c>
      <c r="J3784" t="inlineStr">
        <is>
          <t>Amir Khan</t>
        </is>
      </c>
      <c r="K3784" s="70" t="n">
        <v>2129</v>
      </c>
      <c r="L3784" s="71" t="n">
        <v>8807.6</v>
      </c>
      <c r="M3784" s="71" t="n">
        <v>18751380.4</v>
      </c>
      <c r="N3784" s="71" t="n">
        <v>4687845.1</v>
      </c>
      <c r="O3784" s="71" t="n">
        <v>14063535.3</v>
      </c>
      <c r="P3784" s="71" t="n">
        <v>1325217.12</v>
      </c>
      <c r="Q3784" s="71" t="n">
        <v>12738318.18</v>
      </c>
      <c r="R3784" t="inlineStr">
        <is>
          <t>Rare disease</t>
        </is>
      </c>
      <c r="S3784" s="70" t="n">
        <v>2010</v>
      </c>
      <c r="T3784" s="71" t="n">
        <v>2110859.71</v>
      </c>
      <c r="U3784" t="inlineStr">
        <is>
          <t>Medium</t>
        </is>
      </c>
      <c r="V3784">
        <f>IF(AND(OR(Dashboard!$C$6="All",E3784=Dashboard!$C$6),OR(Dashboard!$F$6="All",G3784=Dashboard!$F$6),OR(Dashboard!$I$6="All",H3784=Dashboard!$I$6)),1,0)</f>
        <v/>
      </c>
    </row>
    <row r="3785">
      <c r="A3785" t="inlineStr">
        <is>
          <t>PF103776</t>
        </is>
      </c>
      <c r="B3785" s="68" t="n">
        <v>46109</v>
      </c>
      <c r="C3785" s="69" t="n">
        <v>2026</v>
      </c>
      <c r="D3785" t="inlineStr">
        <is>
          <t>Mar</t>
        </is>
      </c>
      <c r="E3785" t="inlineStr">
        <is>
          <t>Emerging markets</t>
        </is>
      </c>
      <c r="F3785" t="inlineStr">
        <is>
          <t>China</t>
        </is>
      </c>
      <c r="G3785" t="inlineStr">
        <is>
          <t>Xeljanz</t>
        </is>
      </c>
      <c r="H3785" t="inlineStr">
        <is>
          <t>Government / tender</t>
        </is>
      </c>
      <c r="I3785" t="inlineStr">
        <is>
          <t>Private insurer</t>
        </is>
      </c>
      <c r="J3785" t="inlineStr">
        <is>
          <t>Ravindra Patil</t>
        </is>
      </c>
      <c r="K3785" s="70" t="n">
        <v>1699</v>
      </c>
      <c r="L3785" s="71" t="n">
        <v>1324.39</v>
      </c>
      <c r="M3785" s="71" t="n">
        <v>2250138.61</v>
      </c>
      <c r="N3785" s="71" t="n">
        <v>562534.65</v>
      </c>
      <c r="O3785" s="71" t="n">
        <v>1687603.96</v>
      </c>
      <c r="P3785" s="71" t="n">
        <v>424845.22</v>
      </c>
      <c r="Q3785" s="71" t="n">
        <v>1262758.74</v>
      </c>
      <c r="R3785" t="inlineStr">
        <is>
          <t>Inflammation</t>
        </is>
      </c>
      <c r="S3785" s="70" t="n">
        <v>1205</v>
      </c>
      <c r="T3785" s="71" t="n">
        <v>399468.34</v>
      </c>
      <c r="U3785" t="inlineStr">
        <is>
          <t>High</t>
        </is>
      </c>
      <c r="V3785">
        <f>IF(AND(OR(Dashboard!$C$6="All",E3785=Dashboard!$C$6),OR(Dashboard!$F$6="All",G3785=Dashboard!$F$6),OR(Dashboard!$I$6="All",H3785=Dashboard!$I$6)),1,0)</f>
        <v/>
      </c>
    </row>
    <row r="3786">
      <c r="A3786" t="inlineStr">
        <is>
          <t>PF103777</t>
        </is>
      </c>
      <c r="B3786" s="68" t="n">
        <v>46109</v>
      </c>
      <c r="C3786" s="69" t="n">
        <v>2026</v>
      </c>
      <c r="D3786" t="inlineStr">
        <is>
          <t>Mar</t>
        </is>
      </c>
      <c r="E3786" t="inlineStr">
        <is>
          <t>United States</t>
        </is>
      </c>
      <c r="F3786" t="inlineStr">
        <is>
          <t>USA</t>
        </is>
      </c>
      <c r="G3786" t="inlineStr">
        <is>
          <t>Comirnaty</t>
        </is>
      </c>
      <c r="H3786" t="inlineStr">
        <is>
          <t>Government / tender</t>
        </is>
      </c>
      <c r="I3786" t="inlineStr">
        <is>
          <t>Private insurer</t>
        </is>
      </c>
      <c r="J3786" t="inlineStr">
        <is>
          <t>Noah Smith</t>
        </is>
      </c>
      <c r="K3786" s="70" t="n">
        <v>988</v>
      </c>
      <c r="L3786" s="71" t="n">
        <v>152.3</v>
      </c>
      <c r="M3786" s="71" t="n">
        <v>150472.4</v>
      </c>
      <c r="N3786" s="71" t="n">
        <v>37618.1</v>
      </c>
      <c r="O3786" s="71" t="n">
        <v>112854.3</v>
      </c>
      <c r="P3786" s="71" t="n">
        <v>39022.38</v>
      </c>
      <c r="Q3786" s="71" t="n">
        <v>73831.92</v>
      </c>
      <c r="R3786" t="inlineStr">
        <is>
          <t>Vaccines</t>
        </is>
      </c>
      <c r="S3786" s="70" t="n">
        <v>875</v>
      </c>
      <c r="T3786" s="71" t="n">
        <v>32146.98</v>
      </c>
      <c r="U3786" t="inlineStr">
        <is>
          <t>Low</t>
        </is>
      </c>
      <c r="V3786">
        <f>IF(AND(OR(Dashboard!$C$6="All",E3786=Dashboard!$C$6),OR(Dashboard!$F$6="All",G3786=Dashboard!$F$6),OR(Dashboard!$I$6="All",H3786=Dashboard!$I$6)),1,0)</f>
        <v/>
      </c>
    </row>
    <row r="3787">
      <c r="A3787" t="inlineStr">
        <is>
          <t>PF103778</t>
        </is>
      </c>
      <c r="B3787" s="68" t="n">
        <v>46113</v>
      </c>
      <c r="C3787" s="69" t="n">
        <v>2026</v>
      </c>
      <c r="D3787" t="inlineStr">
        <is>
          <t>Apr</t>
        </is>
      </c>
      <c r="E3787" t="inlineStr">
        <is>
          <t>Europe</t>
        </is>
      </c>
      <c r="F3787" t="inlineStr">
        <is>
          <t>France</t>
        </is>
      </c>
      <c r="G3787" t="inlineStr">
        <is>
          <t>Comirnaty</t>
        </is>
      </c>
      <c r="H3787" t="inlineStr">
        <is>
          <t>Government / tender</t>
        </is>
      </c>
      <c r="I3787" t="inlineStr">
        <is>
          <t>Public payer</t>
        </is>
      </c>
      <c r="J3787" t="inlineStr">
        <is>
          <t>Ravindra Patil</t>
        </is>
      </c>
      <c r="K3787" s="70" t="n">
        <v>477</v>
      </c>
      <c r="L3787" s="71" t="n">
        <v>92.52</v>
      </c>
      <c r="M3787" s="71" t="n">
        <v>44132.04</v>
      </c>
      <c r="N3787" s="71" t="n">
        <v>2206.6</v>
      </c>
      <c r="O3787" s="71" t="n">
        <v>41925.44</v>
      </c>
      <c r="P3787" s="71" t="n">
        <v>18075.83</v>
      </c>
      <c r="Q3787" s="71" t="n">
        <v>23849.61</v>
      </c>
      <c r="R3787" t="inlineStr">
        <is>
          <t>Vaccines</t>
        </is>
      </c>
      <c r="S3787" s="70" t="n">
        <v>402</v>
      </c>
      <c r="T3787" s="71" t="n">
        <v>11034.85</v>
      </c>
      <c r="U3787" t="inlineStr">
        <is>
          <t>Low</t>
        </is>
      </c>
      <c r="V3787">
        <f>IF(AND(OR(Dashboard!$C$6="All",E3787=Dashboard!$C$6),OR(Dashboard!$F$6="All",G3787=Dashboard!$F$6),OR(Dashboard!$I$6="All",H3787=Dashboard!$I$6)),1,0)</f>
        <v/>
      </c>
    </row>
    <row r="3788">
      <c r="A3788" t="inlineStr">
        <is>
          <t>PF103779</t>
        </is>
      </c>
      <c r="B3788" s="68" t="n">
        <v>46113</v>
      </c>
      <c r="C3788" s="69" t="n">
        <v>2026</v>
      </c>
      <c r="D3788" t="inlineStr">
        <is>
          <t>Apr</t>
        </is>
      </c>
      <c r="E3788" t="inlineStr">
        <is>
          <t>United States</t>
        </is>
      </c>
      <c r="F3788" t="inlineStr">
        <is>
          <t>USA</t>
        </is>
      </c>
      <c r="G3788" t="inlineStr">
        <is>
          <t>Abrysvo</t>
        </is>
      </c>
      <c r="H3788" t="inlineStr">
        <is>
          <t>Hospital</t>
        </is>
      </c>
      <c r="I3788" t="inlineStr">
        <is>
          <t>Private insurer</t>
        </is>
      </c>
      <c r="J3788" t="inlineStr">
        <is>
          <t>Lucas Martin</t>
        </is>
      </c>
      <c r="K3788" s="70" t="n">
        <v>334</v>
      </c>
      <c r="L3788" s="71" t="n">
        <v>533.66</v>
      </c>
      <c r="M3788" s="71" t="n">
        <v>178242.44</v>
      </c>
      <c r="N3788" s="71" t="n">
        <v>44560.61</v>
      </c>
      <c r="O3788" s="71" t="n">
        <v>133681.83</v>
      </c>
      <c r="P3788" s="71" t="n">
        <v>27942.34</v>
      </c>
      <c r="Q3788" s="71" t="n">
        <v>105739.49</v>
      </c>
      <c r="R3788" t="inlineStr">
        <is>
          <t>Vaccines</t>
        </is>
      </c>
      <c r="S3788" s="70" t="n">
        <v>222</v>
      </c>
      <c r="T3788" s="71" t="n">
        <v>21029.7</v>
      </c>
      <c r="U3788" t="inlineStr">
        <is>
          <t>Low</t>
        </is>
      </c>
      <c r="V3788">
        <f>IF(AND(OR(Dashboard!$C$6="All",E3788=Dashboard!$C$6),OR(Dashboard!$F$6="All",G3788=Dashboard!$F$6),OR(Dashboard!$I$6="All",H3788=Dashboard!$I$6)),1,0)</f>
        <v/>
      </c>
    </row>
    <row r="3789">
      <c r="A3789" t="inlineStr">
        <is>
          <t>PF103780</t>
        </is>
      </c>
      <c r="B3789" s="68" t="n">
        <v>46113</v>
      </c>
      <c r="C3789" s="69" t="n">
        <v>2026</v>
      </c>
      <c r="D3789" t="inlineStr">
        <is>
          <t>Apr</t>
        </is>
      </c>
      <c r="E3789" t="inlineStr">
        <is>
          <t>International developed</t>
        </is>
      </c>
      <c r="F3789" t="inlineStr">
        <is>
          <t>Canada</t>
        </is>
      </c>
      <c r="G3789" t="inlineStr">
        <is>
          <t>Vyndaqel</t>
        </is>
      </c>
      <c r="H3789" t="inlineStr">
        <is>
          <t>Retail pharmacy</t>
        </is>
      </c>
      <c r="I3789" t="inlineStr">
        <is>
          <t>Public payer</t>
        </is>
      </c>
      <c r="J3789" t="inlineStr">
        <is>
          <t>Aisha Bello</t>
        </is>
      </c>
      <c r="K3789" s="70" t="n">
        <v>271</v>
      </c>
      <c r="L3789" s="71" t="n">
        <v>6265.2</v>
      </c>
      <c r="M3789" s="71" t="n">
        <v>1697869.2</v>
      </c>
      <c r="N3789" s="71" t="n">
        <v>424467.3</v>
      </c>
      <c r="O3789" s="71" t="n">
        <v>1273401.9</v>
      </c>
      <c r="P3789" s="71" t="n">
        <v>166629.5</v>
      </c>
      <c r="Q3789" s="71" t="n">
        <v>1106772.4</v>
      </c>
      <c r="R3789" t="inlineStr">
        <is>
          <t>Rare disease</t>
        </is>
      </c>
      <c r="S3789" s="70" t="n">
        <v>235</v>
      </c>
      <c r="T3789" s="71" t="n">
        <v>216339.94</v>
      </c>
      <c r="U3789" t="inlineStr">
        <is>
          <t>Medium</t>
        </is>
      </c>
      <c r="V3789">
        <f>IF(AND(OR(Dashboard!$C$6="All",E3789=Dashboard!$C$6),OR(Dashboard!$F$6="All",G3789=Dashboard!$F$6),OR(Dashboard!$I$6="All",H3789=Dashboard!$I$6)),1,0)</f>
        <v/>
      </c>
    </row>
    <row r="3790">
      <c r="A3790" t="inlineStr">
        <is>
          <t>PF103781</t>
        </is>
      </c>
      <c r="B3790" s="68" t="n">
        <v>46113</v>
      </c>
      <c r="C3790" s="69" t="n">
        <v>2026</v>
      </c>
      <c r="D3790" t="inlineStr">
        <is>
          <t>Apr</t>
        </is>
      </c>
      <c r="E3790" t="inlineStr">
        <is>
          <t>Europe</t>
        </is>
      </c>
      <c r="F3790" t="inlineStr">
        <is>
          <t>Germany</t>
        </is>
      </c>
      <c r="G3790" t="inlineStr">
        <is>
          <t>Eliquis</t>
        </is>
      </c>
      <c r="H3790" t="inlineStr">
        <is>
          <t>Hospital</t>
        </is>
      </c>
      <c r="I3790" t="inlineStr">
        <is>
          <t>Public payer</t>
        </is>
      </c>
      <c r="J3790" t="inlineStr">
        <is>
          <t>Kofi Mensah</t>
        </is>
      </c>
      <c r="K3790" s="70" t="n">
        <v>1858</v>
      </c>
      <c r="L3790" s="71" t="n">
        <v>457.59</v>
      </c>
      <c r="M3790" s="71" t="n">
        <v>850202.22</v>
      </c>
      <c r="N3790" s="71" t="n">
        <v>170040.44</v>
      </c>
      <c r="O3790" s="71" t="n">
        <v>680161.78</v>
      </c>
      <c r="P3790" s="71" t="n">
        <v>137729.31</v>
      </c>
      <c r="Q3790" s="71" t="n">
        <v>542432.47</v>
      </c>
      <c r="R3790" t="inlineStr">
        <is>
          <t>Cardiology</t>
        </is>
      </c>
      <c r="S3790" s="70" t="n">
        <v>1201</v>
      </c>
      <c r="T3790" s="71" t="n">
        <v>120850.05</v>
      </c>
      <c r="U3790" t="inlineStr">
        <is>
          <t>High</t>
        </is>
      </c>
      <c r="V3790">
        <f>IF(AND(OR(Dashboard!$C$6="All",E3790=Dashboard!$C$6),OR(Dashboard!$F$6="All",G3790=Dashboard!$F$6),OR(Dashboard!$I$6="All",H3790=Dashboard!$I$6)),1,0)</f>
        <v/>
      </c>
    </row>
    <row r="3791">
      <c r="A3791" t="inlineStr">
        <is>
          <t>PF103782</t>
        </is>
      </c>
      <c r="B3791" s="68" t="n">
        <v>46113</v>
      </c>
      <c r="C3791" s="69" t="n">
        <v>2026</v>
      </c>
      <c r="D3791" t="inlineStr">
        <is>
          <t>Apr</t>
        </is>
      </c>
      <c r="E3791" t="inlineStr">
        <is>
          <t>International developed</t>
        </is>
      </c>
      <c r="F3791" t="inlineStr">
        <is>
          <t>Australia</t>
        </is>
      </c>
      <c r="G3791" t="inlineStr">
        <is>
          <t>Xeljanz</t>
        </is>
      </c>
      <c r="H3791" t="inlineStr">
        <is>
          <t>Retail pharmacy</t>
        </is>
      </c>
      <c r="I3791" t="inlineStr">
        <is>
          <t>Public payer</t>
        </is>
      </c>
      <c r="J3791" t="inlineStr">
        <is>
          <t>Lucas Martin</t>
        </is>
      </c>
      <c r="K3791" s="70" t="n">
        <v>2439</v>
      </c>
      <c r="L3791" s="71" t="n">
        <v>1355.7</v>
      </c>
      <c r="M3791" s="71" t="n">
        <v>3306552.3</v>
      </c>
      <c r="N3791" s="71" t="n">
        <v>330655.23</v>
      </c>
      <c r="O3791" s="71" t="n">
        <v>2975897.07</v>
      </c>
      <c r="P3791" s="71" t="n">
        <v>626787.1800000001</v>
      </c>
      <c r="Q3791" s="71" t="n">
        <v>2349109.89</v>
      </c>
      <c r="R3791" t="inlineStr">
        <is>
          <t>Inflammation</t>
        </is>
      </c>
      <c r="S3791" s="70" t="n">
        <v>1710</v>
      </c>
      <c r="T3791" s="71" t="n">
        <v>502791.07</v>
      </c>
      <c r="U3791" t="inlineStr">
        <is>
          <t>High</t>
        </is>
      </c>
      <c r="V3791">
        <f>IF(AND(OR(Dashboard!$C$6="All",E3791=Dashboard!$C$6),OR(Dashboard!$F$6="All",G3791=Dashboard!$F$6),OR(Dashboard!$I$6="All",H3791=Dashboard!$I$6)),1,0)</f>
        <v/>
      </c>
    </row>
    <row r="3792">
      <c r="A3792" t="inlineStr">
        <is>
          <t>PF103783</t>
        </is>
      </c>
      <c r="B3792" s="68" t="n">
        <v>46113</v>
      </c>
      <c r="C3792" s="69" t="n">
        <v>2026</v>
      </c>
      <c r="D3792" t="inlineStr">
        <is>
          <t>Apr</t>
        </is>
      </c>
      <c r="E3792" t="inlineStr">
        <is>
          <t>United States</t>
        </is>
      </c>
      <c r="F3792" t="inlineStr">
        <is>
          <t>USA</t>
        </is>
      </c>
      <c r="G3792" t="inlineStr">
        <is>
          <t>Ibrance</t>
        </is>
      </c>
      <c r="H3792" t="inlineStr">
        <is>
          <t>Retail pharmacy</t>
        </is>
      </c>
      <c r="I3792" t="inlineStr">
        <is>
          <t>Self-pay</t>
        </is>
      </c>
      <c r="J3792" t="inlineStr">
        <is>
          <t>Sara Rossi</t>
        </is>
      </c>
      <c r="K3792" s="70" t="n">
        <v>982</v>
      </c>
      <c r="L3792" s="71" t="n">
        <v>4210.93</v>
      </c>
      <c r="M3792" s="71" t="n">
        <v>4135133.26</v>
      </c>
      <c r="N3792" s="71" t="n">
        <v>1240539.98</v>
      </c>
      <c r="O3792" s="71" t="n">
        <v>2894593.28</v>
      </c>
      <c r="P3792" s="71" t="n">
        <v>438469.45</v>
      </c>
      <c r="Q3792" s="71" t="n">
        <v>2456123.83</v>
      </c>
      <c r="R3792" t="inlineStr">
        <is>
          <t>Oncology</t>
        </is>
      </c>
      <c r="S3792" s="70" t="n">
        <v>715</v>
      </c>
      <c r="T3792" s="71" t="n">
        <v>754285.65</v>
      </c>
      <c r="U3792" t="inlineStr">
        <is>
          <t>High</t>
        </is>
      </c>
      <c r="V3792">
        <f>IF(AND(OR(Dashboard!$C$6="All",E3792=Dashboard!$C$6),OR(Dashboard!$F$6="All",G3792=Dashboard!$F$6),OR(Dashboard!$I$6="All",H3792=Dashboard!$I$6)),1,0)</f>
        <v/>
      </c>
    </row>
    <row r="3793">
      <c r="A3793" t="inlineStr">
        <is>
          <t>PF103784</t>
        </is>
      </c>
      <c r="B3793" s="68" t="n">
        <v>46113</v>
      </c>
      <c r="C3793" s="69" t="n">
        <v>2026</v>
      </c>
      <c r="D3793" t="inlineStr">
        <is>
          <t>Apr</t>
        </is>
      </c>
      <c r="E3793" t="inlineStr">
        <is>
          <t>United States</t>
        </is>
      </c>
      <c r="F3793" t="inlineStr">
        <is>
          <t>USA</t>
        </is>
      </c>
      <c r="G3793" t="inlineStr">
        <is>
          <t>Prevnar 20</t>
        </is>
      </c>
      <c r="H3793" t="inlineStr">
        <is>
          <t>Retail pharmacy</t>
        </is>
      </c>
      <c r="I3793" t="inlineStr">
        <is>
          <t>Public payer</t>
        </is>
      </c>
      <c r="J3793" t="inlineStr">
        <is>
          <t>Ruhi Shaikh</t>
        </is>
      </c>
      <c r="K3793" s="70" t="n">
        <v>1474</v>
      </c>
      <c r="L3793" s="71" t="n">
        <v>364.96</v>
      </c>
      <c r="M3793" s="71" t="n">
        <v>537951.04</v>
      </c>
      <c r="N3793" s="71" t="n">
        <v>107590.21</v>
      </c>
      <c r="O3793" s="71" t="n">
        <v>430360.83</v>
      </c>
      <c r="P3793" s="71" t="n">
        <v>105293.49</v>
      </c>
      <c r="Q3793" s="71" t="n">
        <v>325067.34</v>
      </c>
      <c r="R3793" t="inlineStr">
        <is>
          <t>Vaccines</t>
        </is>
      </c>
      <c r="S3793" s="70" t="n">
        <v>966</v>
      </c>
      <c r="T3793" s="71" t="n">
        <v>69897.08</v>
      </c>
      <c r="U3793" t="inlineStr">
        <is>
          <t>Low</t>
        </is>
      </c>
      <c r="V3793">
        <f>IF(AND(OR(Dashboard!$C$6="All",E3793=Dashboard!$C$6),OR(Dashboard!$F$6="All",G3793=Dashboard!$F$6),OR(Dashboard!$I$6="All",H3793=Dashboard!$I$6)),1,0)</f>
        <v/>
      </c>
    </row>
    <row r="3794">
      <c r="A3794" t="inlineStr">
        <is>
          <t>PF103785</t>
        </is>
      </c>
      <c r="B3794" s="68" t="n">
        <v>46113</v>
      </c>
      <c r="C3794" s="69" t="n">
        <v>2026</v>
      </c>
      <c r="D3794" t="inlineStr">
        <is>
          <t>Apr</t>
        </is>
      </c>
      <c r="E3794" t="inlineStr">
        <is>
          <t>Europe</t>
        </is>
      </c>
      <c r="F3794" t="inlineStr">
        <is>
          <t>Spain</t>
        </is>
      </c>
      <c r="G3794" t="inlineStr">
        <is>
          <t>Eliquis</t>
        </is>
      </c>
      <c r="H3794" t="inlineStr">
        <is>
          <t>Hospital</t>
        </is>
      </c>
      <c r="I3794" t="inlineStr">
        <is>
          <t>Public payer</t>
        </is>
      </c>
      <c r="J3794" t="inlineStr">
        <is>
          <t>Ravindra Patil</t>
        </is>
      </c>
      <c r="K3794" s="70" t="n">
        <v>1930</v>
      </c>
      <c r="L3794" s="71" t="n">
        <v>429.13</v>
      </c>
      <c r="M3794" s="71" t="n">
        <v>828220.9</v>
      </c>
      <c r="N3794" s="71" t="n">
        <v>165644.18</v>
      </c>
      <c r="O3794" s="71" t="n">
        <v>662576.72</v>
      </c>
      <c r="P3794" s="71" t="n">
        <v>151136.28</v>
      </c>
      <c r="Q3794" s="71" t="n">
        <v>511440.44</v>
      </c>
      <c r="R3794" t="inlineStr">
        <is>
          <t>Cardiology</t>
        </is>
      </c>
      <c r="S3794" s="70" t="n">
        <v>1279</v>
      </c>
      <c r="T3794" s="71" t="n">
        <v>153211.16</v>
      </c>
      <c r="U3794" t="inlineStr">
        <is>
          <t>High</t>
        </is>
      </c>
      <c r="V3794">
        <f>IF(AND(OR(Dashboard!$C$6="All",E3794=Dashboard!$C$6),OR(Dashboard!$F$6="All",G3794=Dashboard!$F$6),OR(Dashboard!$I$6="All",H3794=Dashboard!$I$6)),1,0)</f>
        <v/>
      </c>
    </row>
    <row r="3795">
      <c r="A3795" t="inlineStr">
        <is>
          <t>PF103786</t>
        </is>
      </c>
      <c r="B3795" s="68" t="n">
        <v>46113</v>
      </c>
      <c r="C3795" s="69" t="n">
        <v>2026</v>
      </c>
      <c r="D3795" t="inlineStr">
        <is>
          <t>Apr</t>
        </is>
      </c>
      <c r="E3795" t="inlineStr">
        <is>
          <t>Emerging markets</t>
        </is>
      </c>
      <c r="F3795" t="inlineStr">
        <is>
          <t>India</t>
        </is>
      </c>
      <c r="G3795" t="inlineStr">
        <is>
          <t>Comirnaty</t>
        </is>
      </c>
      <c r="H3795" t="inlineStr">
        <is>
          <t>Retail pharmacy</t>
        </is>
      </c>
      <c r="I3795" t="inlineStr">
        <is>
          <t>Public payer</t>
        </is>
      </c>
      <c r="J3795" t="inlineStr">
        <is>
          <t>Shraddha Kulkarni</t>
        </is>
      </c>
      <c r="K3795" s="70" t="n">
        <v>125</v>
      </c>
      <c r="L3795" s="71" t="n">
        <v>86.84999999999999</v>
      </c>
      <c r="M3795" s="71" t="n">
        <v>10856.25</v>
      </c>
      <c r="N3795" s="71" t="n">
        <v>2171.25</v>
      </c>
      <c r="O3795" s="71" t="n">
        <v>8685</v>
      </c>
      <c r="P3795" s="71" t="n">
        <v>5002.45</v>
      </c>
      <c r="Q3795" s="71" t="n">
        <v>3682.55</v>
      </c>
      <c r="R3795" t="inlineStr">
        <is>
          <t>Vaccines</t>
        </is>
      </c>
      <c r="S3795" s="70" t="n">
        <v>115</v>
      </c>
      <c r="T3795" s="71" t="n">
        <v>2285.48</v>
      </c>
      <c r="U3795" t="inlineStr">
        <is>
          <t>Low</t>
        </is>
      </c>
      <c r="V3795">
        <f>IF(AND(OR(Dashboard!$C$6="All",E3795=Dashboard!$C$6),OR(Dashboard!$F$6="All",G3795=Dashboard!$F$6),OR(Dashboard!$I$6="All",H3795=Dashboard!$I$6)),1,0)</f>
        <v/>
      </c>
    </row>
    <row r="3796">
      <c r="A3796" t="inlineStr">
        <is>
          <t>PF103787</t>
        </is>
      </c>
      <c r="B3796" s="68" t="n">
        <v>46113</v>
      </c>
      <c r="C3796" s="69" t="n">
        <v>2026</v>
      </c>
      <c r="D3796" t="inlineStr">
        <is>
          <t>Apr</t>
        </is>
      </c>
      <c r="E3796" t="inlineStr">
        <is>
          <t>United States</t>
        </is>
      </c>
      <c r="F3796" t="inlineStr">
        <is>
          <t>USA</t>
        </is>
      </c>
      <c r="G3796" t="inlineStr">
        <is>
          <t>Paxlovid</t>
        </is>
      </c>
      <c r="H3796" t="inlineStr">
        <is>
          <t>Government / tender</t>
        </is>
      </c>
      <c r="I3796" t="inlineStr">
        <is>
          <t>Public payer</t>
        </is>
      </c>
      <c r="J3796" t="inlineStr">
        <is>
          <t>Zoya Ahmed</t>
        </is>
      </c>
      <c r="K3796" s="70" t="n">
        <v>1101</v>
      </c>
      <c r="L3796" s="71" t="n">
        <v>1420.36</v>
      </c>
      <c r="M3796" s="71" t="n">
        <v>1563816.36</v>
      </c>
      <c r="N3796" s="71" t="n">
        <v>390954.09</v>
      </c>
      <c r="O3796" s="71" t="n">
        <v>1172862.27</v>
      </c>
      <c r="P3796" s="71" t="n">
        <v>313039.43</v>
      </c>
      <c r="Q3796" s="71" t="n">
        <v>859822.84</v>
      </c>
      <c r="R3796" t="inlineStr">
        <is>
          <t>Antiviral</t>
        </is>
      </c>
      <c r="S3796" s="70" t="n">
        <v>979</v>
      </c>
      <c r="T3796" s="71" t="n">
        <v>325571.52</v>
      </c>
      <c r="U3796" t="inlineStr">
        <is>
          <t>Low</t>
        </is>
      </c>
      <c r="V3796">
        <f>IF(AND(OR(Dashboard!$C$6="All",E3796=Dashboard!$C$6),OR(Dashboard!$F$6="All",G3796=Dashboard!$F$6),OR(Dashboard!$I$6="All",H3796=Dashboard!$I$6)),1,0)</f>
        <v/>
      </c>
    </row>
    <row r="3797">
      <c r="A3797" t="inlineStr">
        <is>
          <t>PF103788</t>
        </is>
      </c>
      <c r="B3797" s="68" t="n">
        <v>46113</v>
      </c>
      <c r="C3797" s="69" t="n">
        <v>2026</v>
      </c>
      <c r="D3797" t="inlineStr">
        <is>
          <t>Apr</t>
        </is>
      </c>
      <c r="E3797" t="inlineStr">
        <is>
          <t>International developed</t>
        </is>
      </c>
      <c r="F3797" t="inlineStr">
        <is>
          <t>Japan</t>
        </is>
      </c>
      <c r="G3797" t="inlineStr">
        <is>
          <t>Xeljanz</t>
        </is>
      </c>
      <c r="H3797" t="inlineStr">
        <is>
          <t>Retail pharmacy</t>
        </is>
      </c>
      <c r="I3797" t="inlineStr">
        <is>
          <t>Public payer</t>
        </is>
      </c>
      <c r="J3797" t="inlineStr">
        <is>
          <t>Olivia Brown</t>
        </is>
      </c>
      <c r="K3797" s="70" t="n">
        <v>1263</v>
      </c>
      <c r="L3797" s="71" t="n">
        <v>1321.96</v>
      </c>
      <c r="M3797" s="71" t="n">
        <v>1669635.48</v>
      </c>
      <c r="N3797" s="71" t="n">
        <v>333927.1</v>
      </c>
      <c r="O3797" s="71" t="n">
        <v>1335708.38</v>
      </c>
      <c r="P3797" s="71" t="n">
        <v>307896.4</v>
      </c>
      <c r="Q3797" s="71" t="n">
        <v>1027811.98</v>
      </c>
      <c r="R3797" t="inlineStr">
        <is>
          <t>Inflammation</t>
        </is>
      </c>
      <c r="S3797" s="70" t="n">
        <v>1211</v>
      </c>
      <c r="T3797" s="71" t="n">
        <v>255122.57</v>
      </c>
      <c r="U3797" t="inlineStr">
        <is>
          <t>High</t>
        </is>
      </c>
      <c r="V3797">
        <f>IF(AND(OR(Dashboard!$C$6="All",E3797=Dashboard!$C$6),OR(Dashboard!$F$6="All",G3797=Dashboard!$F$6),OR(Dashboard!$I$6="All",H3797=Dashboard!$I$6)),1,0)</f>
        <v/>
      </c>
    </row>
    <row r="3798">
      <c r="A3798" t="inlineStr">
        <is>
          <t>PF103789</t>
        </is>
      </c>
      <c r="B3798" s="68" t="n">
        <v>46114</v>
      </c>
      <c r="C3798" s="69" t="n">
        <v>2026</v>
      </c>
      <c r="D3798" t="inlineStr">
        <is>
          <t>Apr</t>
        </is>
      </c>
      <c r="E3798" t="inlineStr">
        <is>
          <t>Europe</t>
        </is>
      </c>
      <c r="F3798" t="inlineStr">
        <is>
          <t>Germany</t>
        </is>
      </c>
      <c r="G3798" t="inlineStr">
        <is>
          <t>Eliquis</t>
        </is>
      </c>
      <c r="H3798" t="inlineStr">
        <is>
          <t>Government / tender</t>
        </is>
      </c>
      <c r="I3798" t="inlineStr">
        <is>
          <t>Public payer</t>
        </is>
      </c>
      <c r="J3798" t="inlineStr">
        <is>
          <t>Omar Haddad</t>
        </is>
      </c>
      <c r="K3798" s="70" t="n">
        <v>2744</v>
      </c>
      <c r="L3798" s="71" t="n">
        <v>427.53</v>
      </c>
      <c r="M3798" s="71" t="n">
        <v>1173142.32</v>
      </c>
      <c r="N3798" s="71" t="n">
        <v>293285.58</v>
      </c>
      <c r="O3798" s="71" t="n">
        <v>879856.74</v>
      </c>
      <c r="P3798" s="71" t="n">
        <v>201471.91</v>
      </c>
      <c r="Q3798" s="71" t="n">
        <v>678384.83</v>
      </c>
      <c r="R3798" t="inlineStr">
        <is>
          <t>Cardiology</t>
        </is>
      </c>
      <c r="S3798" s="70" t="n">
        <v>1824</v>
      </c>
      <c r="T3798" s="71" t="n">
        <v>220347.44</v>
      </c>
      <c r="U3798" t="inlineStr">
        <is>
          <t>High</t>
        </is>
      </c>
      <c r="V3798">
        <f>IF(AND(OR(Dashboard!$C$6="All",E3798=Dashboard!$C$6),OR(Dashboard!$F$6="All",G3798=Dashboard!$F$6),OR(Dashboard!$I$6="All",H3798=Dashboard!$I$6)),1,0)</f>
        <v/>
      </c>
    </row>
    <row r="3799">
      <c r="A3799" t="inlineStr">
        <is>
          <t>PF103790</t>
        </is>
      </c>
      <c r="B3799" s="68" t="n">
        <v>46114</v>
      </c>
      <c r="C3799" s="69" t="n">
        <v>2026</v>
      </c>
      <c r="D3799" t="inlineStr">
        <is>
          <t>Apr</t>
        </is>
      </c>
      <c r="E3799" t="inlineStr">
        <is>
          <t>United States</t>
        </is>
      </c>
      <c r="F3799" t="inlineStr">
        <is>
          <t>USA</t>
        </is>
      </c>
      <c r="G3799" t="inlineStr">
        <is>
          <t>Eliquis</t>
        </is>
      </c>
      <c r="H3799" t="inlineStr">
        <is>
          <t>Hospital</t>
        </is>
      </c>
      <c r="I3799" t="inlineStr">
        <is>
          <t>Private insurer</t>
        </is>
      </c>
      <c r="J3799" t="inlineStr">
        <is>
          <t>Fatima Al-Saud</t>
        </is>
      </c>
      <c r="K3799" s="70" t="n">
        <v>1004</v>
      </c>
      <c r="L3799" s="71" t="n">
        <v>678.72</v>
      </c>
      <c r="M3799" s="71" t="n">
        <v>681434.88</v>
      </c>
      <c r="N3799" s="71" t="n">
        <v>204430.46</v>
      </c>
      <c r="O3799" s="71" t="n">
        <v>477004.42</v>
      </c>
      <c r="P3799" s="71" t="n">
        <v>74820.39999999999</v>
      </c>
      <c r="Q3799" s="71" t="n">
        <v>402184.02</v>
      </c>
      <c r="R3799" t="inlineStr">
        <is>
          <t>Cardiology</t>
        </is>
      </c>
      <c r="S3799" s="70" t="n">
        <v>666</v>
      </c>
      <c r="T3799" s="71" t="n">
        <v>118485.33</v>
      </c>
      <c r="U3799" t="inlineStr">
        <is>
          <t>High</t>
        </is>
      </c>
      <c r="V3799">
        <f>IF(AND(OR(Dashboard!$C$6="All",E3799=Dashboard!$C$6),OR(Dashboard!$F$6="All",G3799=Dashboard!$F$6),OR(Dashboard!$I$6="All",H3799=Dashboard!$I$6)),1,0)</f>
        <v/>
      </c>
    </row>
    <row r="3800">
      <c r="A3800" t="inlineStr">
        <is>
          <t>PF103791</t>
        </is>
      </c>
      <c r="B3800" s="68" t="n">
        <v>46114</v>
      </c>
      <c r="C3800" s="69" t="n">
        <v>2026</v>
      </c>
      <c r="D3800" t="inlineStr">
        <is>
          <t>Apr</t>
        </is>
      </c>
      <c r="E3800" t="inlineStr">
        <is>
          <t>Europe</t>
        </is>
      </c>
      <c r="F3800" t="inlineStr">
        <is>
          <t>Italy</t>
        </is>
      </c>
      <c r="G3800" t="inlineStr">
        <is>
          <t>Eliquis</t>
        </is>
      </c>
      <c r="H3800" t="inlineStr">
        <is>
          <t>Hospital</t>
        </is>
      </c>
      <c r="I3800" t="inlineStr">
        <is>
          <t>Self-pay</t>
        </is>
      </c>
      <c r="J3800" t="inlineStr">
        <is>
          <t>Emma Clarke</t>
        </is>
      </c>
      <c r="K3800" s="70" t="n">
        <v>2457</v>
      </c>
      <c r="L3800" s="71" t="n">
        <v>446.04</v>
      </c>
      <c r="M3800" s="71" t="n">
        <v>1095920.28</v>
      </c>
      <c r="N3800" s="71" t="n">
        <v>164388.04</v>
      </c>
      <c r="O3800" s="71" t="n">
        <v>931532.24</v>
      </c>
      <c r="P3800" s="71" t="n">
        <v>192439.74</v>
      </c>
      <c r="Q3800" s="71" t="n">
        <v>739092.5</v>
      </c>
      <c r="R3800" t="inlineStr">
        <is>
          <t>Cardiology</t>
        </is>
      </c>
      <c r="S3800" s="70" t="n">
        <v>1770</v>
      </c>
      <c r="T3800" s="71" t="n">
        <v>148523.32</v>
      </c>
      <c r="U3800" t="inlineStr">
        <is>
          <t>High</t>
        </is>
      </c>
      <c r="V3800">
        <f>IF(AND(OR(Dashboard!$C$6="All",E3800=Dashboard!$C$6),OR(Dashboard!$F$6="All",G3800=Dashboard!$F$6),OR(Dashboard!$I$6="All",H3800=Dashboard!$I$6)),1,0)</f>
        <v/>
      </c>
    </row>
    <row r="3801">
      <c r="A3801" t="inlineStr">
        <is>
          <t>PF103792</t>
        </is>
      </c>
      <c r="B3801" s="68" t="n">
        <v>46114</v>
      </c>
      <c r="C3801" s="69" t="n">
        <v>2026</v>
      </c>
      <c r="D3801" t="inlineStr">
        <is>
          <t>Apr</t>
        </is>
      </c>
      <c r="E3801" t="inlineStr">
        <is>
          <t>International developed</t>
        </is>
      </c>
      <c r="F3801" t="inlineStr">
        <is>
          <t>Canada</t>
        </is>
      </c>
      <c r="G3801" t="inlineStr">
        <is>
          <t>Ibrance</t>
        </is>
      </c>
      <c r="H3801" t="inlineStr">
        <is>
          <t>Retail pharmacy</t>
        </is>
      </c>
      <c r="I3801" t="inlineStr">
        <is>
          <t>Private insurer</t>
        </is>
      </c>
      <c r="J3801" t="inlineStr">
        <is>
          <t>Amir Khan</t>
        </is>
      </c>
      <c r="K3801" s="70" t="n">
        <v>2386</v>
      </c>
      <c r="L3801" s="71" t="n">
        <v>2988.2</v>
      </c>
      <c r="M3801" s="71" t="n">
        <v>7129845.2</v>
      </c>
      <c r="N3801" s="71" t="n">
        <v>712984.52</v>
      </c>
      <c r="O3801" s="71" t="n">
        <v>6416860.68</v>
      </c>
      <c r="P3801" s="71" t="n">
        <v>998108.15</v>
      </c>
      <c r="Q3801" s="71" t="n">
        <v>5418752.53</v>
      </c>
      <c r="R3801" t="inlineStr">
        <is>
          <t>Oncology</t>
        </is>
      </c>
      <c r="S3801" s="70" t="n">
        <v>1779</v>
      </c>
      <c r="T3801" s="71" t="n">
        <v>1472958.43</v>
      </c>
      <c r="U3801" t="inlineStr">
        <is>
          <t>High</t>
        </is>
      </c>
      <c r="V3801">
        <f>IF(AND(OR(Dashboard!$C$6="All",E3801=Dashboard!$C$6),OR(Dashboard!$F$6="All",G3801=Dashboard!$F$6),OR(Dashboard!$I$6="All",H3801=Dashboard!$I$6)),1,0)</f>
        <v/>
      </c>
    </row>
    <row r="3802">
      <c r="A3802" t="inlineStr">
        <is>
          <t>PF103793</t>
        </is>
      </c>
      <c r="B3802" s="68" t="n">
        <v>46114</v>
      </c>
      <c r="C3802" s="69" t="n">
        <v>2026</v>
      </c>
      <c r="D3802" t="inlineStr">
        <is>
          <t>Apr</t>
        </is>
      </c>
      <c r="E3802" t="inlineStr">
        <is>
          <t>United States</t>
        </is>
      </c>
      <c r="F3802" t="inlineStr">
        <is>
          <t>USA</t>
        </is>
      </c>
      <c r="G3802" t="inlineStr">
        <is>
          <t>Comirnaty</t>
        </is>
      </c>
      <c r="H3802" t="inlineStr">
        <is>
          <t>Government / tender</t>
        </is>
      </c>
      <c r="I3802" t="inlineStr">
        <is>
          <t>Self-pay</t>
        </is>
      </c>
      <c r="J3802" t="inlineStr">
        <is>
          <t>Ravindra Patil</t>
        </is>
      </c>
      <c r="K3802" s="70" t="n">
        <v>2176</v>
      </c>
      <c r="L3802" s="71" t="n">
        <v>151.38</v>
      </c>
      <c r="M3802" s="71" t="n">
        <v>329402.88</v>
      </c>
      <c r="N3802" s="71" t="n">
        <v>49410.43</v>
      </c>
      <c r="O3802" s="71" t="n">
        <v>279992.45</v>
      </c>
      <c r="P3802" s="71" t="n">
        <v>83469.8</v>
      </c>
      <c r="Q3802" s="71" t="n">
        <v>196522.65</v>
      </c>
      <c r="R3802" t="inlineStr">
        <is>
          <t>Vaccines</t>
        </is>
      </c>
      <c r="S3802" s="70" t="n">
        <v>1658</v>
      </c>
      <c r="T3802" s="71" t="n">
        <v>67427.95</v>
      </c>
      <c r="U3802" t="inlineStr">
        <is>
          <t>Low</t>
        </is>
      </c>
      <c r="V3802">
        <f>IF(AND(OR(Dashboard!$C$6="All",E3802=Dashboard!$C$6),OR(Dashboard!$F$6="All",G3802=Dashboard!$F$6),OR(Dashboard!$I$6="All",H3802=Dashboard!$I$6)),1,0)</f>
        <v/>
      </c>
    </row>
    <row r="3803">
      <c r="A3803" t="inlineStr">
        <is>
          <t>PF103794</t>
        </is>
      </c>
      <c r="B3803" s="68" t="n">
        <v>46114</v>
      </c>
      <c r="C3803" s="69" t="n">
        <v>2026</v>
      </c>
      <c r="D3803" t="inlineStr">
        <is>
          <t>Apr</t>
        </is>
      </c>
      <c r="E3803" t="inlineStr">
        <is>
          <t>United States</t>
        </is>
      </c>
      <c r="F3803" t="inlineStr">
        <is>
          <t>USA</t>
        </is>
      </c>
      <c r="G3803" t="inlineStr">
        <is>
          <t>Prevnar 20</t>
        </is>
      </c>
      <c r="H3803" t="inlineStr">
        <is>
          <t>Government / tender</t>
        </is>
      </c>
      <c r="I3803" t="inlineStr">
        <is>
          <t>Public payer</t>
        </is>
      </c>
      <c r="J3803" t="inlineStr">
        <is>
          <t>Omar Haddad</t>
        </is>
      </c>
      <c r="K3803" s="70" t="n">
        <v>2048</v>
      </c>
      <c r="L3803" s="71" t="n">
        <v>352.77</v>
      </c>
      <c r="M3803" s="71" t="n">
        <v>722472.96</v>
      </c>
      <c r="N3803" s="71" t="n">
        <v>216741.89</v>
      </c>
      <c r="O3803" s="71" t="n">
        <v>505731.07</v>
      </c>
      <c r="P3803" s="71" t="n">
        <v>137199.28</v>
      </c>
      <c r="Q3803" s="71" t="n">
        <v>368531.79</v>
      </c>
      <c r="R3803" t="inlineStr">
        <is>
          <t>Vaccines</t>
        </is>
      </c>
      <c r="S3803" s="70" t="n">
        <v>1838</v>
      </c>
      <c r="T3803" s="71" t="n">
        <v>93713.8</v>
      </c>
      <c r="U3803" t="inlineStr">
        <is>
          <t>Low</t>
        </is>
      </c>
      <c r="V3803">
        <f>IF(AND(OR(Dashboard!$C$6="All",E3803=Dashboard!$C$6),OR(Dashboard!$F$6="All",G3803=Dashboard!$F$6),OR(Dashboard!$I$6="All",H3803=Dashboard!$I$6)),1,0)</f>
        <v/>
      </c>
    </row>
    <row r="3804">
      <c r="A3804" t="inlineStr">
        <is>
          <t>PF103795</t>
        </is>
      </c>
      <c r="B3804" s="68" t="n">
        <v>46115</v>
      </c>
      <c r="C3804" s="69" t="n">
        <v>2026</v>
      </c>
      <c r="D3804" t="inlineStr">
        <is>
          <t>Apr</t>
        </is>
      </c>
      <c r="E3804" t="inlineStr">
        <is>
          <t>United States</t>
        </is>
      </c>
      <c r="F3804" t="inlineStr">
        <is>
          <t>USA</t>
        </is>
      </c>
      <c r="G3804" t="inlineStr">
        <is>
          <t>Ibrance</t>
        </is>
      </c>
      <c r="H3804" t="inlineStr">
        <is>
          <t>Government / tender</t>
        </is>
      </c>
      <c r="I3804" t="inlineStr">
        <is>
          <t>Public payer</t>
        </is>
      </c>
      <c r="J3804" t="inlineStr">
        <is>
          <t>Arjun Mehta</t>
        </is>
      </c>
      <c r="K3804" s="70" t="n">
        <v>426</v>
      </c>
      <c r="L3804" s="71" t="n">
        <v>4298.31</v>
      </c>
      <c r="M3804" s="71" t="n">
        <v>1831080.06</v>
      </c>
      <c r="N3804" s="71" t="n">
        <v>549324.02</v>
      </c>
      <c r="O3804" s="71" t="n">
        <v>1281756.04</v>
      </c>
      <c r="P3804" s="71" t="n">
        <v>189981.13</v>
      </c>
      <c r="Q3804" s="71" t="n">
        <v>1091774.91</v>
      </c>
      <c r="R3804" t="inlineStr">
        <is>
          <t>Oncology</t>
        </is>
      </c>
      <c r="S3804" s="70" t="n">
        <v>299</v>
      </c>
      <c r="T3804" s="71" t="n">
        <v>354007.25</v>
      </c>
      <c r="U3804" t="inlineStr">
        <is>
          <t>High</t>
        </is>
      </c>
      <c r="V3804">
        <f>IF(AND(OR(Dashboard!$C$6="All",E3804=Dashboard!$C$6),OR(Dashboard!$F$6="All",G3804=Dashboard!$F$6),OR(Dashboard!$I$6="All",H3804=Dashboard!$I$6)),1,0)</f>
        <v/>
      </c>
    </row>
    <row r="3805">
      <c r="A3805" t="inlineStr">
        <is>
          <t>PF103796</t>
        </is>
      </c>
      <c r="B3805" s="68" t="n">
        <v>46115</v>
      </c>
      <c r="C3805" s="69" t="n">
        <v>2026</v>
      </c>
      <c r="D3805" t="inlineStr">
        <is>
          <t>Apr</t>
        </is>
      </c>
      <c r="E3805" t="inlineStr">
        <is>
          <t>Europe</t>
        </is>
      </c>
      <c r="F3805" t="inlineStr">
        <is>
          <t>France</t>
        </is>
      </c>
      <c r="G3805" t="inlineStr">
        <is>
          <t>Eliquis</t>
        </is>
      </c>
      <c r="H3805" t="inlineStr">
        <is>
          <t>Retail pharmacy</t>
        </is>
      </c>
      <c r="I3805" t="inlineStr">
        <is>
          <t>Public payer</t>
        </is>
      </c>
      <c r="J3805" t="inlineStr">
        <is>
          <t>Amir Khan</t>
        </is>
      </c>
      <c r="K3805" s="70" t="n">
        <v>882</v>
      </c>
      <c r="L3805" s="71" t="n">
        <v>428.94</v>
      </c>
      <c r="M3805" s="71" t="n">
        <v>378325.08</v>
      </c>
      <c r="N3805" s="71" t="n">
        <v>18916.25</v>
      </c>
      <c r="O3805" s="71" t="n">
        <v>359408.83</v>
      </c>
      <c r="P3805" s="71" t="n">
        <v>68888.99000000001</v>
      </c>
      <c r="Q3805" s="71" t="n">
        <v>290519.84</v>
      </c>
      <c r="R3805" t="inlineStr">
        <is>
          <t>Cardiology</t>
        </is>
      </c>
      <c r="S3805" s="70" t="n">
        <v>688</v>
      </c>
      <c r="T3805" s="71" t="n">
        <v>67306.28</v>
      </c>
      <c r="U3805" t="inlineStr">
        <is>
          <t>High</t>
        </is>
      </c>
      <c r="V3805">
        <f>IF(AND(OR(Dashboard!$C$6="All",E3805=Dashboard!$C$6),OR(Dashboard!$F$6="All",G3805=Dashboard!$F$6),OR(Dashboard!$I$6="All",H3805=Dashboard!$I$6)),1,0)</f>
        <v/>
      </c>
    </row>
    <row r="3806">
      <c r="A3806" t="inlineStr">
        <is>
          <t>PF103797</t>
        </is>
      </c>
      <c r="B3806" s="68" t="n">
        <v>46115</v>
      </c>
      <c r="C3806" s="69" t="n">
        <v>2026</v>
      </c>
      <c r="D3806" t="inlineStr">
        <is>
          <t>Apr</t>
        </is>
      </c>
      <c r="E3806" t="inlineStr">
        <is>
          <t>Europe</t>
        </is>
      </c>
      <c r="F3806" t="inlineStr">
        <is>
          <t>France</t>
        </is>
      </c>
      <c r="G3806" t="inlineStr">
        <is>
          <t>Xeljanz</t>
        </is>
      </c>
      <c r="H3806" t="inlineStr">
        <is>
          <t>Retail pharmacy</t>
        </is>
      </c>
      <c r="I3806" t="inlineStr">
        <is>
          <t>Private insurer</t>
        </is>
      </c>
      <c r="J3806" t="inlineStr">
        <is>
          <t>Ana Costa</t>
        </is>
      </c>
      <c r="K3806" s="70" t="n">
        <v>2018</v>
      </c>
      <c r="L3806" s="71" t="n">
        <v>1441.65</v>
      </c>
      <c r="M3806" s="71" t="n">
        <v>2909249.7</v>
      </c>
      <c r="N3806" s="71" t="n">
        <v>145462.49</v>
      </c>
      <c r="O3806" s="71" t="n">
        <v>2763787.21</v>
      </c>
      <c r="P3806" s="71" t="n">
        <v>517824</v>
      </c>
      <c r="Q3806" s="71" t="n">
        <v>2245963.21</v>
      </c>
      <c r="R3806" t="inlineStr">
        <is>
          <t>Inflammation</t>
        </is>
      </c>
      <c r="S3806" s="70" t="n">
        <v>1439</v>
      </c>
      <c r="T3806" s="71" t="n">
        <v>423396.43</v>
      </c>
      <c r="U3806" t="inlineStr">
        <is>
          <t>High</t>
        </is>
      </c>
      <c r="V3806">
        <f>IF(AND(OR(Dashboard!$C$6="All",E3806=Dashboard!$C$6),OR(Dashboard!$F$6="All",G3806=Dashboard!$F$6),OR(Dashboard!$I$6="All",H3806=Dashboard!$I$6)),1,0)</f>
        <v/>
      </c>
    </row>
    <row r="3807">
      <c r="A3807" t="inlineStr">
        <is>
          <t>PF103798</t>
        </is>
      </c>
      <c r="B3807" s="68" t="n">
        <v>46115</v>
      </c>
      <c r="C3807" s="69" t="n">
        <v>2026</v>
      </c>
      <c r="D3807" t="inlineStr">
        <is>
          <t>Apr</t>
        </is>
      </c>
      <c r="E3807" t="inlineStr">
        <is>
          <t>Emerging markets</t>
        </is>
      </c>
      <c r="F3807" t="inlineStr">
        <is>
          <t>Brazil</t>
        </is>
      </c>
      <c r="G3807" t="inlineStr">
        <is>
          <t>Vyndaqel</t>
        </is>
      </c>
      <c r="H3807" t="inlineStr">
        <is>
          <t>Government / tender</t>
        </is>
      </c>
      <c r="I3807" t="inlineStr">
        <is>
          <t>Private insurer</t>
        </is>
      </c>
      <c r="J3807" t="inlineStr">
        <is>
          <t>Ana Costa</t>
        </is>
      </c>
      <c r="K3807" s="70" t="n">
        <v>2385</v>
      </c>
      <c r="L3807" s="71" t="n">
        <v>5865.93</v>
      </c>
      <c r="M3807" s="71" t="n">
        <v>13990243.05</v>
      </c>
      <c r="N3807" s="71" t="n">
        <v>2098536.46</v>
      </c>
      <c r="O3807" s="71" t="n">
        <v>11891706.59</v>
      </c>
      <c r="P3807" s="71" t="n">
        <v>1473123.98</v>
      </c>
      <c r="Q3807" s="71" t="n">
        <v>10418582.61</v>
      </c>
      <c r="R3807" t="inlineStr">
        <is>
          <t>Rare disease</t>
        </is>
      </c>
      <c r="S3807" s="70" t="n">
        <v>1495</v>
      </c>
      <c r="T3807" s="71" t="n">
        <v>1973210.11</v>
      </c>
      <c r="U3807" t="inlineStr">
        <is>
          <t>Medium</t>
        </is>
      </c>
      <c r="V3807">
        <f>IF(AND(OR(Dashboard!$C$6="All",E3807=Dashboard!$C$6),OR(Dashboard!$F$6="All",G3807=Dashboard!$F$6),OR(Dashboard!$I$6="All",H3807=Dashboard!$I$6)),1,0)</f>
        <v/>
      </c>
    </row>
    <row r="3808">
      <c r="A3808" t="inlineStr">
        <is>
          <t>PF103799</t>
        </is>
      </c>
      <c r="B3808" s="68" t="n">
        <v>46115</v>
      </c>
      <c r="C3808" s="69" t="n">
        <v>2026</v>
      </c>
      <c r="D3808" t="inlineStr">
        <is>
          <t>Apr</t>
        </is>
      </c>
      <c r="E3808" t="inlineStr">
        <is>
          <t>Europe</t>
        </is>
      </c>
      <c r="F3808" t="inlineStr">
        <is>
          <t>Germany</t>
        </is>
      </c>
      <c r="G3808" t="inlineStr">
        <is>
          <t>Abrysvo</t>
        </is>
      </c>
      <c r="H3808" t="inlineStr">
        <is>
          <t>Retail pharmacy</t>
        </is>
      </c>
      <c r="I3808" t="inlineStr">
        <is>
          <t>Public payer</t>
        </is>
      </c>
      <c r="J3808" t="inlineStr">
        <is>
          <t>Kofi Mensah</t>
        </is>
      </c>
      <c r="K3808" s="70" t="n">
        <v>2077</v>
      </c>
      <c r="L3808" s="71" t="n">
        <v>302.35</v>
      </c>
      <c r="M3808" s="71" t="n">
        <v>627980.95</v>
      </c>
      <c r="N3808" s="71" t="n">
        <v>31399.05</v>
      </c>
      <c r="O3808" s="71" t="n">
        <v>596581.9</v>
      </c>
      <c r="P3808" s="71" t="n">
        <v>174840.02</v>
      </c>
      <c r="Q3808" s="71" t="n">
        <v>421741.88</v>
      </c>
      <c r="R3808" t="inlineStr">
        <is>
          <t>Vaccines</t>
        </is>
      </c>
      <c r="S3808" s="70" t="n">
        <v>1518</v>
      </c>
      <c r="T3808" s="71" t="n">
        <v>104400.92</v>
      </c>
      <c r="U3808" t="inlineStr">
        <is>
          <t>Low</t>
        </is>
      </c>
      <c r="V3808">
        <f>IF(AND(OR(Dashboard!$C$6="All",E3808=Dashboard!$C$6),OR(Dashboard!$F$6="All",G3808=Dashboard!$F$6),OR(Dashboard!$I$6="All",H3808=Dashboard!$I$6)),1,0)</f>
        <v/>
      </c>
    </row>
    <row r="3809">
      <c r="A3809" t="inlineStr">
        <is>
          <t>PF103800</t>
        </is>
      </c>
      <c r="B3809" s="68" t="n">
        <v>46115</v>
      </c>
      <c r="C3809" s="69" t="n">
        <v>2026</v>
      </c>
      <c r="D3809" t="inlineStr">
        <is>
          <t>Apr</t>
        </is>
      </c>
      <c r="E3809" t="inlineStr">
        <is>
          <t>Europe</t>
        </is>
      </c>
      <c r="F3809" t="inlineStr">
        <is>
          <t>France</t>
        </is>
      </c>
      <c r="G3809" t="inlineStr">
        <is>
          <t>Eliquis</t>
        </is>
      </c>
      <c r="H3809" t="inlineStr">
        <is>
          <t>Government / tender</t>
        </is>
      </c>
      <c r="I3809" t="inlineStr">
        <is>
          <t>Public payer</t>
        </is>
      </c>
      <c r="J3809" t="inlineStr">
        <is>
          <t>Hiroshi Tanaka</t>
        </is>
      </c>
      <c r="K3809" s="70" t="n">
        <v>2243</v>
      </c>
      <c r="L3809" s="71" t="n">
        <v>406.02</v>
      </c>
      <c r="M3809" s="71" t="n">
        <v>910702.86</v>
      </c>
      <c r="N3809" s="71" t="n">
        <v>227675.71</v>
      </c>
      <c r="O3809" s="71" t="n">
        <v>683027.15</v>
      </c>
      <c r="P3809" s="71" t="n">
        <v>171896.67</v>
      </c>
      <c r="Q3809" s="71" t="n">
        <v>511130.48</v>
      </c>
      <c r="R3809" t="inlineStr">
        <is>
          <t>Cardiology</t>
        </is>
      </c>
      <c r="S3809" s="70" t="n">
        <v>1639</v>
      </c>
      <c r="T3809" s="71" t="n">
        <v>160602.52</v>
      </c>
      <c r="U3809" t="inlineStr">
        <is>
          <t>High</t>
        </is>
      </c>
      <c r="V3809">
        <f>IF(AND(OR(Dashboard!$C$6="All",E3809=Dashboard!$C$6),OR(Dashboard!$F$6="All",G3809=Dashboard!$F$6),OR(Dashboard!$I$6="All",H3809=Dashboard!$I$6)),1,0)</f>
        <v/>
      </c>
    </row>
    <row r="3810">
      <c r="A3810" t="inlineStr">
        <is>
          <t>PF103801</t>
        </is>
      </c>
      <c r="B3810" s="68" t="n">
        <v>46115</v>
      </c>
      <c r="C3810" s="69" t="n">
        <v>2026</v>
      </c>
      <c r="D3810" t="inlineStr">
        <is>
          <t>Apr</t>
        </is>
      </c>
      <c r="E3810" t="inlineStr">
        <is>
          <t>Europe</t>
        </is>
      </c>
      <c r="F3810" t="inlineStr">
        <is>
          <t>Italy</t>
        </is>
      </c>
      <c r="G3810" t="inlineStr">
        <is>
          <t>Comirnaty</t>
        </is>
      </c>
      <c r="H3810" t="inlineStr">
        <is>
          <t>Retail pharmacy</t>
        </is>
      </c>
      <c r="I3810" t="inlineStr">
        <is>
          <t>Private insurer</t>
        </is>
      </c>
      <c r="J3810" t="inlineStr">
        <is>
          <t>Sara Rossi</t>
        </is>
      </c>
      <c r="K3810" s="70" t="n">
        <v>1969</v>
      </c>
      <c r="L3810" s="71" t="n">
        <v>86.37</v>
      </c>
      <c r="M3810" s="71" t="n">
        <v>170062.53</v>
      </c>
      <c r="N3810" s="71" t="n">
        <v>8503.129999999999</v>
      </c>
      <c r="O3810" s="71" t="n">
        <v>161559.4</v>
      </c>
      <c r="P3810" s="71" t="n">
        <v>76862.39999999999</v>
      </c>
      <c r="Q3810" s="71" t="n">
        <v>84697</v>
      </c>
      <c r="R3810" t="inlineStr">
        <is>
          <t>Vaccines</t>
        </is>
      </c>
      <c r="S3810" s="70" t="n">
        <v>1767</v>
      </c>
      <c r="T3810" s="71" t="n">
        <v>30774.3</v>
      </c>
      <c r="U3810" t="inlineStr">
        <is>
          <t>Low</t>
        </is>
      </c>
      <c r="V3810">
        <f>IF(AND(OR(Dashboard!$C$6="All",E3810=Dashboard!$C$6),OR(Dashboard!$F$6="All",G3810=Dashboard!$F$6),OR(Dashboard!$I$6="All",H3810=Dashboard!$I$6)),1,0)</f>
        <v/>
      </c>
    </row>
    <row r="3811">
      <c r="A3811" t="inlineStr">
        <is>
          <t>PF103802</t>
        </is>
      </c>
      <c r="B3811" s="68" t="n">
        <v>46115</v>
      </c>
      <c r="C3811" s="69" t="n">
        <v>2026</v>
      </c>
      <c r="D3811" t="inlineStr">
        <is>
          <t>Apr</t>
        </is>
      </c>
      <c r="E3811" t="inlineStr">
        <is>
          <t>International developed</t>
        </is>
      </c>
      <c r="F3811" t="inlineStr">
        <is>
          <t>Japan</t>
        </is>
      </c>
      <c r="G3811" t="inlineStr">
        <is>
          <t>Eliquis</t>
        </is>
      </c>
      <c r="H3811" t="inlineStr">
        <is>
          <t>Hospital</t>
        </is>
      </c>
      <c r="I3811" t="inlineStr">
        <is>
          <t>Private insurer</t>
        </is>
      </c>
      <c r="J3811" t="inlineStr">
        <is>
          <t>Arjun Mehta</t>
        </is>
      </c>
      <c r="K3811" s="70" t="n">
        <v>451</v>
      </c>
      <c r="L3811" s="71" t="n">
        <v>396.73</v>
      </c>
      <c r="M3811" s="71" t="n">
        <v>178925.23</v>
      </c>
      <c r="N3811" s="71" t="n">
        <v>17892.52</v>
      </c>
      <c r="O3811" s="71" t="n">
        <v>161032.71</v>
      </c>
      <c r="P3811" s="71" t="n">
        <v>33397.26</v>
      </c>
      <c r="Q3811" s="71" t="n">
        <v>127635.45</v>
      </c>
      <c r="R3811" t="inlineStr">
        <is>
          <t>Cardiology</t>
        </is>
      </c>
      <c r="S3811" s="70" t="n">
        <v>291</v>
      </c>
      <c r="T3811" s="71" t="n">
        <v>34028.16</v>
      </c>
      <c r="U3811" t="inlineStr">
        <is>
          <t>High</t>
        </is>
      </c>
      <c r="V3811">
        <f>IF(AND(OR(Dashboard!$C$6="All",E3811=Dashboard!$C$6),OR(Dashboard!$F$6="All",G3811=Dashboard!$F$6),OR(Dashboard!$I$6="All",H3811=Dashboard!$I$6)),1,0)</f>
        <v/>
      </c>
    </row>
    <row r="3812">
      <c r="A3812" t="inlineStr">
        <is>
          <t>PF103803</t>
        </is>
      </c>
      <c r="B3812" s="68" t="n">
        <v>46116</v>
      </c>
      <c r="C3812" s="69" t="n">
        <v>2026</v>
      </c>
      <c r="D3812" t="inlineStr">
        <is>
          <t>Apr</t>
        </is>
      </c>
      <c r="E3812" t="inlineStr">
        <is>
          <t>United States</t>
        </is>
      </c>
      <c r="F3812" t="inlineStr">
        <is>
          <t>USA</t>
        </is>
      </c>
      <c r="G3812" t="inlineStr">
        <is>
          <t>Comirnaty</t>
        </is>
      </c>
      <c r="H3812" t="inlineStr">
        <is>
          <t>Hospital</t>
        </is>
      </c>
      <c r="I3812" t="inlineStr">
        <is>
          <t>Public payer</t>
        </is>
      </c>
      <c r="J3812" t="inlineStr">
        <is>
          <t>Aisha Bello</t>
        </is>
      </c>
      <c r="K3812" s="70" t="n">
        <v>689</v>
      </c>
      <c r="L3812" s="71" t="n">
        <v>144.5</v>
      </c>
      <c r="M3812" s="71" t="n">
        <v>99560.5</v>
      </c>
      <c r="N3812" s="71" t="n">
        <v>14934.08</v>
      </c>
      <c r="O3812" s="71" t="n">
        <v>84626.42</v>
      </c>
      <c r="P3812" s="71" t="n">
        <v>25768.69</v>
      </c>
      <c r="Q3812" s="71" t="n">
        <v>58857.73</v>
      </c>
      <c r="R3812" t="inlineStr">
        <is>
          <t>Vaccines</t>
        </is>
      </c>
      <c r="S3812" s="70" t="n">
        <v>666</v>
      </c>
      <c r="T3812" s="71" t="n">
        <v>17224.94</v>
      </c>
      <c r="U3812" t="inlineStr">
        <is>
          <t>Low</t>
        </is>
      </c>
      <c r="V3812">
        <f>IF(AND(OR(Dashboard!$C$6="All",E3812=Dashboard!$C$6),OR(Dashboard!$F$6="All",G3812=Dashboard!$F$6),OR(Dashboard!$I$6="All",H3812=Dashboard!$I$6)),1,0)</f>
        <v/>
      </c>
    </row>
    <row r="3813">
      <c r="A3813" t="inlineStr">
        <is>
          <t>PF103804</t>
        </is>
      </c>
      <c r="B3813" s="68" t="n">
        <v>46116</v>
      </c>
      <c r="C3813" s="69" t="n">
        <v>2026</v>
      </c>
      <c r="D3813" t="inlineStr">
        <is>
          <t>Apr</t>
        </is>
      </c>
      <c r="E3813" t="inlineStr">
        <is>
          <t>United States</t>
        </is>
      </c>
      <c r="F3813" t="inlineStr">
        <is>
          <t>USA</t>
        </is>
      </c>
      <c r="G3813" t="inlineStr">
        <is>
          <t>Ibrance</t>
        </is>
      </c>
      <c r="H3813" t="inlineStr">
        <is>
          <t>Retail pharmacy</t>
        </is>
      </c>
      <c r="I3813" t="inlineStr">
        <is>
          <t>Public payer</t>
        </is>
      </c>
      <c r="J3813" t="inlineStr">
        <is>
          <t>Amir Khan</t>
        </is>
      </c>
      <c r="K3813" s="70" t="n">
        <v>580</v>
      </c>
      <c r="L3813" s="71" t="n">
        <v>4221.45</v>
      </c>
      <c r="M3813" s="71" t="n">
        <v>2448441</v>
      </c>
      <c r="N3813" s="71" t="n">
        <v>489688.2</v>
      </c>
      <c r="O3813" s="71" t="n">
        <v>1958752.8</v>
      </c>
      <c r="P3813" s="71" t="n">
        <v>246018.19</v>
      </c>
      <c r="Q3813" s="71" t="n">
        <v>1712734.61</v>
      </c>
      <c r="R3813" t="inlineStr">
        <is>
          <t>Oncology</t>
        </is>
      </c>
      <c r="S3813" s="70" t="n">
        <v>508</v>
      </c>
      <c r="T3813" s="71" t="n">
        <v>432607.37</v>
      </c>
      <c r="U3813" t="inlineStr">
        <is>
          <t>High</t>
        </is>
      </c>
      <c r="V3813">
        <f>IF(AND(OR(Dashboard!$C$6="All",E3813=Dashboard!$C$6),OR(Dashboard!$F$6="All",G3813=Dashboard!$F$6),OR(Dashboard!$I$6="All",H3813=Dashboard!$I$6)),1,0)</f>
        <v/>
      </c>
    </row>
    <row r="3814">
      <c r="A3814" t="inlineStr">
        <is>
          <t>PF103805</t>
        </is>
      </c>
      <c r="B3814" s="68" t="n">
        <v>46116</v>
      </c>
      <c r="C3814" s="69" t="n">
        <v>2026</v>
      </c>
      <c r="D3814" t="inlineStr">
        <is>
          <t>Apr</t>
        </is>
      </c>
      <c r="E3814" t="inlineStr">
        <is>
          <t>Europe</t>
        </is>
      </c>
      <c r="F3814" t="inlineStr">
        <is>
          <t>Spain</t>
        </is>
      </c>
      <c r="G3814" t="inlineStr">
        <is>
          <t>Eliquis</t>
        </is>
      </c>
      <c r="H3814" t="inlineStr">
        <is>
          <t>Retail pharmacy</t>
        </is>
      </c>
      <c r="I3814" t="inlineStr">
        <is>
          <t>Private insurer</t>
        </is>
      </c>
      <c r="J3814" t="inlineStr">
        <is>
          <t>Wei Chen</t>
        </is>
      </c>
      <c r="K3814" s="70" t="n">
        <v>182</v>
      </c>
      <c r="L3814" s="71" t="n">
        <v>459.03</v>
      </c>
      <c r="M3814" s="71" t="n">
        <v>83543.46000000001</v>
      </c>
      <c r="N3814" s="71" t="n">
        <v>12531.52</v>
      </c>
      <c r="O3814" s="71" t="n">
        <v>71011.94</v>
      </c>
      <c r="P3814" s="71" t="n">
        <v>14215.06</v>
      </c>
      <c r="Q3814" s="71" t="n">
        <v>56796.88</v>
      </c>
      <c r="R3814" t="inlineStr">
        <is>
          <t>Cardiology</t>
        </is>
      </c>
      <c r="S3814" s="70" t="n">
        <v>123</v>
      </c>
      <c r="T3814" s="71" t="n">
        <v>17272.32</v>
      </c>
      <c r="U3814" t="inlineStr">
        <is>
          <t>High</t>
        </is>
      </c>
      <c r="V3814">
        <f>IF(AND(OR(Dashboard!$C$6="All",E3814=Dashboard!$C$6),OR(Dashboard!$F$6="All",G3814=Dashboard!$F$6),OR(Dashboard!$I$6="All",H3814=Dashboard!$I$6)),1,0)</f>
        <v/>
      </c>
    </row>
    <row r="3815">
      <c r="A3815" t="inlineStr">
        <is>
          <t>PF103806</t>
        </is>
      </c>
      <c r="B3815" s="68" t="n">
        <v>46116</v>
      </c>
      <c r="C3815" s="69" t="n">
        <v>2026</v>
      </c>
      <c r="D3815" t="inlineStr">
        <is>
          <t>Apr</t>
        </is>
      </c>
      <c r="E3815" t="inlineStr">
        <is>
          <t>United States</t>
        </is>
      </c>
      <c r="F3815" t="inlineStr">
        <is>
          <t>USA</t>
        </is>
      </c>
      <c r="G3815" t="inlineStr">
        <is>
          <t>Xeljanz</t>
        </is>
      </c>
      <c r="H3815" t="inlineStr">
        <is>
          <t>Hospital</t>
        </is>
      </c>
      <c r="I3815" t="inlineStr">
        <is>
          <t>Private insurer</t>
        </is>
      </c>
      <c r="J3815" t="inlineStr">
        <is>
          <t>Mei Lin</t>
        </is>
      </c>
      <c r="K3815" s="70" t="n">
        <v>2005</v>
      </c>
      <c r="L3815" s="71" t="n">
        <v>2286.42</v>
      </c>
      <c r="M3815" s="71" t="n">
        <v>4584272.1</v>
      </c>
      <c r="N3815" s="71" t="n">
        <v>1146068.02</v>
      </c>
      <c r="O3815" s="71" t="n">
        <v>3438204.08</v>
      </c>
      <c r="P3815" s="71" t="n">
        <v>506109.43</v>
      </c>
      <c r="Q3815" s="71" t="n">
        <v>2932094.65</v>
      </c>
      <c r="R3815" t="inlineStr">
        <is>
          <t>Inflammation</t>
        </is>
      </c>
      <c r="S3815" s="70" t="n">
        <v>1308</v>
      </c>
      <c r="T3815" s="71" t="n">
        <v>614395.13</v>
      </c>
      <c r="U3815" t="inlineStr">
        <is>
          <t>High</t>
        </is>
      </c>
      <c r="V3815">
        <f>IF(AND(OR(Dashboard!$C$6="All",E3815=Dashboard!$C$6),OR(Dashboard!$F$6="All",G3815=Dashboard!$F$6),OR(Dashboard!$I$6="All",H3815=Dashboard!$I$6)),1,0)</f>
        <v/>
      </c>
    </row>
    <row r="3816">
      <c r="A3816" t="inlineStr">
        <is>
          <t>PF103807</t>
        </is>
      </c>
      <c r="B3816" s="68" t="n">
        <v>46116</v>
      </c>
      <c r="C3816" s="69" t="n">
        <v>2026</v>
      </c>
      <c r="D3816" t="inlineStr">
        <is>
          <t>Apr</t>
        </is>
      </c>
      <c r="E3816" t="inlineStr">
        <is>
          <t>United States</t>
        </is>
      </c>
      <c r="F3816" t="inlineStr">
        <is>
          <t>USA</t>
        </is>
      </c>
      <c r="G3816" t="inlineStr">
        <is>
          <t>Paxlovid</t>
        </is>
      </c>
      <c r="H3816" t="inlineStr">
        <is>
          <t>Hospital</t>
        </is>
      </c>
      <c r="I3816" t="inlineStr">
        <is>
          <t>Public payer</t>
        </is>
      </c>
      <c r="J3816" t="inlineStr">
        <is>
          <t>Sara Rossi</t>
        </is>
      </c>
      <c r="K3816" s="70" t="n">
        <v>387</v>
      </c>
      <c r="L3816" s="71" t="n">
        <v>1596.23</v>
      </c>
      <c r="M3816" s="71" t="n">
        <v>617741.01</v>
      </c>
      <c r="N3816" s="71" t="n">
        <v>185322.3</v>
      </c>
      <c r="O3816" s="71" t="n">
        <v>432418.71</v>
      </c>
      <c r="P3816" s="71" t="n">
        <v>109792.8</v>
      </c>
      <c r="Q3816" s="71" t="n">
        <v>322625.91</v>
      </c>
      <c r="R3816" t="inlineStr">
        <is>
          <t>Antiviral</t>
        </is>
      </c>
      <c r="S3816" s="70" t="n">
        <v>370</v>
      </c>
      <c r="T3816" s="71" t="n">
        <v>151247.15</v>
      </c>
      <c r="U3816" t="inlineStr">
        <is>
          <t>Low</t>
        </is>
      </c>
      <c r="V3816">
        <f>IF(AND(OR(Dashboard!$C$6="All",E3816=Dashboard!$C$6),OR(Dashboard!$F$6="All",G3816=Dashboard!$F$6),OR(Dashboard!$I$6="All",H3816=Dashboard!$I$6)),1,0)</f>
        <v/>
      </c>
    </row>
    <row r="3817">
      <c r="A3817" t="inlineStr">
        <is>
          <t>PF103808</t>
        </is>
      </c>
      <c r="B3817" s="68" t="n">
        <v>46116</v>
      </c>
      <c r="C3817" s="69" t="n">
        <v>2026</v>
      </c>
      <c r="D3817" t="inlineStr">
        <is>
          <t>Apr</t>
        </is>
      </c>
      <c r="E3817" t="inlineStr">
        <is>
          <t>Europe</t>
        </is>
      </c>
      <c r="F3817" t="inlineStr">
        <is>
          <t>France</t>
        </is>
      </c>
      <c r="G3817" t="inlineStr">
        <is>
          <t>Eliquis</t>
        </is>
      </c>
      <c r="H3817" t="inlineStr">
        <is>
          <t>Hospital</t>
        </is>
      </c>
      <c r="I3817" t="inlineStr">
        <is>
          <t>Private insurer</t>
        </is>
      </c>
      <c r="J3817" t="inlineStr">
        <is>
          <t>Emma Clarke</t>
        </is>
      </c>
      <c r="K3817" s="70" t="n">
        <v>1642</v>
      </c>
      <c r="L3817" s="71" t="n">
        <v>418.26</v>
      </c>
      <c r="M3817" s="71" t="n">
        <v>686782.92</v>
      </c>
      <c r="N3817" s="71" t="n">
        <v>137356.58</v>
      </c>
      <c r="O3817" s="71" t="n">
        <v>549426.34</v>
      </c>
      <c r="P3817" s="71" t="n">
        <v>121432.67</v>
      </c>
      <c r="Q3817" s="71" t="n">
        <v>427993.67</v>
      </c>
      <c r="R3817" t="inlineStr">
        <is>
          <t>Cardiology</t>
        </is>
      </c>
      <c r="S3817" s="70" t="n">
        <v>1622</v>
      </c>
      <c r="T3817" s="71" t="n">
        <v>117552.4</v>
      </c>
      <c r="U3817" t="inlineStr">
        <is>
          <t>High</t>
        </is>
      </c>
      <c r="V3817">
        <f>IF(AND(OR(Dashboard!$C$6="All",E3817=Dashboard!$C$6),OR(Dashboard!$F$6="All",G3817=Dashboard!$F$6),OR(Dashboard!$I$6="All",H3817=Dashboard!$I$6)),1,0)</f>
        <v/>
      </c>
    </row>
    <row r="3818">
      <c r="A3818" t="inlineStr">
        <is>
          <t>PF103809</t>
        </is>
      </c>
      <c r="B3818" s="68" t="n">
        <v>46116</v>
      </c>
      <c r="C3818" s="69" t="n">
        <v>2026</v>
      </c>
      <c r="D3818" t="inlineStr">
        <is>
          <t>Apr</t>
        </is>
      </c>
      <c r="E3818" t="inlineStr">
        <is>
          <t>Europe</t>
        </is>
      </c>
      <c r="F3818" t="inlineStr">
        <is>
          <t>France</t>
        </is>
      </c>
      <c r="G3818" t="inlineStr">
        <is>
          <t>Comirnaty</t>
        </is>
      </c>
      <c r="H3818" t="inlineStr">
        <is>
          <t>Government / tender</t>
        </is>
      </c>
      <c r="I3818" t="inlineStr">
        <is>
          <t>Public payer</t>
        </is>
      </c>
      <c r="J3818" t="inlineStr">
        <is>
          <t>Ravindra Patil</t>
        </is>
      </c>
      <c r="K3818" s="70" t="n">
        <v>1505</v>
      </c>
      <c r="L3818" s="71" t="n">
        <v>80.75</v>
      </c>
      <c r="M3818" s="71" t="n">
        <v>121528.75</v>
      </c>
      <c r="N3818" s="71" t="n">
        <v>6076.44</v>
      </c>
      <c r="O3818" s="71" t="n">
        <v>115452.31</v>
      </c>
      <c r="P3818" s="71" t="n">
        <v>58202.04</v>
      </c>
      <c r="Q3818" s="71" t="n">
        <v>57250.27</v>
      </c>
      <c r="R3818" t="inlineStr">
        <is>
          <t>Vaccines</t>
        </is>
      </c>
      <c r="S3818" s="70" t="n">
        <v>1046</v>
      </c>
      <c r="T3818" s="71" t="n">
        <v>27345.03</v>
      </c>
      <c r="U3818" t="inlineStr">
        <is>
          <t>Low</t>
        </is>
      </c>
      <c r="V3818">
        <f>IF(AND(OR(Dashboard!$C$6="All",E3818=Dashboard!$C$6),OR(Dashboard!$F$6="All",G3818=Dashboard!$F$6),OR(Dashboard!$I$6="All",H3818=Dashboard!$I$6)),1,0)</f>
        <v/>
      </c>
    </row>
    <row r="3819">
      <c r="A3819" t="inlineStr">
        <is>
          <t>PF103810</t>
        </is>
      </c>
      <c r="B3819" s="68" t="n">
        <v>46116</v>
      </c>
      <c r="C3819" s="69" t="n">
        <v>2026</v>
      </c>
      <c r="D3819" t="inlineStr">
        <is>
          <t>Apr</t>
        </is>
      </c>
      <c r="E3819" t="inlineStr">
        <is>
          <t>United States</t>
        </is>
      </c>
      <c r="F3819" t="inlineStr">
        <is>
          <t>USA</t>
        </is>
      </c>
      <c r="G3819" t="inlineStr">
        <is>
          <t>Prevnar 20</t>
        </is>
      </c>
      <c r="H3819" t="inlineStr">
        <is>
          <t>Hospital</t>
        </is>
      </c>
      <c r="I3819" t="inlineStr">
        <is>
          <t>Public payer</t>
        </is>
      </c>
      <c r="J3819" t="inlineStr">
        <is>
          <t>Sophie Müller</t>
        </is>
      </c>
      <c r="K3819" s="70" t="n">
        <v>1980</v>
      </c>
      <c r="L3819" s="71" t="n">
        <v>378.63</v>
      </c>
      <c r="M3819" s="71" t="n">
        <v>749687.4</v>
      </c>
      <c r="N3819" s="71" t="n">
        <v>187421.85</v>
      </c>
      <c r="O3819" s="71" t="n">
        <v>562265.55</v>
      </c>
      <c r="P3819" s="71" t="n">
        <v>138404.22</v>
      </c>
      <c r="Q3819" s="71" t="n">
        <v>423861.33</v>
      </c>
      <c r="R3819" t="inlineStr">
        <is>
          <t>Vaccines</t>
        </is>
      </c>
      <c r="S3819" s="70" t="n">
        <v>1511</v>
      </c>
      <c r="T3819" s="71" t="n">
        <v>114167.35</v>
      </c>
      <c r="U3819" t="inlineStr">
        <is>
          <t>Low</t>
        </is>
      </c>
      <c r="V3819">
        <f>IF(AND(OR(Dashboard!$C$6="All",E3819=Dashboard!$C$6),OR(Dashboard!$F$6="All",G3819=Dashboard!$F$6),OR(Dashboard!$I$6="All",H3819=Dashboard!$I$6)),1,0)</f>
        <v/>
      </c>
    </row>
    <row r="3820">
      <c r="A3820" t="inlineStr">
        <is>
          <t>PF103811</t>
        </is>
      </c>
      <c r="B3820" s="68" t="n">
        <v>46116</v>
      </c>
      <c r="C3820" s="69" t="n">
        <v>2026</v>
      </c>
      <c r="D3820" t="inlineStr">
        <is>
          <t>Apr</t>
        </is>
      </c>
      <c r="E3820" t="inlineStr">
        <is>
          <t>United States</t>
        </is>
      </c>
      <c r="F3820" t="inlineStr">
        <is>
          <t>USA</t>
        </is>
      </c>
      <c r="G3820" t="inlineStr">
        <is>
          <t>Eliquis</t>
        </is>
      </c>
      <c r="H3820" t="inlineStr">
        <is>
          <t>Retail pharmacy</t>
        </is>
      </c>
      <c r="I3820" t="inlineStr">
        <is>
          <t>Public payer</t>
        </is>
      </c>
      <c r="J3820" t="inlineStr">
        <is>
          <t>Fatima Al-Saud</t>
        </is>
      </c>
      <c r="K3820" s="70" t="n">
        <v>940</v>
      </c>
      <c r="L3820" s="71" t="n">
        <v>674.9</v>
      </c>
      <c r="M3820" s="71" t="n">
        <v>634406</v>
      </c>
      <c r="N3820" s="71" t="n">
        <v>222042.1</v>
      </c>
      <c r="O3820" s="71" t="n">
        <v>412363.9</v>
      </c>
      <c r="P3820" s="71" t="n">
        <v>70937.97</v>
      </c>
      <c r="Q3820" s="71" t="n">
        <v>341425.93</v>
      </c>
      <c r="R3820" t="inlineStr">
        <is>
          <t>Cardiology</t>
        </is>
      </c>
      <c r="S3820" s="70" t="n">
        <v>591</v>
      </c>
      <c r="T3820" s="71" t="n">
        <v>89493.63</v>
      </c>
      <c r="U3820" t="inlineStr">
        <is>
          <t>High</t>
        </is>
      </c>
      <c r="V3820">
        <f>IF(AND(OR(Dashboard!$C$6="All",E3820=Dashboard!$C$6),OR(Dashboard!$F$6="All",G3820=Dashboard!$F$6),OR(Dashboard!$I$6="All",H3820=Dashboard!$I$6)),1,0)</f>
        <v/>
      </c>
    </row>
    <row r="3821">
      <c r="A3821" t="inlineStr">
        <is>
          <t>PF103812</t>
        </is>
      </c>
      <c r="B3821" s="68" t="n">
        <v>46116</v>
      </c>
      <c r="C3821" s="69" t="n">
        <v>2026</v>
      </c>
      <c r="D3821" t="inlineStr">
        <is>
          <t>Apr</t>
        </is>
      </c>
      <c r="E3821" t="inlineStr">
        <is>
          <t>United States</t>
        </is>
      </c>
      <c r="F3821" t="inlineStr">
        <is>
          <t>USA</t>
        </is>
      </c>
      <c r="G3821" t="inlineStr">
        <is>
          <t>Prevnar 20</t>
        </is>
      </c>
      <c r="H3821" t="inlineStr">
        <is>
          <t>Retail pharmacy</t>
        </is>
      </c>
      <c r="I3821" t="inlineStr">
        <is>
          <t>Public payer</t>
        </is>
      </c>
      <c r="J3821" t="inlineStr">
        <is>
          <t>Wei Chen</t>
        </is>
      </c>
      <c r="K3821" s="70" t="n">
        <v>778</v>
      </c>
      <c r="L3821" s="71" t="n">
        <v>372.41</v>
      </c>
      <c r="M3821" s="71" t="n">
        <v>289734.98</v>
      </c>
      <c r="N3821" s="71" t="n">
        <v>72433.74000000001</v>
      </c>
      <c r="O3821" s="71" t="n">
        <v>217301.24</v>
      </c>
      <c r="P3821" s="71" t="n">
        <v>52298.33</v>
      </c>
      <c r="Q3821" s="71" t="n">
        <v>165002.91</v>
      </c>
      <c r="R3821" t="inlineStr">
        <is>
          <t>Vaccines</t>
        </is>
      </c>
      <c r="S3821" s="70" t="n">
        <v>553</v>
      </c>
      <c r="T3821" s="71" t="n">
        <v>41182.78</v>
      </c>
      <c r="U3821" t="inlineStr">
        <is>
          <t>Low</t>
        </is>
      </c>
      <c r="V3821">
        <f>IF(AND(OR(Dashboard!$C$6="All",E3821=Dashboard!$C$6),OR(Dashboard!$F$6="All",G3821=Dashboard!$F$6),OR(Dashboard!$I$6="All",H3821=Dashboard!$I$6)),1,0)</f>
        <v/>
      </c>
    </row>
    <row r="3822">
      <c r="A3822" t="inlineStr">
        <is>
          <t>PF103813</t>
        </is>
      </c>
      <c r="B3822" s="68" t="n">
        <v>46116</v>
      </c>
      <c r="C3822" s="69" t="n">
        <v>2026</v>
      </c>
      <c r="D3822" t="inlineStr">
        <is>
          <t>Apr</t>
        </is>
      </c>
      <c r="E3822" t="inlineStr">
        <is>
          <t>United States</t>
        </is>
      </c>
      <c r="F3822" t="inlineStr">
        <is>
          <t>USA</t>
        </is>
      </c>
      <c r="G3822" t="inlineStr">
        <is>
          <t>Abrysvo</t>
        </is>
      </c>
      <c r="H3822" t="inlineStr">
        <is>
          <t>Hospital</t>
        </is>
      </c>
      <c r="I3822" t="inlineStr">
        <is>
          <t>Public payer</t>
        </is>
      </c>
      <c r="J3822" t="inlineStr">
        <is>
          <t>Carlos Silva</t>
        </is>
      </c>
      <c r="K3822" s="70" t="n">
        <v>657</v>
      </c>
      <c r="L3822" s="71" t="n">
        <v>481.39</v>
      </c>
      <c r="M3822" s="71" t="n">
        <v>316273.23</v>
      </c>
      <c r="N3822" s="71" t="n">
        <v>79068.31</v>
      </c>
      <c r="O3822" s="71" t="n">
        <v>237204.92</v>
      </c>
      <c r="P3822" s="71" t="n">
        <v>53375.32</v>
      </c>
      <c r="Q3822" s="71" t="n">
        <v>183829.6</v>
      </c>
      <c r="R3822" t="inlineStr">
        <is>
          <t>Vaccines</t>
        </is>
      </c>
      <c r="S3822" s="70" t="n">
        <v>470</v>
      </c>
      <c r="T3822" s="71" t="n">
        <v>33418.53</v>
      </c>
      <c r="U3822" t="inlineStr">
        <is>
          <t>Low</t>
        </is>
      </c>
      <c r="V3822">
        <f>IF(AND(OR(Dashboard!$C$6="All",E3822=Dashboard!$C$6),OR(Dashboard!$F$6="All",G3822=Dashboard!$F$6),OR(Dashboard!$I$6="All",H3822=Dashboard!$I$6)),1,0)</f>
        <v/>
      </c>
    </row>
    <row r="3823">
      <c r="A3823" t="inlineStr">
        <is>
          <t>PF103814</t>
        </is>
      </c>
      <c r="B3823" s="68" t="n">
        <v>46116</v>
      </c>
      <c r="C3823" s="69" t="n">
        <v>2026</v>
      </c>
      <c r="D3823" t="inlineStr">
        <is>
          <t>Apr</t>
        </is>
      </c>
      <c r="E3823" t="inlineStr">
        <is>
          <t>United States</t>
        </is>
      </c>
      <c r="F3823" t="inlineStr">
        <is>
          <t>USA</t>
        </is>
      </c>
      <c r="G3823" t="inlineStr">
        <is>
          <t>Ibrance</t>
        </is>
      </c>
      <c r="H3823" t="inlineStr">
        <is>
          <t>Government / tender</t>
        </is>
      </c>
      <c r="I3823" t="inlineStr">
        <is>
          <t>Public payer</t>
        </is>
      </c>
      <c r="J3823" t="inlineStr">
        <is>
          <t>Fatima Al-Saud</t>
        </is>
      </c>
      <c r="K3823" s="70" t="n">
        <v>2361</v>
      </c>
      <c r="L3823" s="71" t="n">
        <v>4937.15</v>
      </c>
      <c r="M3823" s="71" t="n">
        <v>11656611.15</v>
      </c>
      <c r="N3823" s="71" t="n">
        <v>1748491.67</v>
      </c>
      <c r="O3823" s="71" t="n">
        <v>9908119.48</v>
      </c>
      <c r="P3823" s="71" t="n">
        <v>1019332.72</v>
      </c>
      <c r="Q3823" s="71" t="n">
        <v>8888786.76</v>
      </c>
      <c r="R3823" t="inlineStr">
        <is>
          <t>Oncology</t>
        </is>
      </c>
      <c r="S3823" s="70" t="n">
        <v>1923</v>
      </c>
      <c r="T3823" s="71" t="n">
        <v>1902386.84</v>
      </c>
      <c r="U3823" t="inlineStr">
        <is>
          <t>High</t>
        </is>
      </c>
      <c r="V3823">
        <f>IF(AND(OR(Dashboard!$C$6="All",E3823=Dashboard!$C$6),OR(Dashboard!$F$6="All",G3823=Dashboard!$F$6),OR(Dashboard!$I$6="All",H3823=Dashboard!$I$6)),1,0)</f>
        <v/>
      </c>
    </row>
    <row r="3824">
      <c r="A3824" t="inlineStr">
        <is>
          <t>PF103815</t>
        </is>
      </c>
      <c r="B3824" s="68" t="n">
        <v>46117</v>
      </c>
      <c r="C3824" s="69" t="n">
        <v>2026</v>
      </c>
      <c r="D3824" t="inlineStr">
        <is>
          <t>Apr</t>
        </is>
      </c>
      <c r="E3824" t="inlineStr">
        <is>
          <t>United States</t>
        </is>
      </c>
      <c r="F3824" t="inlineStr">
        <is>
          <t>USA</t>
        </is>
      </c>
      <c r="G3824" t="inlineStr">
        <is>
          <t>Abrysvo</t>
        </is>
      </c>
      <c r="H3824" t="inlineStr">
        <is>
          <t>Government / tender</t>
        </is>
      </c>
      <c r="I3824" t="inlineStr">
        <is>
          <t>Private insurer</t>
        </is>
      </c>
      <c r="J3824" t="inlineStr">
        <is>
          <t>Ruhi Shaikh</t>
        </is>
      </c>
      <c r="K3824" s="70" t="n">
        <v>2041</v>
      </c>
      <c r="L3824" s="71" t="n">
        <v>526.74</v>
      </c>
      <c r="M3824" s="71" t="n">
        <v>1075076.34</v>
      </c>
      <c r="N3824" s="71" t="n">
        <v>322522.9</v>
      </c>
      <c r="O3824" s="71" t="n">
        <v>752553.4399999999</v>
      </c>
      <c r="P3824" s="71" t="n">
        <v>174240.95</v>
      </c>
      <c r="Q3824" s="71" t="n">
        <v>578312.49</v>
      </c>
      <c r="R3824" t="inlineStr">
        <is>
          <t>Vaccines</t>
        </is>
      </c>
      <c r="S3824" s="70" t="n">
        <v>1672</v>
      </c>
      <c r="T3824" s="71" t="n">
        <v>165402.22</v>
      </c>
      <c r="U3824" t="inlineStr">
        <is>
          <t>Low</t>
        </is>
      </c>
      <c r="V3824">
        <f>IF(AND(OR(Dashboard!$C$6="All",E3824=Dashboard!$C$6),OR(Dashboard!$F$6="All",G3824=Dashboard!$F$6),OR(Dashboard!$I$6="All",H3824=Dashboard!$I$6)),1,0)</f>
        <v/>
      </c>
    </row>
    <row r="3825">
      <c r="A3825" t="inlineStr">
        <is>
          <t>PF103816</t>
        </is>
      </c>
      <c r="B3825" s="68" t="n">
        <v>46117</v>
      </c>
      <c r="C3825" s="69" t="n">
        <v>2026</v>
      </c>
      <c r="D3825" t="inlineStr">
        <is>
          <t>Apr</t>
        </is>
      </c>
      <c r="E3825" t="inlineStr">
        <is>
          <t>United States</t>
        </is>
      </c>
      <c r="F3825" t="inlineStr">
        <is>
          <t>USA</t>
        </is>
      </c>
      <c r="G3825" t="inlineStr">
        <is>
          <t>Eliquis</t>
        </is>
      </c>
      <c r="H3825" t="inlineStr">
        <is>
          <t>Government / tender</t>
        </is>
      </c>
      <c r="I3825" t="inlineStr">
        <is>
          <t>Private insurer</t>
        </is>
      </c>
      <c r="J3825" t="inlineStr">
        <is>
          <t>Sara Rossi</t>
        </is>
      </c>
      <c r="K3825" s="70" t="n">
        <v>1427</v>
      </c>
      <c r="L3825" s="71" t="n">
        <v>738.6799999999999</v>
      </c>
      <c r="M3825" s="71" t="n">
        <v>1054096.36</v>
      </c>
      <c r="N3825" s="71" t="n">
        <v>368933.73</v>
      </c>
      <c r="O3825" s="71" t="n">
        <v>685162.63</v>
      </c>
      <c r="P3825" s="71" t="n">
        <v>105986.37</v>
      </c>
      <c r="Q3825" s="71" t="n">
        <v>579176.26</v>
      </c>
      <c r="R3825" t="inlineStr">
        <is>
          <t>Cardiology</t>
        </is>
      </c>
      <c r="S3825" s="70" t="n">
        <v>1077</v>
      </c>
      <c r="T3825" s="71" t="n">
        <v>158755.59</v>
      </c>
      <c r="U3825" t="inlineStr">
        <is>
          <t>High</t>
        </is>
      </c>
      <c r="V3825">
        <f>IF(AND(OR(Dashboard!$C$6="All",E3825=Dashboard!$C$6),OR(Dashboard!$F$6="All",G3825=Dashboard!$F$6),OR(Dashboard!$I$6="All",H3825=Dashboard!$I$6)),1,0)</f>
        <v/>
      </c>
    </row>
    <row r="3826">
      <c r="A3826" t="inlineStr">
        <is>
          <t>PF103817</t>
        </is>
      </c>
      <c r="B3826" s="68" t="n">
        <v>46117</v>
      </c>
      <c r="C3826" s="69" t="n">
        <v>2026</v>
      </c>
      <c r="D3826" t="inlineStr">
        <is>
          <t>Apr</t>
        </is>
      </c>
      <c r="E3826" t="inlineStr">
        <is>
          <t>United States</t>
        </is>
      </c>
      <c r="F3826" t="inlineStr">
        <is>
          <t>USA</t>
        </is>
      </c>
      <c r="G3826" t="inlineStr">
        <is>
          <t>Comirnaty</t>
        </is>
      </c>
      <c r="H3826" t="inlineStr">
        <is>
          <t>Hospital</t>
        </is>
      </c>
      <c r="I3826" t="inlineStr">
        <is>
          <t>Public payer</t>
        </is>
      </c>
      <c r="J3826" t="inlineStr">
        <is>
          <t>Fatima Al-Saud</t>
        </is>
      </c>
      <c r="K3826" s="70" t="n">
        <v>612</v>
      </c>
      <c r="L3826" s="71" t="n">
        <v>137.4</v>
      </c>
      <c r="M3826" s="71" t="n">
        <v>84088.8</v>
      </c>
      <c r="N3826" s="71" t="n">
        <v>12613.32</v>
      </c>
      <c r="O3826" s="71" t="n">
        <v>71475.48</v>
      </c>
      <c r="P3826" s="71" t="n">
        <v>23544.51</v>
      </c>
      <c r="Q3826" s="71" t="n">
        <v>47930.97</v>
      </c>
      <c r="R3826" t="inlineStr">
        <is>
          <t>Vaccines</t>
        </is>
      </c>
      <c r="S3826" s="70" t="n">
        <v>474</v>
      </c>
      <c r="T3826" s="71" t="n">
        <v>17285.48</v>
      </c>
      <c r="U3826" t="inlineStr">
        <is>
          <t>Low</t>
        </is>
      </c>
      <c r="V3826">
        <f>IF(AND(OR(Dashboard!$C$6="All",E3826=Dashboard!$C$6),OR(Dashboard!$F$6="All",G3826=Dashboard!$F$6),OR(Dashboard!$I$6="All",H3826=Dashboard!$I$6)),1,0)</f>
        <v/>
      </c>
    </row>
    <row r="3827">
      <c r="A3827" t="inlineStr">
        <is>
          <t>PF103818</t>
        </is>
      </c>
      <c r="B3827" s="68" t="n">
        <v>46117</v>
      </c>
      <c r="C3827" s="69" t="n">
        <v>2026</v>
      </c>
      <c r="D3827" t="inlineStr">
        <is>
          <t>Apr</t>
        </is>
      </c>
      <c r="E3827" t="inlineStr">
        <is>
          <t>United States</t>
        </is>
      </c>
      <c r="F3827" t="inlineStr">
        <is>
          <t>USA</t>
        </is>
      </c>
      <c r="G3827" t="inlineStr">
        <is>
          <t>Prevnar 20</t>
        </is>
      </c>
      <c r="H3827" t="inlineStr">
        <is>
          <t>Hospital</t>
        </is>
      </c>
      <c r="I3827" t="inlineStr">
        <is>
          <t>Public payer</t>
        </is>
      </c>
      <c r="J3827" t="inlineStr">
        <is>
          <t>Arjun Mehta</t>
        </is>
      </c>
      <c r="K3827" s="70" t="n">
        <v>2959</v>
      </c>
      <c r="L3827" s="71" t="n">
        <v>407.51</v>
      </c>
      <c r="M3827" s="71" t="n">
        <v>1205822.09</v>
      </c>
      <c r="N3827" s="71" t="n">
        <v>241164.42</v>
      </c>
      <c r="O3827" s="71" t="n">
        <v>964657.67</v>
      </c>
      <c r="P3827" s="71" t="n">
        <v>200840.12</v>
      </c>
      <c r="Q3827" s="71" t="n">
        <v>763817.55</v>
      </c>
      <c r="R3827" t="inlineStr">
        <is>
          <t>Vaccines</t>
        </is>
      </c>
      <c r="S3827" s="70" t="n">
        <v>2917</v>
      </c>
      <c r="T3827" s="71" t="n">
        <v>167049.86</v>
      </c>
      <c r="U3827" t="inlineStr">
        <is>
          <t>Low</t>
        </is>
      </c>
      <c r="V3827">
        <f>IF(AND(OR(Dashboard!$C$6="All",E3827=Dashboard!$C$6),OR(Dashboard!$F$6="All",G3827=Dashboard!$F$6),OR(Dashboard!$I$6="All",H3827=Dashboard!$I$6)),1,0)</f>
        <v/>
      </c>
    </row>
    <row r="3828">
      <c r="A3828" t="inlineStr">
        <is>
          <t>PF103819</t>
        </is>
      </c>
      <c r="B3828" s="68" t="n">
        <v>46117</v>
      </c>
      <c r="C3828" s="69" t="n">
        <v>2026</v>
      </c>
      <c r="D3828" t="inlineStr">
        <is>
          <t>Apr</t>
        </is>
      </c>
      <c r="E3828" t="inlineStr">
        <is>
          <t>United States</t>
        </is>
      </c>
      <c r="F3828" t="inlineStr">
        <is>
          <t>USA</t>
        </is>
      </c>
      <c r="G3828" t="inlineStr">
        <is>
          <t>Comirnaty</t>
        </is>
      </c>
      <c r="H3828" t="inlineStr">
        <is>
          <t>Government / tender</t>
        </is>
      </c>
      <c r="I3828" t="inlineStr">
        <is>
          <t>Private insurer</t>
        </is>
      </c>
      <c r="J3828" t="inlineStr">
        <is>
          <t>Ruhi Shaikh</t>
        </is>
      </c>
      <c r="K3828" s="70" t="n">
        <v>2333</v>
      </c>
      <c r="L3828" s="71" t="n">
        <v>140.32</v>
      </c>
      <c r="M3828" s="71" t="n">
        <v>327366.56</v>
      </c>
      <c r="N3828" s="71" t="n">
        <v>114578.3</v>
      </c>
      <c r="O3828" s="71" t="n">
        <v>212788.26</v>
      </c>
      <c r="P3828" s="71" t="n">
        <v>87579</v>
      </c>
      <c r="Q3828" s="71" t="n">
        <v>125209.26</v>
      </c>
      <c r="R3828" t="inlineStr">
        <is>
          <t>Vaccines</t>
        </is>
      </c>
      <c r="S3828" s="70" t="n">
        <v>1535</v>
      </c>
      <c r="T3828" s="71" t="n">
        <v>68898.78</v>
      </c>
      <c r="U3828" t="inlineStr">
        <is>
          <t>Low</t>
        </is>
      </c>
      <c r="V3828">
        <f>IF(AND(OR(Dashboard!$C$6="All",E3828=Dashboard!$C$6),OR(Dashboard!$F$6="All",G3828=Dashboard!$F$6),OR(Dashboard!$I$6="All",H3828=Dashboard!$I$6)),1,0)</f>
        <v/>
      </c>
    </row>
    <row r="3829">
      <c r="A3829" t="inlineStr">
        <is>
          <t>PF103820</t>
        </is>
      </c>
      <c r="B3829" s="68" t="n">
        <v>46117</v>
      </c>
      <c r="C3829" s="69" t="n">
        <v>2026</v>
      </c>
      <c r="D3829" t="inlineStr">
        <is>
          <t>Apr</t>
        </is>
      </c>
      <c r="E3829" t="inlineStr">
        <is>
          <t>United States</t>
        </is>
      </c>
      <c r="F3829" t="inlineStr">
        <is>
          <t>USA</t>
        </is>
      </c>
      <c r="G3829" t="inlineStr">
        <is>
          <t>Paxlovid</t>
        </is>
      </c>
      <c r="H3829" t="inlineStr">
        <is>
          <t>Hospital</t>
        </is>
      </c>
      <c r="I3829" t="inlineStr">
        <is>
          <t>Public payer</t>
        </is>
      </c>
      <c r="J3829" t="inlineStr">
        <is>
          <t>Emma Clarke</t>
        </is>
      </c>
      <c r="K3829" s="70" t="n">
        <v>1154</v>
      </c>
      <c r="L3829" s="71" t="n">
        <v>1542.15</v>
      </c>
      <c r="M3829" s="71" t="n">
        <v>1779641.1</v>
      </c>
      <c r="N3829" s="71" t="n">
        <v>622874.39</v>
      </c>
      <c r="O3829" s="71" t="n">
        <v>1156766.71</v>
      </c>
      <c r="P3829" s="71" t="n">
        <v>326290.81</v>
      </c>
      <c r="Q3829" s="71" t="n">
        <v>830475.9</v>
      </c>
      <c r="R3829" t="inlineStr">
        <is>
          <t>Antiviral</t>
        </is>
      </c>
      <c r="S3829" s="70" t="n">
        <v>1138</v>
      </c>
      <c r="T3829" s="71" t="n">
        <v>346324.5</v>
      </c>
      <c r="U3829" t="inlineStr">
        <is>
          <t>Low</t>
        </is>
      </c>
      <c r="V3829">
        <f>IF(AND(OR(Dashboard!$C$6="All",E3829=Dashboard!$C$6),OR(Dashboard!$F$6="All",G3829=Dashboard!$F$6),OR(Dashboard!$I$6="All",H3829=Dashboard!$I$6)),1,0)</f>
        <v/>
      </c>
    </row>
    <row r="3830">
      <c r="A3830" t="inlineStr">
        <is>
          <t>PF103821</t>
        </is>
      </c>
      <c r="B3830" s="68" t="n">
        <v>46117</v>
      </c>
      <c r="C3830" s="69" t="n">
        <v>2026</v>
      </c>
      <c r="D3830" t="inlineStr">
        <is>
          <t>Apr</t>
        </is>
      </c>
      <c r="E3830" t="inlineStr">
        <is>
          <t>Europe</t>
        </is>
      </c>
      <c r="F3830" t="inlineStr">
        <is>
          <t>UK</t>
        </is>
      </c>
      <c r="G3830" t="inlineStr">
        <is>
          <t>Ibrance</t>
        </is>
      </c>
      <c r="H3830" t="inlineStr">
        <is>
          <t>Hospital</t>
        </is>
      </c>
      <c r="I3830" t="inlineStr">
        <is>
          <t>Private insurer</t>
        </is>
      </c>
      <c r="J3830" t="inlineStr">
        <is>
          <t>Priya Nair</t>
        </is>
      </c>
      <c r="K3830" s="70" t="n">
        <v>2392</v>
      </c>
      <c r="L3830" s="71" t="n">
        <v>2803.63</v>
      </c>
      <c r="M3830" s="71" t="n">
        <v>6706282.96</v>
      </c>
      <c r="N3830" s="71" t="n">
        <v>1341256.59</v>
      </c>
      <c r="O3830" s="71" t="n">
        <v>5365026.37</v>
      </c>
      <c r="P3830" s="71" t="n">
        <v>1035967.71</v>
      </c>
      <c r="Q3830" s="71" t="n">
        <v>4329058.66</v>
      </c>
      <c r="R3830" t="inlineStr">
        <is>
          <t>Oncology</t>
        </is>
      </c>
      <c r="S3830" s="70" t="n">
        <v>2192</v>
      </c>
      <c r="T3830" s="71" t="n">
        <v>1184866.84</v>
      </c>
      <c r="U3830" t="inlineStr">
        <is>
          <t>High</t>
        </is>
      </c>
      <c r="V3830">
        <f>IF(AND(OR(Dashboard!$C$6="All",E3830=Dashboard!$C$6),OR(Dashboard!$F$6="All",G3830=Dashboard!$F$6),OR(Dashboard!$I$6="All",H3830=Dashboard!$I$6)),1,0)</f>
        <v/>
      </c>
    </row>
    <row r="3831">
      <c r="A3831" t="inlineStr">
        <is>
          <t>PF103822</t>
        </is>
      </c>
      <c r="B3831" s="68" t="n">
        <v>46117</v>
      </c>
      <c r="C3831" s="69" t="n">
        <v>2026</v>
      </c>
      <c r="D3831" t="inlineStr">
        <is>
          <t>Apr</t>
        </is>
      </c>
      <c r="E3831" t="inlineStr">
        <is>
          <t>United States</t>
        </is>
      </c>
      <c r="F3831" t="inlineStr">
        <is>
          <t>USA</t>
        </is>
      </c>
      <c r="G3831" t="inlineStr">
        <is>
          <t>Vyndaqel</t>
        </is>
      </c>
      <c r="H3831" t="inlineStr">
        <is>
          <t>Retail pharmacy</t>
        </is>
      </c>
      <c r="I3831" t="inlineStr">
        <is>
          <t>Public payer</t>
        </is>
      </c>
      <c r="J3831" t="inlineStr">
        <is>
          <t>Sara Rossi</t>
        </is>
      </c>
      <c r="K3831" s="70" t="n">
        <v>3032</v>
      </c>
      <c r="L3831" s="71" t="n">
        <v>8942.57</v>
      </c>
      <c r="M3831" s="71" t="n">
        <v>27113872.24</v>
      </c>
      <c r="N3831" s="71" t="n">
        <v>8134161.67</v>
      </c>
      <c r="O3831" s="71" t="n">
        <v>18979710.57</v>
      </c>
      <c r="P3831" s="71" t="n">
        <v>1940402.27</v>
      </c>
      <c r="Q3831" s="71" t="n">
        <v>17039308.3</v>
      </c>
      <c r="R3831" t="inlineStr">
        <is>
          <t>Rare disease</t>
        </is>
      </c>
      <c r="S3831" s="70" t="n">
        <v>2020</v>
      </c>
      <c r="T3831" s="71" t="n">
        <v>4126395.77</v>
      </c>
      <c r="U3831" t="inlineStr">
        <is>
          <t>Medium</t>
        </is>
      </c>
      <c r="V3831">
        <f>IF(AND(OR(Dashboard!$C$6="All",E3831=Dashboard!$C$6),OR(Dashboard!$F$6="All",G3831=Dashboard!$F$6),OR(Dashboard!$I$6="All",H3831=Dashboard!$I$6)),1,0)</f>
        <v/>
      </c>
    </row>
    <row r="3832">
      <c r="A3832" t="inlineStr">
        <is>
          <t>PF103823</t>
        </is>
      </c>
      <c r="B3832" s="68" t="n">
        <v>46118</v>
      </c>
      <c r="C3832" s="69" t="n">
        <v>2026</v>
      </c>
      <c r="D3832" t="inlineStr">
        <is>
          <t>Apr</t>
        </is>
      </c>
      <c r="E3832" t="inlineStr">
        <is>
          <t>United States</t>
        </is>
      </c>
      <c r="F3832" t="inlineStr">
        <is>
          <t>USA</t>
        </is>
      </c>
      <c r="G3832" t="inlineStr">
        <is>
          <t>Prevnar 20</t>
        </is>
      </c>
      <c r="H3832" t="inlineStr">
        <is>
          <t>Retail pharmacy</t>
        </is>
      </c>
      <c r="I3832" t="inlineStr">
        <is>
          <t>Private insurer</t>
        </is>
      </c>
      <c r="J3832" t="inlineStr">
        <is>
          <t>Omar Haddad</t>
        </is>
      </c>
      <c r="K3832" s="70" t="n">
        <v>1763</v>
      </c>
      <c r="L3832" s="71" t="n">
        <v>350.19</v>
      </c>
      <c r="M3832" s="71" t="n">
        <v>617384.97</v>
      </c>
      <c r="N3832" s="71" t="n">
        <v>123476.99</v>
      </c>
      <c r="O3832" s="71" t="n">
        <v>493907.98</v>
      </c>
      <c r="P3832" s="71" t="n">
        <v>120927.42</v>
      </c>
      <c r="Q3832" s="71" t="n">
        <v>372980.56</v>
      </c>
      <c r="R3832" t="inlineStr">
        <is>
          <t>Vaccines</t>
        </is>
      </c>
      <c r="S3832" s="70" t="n">
        <v>1212</v>
      </c>
      <c r="T3832" s="71" t="n">
        <v>78874.89999999999</v>
      </c>
      <c r="U3832" t="inlineStr">
        <is>
          <t>Low</t>
        </is>
      </c>
      <c r="V3832">
        <f>IF(AND(OR(Dashboard!$C$6="All",E3832=Dashboard!$C$6),OR(Dashboard!$F$6="All",G3832=Dashboard!$F$6),OR(Dashboard!$I$6="All",H3832=Dashboard!$I$6)),1,0)</f>
        <v/>
      </c>
    </row>
    <row r="3833">
      <c r="A3833" t="inlineStr">
        <is>
          <t>PF103824</t>
        </is>
      </c>
      <c r="B3833" s="68" t="n">
        <v>46118</v>
      </c>
      <c r="C3833" s="69" t="n">
        <v>2026</v>
      </c>
      <c r="D3833" t="inlineStr">
        <is>
          <t>Apr</t>
        </is>
      </c>
      <c r="E3833" t="inlineStr">
        <is>
          <t>Emerging markets</t>
        </is>
      </c>
      <c r="F3833" t="inlineStr">
        <is>
          <t>Mexico</t>
        </is>
      </c>
      <c r="G3833" t="inlineStr">
        <is>
          <t>Vyndaqel</t>
        </is>
      </c>
      <c r="H3833" t="inlineStr">
        <is>
          <t>Hospital</t>
        </is>
      </c>
      <c r="I3833" t="inlineStr">
        <is>
          <t>Private insurer</t>
        </is>
      </c>
      <c r="J3833" t="inlineStr">
        <is>
          <t>Arjun Mehta</t>
        </is>
      </c>
      <c r="K3833" s="70" t="n">
        <v>2410</v>
      </c>
      <c r="L3833" s="71" t="n">
        <v>6066.02</v>
      </c>
      <c r="M3833" s="71" t="n">
        <v>14619108.2</v>
      </c>
      <c r="N3833" s="71" t="n">
        <v>1461910.82</v>
      </c>
      <c r="O3833" s="71" t="n">
        <v>13157197.38</v>
      </c>
      <c r="P3833" s="71" t="n">
        <v>1490151.3</v>
      </c>
      <c r="Q3833" s="71" t="n">
        <v>11667046.08</v>
      </c>
      <c r="R3833" t="inlineStr">
        <is>
          <t>Rare disease</t>
        </is>
      </c>
      <c r="S3833" s="70" t="n">
        <v>2366</v>
      </c>
      <c r="T3833" s="71" t="n">
        <v>2652250.34</v>
      </c>
      <c r="U3833" t="inlineStr">
        <is>
          <t>Medium</t>
        </is>
      </c>
      <c r="V3833">
        <f>IF(AND(OR(Dashboard!$C$6="All",E3833=Dashboard!$C$6),OR(Dashboard!$F$6="All",G3833=Dashboard!$F$6),OR(Dashboard!$I$6="All",H3833=Dashboard!$I$6)),1,0)</f>
        <v/>
      </c>
    </row>
    <row r="3834">
      <c r="A3834" t="inlineStr">
        <is>
          <t>PF103825</t>
        </is>
      </c>
      <c r="B3834" s="68" t="n">
        <v>46118</v>
      </c>
      <c r="C3834" s="69" t="n">
        <v>2026</v>
      </c>
      <c r="D3834" t="inlineStr">
        <is>
          <t>Apr</t>
        </is>
      </c>
      <c r="E3834" t="inlineStr">
        <is>
          <t>Europe</t>
        </is>
      </c>
      <c r="F3834" t="inlineStr">
        <is>
          <t>Germany</t>
        </is>
      </c>
      <c r="G3834" t="inlineStr">
        <is>
          <t>Vyndaqel</t>
        </is>
      </c>
      <c r="H3834" t="inlineStr">
        <is>
          <t>Retail pharmacy</t>
        </is>
      </c>
      <c r="I3834" t="inlineStr">
        <is>
          <t>Public payer</t>
        </is>
      </c>
      <c r="J3834" t="inlineStr">
        <is>
          <t>Aisha Bello</t>
        </is>
      </c>
      <c r="K3834" s="70" t="n">
        <v>614</v>
      </c>
      <c r="L3834" s="71" t="n">
        <v>5482.78</v>
      </c>
      <c r="M3834" s="71" t="n">
        <v>3366426.92</v>
      </c>
      <c r="N3834" s="71" t="n">
        <v>841606.73</v>
      </c>
      <c r="O3834" s="71" t="n">
        <v>2524820.19</v>
      </c>
      <c r="P3834" s="71" t="n">
        <v>372823.76</v>
      </c>
      <c r="Q3834" s="71" t="n">
        <v>2151996.43</v>
      </c>
      <c r="R3834" t="inlineStr">
        <is>
          <t>Rare disease</t>
        </is>
      </c>
      <c r="S3834" s="70" t="n">
        <v>476</v>
      </c>
      <c r="T3834" s="71" t="n">
        <v>561957.03</v>
      </c>
      <c r="U3834" t="inlineStr">
        <is>
          <t>Medium</t>
        </is>
      </c>
      <c r="V3834">
        <f>IF(AND(OR(Dashboard!$C$6="All",E3834=Dashboard!$C$6),OR(Dashboard!$F$6="All",G3834=Dashboard!$F$6),OR(Dashboard!$I$6="All",H3834=Dashboard!$I$6)),1,0)</f>
        <v/>
      </c>
    </row>
    <row r="3835">
      <c r="A3835" t="inlineStr">
        <is>
          <t>PF103826</t>
        </is>
      </c>
      <c r="B3835" s="68" t="n">
        <v>46118</v>
      </c>
      <c r="C3835" s="69" t="n">
        <v>2026</v>
      </c>
      <c r="D3835" t="inlineStr">
        <is>
          <t>Apr</t>
        </is>
      </c>
      <c r="E3835" t="inlineStr">
        <is>
          <t>United States</t>
        </is>
      </c>
      <c r="F3835" t="inlineStr">
        <is>
          <t>USA</t>
        </is>
      </c>
      <c r="G3835" t="inlineStr">
        <is>
          <t>Abrysvo</t>
        </is>
      </c>
      <c r="H3835" t="inlineStr">
        <is>
          <t>Retail pharmacy</t>
        </is>
      </c>
      <c r="I3835" t="inlineStr">
        <is>
          <t>Private insurer</t>
        </is>
      </c>
      <c r="J3835" t="inlineStr">
        <is>
          <t>Omar Haddad</t>
        </is>
      </c>
      <c r="K3835" s="70" t="n">
        <v>3064</v>
      </c>
      <c r="L3835" s="71" t="n">
        <v>560.35</v>
      </c>
      <c r="M3835" s="71" t="n">
        <v>1716912.4</v>
      </c>
      <c r="N3835" s="71" t="n">
        <v>600919.34</v>
      </c>
      <c r="O3835" s="71" t="n">
        <v>1115993.06</v>
      </c>
      <c r="P3835" s="71" t="n">
        <v>261127.14</v>
      </c>
      <c r="Q3835" s="71" t="n">
        <v>854865.92</v>
      </c>
      <c r="R3835" t="inlineStr">
        <is>
          <t>Vaccines</t>
        </is>
      </c>
      <c r="S3835" s="70" t="n">
        <v>2434</v>
      </c>
      <c r="T3835" s="71" t="n">
        <v>196861.63</v>
      </c>
      <c r="U3835" t="inlineStr">
        <is>
          <t>Low</t>
        </is>
      </c>
      <c r="V3835">
        <f>IF(AND(OR(Dashboard!$C$6="All",E3835=Dashboard!$C$6),OR(Dashboard!$F$6="All",G3835=Dashboard!$F$6),OR(Dashboard!$I$6="All",H3835=Dashboard!$I$6)),1,0)</f>
        <v/>
      </c>
    </row>
    <row r="3836">
      <c r="A3836" t="inlineStr">
        <is>
          <t>PF103827</t>
        </is>
      </c>
      <c r="B3836" s="68" t="n">
        <v>46118</v>
      </c>
      <c r="C3836" s="69" t="n">
        <v>2026</v>
      </c>
      <c r="D3836" t="inlineStr">
        <is>
          <t>Apr</t>
        </is>
      </c>
      <c r="E3836" t="inlineStr">
        <is>
          <t>Emerging markets</t>
        </is>
      </c>
      <c r="F3836" t="inlineStr">
        <is>
          <t>China</t>
        </is>
      </c>
      <c r="G3836" t="inlineStr">
        <is>
          <t>Eliquis</t>
        </is>
      </c>
      <c r="H3836" t="inlineStr">
        <is>
          <t>Retail pharmacy</t>
        </is>
      </c>
      <c r="I3836" t="inlineStr">
        <is>
          <t>Public payer</t>
        </is>
      </c>
      <c r="J3836" t="inlineStr">
        <is>
          <t>Fatima Al-Saud</t>
        </is>
      </c>
      <c r="K3836" s="70" t="n">
        <v>1575</v>
      </c>
      <c r="L3836" s="71" t="n">
        <v>447.31</v>
      </c>
      <c r="M3836" s="71" t="n">
        <v>704513.25</v>
      </c>
      <c r="N3836" s="71" t="n">
        <v>176128.31</v>
      </c>
      <c r="O3836" s="71" t="n">
        <v>528384.9399999999</v>
      </c>
      <c r="P3836" s="71" t="n">
        <v>123796.51</v>
      </c>
      <c r="Q3836" s="71" t="n">
        <v>404588.43</v>
      </c>
      <c r="R3836" t="inlineStr">
        <is>
          <t>Cardiology</t>
        </is>
      </c>
      <c r="S3836" s="70" t="n">
        <v>1444</v>
      </c>
      <c r="T3836" s="71" t="n">
        <v>109603.85</v>
      </c>
      <c r="U3836" t="inlineStr">
        <is>
          <t>High</t>
        </is>
      </c>
      <c r="V3836">
        <f>IF(AND(OR(Dashboard!$C$6="All",E3836=Dashboard!$C$6),OR(Dashboard!$F$6="All",G3836=Dashboard!$F$6),OR(Dashboard!$I$6="All",H3836=Dashboard!$I$6)),1,0)</f>
        <v/>
      </c>
    </row>
    <row r="3837">
      <c r="A3837" t="inlineStr">
        <is>
          <t>PF103828</t>
        </is>
      </c>
      <c r="B3837" s="68" t="n">
        <v>46118</v>
      </c>
      <c r="C3837" s="69" t="n">
        <v>2026</v>
      </c>
      <c r="D3837" t="inlineStr">
        <is>
          <t>Apr</t>
        </is>
      </c>
      <c r="E3837" t="inlineStr">
        <is>
          <t>United States</t>
        </is>
      </c>
      <c r="F3837" t="inlineStr">
        <is>
          <t>USA</t>
        </is>
      </c>
      <c r="G3837" t="inlineStr">
        <is>
          <t>Eliquis</t>
        </is>
      </c>
      <c r="H3837" t="inlineStr">
        <is>
          <t>Retail pharmacy</t>
        </is>
      </c>
      <c r="I3837" t="inlineStr">
        <is>
          <t>Private insurer</t>
        </is>
      </c>
      <c r="J3837" t="inlineStr">
        <is>
          <t>Sara Rossi</t>
        </is>
      </c>
      <c r="K3837" s="70" t="n">
        <v>2515</v>
      </c>
      <c r="L3837" s="71" t="n">
        <v>690.74</v>
      </c>
      <c r="M3837" s="71" t="n">
        <v>1737211.1</v>
      </c>
      <c r="N3837" s="71" t="n">
        <v>260581.67</v>
      </c>
      <c r="O3837" s="71" t="n">
        <v>1476629.43</v>
      </c>
      <c r="P3837" s="71" t="n">
        <v>196940</v>
      </c>
      <c r="Q3837" s="71" t="n">
        <v>1279689.43</v>
      </c>
      <c r="R3837" t="inlineStr">
        <is>
          <t>Cardiology</t>
        </is>
      </c>
      <c r="S3837" s="70" t="n">
        <v>1939</v>
      </c>
      <c r="T3837" s="71" t="n">
        <v>277630.06</v>
      </c>
      <c r="U3837" t="inlineStr">
        <is>
          <t>High</t>
        </is>
      </c>
      <c r="V3837">
        <f>IF(AND(OR(Dashboard!$C$6="All",E3837=Dashboard!$C$6),OR(Dashboard!$F$6="All",G3837=Dashboard!$F$6),OR(Dashboard!$I$6="All",H3837=Dashboard!$I$6)),1,0)</f>
        <v/>
      </c>
    </row>
    <row r="3838">
      <c r="A3838" t="inlineStr">
        <is>
          <t>PF103829</t>
        </is>
      </c>
      <c r="B3838" s="68" t="n">
        <v>46118</v>
      </c>
      <c r="C3838" s="69" t="n">
        <v>2026</v>
      </c>
      <c r="D3838" t="inlineStr">
        <is>
          <t>Apr</t>
        </is>
      </c>
      <c r="E3838" t="inlineStr">
        <is>
          <t>United States</t>
        </is>
      </c>
      <c r="F3838" t="inlineStr">
        <is>
          <t>USA</t>
        </is>
      </c>
      <c r="G3838" t="inlineStr">
        <is>
          <t>Prevnar 20</t>
        </is>
      </c>
      <c r="H3838" t="inlineStr">
        <is>
          <t>Retail pharmacy</t>
        </is>
      </c>
      <c r="I3838" t="inlineStr">
        <is>
          <t>Private insurer</t>
        </is>
      </c>
      <c r="J3838" t="inlineStr">
        <is>
          <t>Ravindra Patil</t>
        </is>
      </c>
      <c r="K3838" s="70" t="n">
        <v>376</v>
      </c>
      <c r="L3838" s="71" t="n">
        <v>377.88</v>
      </c>
      <c r="M3838" s="71" t="n">
        <v>142082.88</v>
      </c>
      <c r="N3838" s="71" t="n">
        <v>21312.43</v>
      </c>
      <c r="O3838" s="71" t="n">
        <v>120770.45</v>
      </c>
      <c r="P3838" s="71" t="n">
        <v>26311.52</v>
      </c>
      <c r="Q3838" s="71" t="n">
        <v>94458.92999999999</v>
      </c>
      <c r="R3838" t="inlineStr">
        <is>
          <t>Vaccines</t>
        </is>
      </c>
      <c r="S3838" s="70" t="n">
        <v>341</v>
      </c>
      <c r="T3838" s="71" t="n">
        <v>17901.04</v>
      </c>
      <c r="U3838" t="inlineStr">
        <is>
          <t>Low</t>
        </is>
      </c>
      <c r="V3838">
        <f>IF(AND(OR(Dashboard!$C$6="All",E3838=Dashboard!$C$6),OR(Dashboard!$F$6="All",G3838=Dashboard!$F$6),OR(Dashboard!$I$6="All",H3838=Dashboard!$I$6)),1,0)</f>
        <v/>
      </c>
    </row>
    <row r="3839">
      <c r="A3839" t="inlineStr">
        <is>
          <t>PF103830</t>
        </is>
      </c>
      <c r="B3839" s="68" t="n">
        <v>46118</v>
      </c>
      <c r="C3839" s="69" t="n">
        <v>2026</v>
      </c>
      <c r="D3839" t="inlineStr">
        <is>
          <t>Apr</t>
        </is>
      </c>
      <c r="E3839" t="inlineStr">
        <is>
          <t>United States</t>
        </is>
      </c>
      <c r="F3839" t="inlineStr">
        <is>
          <t>USA</t>
        </is>
      </c>
      <c r="G3839" t="inlineStr">
        <is>
          <t>Prevnar 20</t>
        </is>
      </c>
      <c r="H3839" t="inlineStr">
        <is>
          <t>Hospital</t>
        </is>
      </c>
      <c r="I3839" t="inlineStr">
        <is>
          <t>Private insurer</t>
        </is>
      </c>
      <c r="J3839" t="inlineStr">
        <is>
          <t>Fatima Al-Saud</t>
        </is>
      </c>
      <c r="K3839" s="70" t="n">
        <v>316</v>
      </c>
      <c r="L3839" s="71" t="n">
        <v>365.99</v>
      </c>
      <c r="M3839" s="71" t="n">
        <v>115652.84</v>
      </c>
      <c r="N3839" s="71" t="n">
        <v>17347.93</v>
      </c>
      <c r="O3839" s="71" t="n">
        <v>98304.91</v>
      </c>
      <c r="P3839" s="71" t="n">
        <v>21544.63</v>
      </c>
      <c r="Q3839" s="71" t="n">
        <v>76760.28</v>
      </c>
      <c r="R3839" t="inlineStr">
        <is>
          <t>Vaccines</t>
        </is>
      </c>
      <c r="S3839" s="70" t="n">
        <v>245</v>
      </c>
      <c r="T3839" s="71" t="n">
        <v>24337.06</v>
      </c>
      <c r="U3839" t="inlineStr">
        <is>
          <t>Low</t>
        </is>
      </c>
      <c r="V3839">
        <f>IF(AND(OR(Dashboard!$C$6="All",E3839=Dashboard!$C$6),OR(Dashboard!$F$6="All",G3839=Dashboard!$F$6),OR(Dashboard!$I$6="All",H3839=Dashboard!$I$6)),1,0)</f>
        <v/>
      </c>
    </row>
    <row r="3840">
      <c r="A3840" t="inlineStr">
        <is>
          <t>PF103831</t>
        </is>
      </c>
      <c r="B3840" s="68" t="n">
        <v>46118</v>
      </c>
      <c r="C3840" s="69" t="n">
        <v>2026</v>
      </c>
      <c r="D3840" t="inlineStr">
        <is>
          <t>Apr</t>
        </is>
      </c>
      <c r="E3840" t="inlineStr">
        <is>
          <t>United States</t>
        </is>
      </c>
      <c r="F3840" t="inlineStr">
        <is>
          <t>USA</t>
        </is>
      </c>
      <c r="G3840" t="inlineStr">
        <is>
          <t>Xeljanz</t>
        </is>
      </c>
      <c r="H3840" t="inlineStr">
        <is>
          <t>Retail pharmacy</t>
        </is>
      </c>
      <c r="I3840" t="inlineStr">
        <is>
          <t>Private insurer</t>
        </is>
      </c>
      <c r="J3840" t="inlineStr">
        <is>
          <t>Aisha Bello</t>
        </is>
      </c>
      <c r="K3840" s="70" t="n">
        <v>1447</v>
      </c>
      <c r="L3840" s="71" t="n">
        <v>2340.5</v>
      </c>
      <c r="M3840" s="71" t="n">
        <v>3386703.5</v>
      </c>
      <c r="N3840" s="71" t="n">
        <v>508005.53</v>
      </c>
      <c r="O3840" s="71" t="n">
        <v>2878697.97</v>
      </c>
      <c r="P3840" s="71" t="n">
        <v>355000.3</v>
      </c>
      <c r="Q3840" s="71" t="n">
        <v>2523697.67</v>
      </c>
      <c r="R3840" t="inlineStr">
        <is>
          <t>Inflammation</t>
        </is>
      </c>
      <c r="S3840" s="70" t="n">
        <v>1327</v>
      </c>
      <c r="T3840" s="71" t="n">
        <v>585966.21</v>
      </c>
      <c r="U3840" t="inlineStr">
        <is>
          <t>High</t>
        </is>
      </c>
      <c r="V3840">
        <f>IF(AND(OR(Dashboard!$C$6="All",E3840=Dashboard!$C$6),OR(Dashboard!$F$6="All",G3840=Dashboard!$F$6),OR(Dashboard!$I$6="All",H3840=Dashboard!$I$6)),1,0)</f>
        <v/>
      </c>
    </row>
    <row r="3841">
      <c r="A3841" t="inlineStr">
        <is>
          <t>PF103832</t>
        </is>
      </c>
      <c r="B3841" s="68" t="n">
        <v>46118</v>
      </c>
      <c r="C3841" s="69" t="n">
        <v>2026</v>
      </c>
      <c r="D3841" t="inlineStr">
        <is>
          <t>Apr</t>
        </is>
      </c>
      <c r="E3841" t="inlineStr">
        <is>
          <t>International developed</t>
        </is>
      </c>
      <c r="F3841" t="inlineStr">
        <is>
          <t>Japan</t>
        </is>
      </c>
      <c r="G3841" t="inlineStr">
        <is>
          <t>Prevnar 20</t>
        </is>
      </c>
      <c r="H3841" t="inlineStr">
        <is>
          <t>Government / tender</t>
        </is>
      </c>
      <c r="I3841" t="inlineStr">
        <is>
          <t>Private insurer</t>
        </is>
      </c>
      <c r="J3841" t="inlineStr">
        <is>
          <t>Priya Nair</t>
        </is>
      </c>
      <c r="K3841" s="70" t="n">
        <v>497</v>
      </c>
      <c r="L3841" s="71" t="n">
        <v>228.43</v>
      </c>
      <c r="M3841" s="71" t="n">
        <v>113529.71</v>
      </c>
      <c r="N3841" s="71" t="n">
        <v>28382.43</v>
      </c>
      <c r="O3841" s="71" t="n">
        <v>85147.28</v>
      </c>
      <c r="P3841" s="71" t="n">
        <v>34569.03</v>
      </c>
      <c r="Q3841" s="71" t="n">
        <v>50578.25</v>
      </c>
      <c r="R3841" t="inlineStr">
        <is>
          <t>Vaccines</t>
        </is>
      </c>
      <c r="S3841" s="70" t="n">
        <v>323</v>
      </c>
      <c r="T3841" s="71" t="n">
        <v>15463.46</v>
      </c>
      <c r="U3841" t="inlineStr">
        <is>
          <t>Low</t>
        </is>
      </c>
      <c r="V3841">
        <f>IF(AND(OR(Dashboard!$C$6="All",E3841=Dashboard!$C$6),OR(Dashboard!$F$6="All",G3841=Dashboard!$F$6),OR(Dashboard!$I$6="All",H3841=Dashboard!$I$6)),1,0)</f>
        <v/>
      </c>
    </row>
    <row r="3842">
      <c r="A3842" t="inlineStr">
        <is>
          <t>PF103833</t>
        </is>
      </c>
      <c r="B3842" s="68" t="n">
        <v>46118</v>
      </c>
      <c r="C3842" s="69" t="n">
        <v>2026</v>
      </c>
      <c r="D3842" t="inlineStr">
        <is>
          <t>Apr</t>
        </is>
      </c>
      <c r="E3842" t="inlineStr">
        <is>
          <t>Emerging markets</t>
        </is>
      </c>
      <c r="F3842" t="inlineStr">
        <is>
          <t>China</t>
        </is>
      </c>
      <c r="G3842" t="inlineStr">
        <is>
          <t>Eliquis</t>
        </is>
      </c>
      <c r="H3842" t="inlineStr">
        <is>
          <t>Retail pharmacy</t>
        </is>
      </c>
      <c r="I3842" t="inlineStr">
        <is>
          <t>Private insurer</t>
        </is>
      </c>
      <c r="J3842" t="inlineStr">
        <is>
          <t>Priya Nair</t>
        </is>
      </c>
      <c r="K3842" s="70" t="n">
        <v>1411</v>
      </c>
      <c r="L3842" s="71" t="n">
        <v>460.96</v>
      </c>
      <c r="M3842" s="71" t="n">
        <v>650414.5600000001</v>
      </c>
      <c r="N3842" s="71" t="n">
        <v>130082.91</v>
      </c>
      <c r="O3842" s="71" t="n">
        <v>520331.65</v>
      </c>
      <c r="P3842" s="71" t="n">
        <v>110403.65</v>
      </c>
      <c r="Q3842" s="71" t="n">
        <v>409928</v>
      </c>
      <c r="R3842" t="inlineStr">
        <is>
          <t>Cardiology</t>
        </is>
      </c>
      <c r="S3842" s="70" t="n">
        <v>1330</v>
      </c>
      <c r="T3842" s="71" t="n">
        <v>79097.77</v>
      </c>
      <c r="U3842" t="inlineStr">
        <is>
          <t>High</t>
        </is>
      </c>
      <c r="V3842">
        <f>IF(AND(OR(Dashboard!$C$6="All",E3842=Dashboard!$C$6),OR(Dashboard!$F$6="All",G3842=Dashboard!$F$6),OR(Dashboard!$I$6="All",H3842=Dashboard!$I$6)),1,0)</f>
        <v/>
      </c>
    </row>
    <row r="3843">
      <c r="A3843" t="inlineStr">
        <is>
          <t>PF103834</t>
        </is>
      </c>
      <c r="B3843" s="68" t="n">
        <v>46118</v>
      </c>
      <c r="C3843" s="69" t="n">
        <v>2026</v>
      </c>
      <c r="D3843" t="inlineStr">
        <is>
          <t>Apr</t>
        </is>
      </c>
      <c r="E3843" t="inlineStr">
        <is>
          <t>Emerging markets</t>
        </is>
      </c>
      <c r="F3843" t="inlineStr">
        <is>
          <t>India</t>
        </is>
      </c>
      <c r="G3843" t="inlineStr">
        <is>
          <t>Eliquis</t>
        </is>
      </c>
      <c r="H3843" t="inlineStr">
        <is>
          <t>Hospital</t>
        </is>
      </c>
      <c r="I3843" t="inlineStr">
        <is>
          <t>Private insurer</t>
        </is>
      </c>
      <c r="J3843" t="inlineStr">
        <is>
          <t>Fatima Al-Saud</t>
        </is>
      </c>
      <c r="K3843" s="70" t="n">
        <v>1093</v>
      </c>
      <c r="L3843" s="71" t="n">
        <v>441.76</v>
      </c>
      <c r="M3843" s="71" t="n">
        <v>482843.68</v>
      </c>
      <c r="N3843" s="71" t="n">
        <v>96568.74000000001</v>
      </c>
      <c r="O3843" s="71" t="n">
        <v>386274.94</v>
      </c>
      <c r="P3843" s="71" t="n">
        <v>85482.32000000001</v>
      </c>
      <c r="Q3843" s="71" t="n">
        <v>300792.62</v>
      </c>
      <c r="R3843" t="inlineStr">
        <is>
          <t>Cardiology</t>
        </is>
      </c>
      <c r="S3843" s="70" t="n">
        <v>836</v>
      </c>
      <c r="T3843" s="71" t="n">
        <v>81297.41</v>
      </c>
      <c r="U3843" t="inlineStr">
        <is>
          <t>High</t>
        </is>
      </c>
      <c r="V3843">
        <f>IF(AND(OR(Dashboard!$C$6="All",E3843=Dashboard!$C$6),OR(Dashboard!$F$6="All",G3843=Dashboard!$F$6),OR(Dashboard!$I$6="All",H3843=Dashboard!$I$6)),1,0)</f>
        <v/>
      </c>
    </row>
    <row r="3844">
      <c r="A3844" t="inlineStr">
        <is>
          <t>PF103835</t>
        </is>
      </c>
      <c r="B3844" s="68" t="n">
        <v>46118</v>
      </c>
      <c r="C3844" s="69" t="n">
        <v>2026</v>
      </c>
      <c r="D3844" t="inlineStr">
        <is>
          <t>Apr</t>
        </is>
      </c>
      <c r="E3844" t="inlineStr">
        <is>
          <t>Europe</t>
        </is>
      </c>
      <c r="F3844" t="inlineStr">
        <is>
          <t>Spain</t>
        </is>
      </c>
      <c r="G3844" t="inlineStr">
        <is>
          <t>Eliquis</t>
        </is>
      </c>
      <c r="H3844" t="inlineStr">
        <is>
          <t>Government / tender</t>
        </is>
      </c>
      <c r="I3844" t="inlineStr">
        <is>
          <t>Public payer</t>
        </is>
      </c>
      <c r="J3844" t="inlineStr">
        <is>
          <t>Fatima Al-Saud</t>
        </is>
      </c>
      <c r="K3844" s="70" t="n">
        <v>2550</v>
      </c>
      <c r="L3844" s="71" t="n">
        <v>470.71</v>
      </c>
      <c r="M3844" s="71" t="n">
        <v>1200310.5</v>
      </c>
      <c r="N3844" s="71" t="n">
        <v>300077.62</v>
      </c>
      <c r="O3844" s="71" t="n">
        <v>900232.88</v>
      </c>
      <c r="P3844" s="71" t="n">
        <v>192142.12</v>
      </c>
      <c r="Q3844" s="71" t="n">
        <v>708090.76</v>
      </c>
      <c r="R3844" t="inlineStr">
        <is>
          <t>Cardiology</t>
        </is>
      </c>
      <c r="S3844" s="70" t="n">
        <v>2084</v>
      </c>
      <c r="T3844" s="71" t="n">
        <v>231119.94</v>
      </c>
      <c r="U3844" t="inlineStr">
        <is>
          <t>High</t>
        </is>
      </c>
      <c r="V3844">
        <f>IF(AND(OR(Dashboard!$C$6="All",E3844=Dashboard!$C$6),OR(Dashboard!$F$6="All",G3844=Dashboard!$F$6),OR(Dashboard!$I$6="All",H3844=Dashboard!$I$6)),1,0)</f>
        <v/>
      </c>
    </row>
    <row r="3845">
      <c r="A3845" t="inlineStr">
        <is>
          <t>PF103836</t>
        </is>
      </c>
      <c r="B3845" s="68" t="n">
        <v>46119</v>
      </c>
      <c r="C3845" s="69" t="n">
        <v>2026</v>
      </c>
      <c r="D3845" t="inlineStr">
        <is>
          <t>Apr</t>
        </is>
      </c>
      <c r="E3845" t="inlineStr">
        <is>
          <t>United States</t>
        </is>
      </c>
      <c r="F3845" t="inlineStr">
        <is>
          <t>USA</t>
        </is>
      </c>
      <c r="G3845" t="inlineStr">
        <is>
          <t>Xeljanz</t>
        </is>
      </c>
      <c r="H3845" t="inlineStr">
        <is>
          <t>Hospital</t>
        </is>
      </c>
      <c r="I3845" t="inlineStr">
        <is>
          <t>Private insurer</t>
        </is>
      </c>
      <c r="J3845" t="inlineStr">
        <is>
          <t>Amir Khan</t>
        </is>
      </c>
      <c r="K3845" s="70" t="n">
        <v>1065</v>
      </c>
      <c r="L3845" s="71" t="n">
        <v>2356.61</v>
      </c>
      <c r="M3845" s="71" t="n">
        <v>2509789.65</v>
      </c>
      <c r="N3845" s="71" t="n">
        <v>878426.38</v>
      </c>
      <c r="O3845" s="71" t="n">
        <v>1631363.27</v>
      </c>
      <c r="P3845" s="71" t="n">
        <v>266522.3</v>
      </c>
      <c r="Q3845" s="71" t="n">
        <v>1364840.97</v>
      </c>
      <c r="R3845" t="inlineStr">
        <is>
          <t>Inflammation</t>
        </is>
      </c>
      <c r="S3845" s="70" t="n">
        <v>1017</v>
      </c>
      <c r="T3845" s="71" t="n">
        <v>479595.92</v>
      </c>
      <c r="U3845" t="inlineStr">
        <is>
          <t>High</t>
        </is>
      </c>
      <c r="V3845">
        <f>IF(AND(OR(Dashboard!$C$6="All",E3845=Dashboard!$C$6),OR(Dashboard!$F$6="All",G3845=Dashboard!$F$6),OR(Dashboard!$I$6="All",H3845=Dashboard!$I$6)),1,0)</f>
        <v/>
      </c>
    </row>
    <row r="3846">
      <c r="A3846" t="inlineStr">
        <is>
          <t>PF103837</t>
        </is>
      </c>
      <c r="B3846" s="68" t="n">
        <v>46119</v>
      </c>
      <c r="C3846" s="69" t="n">
        <v>2026</v>
      </c>
      <c r="D3846" t="inlineStr">
        <is>
          <t>Apr</t>
        </is>
      </c>
      <c r="E3846" t="inlineStr">
        <is>
          <t>United States</t>
        </is>
      </c>
      <c r="F3846" t="inlineStr">
        <is>
          <t>USA</t>
        </is>
      </c>
      <c r="G3846" t="inlineStr">
        <is>
          <t>Prevnar 20</t>
        </is>
      </c>
      <c r="H3846" t="inlineStr">
        <is>
          <t>Retail pharmacy</t>
        </is>
      </c>
      <c r="I3846" t="inlineStr">
        <is>
          <t>Self-pay</t>
        </is>
      </c>
      <c r="J3846" t="inlineStr">
        <is>
          <t>Ana Costa</t>
        </is>
      </c>
      <c r="K3846" s="70" t="n">
        <v>443</v>
      </c>
      <c r="L3846" s="71" t="n">
        <v>374.33</v>
      </c>
      <c r="M3846" s="71" t="n">
        <v>165828.19</v>
      </c>
      <c r="N3846" s="71" t="n">
        <v>33165.64</v>
      </c>
      <c r="O3846" s="71" t="n">
        <v>132662.55</v>
      </c>
      <c r="P3846" s="71" t="n">
        <v>30850.31</v>
      </c>
      <c r="Q3846" s="71" t="n">
        <v>101812.24</v>
      </c>
      <c r="R3846" t="inlineStr">
        <is>
          <t>Vaccines</t>
        </is>
      </c>
      <c r="S3846" s="70" t="n">
        <v>420</v>
      </c>
      <c r="T3846" s="71" t="n">
        <v>29368</v>
      </c>
      <c r="U3846" t="inlineStr">
        <is>
          <t>Low</t>
        </is>
      </c>
      <c r="V3846">
        <f>IF(AND(OR(Dashboard!$C$6="All",E3846=Dashboard!$C$6),OR(Dashboard!$F$6="All",G3846=Dashboard!$F$6),OR(Dashboard!$I$6="All",H3846=Dashboard!$I$6)),1,0)</f>
        <v/>
      </c>
    </row>
    <row r="3847">
      <c r="A3847" t="inlineStr">
        <is>
          <t>PF103838</t>
        </is>
      </c>
      <c r="B3847" s="68" t="n">
        <v>46119</v>
      </c>
      <c r="C3847" s="69" t="n">
        <v>2026</v>
      </c>
      <c r="D3847" t="inlineStr">
        <is>
          <t>Apr</t>
        </is>
      </c>
      <c r="E3847" t="inlineStr">
        <is>
          <t>Europe</t>
        </is>
      </c>
      <c r="F3847" t="inlineStr">
        <is>
          <t>Spain</t>
        </is>
      </c>
      <c r="G3847" t="inlineStr">
        <is>
          <t>Comirnaty</t>
        </is>
      </c>
      <c r="H3847" t="inlineStr">
        <is>
          <t>Government / tender</t>
        </is>
      </c>
      <c r="I3847" t="inlineStr">
        <is>
          <t>Public payer</t>
        </is>
      </c>
      <c r="J3847" t="inlineStr">
        <is>
          <t>Omar Haddad</t>
        </is>
      </c>
      <c r="K3847" s="70" t="n">
        <v>873</v>
      </c>
      <c r="L3847" s="71" t="n">
        <v>91.26000000000001</v>
      </c>
      <c r="M3847" s="71" t="n">
        <v>79669.98</v>
      </c>
      <c r="N3847" s="71" t="n">
        <v>7967</v>
      </c>
      <c r="O3847" s="71" t="n">
        <v>71702.98</v>
      </c>
      <c r="P3847" s="71" t="n">
        <v>34640.33</v>
      </c>
      <c r="Q3847" s="71" t="n">
        <v>37062.65</v>
      </c>
      <c r="R3847" t="inlineStr">
        <is>
          <t>Vaccines</t>
        </is>
      </c>
      <c r="S3847" s="70" t="n">
        <v>840</v>
      </c>
      <c r="T3847" s="71" t="n">
        <v>15792.92</v>
      </c>
      <c r="U3847" t="inlineStr">
        <is>
          <t>Low</t>
        </is>
      </c>
      <c r="V3847">
        <f>IF(AND(OR(Dashboard!$C$6="All",E3847=Dashboard!$C$6),OR(Dashboard!$F$6="All",G3847=Dashboard!$F$6),OR(Dashboard!$I$6="All",H3847=Dashboard!$I$6)),1,0)</f>
        <v/>
      </c>
    </row>
    <row r="3848">
      <c r="A3848" t="inlineStr">
        <is>
          <t>PF103839</t>
        </is>
      </c>
      <c r="B3848" s="68" t="n">
        <v>46119</v>
      </c>
      <c r="C3848" s="69" t="n">
        <v>2026</v>
      </c>
      <c r="D3848" t="inlineStr">
        <is>
          <t>Apr</t>
        </is>
      </c>
      <c r="E3848" t="inlineStr">
        <is>
          <t>Europe</t>
        </is>
      </c>
      <c r="F3848" t="inlineStr">
        <is>
          <t>Spain</t>
        </is>
      </c>
      <c r="G3848" t="inlineStr">
        <is>
          <t>Eliquis</t>
        </is>
      </c>
      <c r="H3848" t="inlineStr">
        <is>
          <t>Retail pharmacy</t>
        </is>
      </c>
      <c r="I3848" t="inlineStr">
        <is>
          <t>Private insurer</t>
        </is>
      </c>
      <c r="J3848" t="inlineStr">
        <is>
          <t>Yuki Sato</t>
        </is>
      </c>
      <c r="K3848" s="70" t="n">
        <v>819</v>
      </c>
      <c r="L3848" s="71" t="n">
        <v>451.37</v>
      </c>
      <c r="M3848" s="71" t="n">
        <v>369672.03</v>
      </c>
      <c r="N3848" s="71" t="n">
        <v>92418.00999999999</v>
      </c>
      <c r="O3848" s="71" t="n">
        <v>277254.02</v>
      </c>
      <c r="P3848" s="71" t="n">
        <v>63104.05</v>
      </c>
      <c r="Q3848" s="71" t="n">
        <v>214149.97</v>
      </c>
      <c r="R3848" t="inlineStr">
        <is>
          <t>Cardiology</t>
        </is>
      </c>
      <c r="S3848" s="70" t="n">
        <v>733</v>
      </c>
      <c r="T3848" s="71" t="n">
        <v>57209.38</v>
      </c>
      <c r="U3848" t="inlineStr">
        <is>
          <t>High</t>
        </is>
      </c>
      <c r="V3848">
        <f>IF(AND(OR(Dashboard!$C$6="All",E3848=Dashboard!$C$6),OR(Dashboard!$F$6="All",G3848=Dashboard!$F$6),OR(Dashboard!$I$6="All",H3848=Dashboard!$I$6)),1,0)</f>
        <v/>
      </c>
    </row>
    <row r="3849">
      <c r="A3849" t="inlineStr">
        <is>
          <t>PF103840</t>
        </is>
      </c>
      <c r="B3849" s="68" t="n">
        <v>46119</v>
      </c>
      <c r="C3849" s="69" t="n">
        <v>2026</v>
      </c>
      <c r="D3849" t="inlineStr">
        <is>
          <t>Apr</t>
        </is>
      </c>
      <c r="E3849" t="inlineStr">
        <is>
          <t>United States</t>
        </is>
      </c>
      <c r="F3849" t="inlineStr">
        <is>
          <t>USA</t>
        </is>
      </c>
      <c r="G3849" t="inlineStr">
        <is>
          <t>Eliquis</t>
        </is>
      </c>
      <c r="H3849" t="inlineStr">
        <is>
          <t>Hospital</t>
        </is>
      </c>
      <c r="I3849" t="inlineStr">
        <is>
          <t>Private insurer</t>
        </is>
      </c>
      <c r="J3849" t="inlineStr">
        <is>
          <t>Olivia Brown</t>
        </is>
      </c>
      <c r="K3849" s="70" t="n">
        <v>984</v>
      </c>
      <c r="L3849" s="71" t="n">
        <v>739.5599999999999</v>
      </c>
      <c r="M3849" s="71" t="n">
        <v>727727.04</v>
      </c>
      <c r="N3849" s="71" t="n">
        <v>181931.76</v>
      </c>
      <c r="O3849" s="71" t="n">
        <v>545795.28</v>
      </c>
      <c r="P3849" s="71" t="n">
        <v>77086.7</v>
      </c>
      <c r="Q3849" s="71" t="n">
        <v>468708.58</v>
      </c>
      <c r="R3849" t="inlineStr">
        <is>
          <t>Cardiology</t>
        </is>
      </c>
      <c r="S3849" s="70" t="n">
        <v>949</v>
      </c>
      <c r="T3849" s="71" t="n">
        <v>136592.78</v>
      </c>
      <c r="U3849" t="inlineStr">
        <is>
          <t>High</t>
        </is>
      </c>
      <c r="V3849">
        <f>IF(AND(OR(Dashboard!$C$6="All",E3849=Dashboard!$C$6),OR(Dashboard!$F$6="All",G3849=Dashboard!$F$6),OR(Dashboard!$I$6="All",H3849=Dashboard!$I$6)),1,0)</f>
        <v/>
      </c>
    </row>
    <row r="3850">
      <c r="A3850" t="inlineStr">
        <is>
          <t>PF103841</t>
        </is>
      </c>
      <c r="B3850" s="68" t="n">
        <v>46119</v>
      </c>
      <c r="C3850" s="69" t="n">
        <v>2026</v>
      </c>
      <c r="D3850" t="inlineStr">
        <is>
          <t>Apr</t>
        </is>
      </c>
      <c r="E3850" t="inlineStr">
        <is>
          <t>Emerging markets</t>
        </is>
      </c>
      <c r="F3850" t="inlineStr">
        <is>
          <t>Mexico</t>
        </is>
      </c>
      <c r="G3850" t="inlineStr">
        <is>
          <t>Eliquis</t>
        </is>
      </c>
      <c r="H3850" t="inlineStr">
        <is>
          <t>Government / tender</t>
        </is>
      </c>
      <c r="I3850" t="inlineStr">
        <is>
          <t>Private insurer</t>
        </is>
      </c>
      <c r="J3850" t="inlineStr">
        <is>
          <t>Emma Clarke</t>
        </is>
      </c>
      <c r="K3850" s="70" t="n">
        <v>2656</v>
      </c>
      <c r="L3850" s="71" t="n">
        <v>471.46</v>
      </c>
      <c r="M3850" s="71" t="n">
        <v>1252197.76</v>
      </c>
      <c r="N3850" s="71" t="n">
        <v>187829.66</v>
      </c>
      <c r="O3850" s="71" t="n">
        <v>1064368.1</v>
      </c>
      <c r="P3850" s="71" t="n">
        <v>195439.96</v>
      </c>
      <c r="Q3850" s="71" t="n">
        <v>868928.14</v>
      </c>
      <c r="R3850" t="inlineStr">
        <is>
          <t>Cardiology</t>
        </is>
      </c>
      <c r="S3850" s="70" t="n">
        <v>1929</v>
      </c>
      <c r="T3850" s="71" t="n">
        <v>240794.41</v>
      </c>
      <c r="U3850" t="inlineStr">
        <is>
          <t>High</t>
        </is>
      </c>
      <c r="V3850">
        <f>IF(AND(OR(Dashboard!$C$6="All",E3850=Dashboard!$C$6),OR(Dashboard!$F$6="All",G3850=Dashboard!$F$6),OR(Dashboard!$I$6="All",H3850=Dashboard!$I$6)),1,0)</f>
        <v/>
      </c>
    </row>
    <row r="3851">
      <c r="A3851" t="inlineStr">
        <is>
          <t>PF103842</t>
        </is>
      </c>
      <c r="B3851" s="68" t="n">
        <v>46119</v>
      </c>
      <c r="C3851" s="69" t="n">
        <v>2026</v>
      </c>
      <c r="D3851" t="inlineStr">
        <is>
          <t>Apr</t>
        </is>
      </c>
      <c r="E3851" t="inlineStr">
        <is>
          <t>Europe</t>
        </is>
      </c>
      <c r="F3851" t="inlineStr">
        <is>
          <t>UK</t>
        </is>
      </c>
      <c r="G3851" t="inlineStr">
        <is>
          <t>Abrysvo</t>
        </is>
      </c>
      <c r="H3851" t="inlineStr">
        <is>
          <t>Retail pharmacy</t>
        </is>
      </c>
      <c r="I3851" t="inlineStr">
        <is>
          <t>Public payer</t>
        </is>
      </c>
      <c r="J3851" t="inlineStr">
        <is>
          <t>Noah Smith</t>
        </is>
      </c>
      <c r="K3851" s="70" t="n">
        <v>1165</v>
      </c>
      <c r="L3851" s="71" t="n">
        <v>297.1</v>
      </c>
      <c r="M3851" s="71" t="n">
        <v>346121.5</v>
      </c>
      <c r="N3851" s="71" t="n">
        <v>51918.22</v>
      </c>
      <c r="O3851" s="71" t="n">
        <v>294203.28</v>
      </c>
      <c r="P3851" s="71" t="n">
        <v>100442.84</v>
      </c>
      <c r="Q3851" s="71" t="n">
        <v>193760.44</v>
      </c>
      <c r="R3851" t="inlineStr">
        <is>
          <t>Vaccines</t>
        </is>
      </c>
      <c r="S3851" s="70" t="n">
        <v>867</v>
      </c>
      <c r="T3851" s="71" t="n">
        <v>46606.28</v>
      </c>
      <c r="U3851" t="inlineStr">
        <is>
          <t>Low</t>
        </is>
      </c>
      <c r="V3851">
        <f>IF(AND(OR(Dashboard!$C$6="All",E3851=Dashboard!$C$6),OR(Dashboard!$F$6="All",G3851=Dashboard!$F$6),OR(Dashboard!$I$6="All",H3851=Dashboard!$I$6)),1,0)</f>
        <v/>
      </c>
    </row>
    <row r="3852">
      <c r="A3852" t="inlineStr">
        <is>
          <t>PF103843</t>
        </is>
      </c>
      <c r="B3852" s="68" t="n">
        <v>46120</v>
      </c>
      <c r="C3852" s="69" t="n">
        <v>2026</v>
      </c>
      <c r="D3852" t="inlineStr">
        <is>
          <t>Apr</t>
        </is>
      </c>
      <c r="E3852" t="inlineStr">
        <is>
          <t>United States</t>
        </is>
      </c>
      <c r="F3852" t="inlineStr">
        <is>
          <t>USA</t>
        </is>
      </c>
      <c r="G3852" t="inlineStr">
        <is>
          <t>Ibrance</t>
        </is>
      </c>
      <c r="H3852" t="inlineStr">
        <is>
          <t>Retail pharmacy</t>
        </is>
      </c>
      <c r="I3852" t="inlineStr">
        <is>
          <t>Private insurer</t>
        </is>
      </c>
      <c r="J3852" t="inlineStr">
        <is>
          <t>Sophie Müller</t>
        </is>
      </c>
      <c r="K3852" s="70" t="n">
        <v>2247</v>
      </c>
      <c r="L3852" s="71" t="n">
        <v>4797.9</v>
      </c>
      <c r="M3852" s="71" t="n">
        <v>10780881.3</v>
      </c>
      <c r="N3852" s="71" t="n">
        <v>2156176.26</v>
      </c>
      <c r="O3852" s="71" t="n">
        <v>8624705.039999999</v>
      </c>
      <c r="P3852" s="71" t="n">
        <v>938681.74</v>
      </c>
      <c r="Q3852" s="71" t="n">
        <v>7686023.3</v>
      </c>
      <c r="R3852" t="inlineStr">
        <is>
          <t>Oncology</t>
        </is>
      </c>
      <c r="S3852" s="70" t="n">
        <v>1422</v>
      </c>
      <c r="T3852" s="71" t="n">
        <v>1543331.59</v>
      </c>
      <c r="U3852" t="inlineStr">
        <is>
          <t>High</t>
        </is>
      </c>
      <c r="V3852">
        <f>IF(AND(OR(Dashboard!$C$6="All",E3852=Dashboard!$C$6),OR(Dashboard!$F$6="All",G3852=Dashboard!$F$6),OR(Dashboard!$I$6="All",H3852=Dashboard!$I$6)),1,0)</f>
        <v/>
      </c>
    </row>
    <row r="3853">
      <c r="A3853" t="inlineStr">
        <is>
          <t>PF103844</t>
        </is>
      </c>
      <c r="B3853" s="68" t="n">
        <v>46120</v>
      </c>
      <c r="C3853" s="69" t="n">
        <v>2026</v>
      </c>
      <c r="D3853" t="inlineStr">
        <is>
          <t>Apr</t>
        </is>
      </c>
      <c r="E3853" t="inlineStr">
        <is>
          <t>United States</t>
        </is>
      </c>
      <c r="F3853" t="inlineStr">
        <is>
          <t>USA</t>
        </is>
      </c>
      <c r="G3853" t="inlineStr">
        <is>
          <t>Paxlovid</t>
        </is>
      </c>
      <c r="H3853" t="inlineStr">
        <is>
          <t>Government / tender</t>
        </is>
      </c>
      <c r="I3853" t="inlineStr">
        <is>
          <t>Private insurer</t>
        </is>
      </c>
      <c r="J3853" t="inlineStr">
        <is>
          <t>Zoya Ahmed</t>
        </is>
      </c>
      <c r="K3853" s="70" t="n">
        <v>1803</v>
      </c>
      <c r="L3853" s="71" t="n">
        <v>1472.83</v>
      </c>
      <c r="M3853" s="71" t="n">
        <v>2655512.49</v>
      </c>
      <c r="N3853" s="71" t="n">
        <v>929429.37</v>
      </c>
      <c r="O3853" s="71" t="n">
        <v>1726083.12</v>
      </c>
      <c r="P3853" s="71" t="n">
        <v>483051.26</v>
      </c>
      <c r="Q3853" s="71" t="n">
        <v>1243031.86</v>
      </c>
      <c r="R3853" t="inlineStr">
        <is>
          <t>Antiviral</t>
        </is>
      </c>
      <c r="S3853" s="70" t="n">
        <v>1281</v>
      </c>
      <c r="T3853" s="71" t="n">
        <v>530395.37</v>
      </c>
      <c r="U3853" t="inlineStr">
        <is>
          <t>Low</t>
        </is>
      </c>
      <c r="V3853">
        <f>IF(AND(OR(Dashboard!$C$6="All",E3853=Dashboard!$C$6),OR(Dashboard!$F$6="All",G3853=Dashboard!$F$6),OR(Dashboard!$I$6="All",H3853=Dashboard!$I$6)),1,0)</f>
        <v/>
      </c>
    </row>
    <row r="3854">
      <c r="A3854" t="inlineStr">
        <is>
          <t>PF103845</t>
        </is>
      </c>
      <c r="B3854" s="68" t="n">
        <v>46120</v>
      </c>
      <c r="C3854" s="69" t="n">
        <v>2026</v>
      </c>
      <c r="D3854" t="inlineStr">
        <is>
          <t>Apr</t>
        </is>
      </c>
      <c r="E3854" t="inlineStr">
        <is>
          <t>United States</t>
        </is>
      </c>
      <c r="F3854" t="inlineStr">
        <is>
          <t>USA</t>
        </is>
      </c>
      <c r="G3854" t="inlineStr">
        <is>
          <t>Eliquis</t>
        </is>
      </c>
      <c r="H3854" t="inlineStr">
        <is>
          <t>Retail pharmacy</t>
        </is>
      </c>
      <c r="I3854" t="inlineStr">
        <is>
          <t>Private insurer</t>
        </is>
      </c>
      <c r="J3854" t="inlineStr">
        <is>
          <t>Carlos Silva</t>
        </is>
      </c>
      <c r="K3854" s="70" t="n">
        <v>2560</v>
      </c>
      <c r="L3854" s="71" t="n">
        <v>687.75</v>
      </c>
      <c r="M3854" s="71" t="n">
        <v>1760640</v>
      </c>
      <c r="N3854" s="71" t="n">
        <v>264096</v>
      </c>
      <c r="O3854" s="71" t="n">
        <v>1496544</v>
      </c>
      <c r="P3854" s="71" t="n">
        <v>186283.58</v>
      </c>
      <c r="Q3854" s="71" t="n">
        <v>1310260.42</v>
      </c>
      <c r="R3854" t="inlineStr">
        <is>
          <t>Cardiology</t>
        </is>
      </c>
      <c r="S3854" s="70" t="n">
        <v>1785</v>
      </c>
      <c r="T3854" s="71" t="n">
        <v>270159.59</v>
      </c>
      <c r="U3854" t="inlineStr">
        <is>
          <t>High</t>
        </is>
      </c>
      <c r="V3854">
        <f>IF(AND(OR(Dashboard!$C$6="All",E3854=Dashboard!$C$6),OR(Dashboard!$F$6="All",G3854=Dashboard!$F$6),OR(Dashboard!$I$6="All",H3854=Dashboard!$I$6)),1,0)</f>
        <v/>
      </c>
    </row>
    <row r="3855">
      <c r="A3855" t="inlineStr">
        <is>
          <t>PF103846</t>
        </is>
      </c>
      <c r="B3855" s="68" t="n">
        <v>46120</v>
      </c>
      <c r="C3855" s="69" t="n">
        <v>2026</v>
      </c>
      <c r="D3855" t="inlineStr">
        <is>
          <t>Apr</t>
        </is>
      </c>
      <c r="E3855" t="inlineStr">
        <is>
          <t>Europe</t>
        </is>
      </c>
      <c r="F3855" t="inlineStr">
        <is>
          <t>Italy</t>
        </is>
      </c>
      <c r="G3855" t="inlineStr">
        <is>
          <t>Prevnar 20</t>
        </is>
      </c>
      <c r="H3855" t="inlineStr">
        <is>
          <t>Hospital</t>
        </is>
      </c>
      <c r="I3855" t="inlineStr">
        <is>
          <t>Private insurer</t>
        </is>
      </c>
      <c r="J3855" t="inlineStr">
        <is>
          <t>Carlos Silva</t>
        </is>
      </c>
      <c r="K3855" s="70" t="n">
        <v>151</v>
      </c>
      <c r="L3855" s="71" t="n">
        <v>240.88</v>
      </c>
      <c r="M3855" s="71" t="n">
        <v>36372.88</v>
      </c>
      <c r="N3855" s="71" t="n">
        <v>1818.64</v>
      </c>
      <c r="O3855" s="71" t="n">
        <v>34554.24</v>
      </c>
      <c r="P3855" s="71" t="n">
        <v>10192.01</v>
      </c>
      <c r="Q3855" s="71" t="n">
        <v>24362.23</v>
      </c>
      <c r="R3855" t="inlineStr">
        <is>
          <t>Vaccines</t>
        </is>
      </c>
      <c r="S3855" s="70" t="n">
        <v>141</v>
      </c>
      <c r="T3855" s="71" t="n">
        <v>4534.96</v>
      </c>
      <c r="U3855" t="inlineStr">
        <is>
          <t>Low</t>
        </is>
      </c>
      <c r="V3855">
        <f>IF(AND(OR(Dashboard!$C$6="All",E3855=Dashboard!$C$6),OR(Dashboard!$F$6="All",G3855=Dashboard!$F$6),OR(Dashboard!$I$6="All",H3855=Dashboard!$I$6)),1,0)</f>
        <v/>
      </c>
    </row>
    <row r="3856">
      <c r="A3856" t="inlineStr">
        <is>
          <t>PF103847</t>
        </is>
      </c>
      <c r="B3856" s="68" t="n">
        <v>46120</v>
      </c>
      <c r="C3856" s="69" t="n">
        <v>2026</v>
      </c>
      <c r="D3856" t="inlineStr">
        <is>
          <t>Apr</t>
        </is>
      </c>
      <c r="E3856" t="inlineStr">
        <is>
          <t>Emerging markets</t>
        </is>
      </c>
      <c r="F3856" t="inlineStr">
        <is>
          <t>China</t>
        </is>
      </c>
      <c r="G3856" t="inlineStr">
        <is>
          <t>Eliquis</t>
        </is>
      </c>
      <c r="H3856" t="inlineStr">
        <is>
          <t>Retail pharmacy</t>
        </is>
      </c>
      <c r="I3856" t="inlineStr">
        <is>
          <t>Self-pay</t>
        </is>
      </c>
      <c r="J3856" t="inlineStr">
        <is>
          <t>Yuki Sato</t>
        </is>
      </c>
      <c r="K3856" s="70" t="n">
        <v>1977</v>
      </c>
      <c r="L3856" s="71" t="n">
        <v>428.03</v>
      </c>
      <c r="M3856" s="71" t="n">
        <v>846215.3100000001</v>
      </c>
      <c r="N3856" s="71" t="n">
        <v>84621.53</v>
      </c>
      <c r="O3856" s="71" t="n">
        <v>761593.78</v>
      </c>
      <c r="P3856" s="71" t="n">
        <v>155000.34</v>
      </c>
      <c r="Q3856" s="71" t="n">
        <v>606593.4399999999</v>
      </c>
      <c r="R3856" t="inlineStr">
        <is>
          <t>Cardiology</t>
        </is>
      </c>
      <c r="S3856" s="70" t="n">
        <v>1767</v>
      </c>
      <c r="T3856" s="71" t="n">
        <v>177101.51</v>
      </c>
      <c r="U3856" t="inlineStr">
        <is>
          <t>High</t>
        </is>
      </c>
      <c r="V3856">
        <f>IF(AND(OR(Dashboard!$C$6="All",E3856=Dashboard!$C$6),OR(Dashboard!$F$6="All",G3856=Dashboard!$F$6),OR(Dashboard!$I$6="All",H3856=Dashboard!$I$6)),1,0)</f>
        <v/>
      </c>
    </row>
    <row r="3857">
      <c r="A3857" t="inlineStr">
        <is>
          <t>PF103848</t>
        </is>
      </c>
      <c r="B3857" s="68" t="n">
        <v>46120</v>
      </c>
      <c r="C3857" s="69" t="n">
        <v>2026</v>
      </c>
      <c r="D3857" t="inlineStr">
        <is>
          <t>Apr</t>
        </is>
      </c>
      <c r="E3857" t="inlineStr">
        <is>
          <t>United States</t>
        </is>
      </c>
      <c r="F3857" t="inlineStr">
        <is>
          <t>USA</t>
        </is>
      </c>
      <c r="G3857" t="inlineStr">
        <is>
          <t>Eliquis</t>
        </is>
      </c>
      <c r="H3857" t="inlineStr">
        <is>
          <t>Retail pharmacy</t>
        </is>
      </c>
      <c r="I3857" t="inlineStr">
        <is>
          <t>Private insurer</t>
        </is>
      </c>
      <c r="J3857" t="inlineStr">
        <is>
          <t>Noah Smith</t>
        </is>
      </c>
      <c r="K3857" s="70" t="n">
        <v>404</v>
      </c>
      <c r="L3857" s="71" t="n">
        <v>661.03</v>
      </c>
      <c r="M3857" s="71" t="n">
        <v>267056.12</v>
      </c>
      <c r="N3857" s="71" t="n">
        <v>53411.22</v>
      </c>
      <c r="O3857" s="71" t="n">
        <v>213644.9</v>
      </c>
      <c r="P3857" s="71" t="n">
        <v>31077.43</v>
      </c>
      <c r="Q3857" s="71" t="n">
        <v>182567.47</v>
      </c>
      <c r="R3857" t="inlineStr">
        <is>
          <t>Cardiology</t>
        </is>
      </c>
      <c r="S3857" s="70" t="n">
        <v>382</v>
      </c>
      <c r="T3857" s="71" t="n">
        <v>43122.02</v>
      </c>
      <c r="U3857" t="inlineStr">
        <is>
          <t>High</t>
        </is>
      </c>
      <c r="V3857">
        <f>IF(AND(OR(Dashboard!$C$6="All",E3857=Dashboard!$C$6),OR(Dashboard!$F$6="All",G3857=Dashboard!$F$6),OR(Dashboard!$I$6="All",H3857=Dashboard!$I$6)),1,0)</f>
        <v/>
      </c>
    </row>
    <row r="3858">
      <c r="A3858" t="inlineStr">
        <is>
          <t>PF103849</t>
        </is>
      </c>
      <c r="B3858" s="68" t="n">
        <v>46120</v>
      </c>
      <c r="C3858" s="69" t="n">
        <v>2026</v>
      </c>
      <c r="D3858" t="inlineStr">
        <is>
          <t>Apr</t>
        </is>
      </c>
      <c r="E3858" t="inlineStr">
        <is>
          <t>Emerging markets</t>
        </is>
      </c>
      <c r="F3858" t="inlineStr">
        <is>
          <t>India</t>
        </is>
      </c>
      <c r="G3858" t="inlineStr">
        <is>
          <t>Xeljanz</t>
        </is>
      </c>
      <c r="H3858" t="inlineStr">
        <is>
          <t>Retail pharmacy</t>
        </is>
      </c>
      <c r="I3858" t="inlineStr">
        <is>
          <t>Public payer</t>
        </is>
      </c>
      <c r="J3858" t="inlineStr">
        <is>
          <t>Ravindra Patil</t>
        </is>
      </c>
      <c r="K3858" s="70" t="n">
        <v>1655</v>
      </c>
      <c r="L3858" s="71" t="n">
        <v>1360.74</v>
      </c>
      <c r="M3858" s="71" t="n">
        <v>2252024.7</v>
      </c>
      <c r="N3858" s="71" t="n">
        <v>225202.47</v>
      </c>
      <c r="O3858" s="71" t="n">
        <v>2026822.23</v>
      </c>
      <c r="P3858" s="71" t="n">
        <v>432282.08</v>
      </c>
      <c r="Q3858" s="71" t="n">
        <v>1594540.15</v>
      </c>
      <c r="R3858" t="inlineStr">
        <is>
          <t>Inflammation</t>
        </is>
      </c>
      <c r="S3858" s="70" t="n">
        <v>1109</v>
      </c>
      <c r="T3858" s="71" t="n">
        <v>301072.55</v>
      </c>
      <c r="U3858" t="inlineStr">
        <is>
          <t>High</t>
        </is>
      </c>
      <c r="V3858">
        <f>IF(AND(OR(Dashboard!$C$6="All",E3858=Dashboard!$C$6),OR(Dashboard!$F$6="All",G3858=Dashboard!$F$6),OR(Dashboard!$I$6="All",H3858=Dashboard!$I$6)),1,0)</f>
        <v/>
      </c>
    </row>
    <row r="3859">
      <c r="A3859" t="inlineStr">
        <is>
          <t>PF103850</t>
        </is>
      </c>
      <c r="B3859" s="68" t="n">
        <v>46120</v>
      </c>
      <c r="C3859" s="69" t="n">
        <v>2026</v>
      </c>
      <c r="D3859" t="inlineStr">
        <is>
          <t>Apr</t>
        </is>
      </c>
      <c r="E3859" t="inlineStr">
        <is>
          <t>Emerging markets</t>
        </is>
      </c>
      <c r="F3859" t="inlineStr">
        <is>
          <t>Mexico</t>
        </is>
      </c>
      <c r="G3859" t="inlineStr">
        <is>
          <t>Eliquis</t>
        </is>
      </c>
      <c r="H3859" t="inlineStr">
        <is>
          <t>Retail pharmacy</t>
        </is>
      </c>
      <c r="I3859" t="inlineStr">
        <is>
          <t>Private insurer</t>
        </is>
      </c>
      <c r="J3859" t="inlineStr">
        <is>
          <t>Arjun Mehta</t>
        </is>
      </c>
      <c r="K3859" s="70" t="n">
        <v>2455</v>
      </c>
      <c r="L3859" s="71" t="n">
        <v>432.78</v>
      </c>
      <c r="M3859" s="71" t="n">
        <v>1062474.9</v>
      </c>
      <c r="N3859" s="71" t="n">
        <v>159371.23</v>
      </c>
      <c r="O3859" s="71" t="n">
        <v>903103.67</v>
      </c>
      <c r="P3859" s="71" t="n">
        <v>180812.01</v>
      </c>
      <c r="Q3859" s="71" t="n">
        <v>722291.66</v>
      </c>
      <c r="R3859" t="inlineStr">
        <is>
          <t>Cardiology</t>
        </is>
      </c>
      <c r="S3859" s="70" t="n">
        <v>1693</v>
      </c>
      <c r="T3859" s="71" t="n">
        <v>189271.71</v>
      </c>
      <c r="U3859" t="inlineStr">
        <is>
          <t>High</t>
        </is>
      </c>
      <c r="V3859">
        <f>IF(AND(OR(Dashboard!$C$6="All",E3859=Dashboard!$C$6),OR(Dashboard!$F$6="All",G3859=Dashboard!$F$6),OR(Dashboard!$I$6="All",H3859=Dashboard!$I$6)),1,0)</f>
        <v/>
      </c>
    </row>
    <row r="3860">
      <c r="A3860" t="inlineStr">
        <is>
          <t>PF103851</t>
        </is>
      </c>
      <c r="B3860" s="68" t="n">
        <v>46120</v>
      </c>
      <c r="C3860" s="69" t="n">
        <v>2026</v>
      </c>
      <c r="D3860" t="inlineStr">
        <is>
          <t>Apr</t>
        </is>
      </c>
      <c r="E3860" t="inlineStr">
        <is>
          <t>United States</t>
        </is>
      </c>
      <c r="F3860" t="inlineStr">
        <is>
          <t>USA</t>
        </is>
      </c>
      <c r="G3860" t="inlineStr">
        <is>
          <t>Eliquis</t>
        </is>
      </c>
      <c r="H3860" t="inlineStr">
        <is>
          <t>Retail pharmacy</t>
        </is>
      </c>
      <c r="I3860" t="inlineStr">
        <is>
          <t>Public payer</t>
        </is>
      </c>
      <c r="J3860" t="inlineStr">
        <is>
          <t>Ravindra Patil</t>
        </is>
      </c>
      <c r="K3860" s="70" t="n">
        <v>2691</v>
      </c>
      <c r="L3860" s="71" t="n">
        <v>760.5599999999999</v>
      </c>
      <c r="M3860" s="71" t="n">
        <v>2046666.96</v>
      </c>
      <c r="N3860" s="71" t="n">
        <v>511666.74</v>
      </c>
      <c r="O3860" s="71" t="n">
        <v>1535000.22</v>
      </c>
      <c r="P3860" s="71" t="n">
        <v>201520.09</v>
      </c>
      <c r="Q3860" s="71" t="n">
        <v>1333480.13</v>
      </c>
      <c r="R3860" t="inlineStr">
        <is>
          <t>Cardiology</t>
        </is>
      </c>
      <c r="S3860" s="70" t="n">
        <v>2320</v>
      </c>
      <c r="T3860" s="71" t="n">
        <v>295789.14</v>
      </c>
      <c r="U3860" t="inlineStr">
        <is>
          <t>High</t>
        </is>
      </c>
      <c r="V3860">
        <f>IF(AND(OR(Dashboard!$C$6="All",E3860=Dashboard!$C$6),OR(Dashboard!$F$6="All",G3860=Dashboard!$F$6),OR(Dashboard!$I$6="All",H3860=Dashboard!$I$6)),1,0)</f>
        <v/>
      </c>
    </row>
    <row r="3861">
      <c r="A3861" t="inlineStr">
        <is>
          <t>PF103852</t>
        </is>
      </c>
      <c r="B3861" s="68" t="n">
        <v>46121</v>
      </c>
      <c r="C3861" s="69" t="n">
        <v>2026</v>
      </c>
      <c r="D3861" t="inlineStr">
        <is>
          <t>Apr</t>
        </is>
      </c>
      <c r="E3861" t="inlineStr">
        <is>
          <t>Europe</t>
        </is>
      </c>
      <c r="F3861" t="inlineStr">
        <is>
          <t>Germany</t>
        </is>
      </c>
      <c r="G3861" t="inlineStr">
        <is>
          <t>Xeljanz</t>
        </is>
      </c>
      <c r="H3861" t="inlineStr">
        <is>
          <t>Retail pharmacy</t>
        </is>
      </c>
      <c r="I3861" t="inlineStr">
        <is>
          <t>Private insurer</t>
        </is>
      </c>
      <c r="J3861" t="inlineStr">
        <is>
          <t>Liam O'Brien</t>
        </is>
      </c>
      <c r="K3861" s="70" t="n">
        <v>887</v>
      </c>
      <c r="L3861" s="71" t="n">
        <v>1241.96</v>
      </c>
      <c r="M3861" s="71" t="n">
        <v>1101618.52</v>
      </c>
      <c r="N3861" s="71" t="n">
        <v>110161.85</v>
      </c>
      <c r="O3861" s="71" t="n">
        <v>991456.67</v>
      </c>
      <c r="P3861" s="71" t="n">
        <v>232122.66</v>
      </c>
      <c r="Q3861" s="71" t="n">
        <v>759334.01</v>
      </c>
      <c r="R3861" t="inlineStr">
        <is>
          <t>Inflammation</t>
        </is>
      </c>
      <c r="S3861" s="70" t="n">
        <v>652</v>
      </c>
      <c r="T3861" s="71" t="n">
        <v>226667.46</v>
      </c>
      <c r="U3861" t="inlineStr">
        <is>
          <t>High</t>
        </is>
      </c>
      <c r="V3861">
        <f>IF(AND(OR(Dashboard!$C$6="All",E3861=Dashboard!$C$6),OR(Dashboard!$F$6="All",G3861=Dashboard!$F$6),OR(Dashboard!$I$6="All",H3861=Dashboard!$I$6)),1,0)</f>
        <v/>
      </c>
    </row>
    <row r="3862">
      <c r="A3862" t="inlineStr">
        <is>
          <t>PF103853</t>
        </is>
      </c>
      <c r="B3862" s="68" t="n">
        <v>46121</v>
      </c>
      <c r="C3862" s="69" t="n">
        <v>2026</v>
      </c>
      <c r="D3862" t="inlineStr">
        <is>
          <t>Apr</t>
        </is>
      </c>
      <c r="E3862" t="inlineStr">
        <is>
          <t>Europe</t>
        </is>
      </c>
      <c r="F3862" t="inlineStr">
        <is>
          <t>Spain</t>
        </is>
      </c>
      <c r="G3862" t="inlineStr">
        <is>
          <t>Ibrance</t>
        </is>
      </c>
      <c r="H3862" t="inlineStr">
        <is>
          <t>Retail pharmacy</t>
        </is>
      </c>
      <c r="I3862" t="inlineStr">
        <is>
          <t>Public payer</t>
        </is>
      </c>
      <c r="J3862" t="inlineStr">
        <is>
          <t>Emma Clarke</t>
        </is>
      </c>
      <c r="K3862" s="70" t="n">
        <v>2345</v>
      </c>
      <c r="L3862" s="71" t="n">
        <v>2911.01</v>
      </c>
      <c r="M3862" s="71" t="n">
        <v>6826318.45</v>
      </c>
      <c r="N3862" s="71" t="n">
        <v>682631.85</v>
      </c>
      <c r="O3862" s="71" t="n">
        <v>6143686.6</v>
      </c>
      <c r="P3862" s="71" t="n">
        <v>1022771.38</v>
      </c>
      <c r="Q3862" s="71" t="n">
        <v>5120915.22</v>
      </c>
      <c r="R3862" t="inlineStr">
        <is>
          <t>Oncology</t>
        </is>
      </c>
      <c r="S3862" s="70" t="n">
        <v>1737</v>
      </c>
      <c r="T3862" s="71" t="n">
        <v>1450241.3</v>
      </c>
      <c r="U3862" t="inlineStr">
        <is>
          <t>High</t>
        </is>
      </c>
      <c r="V3862">
        <f>IF(AND(OR(Dashboard!$C$6="All",E3862=Dashboard!$C$6),OR(Dashboard!$F$6="All",G3862=Dashboard!$F$6),OR(Dashboard!$I$6="All",H3862=Dashboard!$I$6)),1,0)</f>
        <v/>
      </c>
    </row>
    <row r="3863">
      <c r="A3863" t="inlineStr">
        <is>
          <t>PF103854</t>
        </is>
      </c>
      <c r="B3863" s="68" t="n">
        <v>46121</v>
      </c>
      <c r="C3863" s="69" t="n">
        <v>2026</v>
      </c>
      <c r="D3863" t="inlineStr">
        <is>
          <t>Apr</t>
        </is>
      </c>
      <c r="E3863" t="inlineStr">
        <is>
          <t>Europe</t>
        </is>
      </c>
      <c r="F3863" t="inlineStr">
        <is>
          <t>Spain</t>
        </is>
      </c>
      <c r="G3863" t="inlineStr">
        <is>
          <t>Comirnaty</t>
        </is>
      </c>
      <c r="H3863" t="inlineStr">
        <is>
          <t>Retail pharmacy</t>
        </is>
      </c>
      <c r="I3863" t="inlineStr">
        <is>
          <t>Self-pay</t>
        </is>
      </c>
      <c r="J3863" t="inlineStr">
        <is>
          <t>Hiroshi Tanaka</t>
        </is>
      </c>
      <c r="K3863" s="70" t="n">
        <v>1325</v>
      </c>
      <c r="L3863" s="71" t="n">
        <v>83.08</v>
      </c>
      <c r="M3863" s="71" t="n">
        <v>110081</v>
      </c>
      <c r="N3863" s="71" t="n">
        <v>22016.2</v>
      </c>
      <c r="O3863" s="71" t="n">
        <v>88064.8</v>
      </c>
      <c r="P3863" s="71" t="n">
        <v>51779.41</v>
      </c>
      <c r="Q3863" s="71" t="n">
        <v>36285.39</v>
      </c>
      <c r="R3863" t="inlineStr">
        <is>
          <t>Vaccines</t>
        </is>
      </c>
      <c r="S3863" s="70" t="n">
        <v>1004</v>
      </c>
      <c r="T3863" s="71" t="n">
        <v>20178.92</v>
      </c>
      <c r="U3863" t="inlineStr">
        <is>
          <t>Low</t>
        </is>
      </c>
      <c r="V3863">
        <f>IF(AND(OR(Dashboard!$C$6="All",E3863=Dashboard!$C$6),OR(Dashboard!$F$6="All",G3863=Dashboard!$F$6),OR(Dashboard!$I$6="All",H3863=Dashboard!$I$6)),1,0)</f>
        <v/>
      </c>
    </row>
    <row r="3864">
      <c r="A3864" t="inlineStr">
        <is>
          <t>PF103855</t>
        </is>
      </c>
      <c r="B3864" s="68" t="n">
        <v>46121</v>
      </c>
      <c r="C3864" s="69" t="n">
        <v>2026</v>
      </c>
      <c r="D3864" t="inlineStr">
        <is>
          <t>Apr</t>
        </is>
      </c>
      <c r="E3864" t="inlineStr">
        <is>
          <t>United States</t>
        </is>
      </c>
      <c r="F3864" t="inlineStr">
        <is>
          <t>USA</t>
        </is>
      </c>
      <c r="G3864" t="inlineStr">
        <is>
          <t>Paxlovid</t>
        </is>
      </c>
      <c r="H3864" t="inlineStr">
        <is>
          <t>Hospital</t>
        </is>
      </c>
      <c r="I3864" t="inlineStr">
        <is>
          <t>Public payer</t>
        </is>
      </c>
      <c r="J3864" t="inlineStr">
        <is>
          <t>Carlos Silva</t>
        </is>
      </c>
      <c r="K3864" s="70" t="n">
        <v>464</v>
      </c>
      <c r="L3864" s="71" t="n">
        <v>1463.87</v>
      </c>
      <c r="M3864" s="71" t="n">
        <v>679235.6800000001</v>
      </c>
      <c r="N3864" s="71" t="n">
        <v>101885.35</v>
      </c>
      <c r="O3864" s="71" t="n">
        <v>577350.33</v>
      </c>
      <c r="P3864" s="71" t="n">
        <v>123765.75</v>
      </c>
      <c r="Q3864" s="71" t="n">
        <v>453584.58</v>
      </c>
      <c r="R3864" t="inlineStr">
        <is>
          <t>Antiviral</t>
        </is>
      </c>
      <c r="S3864" s="70" t="n">
        <v>424</v>
      </c>
      <c r="T3864" s="71" t="n">
        <v>166858.19</v>
      </c>
      <c r="U3864" t="inlineStr">
        <is>
          <t>Low</t>
        </is>
      </c>
      <c r="V3864">
        <f>IF(AND(OR(Dashboard!$C$6="All",E3864=Dashboard!$C$6),OR(Dashboard!$F$6="All",G3864=Dashboard!$F$6),OR(Dashboard!$I$6="All",H3864=Dashboard!$I$6)),1,0)</f>
        <v/>
      </c>
    </row>
    <row r="3865">
      <c r="A3865" t="inlineStr">
        <is>
          <t>PF103856</t>
        </is>
      </c>
      <c r="B3865" s="68" t="n">
        <v>46121</v>
      </c>
      <c r="C3865" s="69" t="n">
        <v>2026</v>
      </c>
      <c r="D3865" t="inlineStr">
        <is>
          <t>Apr</t>
        </is>
      </c>
      <c r="E3865" t="inlineStr">
        <is>
          <t>Europe</t>
        </is>
      </c>
      <c r="F3865" t="inlineStr">
        <is>
          <t>Italy</t>
        </is>
      </c>
      <c r="G3865" t="inlineStr">
        <is>
          <t>Paxlovid</t>
        </is>
      </c>
      <c r="H3865" t="inlineStr">
        <is>
          <t>Hospital</t>
        </is>
      </c>
      <c r="I3865" t="inlineStr">
        <is>
          <t>Public payer</t>
        </is>
      </c>
      <c r="J3865" t="inlineStr">
        <is>
          <t>Kofi Mensah</t>
        </is>
      </c>
      <c r="K3865" s="70" t="n">
        <v>834</v>
      </c>
      <c r="L3865" s="71" t="n">
        <v>975.95</v>
      </c>
      <c r="M3865" s="71" t="n">
        <v>813942.3</v>
      </c>
      <c r="N3865" s="71" t="n">
        <v>81394.23</v>
      </c>
      <c r="O3865" s="71" t="n">
        <v>732548.0699999999</v>
      </c>
      <c r="P3865" s="71" t="n">
        <v>222838.79</v>
      </c>
      <c r="Q3865" s="71" t="n">
        <v>509709.28</v>
      </c>
      <c r="R3865" t="inlineStr">
        <is>
          <t>Antiviral</t>
        </is>
      </c>
      <c r="S3865" s="70" t="n">
        <v>754</v>
      </c>
      <c r="T3865" s="71" t="n">
        <v>152846.42</v>
      </c>
      <c r="U3865" t="inlineStr">
        <is>
          <t>Low</t>
        </is>
      </c>
      <c r="V3865">
        <f>IF(AND(OR(Dashboard!$C$6="All",E3865=Dashboard!$C$6),OR(Dashboard!$F$6="All",G3865=Dashboard!$F$6),OR(Dashboard!$I$6="All",H3865=Dashboard!$I$6)),1,0)</f>
        <v/>
      </c>
    </row>
    <row r="3866">
      <c r="A3866" t="inlineStr">
        <is>
          <t>PF103857</t>
        </is>
      </c>
      <c r="B3866" s="68" t="n">
        <v>46121</v>
      </c>
      <c r="C3866" s="69" t="n">
        <v>2026</v>
      </c>
      <c r="D3866" t="inlineStr">
        <is>
          <t>Apr</t>
        </is>
      </c>
      <c r="E3866" t="inlineStr">
        <is>
          <t>United States</t>
        </is>
      </c>
      <c r="F3866" t="inlineStr">
        <is>
          <t>USA</t>
        </is>
      </c>
      <c r="G3866" t="inlineStr">
        <is>
          <t>Xeljanz</t>
        </is>
      </c>
      <c r="H3866" t="inlineStr">
        <is>
          <t>Hospital</t>
        </is>
      </c>
      <c r="I3866" t="inlineStr">
        <is>
          <t>Private insurer</t>
        </is>
      </c>
      <c r="J3866" t="inlineStr">
        <is>
          <t>Shraddha Kulkarni</t>
        </is>
      </c>
      <c r="K3866" s="70" t="n">
        <v>252</v>
      </c>
      <c r="L3866" s="71" t="n">
        <v>1942.64</v>
      </c>
      <c r="M3866" s="71" t="n">
        <v>489545.28</v>
      </c>
      <c r="N3866" s="71" t="n">
        <v>171340.85</v>
      </c>
      <c r="O3866" s="71" t="n">
        <v>318204.43</v>
      </c>
      <c r="P3866" s="71" t="n">
        <v>62954.52</v>
      </c>
      <c r="Q3866" s="71" t="n">
        <v>255249.91</v>
      </c>
      <c r="R3866" t="inlineStr">
        <is>
          <t>Inflammation</t>
        </is>
      </c>
      <c r="S3866" s="70" t="n">
        <v>201</v>
      </c>
      <c r="T3866" s="71" t="n">
        <v>107881.91</v>
      </c>
      <c r="U3866" t="inlineStr">
        <is>
          <t>High</t>
        </is>
      </c>
      <c r="V3866">
        <f>IF(AND(OR(Dashboard!$C$6="All",E3866=Dashboard!$C$6),OR(Dashboard!$F$6="All",G3866=Dashboard!$F$6),OR(Dashboard!$I$6="All",H3866=Dashboard!$I$6)),1,0)</f>
        <v/>
      </c>
    </row>
    <row r="3867">
      <c r="A3867" t="inlineStr">
        <is>
          <t>PF103858</t>
        </is>
      </c>
      <c r="B3867" s="68" t="n">
        <v>46121</v>
      </c>
      <c r="C3867" s="69" t="n">
        <v>2026</v>
      </c>
      <c r="D3867" t="inlineStr">
        <is>
          <t>Apr</t>
        </is>
      </c>
      <c r="E3867" t="inlineStr">
        <is>
          <t>International developed</t>
        </is>
      </c>
      <c r="F3867" t="inlineStr">
        <is>
          <t>Canada</t>
        </is>
      </c>
      <c r="G3867" t="inlineStr">
        <is>
          <t>Paxlovid</t>
        </is>
      </c>
      <c r="H3867" t="inlineStr">
        <is>
          <t>Retail pharmacy</t>
        </is>
      </c>
      <c r="I3867" t="inlineStr">
        <is>
          <t>Private insurer</t>
        </is>
      </c>
      <c r="J3867" t="inlineStr">
        <is>
          <t>Arjun Mehta</t>
        </is>
      </c>
      <c r="K3867" s="70" t="n">
        <v>2420</v>
      </c>
      <c r="L3867" s="71" t="n">
        <v>954.34</v>
      </c>
      <c r="M3867" s="71" t="n">
        <v>2309502.8</v>
      </c>
      <c r="N3867" s="71" t="n">
        <v>461900.56</v>
      </c>
      <c r="O3867" s="71" t="n">
        <v>1847602.24</v>
      </c>
      <c r="P3867" s="71" t="n">
        <v>640580.8199999999</v>
      </c>
      <c r="Q3867" s="71" t="n">
        <v>1207021.42</v>
      </c>
      <c r="R3867" t="inlineStr">
        <is>
          <t>Antiviral</t>
        </is>
      </c>
      <c r="S3867" s="70" t="n">
        <v>1677</v>
      </c>
      <c r="T3867" s="71" t="n">
        <v>588391.2</v>
      </c>
      <c r="U3867" t="inlineStr">
        <is>
          <t>Low</t>
        </is>
      </c>
      <c r="V3867">
        <f>IF(AND(OR(Dashboard!$C$6="All",E3867=Dashboard!$C$6),OR(Dashboard!$F$6="All",G3867=Dashboard!$F$6),OR(Dashboard!$I$6="All",H3867=Dashboard!$I$6)),1,0)</f>
        <v/>
      </c>
    </row>
    <row r="3868">
      <c r="A3868" t="inlineStr">
        <is>
          <t>PF103859</t>
        </is>
      </c>
      <c r="B3868" s="68" t="n">
        <v>46122</v>
      </c>
      <c r="C3868" s="69" t="n">
        <v>2026</v>
      </c>
      <c r="D3868" t="inlineStr">
        <is>
          <t>Apr</t>
        </is>
      </c>
      <c r="E3868" t="inlineStr">
        <is>
          <t>United States</t>
        </is>
      </c>
      <c r="F3868" t="inlineStr">
        <is>
          <t>USA</t>
        </is>
      </c>
      <c r="G3868" t="inlineStr">
        <is>
          <t>Xeljanz</t>
        </is>
      </c>
      <c r="H3868" t="inlineStr">
        <is>
          <t>Hospital</t>
        </is>
      </c>
      <c r="I3868" t="inlineStr">
        <is>
          <t>Public payer</t>
        </is>
      </c>
      <c r="J3868" t="inlineStr">
        <is>
          <t>Wei Chen</t>
        </is>
      </c>
      <c r="K3868" s="70" t="n">
        <v>932</v>
      </c>
      <c r="L3868" s="71" t="n">
        <v>2140.37</v>
      </c>
      <c r="M3868" s="71" t="n">
        <v>1994824.84</v>
      </c>
      <c r="N3868" s="71" t="n">
        <v>498706.21</v>
      </c>
      <c r="O3868" s="71" t="n">
        <v>1496118.63</v>
      </c>
      <c r="P3868" s="71" t="n">
        <v>229799.75</v>
      </c>
      <c r="Q3868" s="71" t="n">
        <v>1266318.88</v>
      </c>
      <c r="R3868" t="inlineStr">
        <is>
          <t>Inflammation</t>
        </is>
      </c>
      <c r="S3868" s="70" t="n">
        <v>624</v>
      </c>
      <c r="T3868" s="71" t="n">
        <v>285049.74</v>
      </c>
      <c r="U3868" t="inlineStr">
        <is>
          <t>High</t>
        </is>
      </c>
      <c r="V3868">
        <f>IF(AND(OR(Dashboard!$C$6="All",E3868=Dashboard!$C$6),OR(Dashboard!$F$6="All",G3868=Dashboard!$F$6),OR(Dashboard!$I$6="All",H3868=Dashboard!$I$6)),1,0)</f>
        <v/>
      </c>
    </row>
    <row r="3869">
      <c r="A3869" t="inlineStr">
        <is>
          <t>PF103860</t>
        </is>
      </c>
      <c r="B3869" s="68" t="n">
        <v>46122</v>
      </c>
      <c r="C3869" s="69" t="n">
        <v>2026</v>
      </c>
      <c r="D3869" t="inlineStr">
        <is>
          <t>Apr</t>
        </is>
      </c>
      <c r="E3869" t="inlineStr">
        <is>
          <t>United States</t>
        </is>
      </c>
      <c r="F3869" t="inlineStr">
        <is>
          <t>USA</t>
        </is>
      </c>
      <c r="G3869" t="inlineStr">
        <is>
          <t>Xeljanz</t>
        </is>
      </c>
      <c r="H3869" t="inlineStr">
        <is>
          <t>Hospital</t>
        </is>
      </c>
      <c r="I3869" t="inlineStr">
        <is>
          <t>Private insurer</t>
        </is>
      </c>
      <c r="J3869" t="inlineStr">
        <is>
          <t>Lucas Martin</t>
        </is>
      </c>
      <c r="K3869" s="70" t="n">
        <v>1434</v>
      </c>
      <c r="L3869" s="71" t="n">
        <v>2229.46</v>
      </c>
      <c r="M3869" s="71" t="n">
        <v>3197045.64</v>
      </c>
      <c r="N3869" s="71" t="n">
        <v>799261.41</v>
      </c>
      <c r="O3869" s="71" t="n">
        <v>2397784.23</v>
      </c>
      <c r="P3869" s="71" t="n">
        <v>372071.97</v>
      </c>
      <c r="Q3869" s="71" t="n">
        <v>2025712.26</v>
      </c>
      <c r="R3869" t="inlineStr">
        <is>
          <t>Inflammation</t>
        </is>
      </c>
      <c r="S3869" s="70" t="n">
        <v>1009</v>
      </c>
      <c r="T3869" s="71" t="n">
        <v>699576.46</v>
      </c>
      <c r="U3869" t="inlineStr">
        <is>
          <t>High</t>
        </is>
      </c>
      <c r="V3869">
        <f>IF(AND(OR(Dashboard!$C$6="All",E3869=Dashboard!$C$6),OR(Dashboard!$F$6="All",G3869=Dashboard!$F$6),OR(Dashboard!$I$6="All",H3869=Dashboard!$I$6)),1,0)</f>
        <v/>
      </c>
    </row>
    <row r="3870">
      <c r="A3870" t="inlineStr">
        <is>
          <t>PF103861</t>
        </is>
      </c>
      <c r="B3870" s="68" t="n">
        <v>46122</v>
      </c>
      <c r="C3870" s="69" t="n">
        <v>2026</v>
      </c>
      <c r="D3870" t="inlineStr">
        <is>
          <t>Apr</t>
        </is>
      </c>
      <c r="E3870" t="inlineStr">
        <is>
          <t>Emerging markets</t>
        </is>
      </c>
      <c r="F3870" t="inlineStr">
        <is>
          <t>Brazil</t>
        </is>
      </c>
      <c r="G3870" t="inlineStr">
        <is>
          <t>Comirnaty</t>
        </is>
      </c>
      <c r="H3870" t="inlineStr">
        <is>
          <t>Hospital</t>
        </is>
      </c>
      <c r="I3870" t="inlineStr">
        <is>
          <t>Public payer</t>
        </is>
      </c>
      <c r="J3870" t="inlineStr">
        <is>
          <t>Aisha Bello</t>
        </is>
      </c>
      <c r="K3870" s="70" t="n">
        <v>1892</v>
      </c>
      <c r="L3870" s="71" t="n">
        <v>91.8</v>
      </c>
      <c r="M3870" s="71" t="n">
        <v>173685.6</v>
      </c>
      <c r="N3870" s="71" t="n">
        <v>26052.84</v>
      </c>
      <c r="O3870" s="71" t="n">
        <v>147632.76</v>
      </c>
      <c r="P3870" s="71" t="n">
        <v>75437.8</v>
      </c>
      <c r="Q3870" s="71" t="n">
        <v>72194.96000000001</v>
      </c>
      <c r="R3870" t="inlineStr">
        <is>
          <t>Vaccines</t>
        </is>
      </c>
      <c r="S3870" s="70" t="n">
        <v>1413</v>
      </c>
      <c r="T3870" s="71" t="n">
        <v>27586.1</v>
      </c>
      <c r="U3870" t="inlineStr">
        <is>
          <t>Low</t>
        </is>
      </c>
      <c r="V3870">
        <f>IF(AND(OR(Dashboard!$C$6="All",E3870=Dashboard!$C$6),OR(Dashboard!$F$6="All",G3870=Dashboard!$F$6),OR(Dashboard!$I$6="All",H3870=Dashboard!$I$6)),1,0)</f>
        <v/>
      </c>
    </row>
    <row r="3871">
      <c r="A3871" t="inlineStr">
        <is>
          <t>PF103862</t>
        </is>
      </c>
      <c r="B3871" s="68" t="n">
        <v>46122</v>
      </c>
      <c r="C3871" s="69" t="n">
        <v>2026</v>
      </c>
      <c r="D3871" t="inlineStr">
        <is>
          <t>Apr</t>
        </is>
      </c>
      <c r="E3871" t="inlineStr">
        <is>
          <t>Europe</t>
        </is>
      </c>
      <c r="F3871" t="inlineStr">
        <is>
          <t>Germany</t>
        </is>
      </c>
      <c r="G3871" t="inlineStr">
        <is>
          <t>Comirnaty</t>
        </is>
      </c>
      <c r="H3871" t="inlineStr">
        <is>
          <t>Retail pharmacy</t>
        </is>
      </c>
      <c r="I3871" t="inlineStr">
        <is>
          <t>Private insurer</t>
        </is>
      </c>
      <c r="J3871" t="inlineStr">
        <is>
          <t>Shraddha Kulkarni</t>
        </is>
      </c>
      <c r="K3871" s="70" t="n">
        <v>2317</v>
      </c>
      <c r="L3871" s="71" t="n">
        <v>95.55</v>
      </c>
      <c r="M3871" s="71" t="n">
        <v>221389.35</v>
      </c>
      <c r="N3871" s="71" t="n">
        <v>44277.87</v>
      </c>
      <c r="O3871" s="71" t="n">
        <v>177111.48</v>
      </c>
      <c r="P3871" s="71" t="n">
        <v>86213.94</v>
      </c>
      <c r="Q3871" s="71" t="n">
        <v>90897.53999999999</v>
      </c>
      <c r="R3871" t="inlineStr">
        <is>
          <t>Vaccines</t>
        </is>
      </c>
      <c r="S3871" s="70" t="n">
        <v>1602</v>
      </c>
      <c r="T3871" s="71" t="n">
        <v>33773.13</v>
      </c>
      <c r="U3871" t="inlineStr">
        <is>
          <t>Low</t>
        </is>
      </c>
      <c r="V3871">
        <f>IF(AND(OR(Dashboard!$C$6="All",E3871=Dashboard!$C$6),OR(Dashboard!$F$6="All",G3871=Dashboard!$F$6),OR(Dashboard!$I$6="All",H3871=Dashboard!$I$6)),1,0)</f>
        <v/>
      </c>
    </row>
    <row r="3872">
      <c r="A3872" t="inlineStr">
        <is>
          <t>PF103863</t>
        </is>
      </c>
      <c r="B3872" s="68" t="n">
        <v>46122</v>
      </c>
      <c r="C3872" s="69" t="n">
        <v>2026</v>
      </c>
      <c r="D3872" t="inlineStr">
        <is>
          <t>Apr</t>
        </is>
      </c>
      <c r="E3872" t="inlineStr">
        <is>
          <t>Europe</t>
        </is>
      </c>
      <c r="F3872" t="inlineStr">
        <is>
          <t>UK</t>
        </is>
      </c>
      <c r="G3872" t="inlineStr">
        <is>
          <t>Xeljanz</t>
        </is>
      </c>
      <c r="H3872" t="inlineStr">
        <is>
          <t>Retail pharmacy</t>
        </is>
      </c>
      <c r="I3872" t="inlineStr">
        <is>
          <t>Self-pay</t>
        </is>
      </c>
      <c r="J3872" t="inlineStr">
        <is>
          <t>Mei Lin</t>
        </is>
      </c>
      <c r="K3872" s="70" t="n">
        <v>2487</v>
      </c>
      <c r="L3872" s="71" t="n">
        <v>1246.59</v>
      </c>
      <c r="M3872" s="71" t="n">
        <v>3100269.33</v>
      </c>
      <c r="N3872" s="71" t="n">
        <v>465040.4</v>
      </c>
      <c r="O3872" s="71" t="n">
        <v>2635228.93</v>
      </c>
      <c r="P3872" s="71" t="n">
        <v>620156.0600000001</v>
      </c>
      <c r="Q3872" s="71" t="n">
        <v>2015072.87</v>
      </c>
      <c r="R3872" t="inlineStr">
        <is>
          <t>Inflammation</t>
        </is>
      </c>
      <c r="S3872" s="70" t="n">
        <v>1584</v>
      </c>
      <c r="T3872" s="71" t="n">
        <v>649095.36</v>
      </c>
      <c r="U3872" t="inlineStr">
        <is>
          <t>High</t>
        </is>
      </c>
      <c r="V3872">
        <f>IF(AND(OR(Dashboard!$C$6="All",E3872=Dashboard!$C$6),OR(Dashboard!$F$6="All",G3872=Dashboard!$F$6),OR(Dashboard!$I$6="All",H3872=Dashboard!$I$6)),1,0)</f>
        <v/>
      </c>
    </row>
    <row r="3873">
      <c r="A3873" t="inlineStr">
        <is>
          <t>PF103864</t>
        </is>
      </c>
      <c r="B3873" s="68" t="n">
        <v>46122</v>
      </c>
      <c r="C3873" s="69" t="n">
        <v>2026</v>
      </c>
      <c r="D3873" t="inlineStr">
        <is>
          <t>Apr</t>
        </is>
      </c>
      <c r="E3873" t="inlineStr">
        <is>
          <t>United States</t>
        </is>
      </c>
      <c r="F3873" t="inlineStr">
        <is>
          <t>USA</t>
        </is>
      </c>
      <c r="G3873" t="inlineStr">
        <is>
          <t>Comirnaty</t>
        </is>
      </c>
      <c r="H3873" t="inlineStr">
        <is>
          <t>Hospital</t>
        </is>
      </c>
      <c r="I3873" t="inlineStr">
        <is>
          <t>Public payer</t>
        </is>
      </c>
      <c r="J3873" t="inlineStr">
        <is>
          <t>Wei Chen</t>
        </is>
      </c>
      <c r="K3873" s="70" t="n">
        <v>178</v>
      </c>
      <c r="L3873" s="71" t="n">
        <v>146.26</v>
      </c>
      <c r="M3873" s="71" t="n">
        <v>26034.28</v>
      </c>
      <c r="N3873" s="71" t="n">
        <v>6508.57</v>
      </c>
      <c r="O3873" s="71" t="n">
        <v>19525.71</v>
      </c>
      <c r="P3873" s="71" t="n">
        <v>6599.12</v>
      </c>
      <c r="Q3873" s="71" t="n">
        <v>12926.59</v>
      </c>
      <c r="R3873" t="inlineStr">
        <is>
          <t>Vaccines</t>
        </is>
      </c>
      <c r="S3873" s="70" t="n">
        <v>153</v>
      </c>
      <c r="T3873" s="71" t="n">
        <v>3945.89</v>
      </c>
      <c r="U3873" t="inlineStr">
        <is>
          <t>Low</t>
        </is>
      </c>
      <c r="V3873">
        <f>IF(AND(OR(Dashboard!$C$6="All",E3873=Dashboard!$C$6),OR(Dashboard!$F$6="All",G3873=Dashboard!$F$6),OR(Dashboard!$I$6="All",H3873=Dashboard!$I$6)),1,0)</f>
        <v/>
      </c>
    </row>
    <row r="3874">
      <c r="A3874" t="inlineStr">
        <is>
          <t>PF103865</t>
        </is>
      </c>
      <c r="B3874" s="68" t="n">
        <v>46122</v>
      </c>
      <c r="C3874" s="69" t="n">
        <v>2026</v>
      </c>
      <c r="D3874" t="inlineStr">
        <is>
          <t>Apr</t>
        </is>
      </c>
      <c r="E3874" t="inlineStr">
        <is>
          <t>United States</t>
        </is>
      </c>
      <c r="F3874" t="inlineStr">
        <is>
          <t>USA</t>
        </is>
      </c>
      <c r="G3874" t="inlineStr">
        <is>
          <t>Prevnar 20</t>
        </is>
      </c>
      <c r="H3874" t="inlineStr">
        <is>
          <t>Retail pharmacy</t>
        </is>
      </c>
      <c r="I3874" t="inlineStr">
        <is>
          <t>Public payer</t>
        </is>
      </c>
      <c r="J3874" t="inlineStr">
        <is>
          <t>Lucas Martin</t>
        </is>
      </c>
      <c r="K3874" s="70" t="n">
        <v>2781</v>
      </c>
      <c r="L3874" s="71" t="n">
        <v>349.04</v>
      </c>
      <c r="M3874" s="71" t="n">
        <v>970680.24</v>
      </c>
      <c r="N3874" s="71" t="n">
        <v>339738.08</v>
      </c>
      <c r="O3874" s="71" t="n">
        <v>630942.16</v>
      </c>
      <c r="P3874" s="71" t="n">
        <v>192065</v>
      </c>
      <c r="Q3874" s="71" t="n">
        <v>438877.16</v>
      </c>
      <c r="R3874" t="inlineStr">
        <is>
          <t>Vaccines</t>
        </is>
      </c>
      <c r="S3874" s="70" t="n">
        <v>2030</v>
      </c>
      <c r="T3874" s="71" t="n">
        <v>118117.4</v>
      </c>
      <c r="U3874" t="inlineStr">
        <is>
          <t>Low</t>
        </is>
      </c>
      <c r="V3874">
        <f>IF(AND(OR(Dashboard!$C$6="All",E3874=Dashboard!$C$6),OR(Dashboard!$F$6="All",G3874=Dashboard!$F$6),OR(Dashboard!$I$6="All",H3874=Dashboard!$I$6)),1,0)</f>
        <v/>
      </c>
    </row>
    <row r="3875">
      <c r="A3875" t="inlineStr">
        <is>
          <t>PF103866</t>
        </is>
      </c>
      <c r="B3875" s="68" t="n">
        <v>46122</v>
      </c>
      <c r="C3875" s="69" t="n">
        <v>2026</v>
      </c>
      <c r="D3875" t="inlineStr">
        <is>
          <t>Apr</t>
        </is>
      </c>
      <c r="E3875" t="inlineStr">
        <is>
          <t>United States</t>
        </is>
      </c>
      <c r="F3875" t="inlineStr">
        <is>
          <t>USA</t>
        </is>
      </c>
      <c r="G3875" t="inlineStr">
        <is>
          <t>Prevnar 20</t>
        </is>
      </c>
      <c r="H3875" t="inlineStr">
        <is>
          <t>Retail pharmacy</t>
        </is>
      </c>
      <c r="I3875" t="inlineStr">
        <is>
          <t>Private insurer</t>
        </is>
      </c>
      <c r="J3875" t="inlineStr">
        <is>
          <t>Sara Rossi</t>
        </is>
      </c>
      <c r="K3875" s="70" t="n">
        <v>290</v>
      </c>
      <c r="L3875" s="71" t="n">
        <v>371.84</v>
      </c>
      <c r="M3875" s="71" t="n">
        <v>107833.6</v>
      </c>
      <c r="N3875" s="71" t="n">
        <v>16175.04</v>
      </c>
      <c r="O3875" s="71" t="n">
        <v>91658.56</v>
      </c>
      <c r="P3875" s="71" t="n">
        <v>19986.15</v>
      </c>
      <c r="Q3875" s="71" t="n">
        <v>71672.41</v>
      </c>
      <c r="R3875" t="inlineStr">
        <is>
          <t>Vaccines</t>
        </is>
      </c>
      <c r="S3875" s="70" t="n">
        <v>249</v>
      </c>
      <c r="T3875" s="71" t="n">
        <v>16375.6</v>
      </c>
      <c r="U3875" t="inlineStr">
        <is>
          <t>Low</t>
        </is>
      </c>
      <c r="V3875">
        <f>IF(AND(OR(Dashboard!$C$6="All",E3875=Dashboard!$C$6),OR(Dashboard!$F$6="All",G3875=Dashboard!$F$6),OR(Dashboard!$I$6="All",H3875=Dashboard!$I$6)),1,0)</f>
        <v/>
      </c>
    </row>
    <row r="3876">
      <c r="A3876" t="inlineStr">
        <is>
          <t>PF103867</t>
        </is>
      </c>
      <c r="B3876" s="68" t="n">
        <v>46122</v>
      </c>
      <c r="C3876" s="69" t="n">
        <v>2026</v>
      </c>
      <c r="D3876" t="inlineStr">
        <is>
          <t>Apr</t>
        </is>
      </c>
      <c r="E3876" t="inlineStr">
        <is>
          <t>Europe</t>
        </is>
      </c>
      <c r="F3876" t="inlineStr">
        <is>
          <t>Germany</t>
        </is>
      </c>
      <c r="G3876" t="inlineStr">
        <is>
          <t>Ibrance</t>
        </is>
      </c>
      <c r="H3876" t="inlineStr">
        <is>
          <t>Hospital</t>
        </is>
      </c>
      <c r="I3876" t="inlineStr">
        <is>
          <t>Public payer</t>
        </is>
      </c>
      <c r="J3876" t="inlineStr">
        <is>
          <t>Sara Rossi</t>
        </is>
      </c>
      <c r="K3876" s="70" t="n">
        <v>1513</v>
      </c>
      <c r="L3876" s="71" t="n">
        <v>2998.37</v>
      </c>
      <c r="M3876" s="71" t="n">
        <v>4536533.81</v>
      </c>
      <c r="N3876" s="71" t="n">
        <v>453653.38</v>
      </c>
      <c r="O3876" s="71" t="n">
        <v>4082880.43</v>
      </c>
      <c r="P3876" s="71" t="n">
        <v>636060.34</v>
      </c>
      <c r="Q3876" s="71" t="n">
        <v>3446820.09</v>
      </c>
      <c r="R3876" t="inlineStr">
        <is>
          <t>Oncology</t>
        </is>
      </c>
      <c r="S3876" s="70" t="n">
        <v>1008</v>
      </c>
      <c r="T3876" s="71" t="n">
        <v>678477.5</v>
      </c>
      <c r="U3876" t="inlineStr">
        <is>
          <t>High</t>
        </is>
      </c>
      <c r="V3876">
        <f>IF(AND(OR(Dashboard!$C$6="All",E3876=Dashboard!$C$6),OR(Dashboard!$F$6="All",G3876=Dashboard!$F$6),OR(Dashboard!$I$6="All",H3876=Dashboard!$I$6)),1,0)</f>
        <v/>
      </c>
    </row>
    <row r="3877">
      <c r="A3877" t="inlineStr">
        <is>
          <t>PF103868</t>
        </is>
      </c>
      <c r="B3877" s="68" t="n">
        <v>46122</v>
      </c>
      <c r="C3877" s="69" t="n">
        <v>2026</v>
      </c>
      <c r="D3877" t="inlineStr">
        <is>
          <t>Apr</t>
        </is>
      </c>
      <c r="E3877" t="inlineStr">
        <is>
          <t>United States</t>
        </is>
      </c>
      <c r="F3877" t="inlineStr">
        <is>
          <t>USA</t>
        </is>
      </c>
      <c r="G3877" t="inlineStr">
        <is>
          <t>Eliquis</t>
        </is>
      </c>
      <c r="H3877" t="inlineStr">
        <is>
          <t>Retail pharmacy</t>
        </is>
      </c>
      <c r="I3877" t="inlineStr">
        <is>
          <t>Public payer</t>
        </is>
      </c>
      <c r="J3877" t="inlineStr">
        <is>
          <t>Shraddha Kulkarni</t>
        </is>
      </c>
      <c r="K3877" s="70" t="n">
        <v>155</v>
      </c>
      <c r="L3877" s="71" t="n">
        <v>727.53</v>
      </c>
      <c r="M3877" s="71" t="n">
        <v>112767.15</v>
      </c>
      <c r="N3877" s="71" t="n">
        <v>39468.5</v>
      </c>
      <c r="O3877" s="71" t="n">
        <v>73298.64999999999</v>
      </c>
      <c r="P3877" s="71" t="n">
        <v>11605.73</v>
      </c>
      <c r="Q3877" s="71" t="n">
        <v>61692.92</v>
      </c>
      <c r="R3877" t="inlineStr">
        <is>
          <t>Cardiology</t>
        </is>
      </c>
      <c r="S3877" s="70" t="n">
        <v>103</v>
      </c>
      <c r="T3877" s="71" t="n">
        <v>22351.35</v>
      </c>
      <c r="U3877" t="inlineStr">
        <is>
          <t>High</t>
        </is>
      </c>
      <c r="V3877">
        <f>IF(AND(OR(Dashboard!$C$6="All",E3877=Dashboard!$C$6),OR(Dashboard!$F$6="All",G3877=Dashboard!$F$6),OR(Dashboard!$I$6="All",H3877=Dashboard!$I$6)),1,0)</f>
        <v/>
      </c>
    </row>
    <row r="3878">
      <c r="A3878" t="inlineStr">
        <is>
          <t>PF103869</t>
        </is>
      </c>
      <c r="B3878" s="68" t="n">
        <v>46122</v>
      </c>
      <c r="C3878" s="69" t="n">
        <v>2026</v>
      </c>
      <c r="D3878" t="inlineStr">
        <is>
          <t>Apr</t>
        </is>
      </c>
      <c r="E3878" t="inlineStr">
        <is>
          <t>Emerging markets</t>
        </is>
      </c>
      <c r="F3878" t="inlineStr">
        <is>
          <t>China</t>
        </is>
      </c>
      <c r="G3878" t="inlineStr">
        <is>
          <t>Eliquis</t>
        </is>
      </c>
      <c r="H3878" t="inlineStr">
        <is>
          <t>Retail pharmacy</t>
        </is>
      </c>
      <c r="I3878" t="inlineStr">
        <is>
          <t>Private insurer</t>
        </is>
      </c>
      <c r="J3878" t="inlineStr">
        <is>
          <t>Omar Haddad</t>
        </is>
      </c>
      <c r="K3878" s="70" t="n">
        <v>1473</v>
      </c>
      <c r="L3878" s="71" t="n">
        <v>461.49</v>
      </c>
      <c r="M3878" s="71" t="n">
        <v>679774.77</v>
      </c>
      <c r="N3878" s="71" t="n">
        <v>33988.74</v>
      </c>
      <c r="O3878" s="71" t="n">
        <v>645786.03</v>
      </c>
      <c r="P3878" s="71" t="n">
        <v>114411.2</v>
      </c>
      <c r="Q3878" s="71" t="n">
        <v>531374.83</v>
      </c>
      <c r="R3878" t="inlineStr">
        <is>
          <t>Cardiology</t>
        </is>
      </c>
      <c r="S3878" s="70" t="n">
        <v>1167</v>
      </c>
      <c r="T3878" s="71" t="n">
        <v>142600.6</v>
      </c>
      <c r="U3878" t="inlineStr">
        <is>
          <t>High</t>
        </is>
      </c>
      <c r="V3878">
        <f>IF(AND(OR(Dashboard!$C$6="All",E3878=Dashboard!$C$6),OR(Dashboard!$F$6="All",G3878=Dashboard!$F$6),OR(Dashboard!$I$6="All",H3878=Dashboard!$I$6)),1,0)</f>
        <v/>
      </c>
    </row>
    <row r="3879">
      <c r="A3879" t="inlineStr">
        <is>
          <t>PF103870</t>
        </is>
      </c>
      <c r="B3879" s="68" t="n">
        <v>46122</v>
      </c>
      <c r="C3879" s="69" t="n">
        <v>2026</v>
      </c>
      <c r="D3879" t="inlineStr">
        <is>
          <t>Apr</t>
        </is>
      </c>
      <c r="E3879" t="inlineStr">
        <is>
          <t>United States</t>
        </is>
      </c>
      <c r="F3879" t="inlineStr">
        <is>
          <t>USA</t>
        </is>
      </c>
      <c r="G3879" t="inlineStr">
        <is>
          <t>Vyndaqel</t>
        </is>
      </c>
      <c r="H3879" t="inlineStr">
        <is>
          <t>Government / tender</t>
        </is>
      </c>
      <c r="I3879" t="inlineStr">
        <is>
          <t>Private insurer</t>
        </is>
      </c>
      <c r="J3879" t="inlineStr">
        <is>
          <t>Ruhi Shaikh</t>
        </is>
      </c>
      <c r="K3879" s="70" t="n">
        <v>1813</v>
      </c>
      <c r="L3879" s="71" t="n">
        <v>9958.35</v>
      </c>
      <c r="M3879" s="71" t="n">
        <v>18054488.55</v>
      </c>
      <c r="N3879" s="71" t="n">
        <v>2708173.28</v>
      </c>
      <c r="O3879" s="71" t="n">
        <v>15346315.27</v>
      </c>
      <c r="P3879" s="71" t="n">
        <v>1135782.68</v>
      </c>
      <c r="Q3879" s="71" t="n">
        <v>14210532.59</v>
      </c>
      <c r="R3879" t="inlineStr">
        <is>
          <t>Rare disease</t>
        </is>
      </c>
      <c r="S3879" s="70" t="n">
        <v>1675</v>
      </c>
      <c r="T3879" s="71" t="n">
        <v>2708795.66</v>
      </c>
      <c r="U3879" t="inlineStr">
        <is>
          <t>Medium</t>
        </is>
      </c>
      <c r="V3879">
        <f>IF(AND(OR(Dashboard!$C$6="All",E3879=Dashboard!$C$6),OR(Dashboard!$F$6="All",G3879=Dashboard!$F$6),OR(Dashboard!$I$6="All",H3879=Dashboard!$I$6)),1,0)</f>
        <v/>
      </c>
    </row>
    <row r="3880">
      <c r="A3880" t="inlineStr">
        <is>
          <t>PF103871</t>
        </is>
      </c>
      <c r="B3880" s="68" t="n">
        <v>46122</v>
      </c>
      <c r="C3880" s="69" t="n">
        <v>2026</v>
      </c>
      <c r="D3880" t="inlineStr">
        <is>
          <t>Apr</t>
        </is>
      </c>
      <c r="E3880" t="inlineStr">
        <is>
          <t>Europe</t>
        </is>
      </c>
      <c r="F3880" t="inlineStr">
        <is>
          <t>Germany</t>
        </is>
      </c>
      <c r="G3880" t="inlineStr">
        <is>
          <t>Comirnaty</t>
        </is>
      </c>
      <c r="H3880" t="inlineStr">
        <is>
          <t>Government / tender</t>
        </is>
      </c>
      <c r="I3880" t="inlineStr">
        <is>
          <t>Public payer</t>
        </is>
      </c>
      <c r="J3880" t="inlineStr">
        <is>
          <t>Aisha Bello</t>
        </is>
      </c>
      <c r="K3880" s="70" t="n">
        <v>2283</v>
      </c>
      <c r="L3880" s="71" t="n">
        <v>88.29000000000001</v>
      </c>
      <c r="M3880" s="71" t="n">
        <v>201566.07</v>
      </c>
      <c r="N3880" s="71" t="n">
        <v>10078.3</v>
      </c>
      <c r="O3880" s="71" t="n">
        <v>191487.77</v>
      </c>
      <c r="P3880" s="71" t="n">
        <v>89969.71000000001</v>
      </c>
      <c r="Q3880" s="71" t="n">
        <v>101518.06</v>
      </c>
      <c r="R3880" t="inlineStr">
        <is>
          <t>Vaccines</t>
        </is>
      </c>
      <c r="S3880" s="70" t="n">
        <v>2167</v>
      </c>
      <c r="T3880" s="71" t="n">
        <v>31401.96</v>
      </c>
      <c r="U3880" t="inlineStr">
        <is>
          <t>Low</t>
        </is>
      </c>
      <c r="V3880">
        <f>IF(AND(OR(Dashboard!$C$6="All",E3880=Dashboard!$C$6),OR(Dashboard!$F$6="All",G3880=Dashboard!$F$6),OR(Dashboard!$I$6="All",H3880=Dashboard!$I$6)),1,0)</f>
        <v/>
      </c>
    </row>
    <row r="3881">
      <c r="A3881" t="inlineStr">
        <is>
          <t>PF103872</t>
        </is>
      </c>
      <c r="B3881" s="68" t="n">
        <v>46122</v>
      </c>
      <c r="C3881" s="69" t="n">
        <v>2026</v>
      </c>
      <c r="D3881" t="inlineStr">
        <is>
          <t>Apr</t>
        </is>
      </c>
      <c r="E3881" t="inlineStr">
        <is>
          <t>United States</t>
        </is>
      </c>
      <c r="F3881" t="inlineStr">
        <is>
          <t>USA</t>
        </is>
      </c>
      <c r="G3881" t="inlineStr">
        <is>
          <t>Eliquis</t>
        </is>
      </c>
      <c r="H3881" t="inlineStr">
        <is>
          <t>Retail pharmacy</t>
        </is>
      </c>
      <c r="I3881" t="inlineStr">
        <is>
          <t>Private insurer</t>
        </is>
      </c>
      <c r="J3881" t="inlineStr">
        <is>
          <t>Omar Haddad</t>
        </is>
      </c>
      <c r="K3881" s="70" t="n">
        <v>533</v>
      </c>
      <c r="L3881" s="71" t="n">
        <v>656.14</v>
      </c>
      <c r="M3881" s="71" t="n">
        <v>349722.62</v>
      </c>
      <c r="N3881" s="71" t="n">
        <v>69944.52</v>
      </c>
      <c r="O3881" s="71" t="n">
        <v>279778.1</v>
      </c>
      <c r="P3881" s="71" t="n">
        <v>40177.35</v>
      </c>
      <c r="Q3881" s="71" t="n">
        <v>239600.75</v>
      </c>
      <c r="R3881" t="inlineStr">
        <is>
          <t>Cardiology</t>
        </is>
      </c>
      <c r="S3881" s="70" t="n">
        <v>383</v>
      </c>
      <c r="T3881" s="71" t="n">
        <v>51511.32</v>
      </c>
      <c r="U3881" t="inlineStr">
        <is>
          <t>High</t>
        </is>
      </c>
      <c r="V3881">
        <f>IF(AND(OR(Dashboard!$C$6="All",E3881=Dashboard!$C$6),OR(Dashboard!$F$6="All",G3881=Dashboard!$F$6),OR(Dashboard!$I$6="All",H3881=Dashboard!$I$6)),1,0)</f>
        <v/>
      </c>
    </row>
    <row r="3882">
      <c r="A3882" t="inlineStr">
        <is>
          <t>PF103873</t>
        </is>
      </c>
      <c r="B3882" s="68" t="n">
        <v>46122</v>
      </c>
      <c r="C3882" s="69" t="n">
        <v>2026</v>
      </c>
      <c r="D3882" t="inlineStr">
        <is>
          <t>Apr</t>
        </is>
      </c>
      <c r="E3882" t="inlineStr">
        <is>
          <t>Emerging markets</t>
        </is>
      </c>
      <c r="F3882" t="inlineStr">
        <is>
          <t>Brazil</t>
        </is>
      </c>
      <c r="G3882" t="inlineStr">
        <is>
          <t>Eliquis</t>
        </is>
      </c>
      <c r="H3882" t="inlineStr">
        <is>
          <t>Hospital</t>
        </is>
      </c>
      <c r="I3882" t="inlineStr">
        <is>
          <t>Public payer</t>
        </is>
      </c>
      <c r="J3882" t="inlineStr">
        <is>
          <t>Ruhi Shaikh</t>
        </is>
      </c>
      <c r="K3882" s="70" t="n">
        <v>2861</v>
      </c>
      <c r="L3882" s="71" t="n">
        <v>401.66</v>
      </c>
      <c r="M3882" s="71" t="n">
        <v>1149149.26</v>
      </c>
      <c r="N3882" s="71" t="n">
        <v>229829.85</v>
      </c>
      <c r="O3882" s="71" t="n">
        <v>919319.41</v>
      </c>
      <c r="P3882" s="71" t="n">
        <v>221265.78</v>
      </c>
      <c r="Q3882" s="71" t="n">
        <v>698053.63</v>
      </c>
      <c r="R3882" t="inlineStr">
        <is>
          <t>Cardiology</t>
        </is>
      </c>
      <c r="S3882" s="70" t="n">
        <v>1906</v>
      </c>
      <c r="T3882" s="71" t="n">
        <v>164153.65</v>
      </c>
      <c r="U3882" t="inlineStr">
        <is>
          <t>High</t>
        </is>
      </c>
      <c r="V3882">
        <f>IF(AND(OR(Dashboard!$C$6="All",E3882=Dashboard!$C$6),OR(Dashboard!$F$6="All",G3882=Dashboard!$F$6),OR(Dashboard!$I$6="All",H3882=Dashboard!$I$6)),1,0)</f>
        <v/>
      </c>
    </row>
    <row r="3883">
      <c r="A3883" t="inlineStr">
        <is>
          <t>PF103874</t>
        </is>
      </c>
      <c r="B3883" s="68" t="n">
        <v>46123</v>
      </c>
      <c r="C3883" s="69" t="n">
        <v>2026</v>
      </c>
      <c r="D3883" t="inlineStr">
        <is>
          <t>Apr</t>
        </is>
      </c>
      <c r="E3883" t="inlineStr">
        <is>
          <t>International developed</t>
        </is>
      </c>
      <c r="F3883" t="inlineStr">
        <is>
          <t>Japan</t>
        </is>
      </c>
      <c r="G3883" t="inlineStr">
        <is>
          <t>Abrysvo</t>
        </is>
      </c>
      <c r="H3883" t="inlineStr">
        <is>
          <t>Retail pharmacy</t>
        </is>
      </c>
      <c r="I3883" t="inlineStr">
        <is>
          <t>Public payer</t>
        </is>
      </c>
      <c r="J3883" t="inlineStr">
        <is>
          <t>Shraddha Kulkarni</t>
        </is>
      </c>
      <c r="K3883" s="70" t="n">
        <v>2801</v>
      </c>
      <c r="L3883" s="71" t="n">
        <v>338.45</v>
      </c>
      <c r="M3883" s="71" t="n">
        <v>947998.45</v>
      </c>
      <c r="N3883" s="71" t="n">
        <v>142199.77</v>
      </c>
      <c r="O3883" s="71" t="n">
        <v>805798.6800000001</v>
      </c>
      <c r="P3883" s="71" t="n">
        <v>233705.15</v>
      </c>
      <c r="Q3883" s="71" t="n">
        <v>572093.53</v>
      </c>
      <c r="R3883" t="inlineStr">
        <is>
          <t>Vaccines</t>
        </is>
      </c>
      <c r="S3883" s="70" t="n">
        <v>2593</v>
      </c>
      <c r="T3883" s="71" t="n">
        <v>133726.66</v>
      </c>
      <c r="U3883" t="inlineStr">
        <is>
          <t>Low</t>
        </is>
      </c>
      <c r="V3883">
        <f>IF(AND(OR(Dashboard!$C$6="All",E3883=Dashboard!$C$6),OR(Dashboard!$F$6="All",G3883=Dashboard!$F$6),OR(Dashboard!$I$6="All",H3883=Dashboard!$I$6)),1,0)</f>
        <v/>
      </c>
    </row>
    <row r="3884">
      <c r="A3884" t="inlineStr">
        <is>
          <t>PF103875</t>
        </is>
      </c>
      <c r="B3884" s="68" t="n">
        <v>46123</v>
      </c>
      <c r="C3884" s="69" t="n">
        <v>2026</v>
      </c>
      <c r="D3884" t="inlineStr">
        <is>
          <t>Apr</t>
        </is>
      </c>
      <c r="E3884" t="inlineStr">
        <is>
          <t>International developed</t>
        </is>
      </c>
      <c r="F3884" t="inlineStr">
        <is>
          <t>Canada</t>
        </is>
      </c>
      <c r="G3884" t="inlineStr">
        <is>
          <t>Vyndaqel</t>
        </is>
      </c>
      <c r="H3884" t="inlineStr">
        <is>
          <t>Retail pharmacy</t>
        </is>
      </c>
      <c r="I3884" t="inlineStr">
        <is>
          <t>Public payer</t>
        </is>
      </c>
      <c r="J3884" t="inlineStr">
        <is>
          <t>Carlos Silva</t>
        </is>
      </c>
      <c r="K3884" s="70" t="n">
        <v>2686</v>
      </c>
      <c r="L3884" s="71" t="n">
        <v>6087.67</v>
      </c>
      <c r="M3884" s="71" t="n">
        <v>16351481.62</v>
      </c>
      <c r="N3884" s="71" t="n">
        <v>2452722.24</v>
      </c>
      <c r="O3884" s="71" t="n">
        <v>13898759.38</v>
      </c>
      <c r="P3884" s="71" t="n">
        <v>1628471.1</v>
      </c>
      <c r="Q3884" s="71" t="n">
        <v>12270288.28</v>
      </c>
      <c r="R3884" t="inlineStr">
        <is>
          <t>Rare disease</t>
        </is>
      </c>
      <c r="S3884" s="70" t="n">
        <v>2671</v>
      </c>
      <c r="T3884" s="71" t="n">
        <v>2484015.49</v>
      </c>
      <c r="U3884" t="inlineStr">
        <is>
          <t>Medium</t>
        </is>
      </c>
      <c r="V3884">
        <f>IF(AND(OR(Dashboard!$C$6="All",E3884=Dashboard!$C$6),OR(Dashboard!$F$6="All",G3884=Dashboard!$F$6),OR(Dashboard!$I$6="All",H3884=Dashboard!$I$6)),1,0)</f>
        <v/>
      </c>
    </row>
    <row r="3885">
      <c r="A3885" t="inlineStr">
        <is>
          <t>PF103876</t>
        </is>
      </c>
      <c r="B3885" s="68" t="n">
        <v>46123</v>
      </c>
      <c r="C3885" s="69" t="n">
        <v>2026</v>
      </c>
      <c r="D3885" t="inlineStr">
        <is>
          <t>Apr</t>
        </is>
      </c>
      <c r="E3885" t="inlineStr">
        <is>
          <t>United States</t>
        </is>
      </c>
      <c r="F3885" t="inlineStr">
        <is>
          <t>USA</t>
        </is>
      </c>
      <c r="G3885" t="inlineStr">
        <is>
          <t>Xeljanz</t>
        </is>
      </c>
      <c r="H3885" t="inlineStr">
        <is>
          <t>Retail pharmacy</t>
        </is>
      </c>
      <c r="I3885" t="inlineStr">
        <is>
          <t>Public payer</t>
        </is>
      </c>
      <c r="J3885" t="inlineStr">
        <is>
          <t>Zoya Ahmed</t>
        </is>
      </c>
      <c r="K3885" s="70" t="n">
        <v>77</v>
      </c>
      <c r="L3885" s="71" t="n">
        <v>2118.97</v>
      </c>
      <c r="M3885" s="71" t="n">
        <v>163160.69</v>
      </c>
      <c r="N3885" s="71" t="n">
        <v>32632.14</v>
      </c>
      <c r="O3885" s="71" t="n">
        <v>130528.55</v>
      </c>
      <c r="P3885" s="71" t="n">
        <v>20167.38</v>
      </c>
      <c r="Q3885" s="71" t="n">
        <v>110361.17</v>
      </c>
      <c r="R3885" t="inlineStr">
        <is>
          <t>Inflammation</t>
        </is>
      </c>
      <c r="S3885" s="70" t="n">
        <v>52</v>
      </c>
      <c r="T3885" s="71" t="n">
        <v>35874.82</v>
      </c>
      <c r="U3885" t="inlineStr">
        <is>
          <t>High</t>
        </is>
      </c>
      <c r="V3885">
        <f>IF(AND(OR(Dashboard!$C$6="All",E3885=Dashboard!$C$6),OR(Dashboard!$F$6="All",G3885=Dashboard!$F$6),OR(Dashboard!$I$6="All",H3885=Dashboard!$I$6)),1,0)</f>
        <v/>
      </c>
    </row>
    <row r="3886">
      <c r="A3886" t="inlineStr">
        <is>
          <t>PF103877</t>
        </is>
      </c>
      <c r="B3886" s="68" t="n">
        <v>46123</v>
      </c>
      <c r="C3886" s="69" t="n">
        <v>2026</v>
      </c>
      <c r="D3886" t="inlineStr">
        <is>
          <t>Apr</t>
        </is>
      </c>
      <c r="E3886" t="inlineStr">
        <is>
          <t>United States</t>
        </is>
      </c>
      <c r="F3886" t="inlineStr">
        <is>
          <t>USA</t>
        </is>
      </c>
      <c r="G3886" t="inlineStr">
        <is>
          <t>Vyndaqel</t>
        </is>
      </c>
      <c r="H3886" t="inlineStr">
        <is>
          <t>Government / tender</t>
        </is>
      </c>
      <c r="I3886" t="inlineStr">
        <is>
          <t>Public payer</t>
        </is>
      </c>
      <c r="J3886" t="inlineStr">
        <is>
          <t>Ruhi Shaikh</t>
        </is>
      </c>
      <c r="K3886" s="70" t="n">
        <v>2830</v>
      </c>
      <c r="L3886" s="71" t="n">
        <v>8962.450000000001</v>
      </c>
      <c r="M3886" s="71" t="n">
        <v>25363733.5</v>
      </c>
      <c r="N3886" s="71" t="n">
        <v>8877306.720000001</v>
      </c>
      <c r="O3886" s="71" t="n">
        <v>16486426.78</v>
      </c>
      <c r="P3886" s="71" t="n">
        <v>1747628.54</v>
      </c>
      <c r="Q3886" s="71" t="n">
        <v>14738798.24</v>
      </c>
      <c r="R3886" t="inlineStr">
        <is>
          <t>Rare disease</t>
        </is>
      </c>
      <c r="S3886" s="70" t="n">
        <v>2826</v>
      </c>
      <c r="T3886" s="71" t="n">
        <v>4697451.03</v>
      </c>
      <c r="U3886" t="inlineStr">
        <is>
          <t>Medium</t>
        </is>
      </c>
      <c r="V3886">
        <f>IF(AND(OR(Dashboard!$C$6="All",E3886=Dashboard!$C$6),OR(Dashboard!$F$6="All",G3886=Dashboard!$F$6),OR(Dashboard!$I$6="All",H3886=Dashboard!$I$6)),1,0)</f>
        <v/>
      </c>
    </row>
    <row r="3887">
      <c r="A3887" t="inlineStr">
        <is>
          <t>PF103878</t>
        </is>
      </c>
      <c r="B3887" s="68" t="n">
        <v>46123</v>
      </c>
      <c r="C3887" s="69" t="n">
        <v>2026</v>
      </c>
      <c r="D3887" t="inlineStr">
        <is>
          <t>Apr</t>
        </is>
      </c>
      <c r="E3887" t="inlineStr">
        <is>
          <t>Emerging markets</t>
        </is>
      </c>
      <c r="F3887" t="inlineStr">
        <is>
          <t>India</t>
        </is>
      </c>
      <c r="G3887" t="inlineStr">
        <is>
          <t>Eliquis</t>
        </is>
      </c>
      <c r="H3887" t="inlineStr">
        <is>
          <t>Government / tender</t>
        </is>
      </c>
      <c r="I3887" t="inlineStr">
        <is>
          <t>Public payer</t>
        </is>
      </c>
      <c r="J3887" t="inlineStr">
        <is>
          <t>Wei Chen</t>
        </is>
      </c>
      <c r="K3887" s="70" t="n">
        <v>1346</v>
      </c>
      <c r="L3887" s="71" t="n">
        <v>412.83</v>
      </c>
      <c r="M3887" s="71" t="n">
        <v>555669.1800000001</v>
      </c>
      <c r="N3887" s="71" t="n">
        <v>55566.92</v>
      </c>
      <c r="O3887" s="71" t="n">
        <v>500102.26</v>
      </c>
      <c r="P3887" s="71" t="n">
        <v>99711.67999999999</v>
      </c>
      <c r="Q3887" s="71" t="n">
        <v>400390.58</v>
      </c>
      <c r="R3887" t="inlineStr">
        <is>
          <t>Cardiology</t>
        </is>
      </c>
      <c r="S3887" s="70" t="n">
        <v>959</v>
      </c>
      <c r="T3887" s="71" t="n">
        <v>95898.11</v>
      </c>
      <c r="U3887" t="inlineStr">
        <is>
          <t>High</t>
        </is>
      </c>
      <c r="V3887">
        <f>IF(AND(OR(Dashboard!$C$6="All",E3887=Dashboard!$C$6),OR(Dashboard!$F$6="All",G3887=Dashboard!$F$6),OR(Dashboard!$I$6="All",H3887=Dashboard!$I$6)),1,0)</f>
        <v/>
      </c>
    </row>
    <row r="3888">
      <c r="A3888" t="inlineStr">
        <is>
          <t>PF103879</t>
        </is>
      </c>
      <c r="B3888" s="68" t="n">
        <v>46123</v>
      </c>
      <c r="C3888" s="69" t="n">
        <v>2026</v>
      </c>
      <c r="D3888" t="inlineStr">
        <is>
          <t>Apr</t>
        </is>
      </c>
      <c r="E3888" t="inlineStr">
        <is>
          <t>Emerging markets</t>
        </is>
      </c>
      <c r="F3888" t="inlineStr">
        <is>
          <t>Mexico</t>
        </is>
      </c>
      <c r="G3888" t="inlineStr">
        <is>
          <t>Comirnaty</t>
        </is>
      </c>
      <c r="H3888" t="inlineStr">
        <is>
          <t>Hospital</t>
        </is>
      </c>
      <c r="I3888" t="inlineStr">
        <is>
          <t>Public payer</t>
        </is>
      </c>
      <c r="J3888" t="inlineStr">
        <is>
          <t>Arjun Mehta</t>
        </is>
      </c>
      <c r="K3888" s="70" t="n">
        <v>1408</v>
      </c>
      <c r="L3888" s="71" t="n">
        <v>90.93000000000001</v>
      </c>
      <c r="M3888" s="71" t="n">
        <v>128029.44</v>
      </c>
      <c r="N3888" s="71" t="n">
        <v>32007.36</v>
      </c>
      <c r="O3888" s="71" t="n">
        <v>96022.08</v>
      </c>
      <c r="P3888" s="71" t="n">
        <v>52571.96</v>
      </c>
      <c r="Q3888" s="71" t="n">
        <v>43450.12</v>
      </c>
      <c r="R3888" t="inlineStr">
        <is>
          <t>Vaccines</t>
        </is>
      </c>
      <c r="S3888" s="70" t="n">
        <v>944</v>
      </c>
      <c r="T3888" s="71" t="n">
        <v>29813.76</v>
      </c>
      <c r="U3888" t="inlineStr">
        <is>
          <t>Low</t>
        </is>
      </c>
      <c r="V3888">
        <f>IF(AND(OR(Dashboard!$C$6="All",E3888=Dashboard!$C$6),OR(Dashboard!$F$6="All",G3888=Dashboard!$F$6),OR(Dashboard!$I$6="All",H3888=Dashboard!$I$6)),1,0)</f>
        <v/>
      </c>
    </row>
    <row r="3889">
      <c r="A3889" t="inlineStr">
        <is>
          <t>PF103880</t>
        </is>
      </c>
      <c r="B3889" s="68" t="n">
        <v>46124</v>
      </c>
      <c r="C3889" s="69" t="n">
        <v>2026</v>
      </c>
      <c r="D3889" t="inlineStr">
        <is>
          <t>Apr</t>
        </is>
      </c>
      <c r="E3889" t="inlineStr">
        <is>
          <t>United States</t>
        </is>
      </c>
      <c r="F3889" t="inlineStr">
        <is>
          <t>USA</t>
        </is>
      </c>
      <c r="G3889" t="inlineStr">
        <is>
          <t>Xeljanz</t>
        </is>
      </c>
      <c r="H3889" t="inlineStr">
        <is>
          <t>Government / tender</t>
        </is>
      </c>
      <c r="I3889" t="inlineStr">
        <is>
          <t>Public payer</t>
        </is>
      </c>
      <c r="J3889" t="inlineStr">
        <is>
          <t>Aisha Bello</t>
        </is>
      </c>
      <c r="K3889" s="70" t="n">
        <v>1828</v>
      </c>
      <c r="L3889" s="71" t="n">
        <v>2245.02</v>
      </c>
      <c r="M3889" s="71" t="n">
        <v>4103896.56</v>
      </c>
      <c r="N3889" s="71" t="n">
        <v>1231168.97</v>
      </c>
      <c r="O3889" s="71" t="n">
        <v>2872727.59</v>
      </c>
      <c r="P3889" s="71" t="n">
        <v>448363.88</v>
      </c>
      <c r="Q3889" s="71" t="n">
        <v>2424363.71</v>
      </c>
      <c r="R3889" t="inlineStr">
        <is>
          <t>Inflammation</t>
        </is>
      </c>
      <c r="S3889" s="70" t="n">
        <v>1183</v>
      </c>
      <c r="T3889" s="71" t="n">
        <v>806911.3199999999</v>
      </c>
      <c r="U3889" t="inlineStr">
        <is>
          <t>High</t>
        </is>
      </c>
      <c r="V3889">
        <f>IF(AND(OR(Dashboard!$C$6="All",E3889=Dashboard!$C$6),OR(Dashboard!$F$6="All",G3889=Dashboard!$F$6),OR(Dashboard!$I$6="All",H3889=Dashboard!$I$6)),1,0)</f>
        <v/>
      </c>
    </row>
    <row r="3890">
      <c r="A3890" t="inlineStr">
        <is>
          <t>PF103881</t>
        </is>
      </c>
      <c r="B3890" s="68" t="n">
        <v>46124</v>
      </c>
      <c r="C3890" s="69" t="n">
        <v>2026</v>
      </c>
      <c r="D3890" t="inlineStr">
        <is>
          <t>Apr</t>
        </is>
      </c>
      <c r="E3890" t="inlineStr">
        <is>
          <t>Emerging markets</t>
        </is>
      </c>
      <c r="F3890" t="inlineStr">
        <is>
          <t>Mexico</t>
        </is>
      </c>
      <c r="G3890" t="inlineStr">
        <is>
          <t>Comirnaty</t>
        </is>
      </c>
      <c r="H3890" t="inlineStr">
        <is>
          <t>Retail pharmacy</t>
        </is>
      </c>
      <c r="I3890" t="inlineStr">
        <is>
          <t>Public payer</t>
        </is>
      </c>
      <c r="J3890" t="inlineStr">
        <is>
          <t>Fatima Al-Saud</t>
        </is>
      </c>
      <c r="K3890" s="70" t="n">
        <v>1551</v>
      </c>
      <c r="L3890" s="71" t="n">
        <v>94.09</v>
      </c>
      <c r="M3890" s="71" t="n">
        <v>145933.59</v>
      </c>
      <c r="N3890" s="71" t="n">
        <v>29186.72</v>
      </c>
      <c r="O3890" s="71" t="n">
        <v>116746.87</v>
      </c>
      <c r="P3890" s="71" t="n">
        <v>61740.03</v>
      </c>
      <c r="Q3890" s="71" t="n">
        <v>55006.84</v>
      </c>
      <c r="R3890" t="inlineStr">
        <is>
          <t>Vaccines</t>
        </is>
      </c>
      <c r="S3890" s="70" t="n">
        <v>1201</v>
      </c>
      <c r="T3890" s="71" t="n">
        <v>33862.98</v>
      </c>
      <c r="U3890" t="inlineStr">
        <is>
          <t>Low</t>
        </is>
      </c>
      <c r="V3890">
        <f>IF(AND(OR(Dashboard!$C$6="All",E3890=Dashboard!$C$6),OR(Dashboard!$F$6="All",G3890=Dashboard!$F$6),OR(Dashboard!$I$6="All",H3890=Dashboard!$I$6)),1,0)</f>
        <v/>
      </c>
    </row>
    <row r="3891">
      <c r="A3891" t="inlineStr">
        <is>
          <t>PF103882</t>
        </is>
      </c>
      <c r="B3891" s="68" t="n">
        <v>46124</v>
      </c>
      <c r="C3891" s="69" t="n">
        <v>2026</v>
      </c>
      <c r="D3891" t="inlineStr">
        <is>
          <t>Apr</t>
        </is>
      </c>
      <c r="E3891" t="inlineStr">
        <is>
          <t>United States</t>
        </is>
      </c>
      <c r="F3891" t="inlineStr">
        <is>
          <t>USA</t>
        </is>
      </c>
      <c r="G3891" t="inlineStr">
        <is>
          <t>Ibrance</t>
        </is>
      </c>
      <c r="H3891" t="inlineStr">
        <is>
          <t>Government / tender</t>
        </is>
      </c>
      <c r="I3891" t="inlineStr">
        <is>
          <t>Public payer</t>
        </is>
      </c>
      <c r="J3891" t="inlineStr">
        <is>
          <t>Mei Lin</t>
        </is>
      </c>
      <c r="K3891" s="70" t="n">
        <v>793</v>
      </c>
      <c r="L3891" s="71" t="n">
        <v>4921.69</v>
      </c>
      <c r="M3891" s="71" t="n">
        <v>3902900.17</v>
      </c>
      <c r="N3891" s="71" t="n">
        <v>975725.04</v>
      </c>
      <c r="O3891" s="71" t="n">
        <v>2927175.13</v>
      </c>
      <c r="P3891" s="71" t="n">
        <v>331838.33</v>
      </c>
      <c r="Q3891" s="71" t="n">
        <v>2595336.8</v>
      </c>
      <c r="R3891" t="inlineStr">
        <is>
          <t>Oncology</t>
        </is>
      </c>
      <c r="S3891" s="70" t="n">
        <v>558</v>
      </c>
      <c r="T3891" s="71" t="n">
        <v>679136.3199999999</v>
      </c>
      <c r="U3891" t="inlineStr">
        <is>
          <t>High</t>
        </is>
      </c>
      <c r="V3891">
        <f>IF(AND(OR(Dashboard!$C$6="All",E3891=Dashboard!$C$6),OR(Dashboard!$F$6="All",G3891=Dashboard!$F$6),OR(Dashboard!$I$6="All",H3891=Dashboard!$I$6)),1,0)</f>
        <v/>
      </c>
    </row>
    <row r="3892">
      <c r="A3892" t="inlineStr">
        <is>
          <t>PF103883</t>
        </is>
      </c>
      <c r="B3892" s="68" t="n">
        <v>46124</v>
      </c>
      <c r="C3892" s="69" t="n">
        <v>2026</v>
      </c>
      <c r="D3892" t="inlineStr">
        <is>
          <t>Apr</t>
        </is>
      </c>
      <c r="E3892" t="inlineStr">
        <is>
          <t>Emerging markets</t>
        </is>
      </c>
      <c r="F3892" t="inlineStr">
        <is>
          <t>Brazil</t>
        </is>
      </c>
      <c r="G3892" t="inlineStr">
        <is>
          <t>Prevnar 20</t>
        </is>
      </c>
      <c r="H3892" t="inlineStr">
        <is>
          <t>Hospital</t>
        </is>
      </c>
      <c r="I3892" t="inlineStr">
        <is>
          <t>Private insurer</t>
        </is>
      </c>
      <c r="J3892" t="inlineStr">
        <is>
          <t>Omar Haddad</t>
        </is>
      </c>
      <c r="K3892" s="70" t="n">
        <v>992</v>
      </c>
      <c r="L3892" s="71" t="n">
        <v>227.02</v>
      </c>
      <c r="M3892" s="71" t="n">
        <v>225203.84</v>
      </c>
      <c r="N3892" s="71" t="n">
        <v>22520.38</v>
      </c>
      <c r="O3892" s="71" t="n">
        <v>202683.46</v>
      </c>
      <c r="P3892" s="71" t="n">
        <v>66433.06</v>
      </c>
      <c r="Q3892" s="71" t="n">
        <v>136250.4</v>
      </c>
      <c r="R3892" t="inlineStr">
        <is>
          <t>Vaccines</t>
        </is>
      </c>
      <c r="S3892" s="70" t="n">
        <v>659</v>
      </c>
      <c r="T3892" s="71" t="n">
        <v>35640.03</v>
      </c>
      <c r="U3892" t="inlineStr">
        <is>
          <t>Low</t>
        </is>
      </c>
      <c r="V3892">
        <f>IF(AND(OR(Dashboard!$C$6="All",E3892=Dashboard!$C$6),OR(Dashboard!$F$6="All",G3892=Dashboard!$F$6),OR(Dashboard!$I$6="All",H3892=Dashboard!$I$6)),1,0)</f>
        <v/>
      </c>
    </row>
    <row r="3893">
      <c r="A3893" t="inlineStr">
        <is>
          <t>PF103884</t>
        </is>
      </c>
      <c r="B3893" s="68" t="n">
        <v>46124</v>
      </c>
      <c r="C3893" s="69" t="n">
        <v>2026</v>
      </c>
      <c r="D3893" t="inlineStr">
        <is>
          <t>Apr</t>
        </is>
      </c>
      <c r="E3893" t="inlineStr">
        <is>
          <t>United States</t>
        </is>
      </c>
      <c r="F3893" t="inlineStr">
        <is>
          <t>USA</t>
        </is>
      </c>
      <c r="G3893" t="inlineStr">
        <is>
          <t>Ibrance</t>
        </is>
      </c>
      <c r="H3893" t="inlineStr">
        <is>
          <t>Retail pharmacy</t>
        </is>
      </c>
      <c r="I3893" t="inlineStr">
        <is>
          <t>Self-pay</t>
        </is>
      </c>
      <c r="J3893" t="inlineStr">
        <is>
          <t>Arjun Mehta</t>
        </is>
      </c>
      <c r="K3893" s="70" t="n">
        <v>2042</v>
      </c>
      <c r="L3893" s="71" t="n">
        <v>4323.34</v>
      </c>
      <c r="M3893" s="71" t="n">
        <v>8828260.279999999</v>
      </c>
      <c r="N3893" s="71" t="n">
        <v>2648478.08</v>
      </c>
      <c r="O3893" s="71" t="n">
        <v>6179782.2</v>
      </c>
      <c r="P3893" s="71" t="n">
        <v>863204.03</v>
      </c>
      <c r="Q3893" s="71" t="n">
        <v>5316578.17</v>
      </c>
      <c r="R3893" t="inlineStr">
        <is>
          <t>Oncology</t>
        </is>
      </c>
      <c r="S3893" s="70" t="n">
        <v>1372</v>
      </c>
      <c r="T3893" s="71" t="n">
        <v>1283399.84</v>
      </c>
      <c r="U3893" t="inlineStr">
        <is>
          <t>High</t>
        </is>
      </c>
      <c r="V3893">
        <f>IF(AND(OR(Dashboard!$C$6="All",E3893=Dashboard!$C$6),OR(Dashboard!$F$6="All",G3893=Dashboard!$F$6),OR(Dashboard!$I$6="All",H3893=Dashboard!$I$6)),1,0)</f>
        <v/>
      </c>
    </row>
    <row r="3894">
      <c r="A3894" t="inlineStr">
        <is>
          <t>PF103885</t>
        </is>
      </c>
      <c r="B3894" s="68" t="n">
        <v>46124</v>
      </c>
      <c r="C3894" s="69" t="n">
        <v>2026</v>
      </c>
      <c r="D3894" t="inlineStr">
        <is>
          <t>Apr</t>
        </is>
      </c>
      <c r="E3894" t="inlineStr">
        <is>
          <t>United States</t>
        </is>
      </c>
      <c r="F3894" t="inlineStr">
        <is>
          <t>USA</t>
        </is>
      </c>
      <c r="G3894" t="inlineStr">
        <is>
          <t>Comirnaty</t>
        </is>
      </c>
      <c r="H3894" t="inlineStr">
        <is>
          <t>Retail pharmacy</t>
        </is>
      </c>
      <c r="I3894" t="inlineStr">
        <is>
          <t>Private insurer</t>
        </is>
      </c>
      <c r="J3894" t="inlineStr">
        <is>
          <t>Omar Haddad</t>
        </is>
      </c>
      <c r="K3894" s="70" t="n">
        <v>827</v>
      </c>
      <c r="L3894" s="71" t="n">
        <v>128.82</v>
      </c>
      <c r="M3894" s="71" t="n">
        <v>106534.14</v>
      </c>
      <c r="N3894" s="71" t="n">
        <v>26633.53</v>
      </c>
      <c r="O3894" s="71" t="n">
        <v>79900.61</v>
      </c>
      <c r="P3894" s="71" t="n">
        <v>32414.67</v>
      </c>
      <c r="Q3894" s="71" t="n">
        <v>47485.94</v>
      </c>
      <c r="R3894" t="inlineStr">
        <is>
          <t>Vaccines</t>
        </is>
      </c>
      <c r="S3894" s="70" t="n">
        <v>532</v>
      </c>
      <c r="T3894" s="71" t="n">
        <v>18495.29</v>
      </c>
      <c r="U3894" t="inlineStr">
        <is>
          <t>Low</t>
        </is>
      </c>
      <c r="V3894">
        <f>IF(AND(OR(Dashboard!$C$6="All",E3894=Dashboard!$C$6),OR(Dashboard!$F$6="All",G3894=Dashboard!$F$6),OR(Dashboard!$I$6="All",H3894=Dashboard!$I$6)),1,0)</f>
        <v/>
      </c>
    </row>
    <row r="3895">
      <c r="A3895" t="inlineStr">
        <is>
          <t>PF103886</t>
        </is>
      </c>
      <c r="B3895" s="68" t="n">
        <v>46124</v>
      </c>
      <c r="C3895" s="69" t="n">
        <v>2026</v>
      </c>
      <c r="D3895" t="inlineStr">
        <is>
          <t>Apr</t>
        </is>
      </c>
      <c r="E3895" t="inlineStr">
        <is>
          <t>Emerging markets</t>
        </is>
      </c>
      <c r="F3895" t="inlineStr">
        <is>
          <t>Mexico</t>
        </is>
      </c>
      <c r="G3895" t="inlineStr">
        <is>
          <t>Eliquis</t>
        </is>
      </c>
      <c r="H3895" t="inlineStr">
        <is>
          <t>Retail pharmacy</t>
        </is>
      </c>
      <c r="I3895" t="inlineStr">
        <is>
          <t>Public payer</t>
        </is>
      </c>
      <c r="J3895" t="inlineStr">
        <is>
          <t>Hiroshi Tanaka</t>
        </is>
      </c>
      <c r="K3895" s="70" t="n">
        <v>1638</v>
      </c>
      <c r="L3895" s="71" t="n">
        <v>444.09</v>
      </c>
      <c r="M3895" s="71" t="n">
        <v>727419.42</v>
      </c>
      <c r="N3895" s="71" t="n">
        <v>109112.91</v>
      </c>
      <c r="O3895" s="71" t="n">
        <v>618306.51</v>
      </c>
      <c r="P3895" s="71" t="n">
        <v>119439.86</v>
      </c>
      <c r="Q3895" s="71" t="n">
        <v>498866.65</v>
      </c>
      <c r="R3895" t="inlineStr">
        <is>
          <t>Cardiology</t>
        </is>
      </c>
      <c r="S3895" s="70" t="n">
        <v>1234</v>
      </c>
      <c r="T3895" s="71" t="n">
        <v>137124.02</v>
      </c>
      <c r="U3895" t="inlineStr">
        <is>
          <t>High</t>
        </is>
      </c>
      <c r="V3895">
        <f>IF(AND(OR(Dashboard!$C$6="All",E3895=Dashboard!$C$6),OR(Dashboard!$F$6="All",G3895=Dashboard!$F$6),OR(Dashboard!$I$6="All",H3895=Dashboard!$I$6)),1,0)</f>
        <v/>
      </c>
    </row>
    <row r="3896">
      <c r="A3896" t="inlineStr">
        <is>
          <t>PF103887</t>
        </is>
      </c>
      <c r="B3896" s="68" t="n">
        <v>46124</v>
      </c>
      <c r="C3896" s="69" t="n">
        <v>2026</v>
      </c>
      <c r="D3896" t="inlineStr">
        <is>
          <t>Apr</t>
        </is>
      </c>
      <c r="E3896" t="inlineStr">
        <is>
          <t>Europe</t>
        </is>
      </c>
      <c r="F3896" t="inlineStr">
        <is>
          <t>Spain</t>
        </is>
      </c>
      <c r="G3896" t="inlineStr">
        <is>
          <t>Abrysvo</t>
        </is>
      </c>
      <c r="H3896" t="inlineStr">
        <is>
          <t>Hospital</t>
        </is>
      </c>
      <c r="I3896" t="inlineStr">
        <is>
          <t>Self-pay</t>
        </is>
      </c>
      <c r="J3896" t="inlineStr">
        <is>
          <t>Arjun Mehta</t>
        </is>
      </c>
      <c r="K3896" s="70" t="n">
        <v>553</v>
      </c>
      <c r="L3896" s="71" t="n">
        <v>308.57</v>
      </c>
      <c r="M3896" s="71" t="n">
        <v>170639.21</v>
      </c>
      <c r="N3896" s="71" t="n">
        <v>34127.84</v>
      </c>
      <c r="O3896" s="71" t="n">
        <v>136511.37</v>
      </c>
      <c r="P3896" s="71" t="n">
        <v>46650.6</v>
      </c>
      <c r="Q3896" s="71" t="n">
        <v>89860.77</v>
      </c>
      <c r="R3896" t="inlineStr">
        <is>
          <t>Vaccines</t>
        </is>
      </c>
      <c r="S3896" s="70" t="n">
        <v>348</v>
      </c>
      <c r="T3896" s="71" t="n">
        <v>19867.32</v>
      </c>
      <c r="U3896" t="inlineStr">
        <is>
          <t>Low</t>
        </is>
      </c>
      <c r="V3896">
        <f>IF(AND(OR(Dashboard!$C$6="All",E3896=Dashboard!$C$6),OR(Dashboard!$F$6="All",G3896=Dashboard!$F$6),OR(Dashboard!$I$6="All",H3896=Dashboard!$I$6)),1,0)</f>
        <v/>
      </c>
    </row>
    <row r="3897">
      <c r="A3897" t="inlineStr">
        <is>
          <t>PF103888</t>
        </is>
      </c>
      <c r="B3897" s="68" t="n">
        <v>46124</v>
      </c>
      <c r="C3897" s="69" t="n">
        <v>2026</v>
      </c>
      <c r="D3897" t="inlineStr">
        <is>
          <t>Apr</t>
        </is>
      </c>
      <c r="E3897" t="inlineStr">
        <is>
          <t>International developed</t>
        </is>
      </c>
      <c r="F3897" t="inlineStr">
        <is>
          <t>Canada</t>
        </is>
      </c>
      <c r="G3897" t="inlineStr">
        <is>
          <t>Comirnaty</t>
        </is>
      </c>
      <c r="H3897" t="inlineStr">
        <is>
          <t>Government / tender</t>
        </is>
      </c>
      <c r="I3897" t="inlineStr">
        <is>
          <t>Public payer</t>
        </is>
      </c>
      <c r="J3897" t="inlineStr">
        <is>
          <t>Ravindra Patil</t>
        </is>
      </c>
      <c r="K3897" s="70" t="n">
        <v>1710</v>
      </c>
      <c r="L3897" s="71" t="n">
        <v>81.47</v>
      </c>
      <c r="M3897" s="71" t="n">
        <v>139313.7</v>
      </c>
      <c r="N3897" s="71" t="n">
        <v>6965.69</v>
      </c>
      <c r="O3897" s="71" t="n">
        <v>132348.01</v>
      </c>
      <c r="P3897" s="71" t="n">
        <v>65298.17</v>
      </c>
      <c r="Q3897" s="71" t="n">
        <v>67049.84</v>
      </c>
      <c r="R3897" t="inlineStr">
        <is>
          <t>Vaccines</t>
        </is>
      </c>
      <c r="S3897" s="70" t="n">
        <v>1319</v>
      </c>
      <c r="T3897" s="71" t="n">
        <v>21992.97</v>
      </c>
      <c r="U3897" t="inlineStr">
        <is>
          <t>Low</t>
        </is>
      </c>
      <c r="V3897">
        <f>IF(AND(OR(Dashboard!$C$6="All",E3897=Dashboard!$C$6),OR(Dashboard!$F$6="All",G3897=Dashboard!$F$6),OR(Dashboard!$I$6="All",H3897=Dashboard!$I$6)),1,0)</f>
        <v/>
      </c>
    </row>
    <row r="3898">
      <c r="A3898" t="inlineStr">
        <is>
          <t>PF103889</t>
        </is>
      </c>
      <c r="B3898" s="68" t="n">
        <v>46125</v>
      </c>
      <c r="C3898" s="69" t="n">
        <v>2026</v>
      </c>
      <c r="D3898" t="inlineStr">
        <is>
          <t>Apr</t>
        </is>
      </c>
      <c r="E3898" t="inlineStr">
        <is>
          <t>United States</t>
        </is>
      </c>
      <c r="F3898" t="inlineStr">
        <is>
          <t>USA</t>
        </is>
      </c>
      <c r="G3898" t="inlineStr">
        <is>
          <t>Xeljanz</t>
        </is>
      </c>
      <c r="H3898" t="inlineStr">
        <is>
          <t>Retail pharmacy</t>
        </is>
      </c>
      <c r="I3898" t="inlineStr">
        <is>
          <t>Private insurer</t>
        </is>
      </c>
      <c r="J3898" t="inlineStr">
        <is>
          <t>Aisha Bello</t>
        </is>
      </c>
      <c r="K3898" s="70" t="n">
        <v>2760</v>
      </c>
      <c r="L3898" s="71" t="n">
        <v>1967.54</v>
      </c>
      <c r="M3898" s="71" t="n">
        <v>5430410.4</v>
      </c>
      <c r="N3898" s="71" t="n">
        <v>814561.5600000001</v>
      </c>
      <c r="O3898" s="71" t="n">
        <v>4615848.84</v>
      </c>
      <c r="P3898" s="71" t="n">
        <v>671144.12</v>
      </c>
      <c r="Q3898" s="71" t="n">
        <v>3944704.72</v>
      </c>
      <c r="R3898" t="inlineStr">
        <is>
          <t>Inflammation</t>
        </is>
      </c>
      <c r="S3898" s="70" t="n">
        <v>2679</v>
      </c>
      <c r="T3898" s="71" t="n">
        <v>932581.99</v>
      </c>
      <c r="U3898" t="inlineStr">
        <is>
          <t>High</t>
        </is>
      </c>
      <c r="V3898">
        <f>IF(AND(OR(Dashboard!$C$6="All",E3898=Dashboard!$C$6),OR(Dashboard!$F$6="All",G3898=Dashboard!$F$6),OR(Dashboard!$I$6="All",H3898=Dashboard!$I$6)),1,0)</f>
        <v/>
      </c>
    </row>
    <row r="3899">
      <c r="A3899" t="inlineStr">
        <is>
          <t>PF103890</t>
        </is>
      </c>
      <c r="B3899" s="68" t="n">
        <v>46125</v>
      </c>
      <c r="C3899" s="69" t="n">
        <v>2026</v>
      </c>
      <c r="D3899" t="inlineStr">
        <is>
          <t>Apr</t>
        </is>
      </c>
      <c r="E3899" t="inlineStr">
        <is>
          <t>Europe</t>
        </is>
      </c>
      <c r="F3899" t="inlineStr">
        <is>
          <t>UK</t>
        </is>
      </c>
      <c r="G3899" t="inlineStr">
        <is>
          <t>Comirnaty</t>
        </is>
      </c>
      <c r="H3899" t="inlineStr">
        <is>
          <t>Retail pharmacy</t>
        </is>
      </c>
      <c r="I3899" t="inlineStr">
        <is>
          <t>Private insurer</t>
        </is>
      </c>
      <c r="J3899" t="inlineStr">
        <is>
          <t>Noah Smith</t>
        </is>
      </c>
      <c r="K3899" s="70" t="n">
        <v>99</v>
      </c>
      <c r="L3899" s="71" t="n">
        <v>85.69</v>
      </c>
      <c r="M3899" s="71" t="n">
        <v>8483.309999999999</v>
      </c>
      <c r="N3899" s="71" t="n">
        <v>848.33</v>
      </c>
      <c r="O3899" s="71" t="n">
        <v>7634.98</v>
      </c>
      <c r="P3899" s="71" t="n">
        <v>3957.97</v>
      </c>
      <c r="Q3899" s="71" t="n">
        <v>3677.01</v>
      </c>
      <c r="R3899" t="inlineStr">
        <is>
          <t>Vaccines</t>
        </is>
      </c>
      <c r="S3899" s="70" t="n">
        <v>72</v>
      </c>
      <c r="T3899" s="71" t="n">
        <v>2066.61</v>
      </c>
      <c r="U3899" t="inlineStr">
        <is>
          <t>Low</t>
        </is>
      </c>
      <c r="V3899">
        <f>IF(AND(OR(Dashboard!$C$6="All",E3899=Dashboard!$C$6),OR(Dashboard!$F$6="All",G3899=Dashboard!$F$6),OR(Dashboard!$I$6="All",H3899=Dashboard!$I$6)),1,0)</f>
        <v/>
      </c>
    </row>
    <row r="3900">
      <c r="A3900" t="inlineStr">
        <is>
          <t>PF103891</t>
        </is>
      </c>
      <c r="B3900" s="68" t="n">
        <v>46125</v>
      </c>
      <c r="C3900" s="69" t="n">
        <v>2026</v>
      </c>
      <c r="D3900" t="inlineStr">
        <is>
          <t>Apr</t>
        </is>
      </c>
      <c r="E3900" t="inlineStr">
        <is>
          <t>International developed</t>
        </is>
      </c>
      <c r="F3900" t="inlineStr">
        <is>
          <t>Japan</t>
        </is>
      </c>
      <c r="G3900" t="inlineStr">
        <is>
          <t>Prevnar 20</t>
        </is>
      </c>
      <c r="H3900" t="inlineStr">
        <is>
          <t>Retail pharmacy</t>
        </is>
      </c>
      <c r="I3900" t="inlineStr">
        <is>
          <t>Private insurer</t>
        </is>
      </c>
      <c r="J3900" t="inlineStr">
        <is>
          <t>Mei Lin</t>
        </is>
      </c>
      <c r="K3900" s="70" t="n">
        <v>1131</v>
      </c>
      <c r="L3900" s="71" t="n">
        <v>235.56</v>
      </c>
      <c r="M3900" s="71" t="n">
        <v>266418.36</v>
      </c>
      <c r="N3900" s="71" t="n">
        <v>13320.92</v>
      </c>
      <c r="O3900" s="71" t="n">
        <v>253097.44</v>
      </c>
      <c r="P3900" s="71" t="n">
        <v>77852.61</v>
      </c>
      <c r="Q3900" s="71" t="n">
        <v>175244.83</v>
      </c>
      <c r="R3900" t="inlineStr">
        <is>
          <t>Vaccines</t>
        </is>
      </c>
      <c r="S3900" s="70" t="n">
        <v>748</v>
      </c>
      <c r="T3900" s="71" t="n">
        <v>56028.75</v>
      </c>
      <c r="U3900" t="inlineStr">
        <is>
          <t>Low</t>
        </is>
      </c>
      <c r="V3900">
        <f>IF(AND(OR(Dashboard!$C$6="All",E3900=Dashboard!$C$6),OR(Dashboard!$F$6="All",G3900=Dashboard!$F$6),OR(Dashboard!$I$6="All",H3900=Dashboard!$I$6)),1,0)</f>
        <v/>
      </c>
    </row>
    <row r="3901">
      <c r="A3901" t="inlineStr">
        <is>
          <t>PF103892</t>
        </is>
      </c>
      <c r="B3901" s="68" t="n">
        <v>46125</v>
      </c>
      <c r="C3901" s="69" t="n">
        <v>2026</v>
      </c>
      <c r="D3901" t="inlineStr">
        <is>
          <t>Apr</t>
        </is>
      </c>
      <c r="E3901" t="inlineStr">
        <is>
          <t>Emerging markets</t>
        </is>
      </c>
      <c r="F3901" t="inlineStr">
        <is>
          <t>Brazil</t>
        </is>
      </c>
      <c r="G3901" t="inlineStr">
        <is>
          <t>Eliquis</t>
        </is>
      </c>
      <c r="H3901" t="inlineStr">
        <is>
          <t>Government / tender</t>
        </is>
      </c>
      <c r="I3901" t="inlineStr">
        <is>
          <t>Private insurer</t>
        </is>
      </c>
      <c r="J3901" t="inlineStr">
        <is>
          <t>Mei Lin</t>
        </is>
      </c>
      <c r="K3901" s="70" t="n">
        <v>1091</v>
      </c>
      <c r="L3901" s="71" t="n">
        <v>457.69</v>
      </c>
      <c r="M3901" s="71" t="n">
        <v>499339.79</v>
      </c>
      <c r="N3901" s="71" t="n">
        <v>74900.97</v>
      </c>
      <c r="O3901" s="71" t="n">
        <v>424438.82</v>
      </c>
      <c r="P3901" s="71" t="n">
        <v>84072.49000000001</v>
      </c>
      <c r="Q3901" s="71" t="n">
        <v>340366.33</v>
      </c>
      <c r="R3901" t="inlineStr">
        <is>
          <t>Cardiology</t>
        </is>
      </c>
      <c r="S3901" s="70" t="n">
        <v>1001</v>
      </c>
      <c r="T3901" s="71" t="n">
        <v>61463.94</v>
      </c>
      <c r="U3901" t="inlineStr">
        <is>
          <t>High</t>
        </is>
      </c>
      <c r="V3901">
        <f>IF(AND(OR(Dashboard!$C$6="All",E3901=Dashboard!$C$6),OR(Dashboard!$F$6="All",G3901=Dashboard!$F$6),OR(Dashboard!$I$6="All",H3901=Dashboard!$I$6)),1,0)</f>
        <v/>
      </c>
    </row>
    <row r="3902">
      <c r="A3902" t="inlineStr">
        <is>
          <t>PF103893</t>
        </is>
      </c>
      <c r="B3902" s="68" t="n">
        <v>46125</v>
      </c>
      <c r="C3902" s="69" t="n">
        <v>2026</v>
      </c>
      <c r="D3902" t="inlineStr">
        <is>
          <t>Apr</t>
        </is>
      </c>
      <c r="E3902" t="inlineStr">
        <is>
          <t>Europe</t>
        </is>
      </c>
      <c r="F3902" t="inlineStr">
        <is>
          <t>Germany</t>
        </is>
      </c>
      <c r="G3902" t="inlineStr">
        <is>
          <t>Eliquis</t>
        </is>
      </c>
      <c r="H3902" t="inlineStr">
        <is>
          <t>Retail pharmacy</t>
        </is>
      </c>
      <c r="I3902" t="inlineStr">
        <is>
          <t>Private insurer</t>
        </is>
      </c>
      <c r="J3902" t="inlineStr">
        <is>
          <t>Fatima Al-Saud</t>
        </is>
      </c>
      <c r="K3902" s="70" t="n">
        <v>474</v>
      </c>
      <c r="L3902" s="71" t="n">
        <v>441.65</v>
      </c>
      <c r="M3902" s="71" t="n">
        <v>209342.1</v>
      </c>
      <c r="N3902" s="71" t="n">
        <v>41868.42</v>
      </c>
      <c r="O3902" s="71" t="n">
        <v>167473.68</v>
      </c>
      <c r="P3902" s="71" t="n">
        <v>36489.01</v>
      </c>
      <c r="Q3902" s="71" t="n">
        <v>130984.67</v>
      </c>
      <c r="R3902" t="inlineStr">
        <is>
          <t>Cardiology</t>
        </is>
      </c>
      <c r="S3902" s="70" t="n">
        <v>427</v>
      </c>
      <c r="T3902" s="71" t="n">
        <v>36127.68</v>
      </c>
      <c r="U3902" t="inlineStr">
        <is>
          <t>High</t>
        </is>
      </c>
      <c r="V3902">
        <f>IF(AND(OR(Dashboard!$C$6="All",E3902=Dashboard!$C$6),OR(Dashboard!$F$6="All",G3902=Dashboard!$F$6),OR(Dashboard!$I$6="All",H3902=Dashboard!$I$6)),1,0)</f>
        <v/>
      </c>
    </row>
    <row r="3903">
      <c r="A3903" t="inlineStr">
        <is>
          <t>PF103894</t>
        </is>
      </c>
      <c r="B3903" s="68" t="n">
        <v>46125</v>
      </c>
      <c r="C3903" s="69" t="n">
        <v>2026</v>
      </c>
      <c r="D3903" t="inlineStr">
        <is>
          <t>Apr</t>
        </is>
      </c>
      <c r="E3903" t="inlineStr">
        <is>
          <t>Europe</t>
        </is>
      </c>
      <c r="F3903" t="inlineStr">
        <is>
          <t>Italy</t>
        </is>
      </c>
      <c r="G3903" t="inlineStr">
        <is>
          <t>Ibrance</t>
        </is>
      </c>
      <c r="H3903" t="inlineStr">
        <is>
          <t>Government / tender</t>
        </is>
      </c>
      <c r="I3903" t="inlineStr">
        <is>
          <t>Private insurer</t>
        </is>
      </c>
      <c r="J3903" t="inlineStr">
        <is>
          <t>Zoya Ahmed</t>
        </is>
      </c>
      <c r="K3903" s="70" t="n">
        <v>2550</v>
      </c>
      <c r="L3903" s="71" t="n">
        <v>2544.1</v>
      </c>
      <c r="M3903" s="71" t="n">
        <v>6487455</v>
      </c>
      <c r="N3903" s="71" t="n">
        <v>324372.75</v>
      </c>
      <c r="O3903" s="71" t="n">
        <v>6163082.25</v>
      </c>
      <c r="P3903" s="71" t="n">
        <v>1091641.59</v>
      </c>
      <c r="Q3903" s="71" t="n">
        <v>5071440.66</v>
      </c>
      <c r="R3903" t="inlineStr">
        <is>
          <t>Oncology</t>
        </is>
      </c>
      <c r="S3903" s="70" t="n">
        <v>2038</v>
      </c>
      <c r="T3903" s="71" t="n">
        <v>944926.49</v>
      </c>
      <c r="U3903" t="inlineStr">
        <is>
          <t>High</t>
        </is>
      </c>
      <c r="V3903">
        <f>IF(AND(OR(Dashboard!$C$6="All",E3903=Dashboard!$C$6),OR(Dashboard!$F$6="All",G3903=Dashboard!$F$6),OR(Dashboard!$I$6="All",H3903=Dashboard!$I$6)),1,0)</f>
        <v/>
      </c>
    </row>
    <row r="3904">
      <c r="A3904" t="inlineStr">
        <is>
          <t>PF103895</t>
        </is>
      </c>
      <c r="B3904" s="68" t="n">
        <v>46125</v>
      </c>
      <c r="C3904" s="69" t="n">
        <v>2026</v>
      </c>
      <c r="D3904" t="inlineStr">
        <is>
          <t>Apr</t>
        </is>
      </c>
      <c r="E3904" t="inlineStr">
        <is>
          <t>United States</t>
        </is>
      </c>
      <c r="F3904" t="inlineStr">
        <is>
          <t>USA</t>
        </is>
      </c>
      <c r="G3904" t="inlineStr">
        <is>
          <t>Abrysvo</t>
        </is>
      </c>
      <c r="H3904" t="inlineStr">
        <is>
          <t>Retail pharmacy</t>
        </is>
      </c>
      <c r="I3904" t="inlineStr">
        <is>
          <t>Self-pay</t>
        </is>
      </c>
      <c r="J3904" t="inlineStr">
        <is>
          <t>Ruhi Shaikh</t>
        </is>
      </c>
      <c r="K3904" s="70" t="n">
        <v>3191</v>
      </c>
      <c r="L3904" s="71" t="n">
        <v>482.16</v>
      </c>
      <c r="M3904" s="71" t="n">
        <v>1538572.56</v>
      </c>
      <c r="N3904" s="71" t="n">
        <v>461571.77</v>
      </c>
      <c r="O3904" s="71" t="n">
        <v>1077000.79</v>
      </c>
      <c r="P3904" s="71" t="n">
        <v>257714.57</v>
      </c>
      <c r="Q3904" s="71" t="n">
        <v>819286.22</v>
      </c>
      <c r="R3904" t="inlineStr">
        <is>
          <t>Vaccines</t>
        </is>
      </c>
      <c r="S3904" s="70" t="n">
        <v>2734</v>
      </c>
      <c r="T3904" s="71" t="n">
        <v>261744.55</v>
      </c>
      <c r="U3904" t="inlineStr">
        <is>
          <t>Low</t>
        </is>
      </c>
      <c r="V3904">
        <f>IF(AND(OR(Dashboard!$C$6="All",E3904=Dashboard!$C$6),OR(Dashboard!$F$6="All",G3904=Dashboard!$F$6),OR(Dashboard!$I$6="All",H3904=Dashboard!$I$6)),1,0)</f>
        <v/>
      </c>
    </row>
    <row r="3905">
      <c r="A3905" t="inlineStr">
        <is>
          <t>PF103896</t>
        </is>
      </c>
      <c r="B3905" s="68" t="n">
        <v>46125</v>
      </c>
      <c r="C3905" s="69" t="n">
        <v>2026</v>
      </c>
      <c r="D3905" t="inlineStr">
        <is>
          <t>Apr</t>
        </is>
      </c>
      <c r="E3905" t="inlineStr">
        <is>
          <t>United States</t>
        </is>
      </c>
      <c r="F3905" t="inlineStr">
        <is>
          <t>USA</t>
        </is>
      </c>
      <c r="G3905" t="inlineStr">
        <is>
          <t>Vyndaqel</t>
        </is>
      </c>
      <c r="H3905" t="inlineStr">
        <is>
          <t>Retail pharmacy</t>
        </is>
      </c>
      <c r="I3905" t="inlineStr">
        <is>
          <t>Private insurer</t>
        </is>
      </c>
      <c r="J3905" t="inlineStr">
        <is>
          <t>Omar Haddad</t>
        </is>
      </c>
      <c r="K3905" s="70" t="n">
        <v>966</v>
      </c>
      <c r="L3905" s="71" t="n">
        <v>9194.51</v>
      </c>
      <c r="M3905" s="71" t="n">
        <v>8881896.66</v>
      </c>
      <c r="N3905" s="71" t="n">
        <v>2664569</v>
      </c>
      <c r="O3905" s="71" t="n">
        <v>6217327.66</v>
      </c>
      <c r="P3905" s="71" t="n">
        <v>585723.77</v>
      </c>
      <c r="Q3905" s="71" t="n">
        <v>5631603.89</v>
      </c>
      <c r="R3905" t="inlineStr">
        <is>
          <t>Rare disease</t>
        </is>
      </c>
      <c r="S3905" s="70" t="n">
        <v>689</v>
      </c>
      <c r="T3905" s="71" t="n">
        <v>1700283.88</v>
      </c>
      <c r="U3905" t="inlineStr">
        <is>
          <t>Medium</t>
        </is>
      </c>
      <c r="V3905">
        <f>IF(AND(OR(Dashboard!$C$6="All",E3905=Dashboard!$C$6),OR(Dashboard!$F$6="All",G3905=Dashboard!$F$6),OR(Dashboard!$I$6="All",H3905=Dashboard!$I$6)),1,0)</f>
        <v/>
      </c>
    </row>
    <row r="3906">
      <c r="A3906" t="inlineStr">
        <is>
          <t>PF103897</t>
        </is>
      </c>
      <c r="B3906" s="68" t="n">
        <v>46126</v>
      </c>
      <c r="C3906" s="69" t="n">
        <v>2026</v>
      </c>
      <c r="D3906" t="inlineStr">
        <is>
          <t>Apr</t>
        </is>
      </c>
      <c r="E3906" t="inlineStr">
        <is>
          <t>International developed</t>
        </is>
      </c>
      <c r="F3906" t="inlineStr">
        <is>
          <t>Japan</t>
        </is>
      </c>
      <c r="G3906" t="inlineStr">
        <is>
          <t>Eliquis</t>
        </is>
      </c>
      <c r="H3906" t="inlineStr">
        <is>
          <t>Retail pharmacy</t>
        </is>
      </c>
      <c r="I3906" t="inlineStr">
        <is>
          <t>Public payer</t>
        </is>
      </c>
      <c r="J3906" t="inlineStr">
        <is>
          <t>Ruhi Shaikh</t>
        </is>
      </c>
      <c r="K3906" s="70" t="n">
        <v>2316</v>
      </c>
      <c r="L3906" s="71" t="n">
        <v>405.02</v>
      </c>
      <c r="M3906" s="71" t="n">
        <v>938026.3199999999</v>
      </c>
      <c r="N3906" s="71" t="n">
        <v>140703.95</v>
      </c>
      <c r="O3906" s="71" t="n">
        <v>797322.37</v>
      </c>
      <c r="P3906" s="71" t="n">
        <v>169589.1</v>
      </c>
      <c r="Q3906" s="71" t="n">
        <v>627733.27</v>
      </c>
      <c r="R3906" t="inlineStr">
        <is>
          <t>Cardiology</t>
        </is>
      </c>
      <c r="S3906" s="70" t="n">
        <v>1575</v>
      </c>
      <c r="T3906" s="71" t="n">
        <v>184764.71</v>
      </c>
      <c r="U3906" t="inlineStr">
        <is>
          <t>High</t>
        </is>
      </c>
      <c r="V3906">
        <f>IF(AND(OR(Dashboard!$C$6="All",E3906=Dashboard!$C$6),OR(Dashboard!$F$6="All",G3906=Dashboard!$F$6),OR(Dashboard!$I$6="All",H3906=Dashboard!$I$6)),1,0)</f>
        <v/>
      </c>
    </row>
    <row r="3907">
      <c r="A3907" t="inlineStr">
        <is>
          <t>PF103898</t>
        </is>
      </c>
      <c r="B3907" s="68" t="n">
        <v>46126</v>
      </c>
      <c r="C3907" s="69" t="n">
        <v>2026</v>
      </c>
      <c r="D3907" t="inlineStr">
        <is>
          <t>Apr</t>
        </is>
      </c>
      <c r="E3907" t="inlineStr">
        <is>
          <t>Emerging markets</t>
        </is>
      </c>
      <c r="F3907" t="inlineStr">
        <is>
          <t>Brazil</t>
        </is>
      </c>
      <c r="G3907" t="inlineStr">
        <is>
          <t>Ibrance</t>
        </is>
      </c>
      <c r="H3907" t="inlineStr">
        <is>
          <t>Hospital</t>
        </is>
      </c>
      <c r="I3907" t="inlineStr">
        <is>
          <t>Private insurer</t>
        </is>
      </c>
      <c r="J3907" t="inlineStr">
        <is>
          <t>Ruhi Shaikh</t>
        </is>
      </c>
      <c r="K3907" s="70" t="n">
        <v>1876</v>
      </c>
      <c r="L3907" s="71" t="n">
        <v>2684.48</v>
      </c>
      <c r="M3907" s="71" t="n">
        <v>5036084.48</v>
      </c>
      <c r="N3907" s="71" t="n">
        <v>503608.45</v>
      </c>
      <c r="O3907" s="71" t="n">
        <v>4532476.03</v>
      </c>
      <c r="P3907" s="71" t="n">
        <v>803494.03</v>
      </c>
      <c r="Q3907" s="71" t="n">
        <v>3728982</v>
      </c>
      <c r="R3907" t="inlineStr">
        <is>
          <t>Oncology</t>
        </is>
      </c>
      <c r="S3907" s="70" t="n">
        <v>1554</v>
      </c>
      <c r="T3907" s="71" t="n">
        <v>807928.36</v>
      </c>
      <c r="U3907" t="inlineStr">
        <is>
          <t>High</t>
        </is>
      </c>
      <c r="V3907">
        <f>IF(AND(OR(Dashboard!$C$6="All",E3907=Dashboard!$C$6),OR(Dashboard!$F$6="All",G3907=Dashboard!$F$6),OR(Dashboard!$I$6="All",H3907=Dashboard!$I$6)),1,0)</f>
        <v/>
      </c>
    </row>
    <row r="3908">
      <c r="A3908" t="inlineStr">
        <is>
          <t>PF103899</t>
        </is>
      </c>
      <c r="B3908" s="68" t="n">
        <v>46126</v>
      </c>
      <c r="C3908" s="69" t="n">
        <v>2026</v>
      </c>
      <c r="D3908" t="inlineStr">
        <is>
          <t>Apr</t>
        </is>
      </c>
      <c r="E3908" t="inlineStr">
        <is>
          <t>United States</t>
        </is>
      </c>
      <c r="F3908" t="inlineStr">
        <is>
          <t>USA</t>
        </is>
      </c>
      <c r="G3908" t="inlineStr">
        <is>
          <t>Eliquis</t>
        </is>
      </c>
      <c r="H3908" t="inlineStr">
        <is>
          <t>Government / tender</t>
        </is>
      </c>
      <c r="I3908" t="inlineStr">
        <is>
          <t>Public payer</t>
        </is>
      </c>
      <c r="J3908" t="inlineStr">
        <is>
          <t>Mei Lin</t>
        </is>
      </c>
      <c r="K3908" s="70" t="n">
        <v>2839</v>
      </c>
      <c r="L3908" s="71" t="n">
        <v>710.42</v>
      </c>
      <c r="M3908" s="71" t="n">
        <v>2016882.38</v>
      </c>
      <c r="N3908" s="71" t="n">
        <v>403376.48</v>
      </c>
      <c r="O3908" s="71" t="n">
        <v>1613505.9</v>
      </c>
      <c r="P3908" s="71" t="n">
        <v>213438.96</v>
      </c>
      <c r="Q3908" s="71" t="n">
        <v>1400066.94</v>
      </c>
      <c r="R3908" t="inlineStr">
        <is>
          <t>Cardiology</t>
        </is>
      </c>
      <c r="S3908" s="70" t="n">
        <v>2583</v>
      </c>
      <c r="T3908" s="71" t="n">
        <v>304769.39</v>
      </c>
      <c r="U3908" t="inlineStr">
        <is>
          <t>High</t>
        </is>
      </c>
      <c r="V3908">
        <f>IF(AND(OR(Dashboard!$C$6="All",E3908=Dashboard!$C$6),OR(Dashboard!$F$6="All",G3908=Dashboard!$F$6),OR(Dashboard!$I$6="All",H3908=Dashboard!$I$6)),1,0)</f>
        <v/>
      </c>
    </row>
    <row r="3909">
      <c r="A3909" t="inlineStr">
        <is>
          <t>PF103900</t>
        </is>
      </c>
      <c r="B3909" s="68" t="n">
        <v>46126</v>
      </c>
      <c r="C3909" s="69" t="n">
        <v>2026</v>
      </c>
      <c r="D3909" t="inlineStr">
        <is>
          <t>Apr</t>
        </is>
      </c>
      <c r="E3909" t="inlineStr">
        <is>
          <t>Europe</t>
        </is>
      </c>
      <c r="F3909" t="inlineStr">
        <is>
          <t>UK</t>
        </is>
      </c>
      <c r="G3909" t="inlineStr">
        <is>
          <t>Vyndaqel</t>
        </is>
      </c>
      <c r="H3909" t="inlineStr">
        <is>
          <t>Government / tender</t>
        </is>
      </c>
      <c r="I3909" t="inlineStr">
        <is>
          <t>Private insurer</t>
        </is>
      </c>
      <c r="J3909" t="inlineStr">
        <is>
          <t>Emma Clarke</t>
        </is>
      </c>
      <c r="K3909" s="70" t="n">
        <v>949</v>
      </c>
      <c r="L3909" s="71" t="n">
        <v>5950.8</v>
      </c>
      <c r="M3909" s="71" t="n">
        <v>5647309.2</v>
      </c>
      <c r="N3909" s="71" t="n">
        <v>847096.38</v>
      </c>
      <c r="O3909" s="71" t="n">
        <v>4800212.82</v>
      </c>
      <c r="P3909" s="71" t="n">
        <v>612163.97</v>
      </c>
      <c r="Q3909" s="71" t="n">
        <v>4188048.85</v>
      </c>
      <c r="R3909" t="inlineStr">
        <is>
          <t>Rare disease</t>
        </is>
      </c>
      <c r="S3909" s="70" t="n">
        <v>777</v>
      </c>
      <c r="T3909" s="71" t="n">
        <v>905039.1</v>
      </c>
      <c r="U3909" t="inlineStr">
        <is>
          <t>Medium</t>
        </is>
      </c>
      <c r="V3909">
        <f>IF(AND(OR(Dashboard!$C$6="All",E3909=Dashboard!$C$6),OR(Dashboard!$F$6="All",G3909=Dashboard!$F$6),OR(Dashboard!$I$6="All",H3909=Dashboard!$I$6)),1,0)</f>
        <v/>
      </c>
    </row>
    <row r="3910">
      <c r="A3910" t="inlineStr">
        <is>
          <t>PF103901</t>
        </is>
      </c>
      <c r="B3910" s="68" t="n">
        <v>46126</v>
      </c>
      <c r="C3910" s="69" t="n">
        <v>2026</v>
      </c>
      <c r="D3910" t="inlineStr">
        <is>
          <t>Apr</t>
        </is>
      </c>
      <c r="E3910" t="inlineStr">
        <is>
          <t>Emerging markets</t>
        </is>
      </c>
      <c r="F3910" t="inlineStr">
        <is>
          <t>India</t>
        </is>
      </c>
      <c r="G3910" t="inlineStr">
        <is>
          <t>Prevnar 20</t>
        </is>
      </c>
      <c r="H3910" t="inlineStr">
        <is>
          <t>Hospital</t>
        </is>
      </c>
      <c r="I3910" t="inlineStr">
        <is>
          <t>Public payer</t>
        </is>
      </c>
      <c r="J3910" t="inlineStr">
        <is>
          <t>Fatima Al-Saud</t>
        </is>
      </c>
      <c r="K3910" s="70" t="n">
        <v>1652</v>
      </c>
      <c r="L3910" s="71" t="n">
        <v>227.96</v>
      </c>
      <c r="M3910" s="71" t="n">
        <v>376589.92</v>
      </c>
      <c r="N3910" s="71" t="n">
        <v>56488.49</v>
      </c>
      <c r="O3910" s="71" t="n">
        <v>320101.43</v>
      </c>
      <c r="P3910" s="71" t="n">
        <v>112383.85</v>
      </c>
      <c r="Q3910" s="71" t="n">
        <v>207717.58</v>
      </c>
      <c r="R3910" t="inlineStr">
        <is>
          <t>Vaccines</t>
        </is>
      </c>
      <c r="S3910" s="70" t="n">
        <v>1406</v>
      </c>
      <c r="T3910" s="71" t="n">
        <v>49082.09</v>
      </c>
      <c r="U3910" t="inlineStr">
        <is>
          <t>Low</t>
        </is>
      </c>
      <c r="V3910">
        <f>IF(AND(OR(Dashboard!$C$6="All",E3910=Dashboard!$C$6),OR(Dashboard!$F$6="All",G3910=Dashboard!$F$6),OR(Dashboard!$I$6="All",H3910=Dashboard!$I$6)),1,0)</f>
        <v/>
      </c>
    </row>
    <row r="3911">
      <c r="A3911" t="inlineStr">
        <is>
          <t>PF103902</t>
        </is>
      </c>
      <c r="B3911" s="68" t="n">
        <v>46126</v>
      </c>
      <c r="C3911" s="69" t="n">
        <v>2026</v>
      </c>
      <c r="D3911" t="inlineStr">
        <is>
          <t>Apr</t>
        </is>
      </c>
      <c r="E3911" t="inlineStr">
        <is>
          <t>United States</t>
        </is>
      </c>
      <c r="F3911" t="inlineStr">
        <is>
          <t>USA</t>
        </is>
      </c>
      <c r="G3911" t="inlineStr">
        <is>
          <t>Vyndaqel</t>
        </is>
      </c>
      <c r="H3911" t="inlineStr">
        <is>
          <t>Retail pharmacy</t>
        </is>
      </c>
      <c r="I3911" t="inlineStr">
        <is>
          <t>Private insurer</t>
        </is>
      </c>
      <c r="J3911" t="inlineStr">
        <is>
          <t>Amir Khan</t>
        </is>
      </c>
      <c r="K3911" s="70" t="n">
        <v>1430</v>
      </c>
      <c r="L3911" s="71" t="n">
        <v>9711.469999999999</v>
      </c>
      <c r="M3911" s="71" t="n">
        <v>13887402.1</v>
      </c>
      <c r="N3911" s="71" t="n">
        <v>4166220.63</v>
      </c>
      <c r="O3911" s="71" t="n">
        <v>9721181.470000001</v>
      </c>
      <c r="P3911" s="71" t="n">
        <v>877601.5</v>
      </c>
      <c r="Q3911" s="71" t="n">
        <v>8843579.970000001</v>
      </c>
      <c r="R3911" t="inlineStr">
        <is>
          <t>Rare disease</t>
        </is>
      </c>
      <c r="S3911" s="70" t="n">
        <v>1050</v>
      </c>
      <c r="T3911" s="71" t="n">
        <v>1862034.85</v>
      </c>
      <c r="U3911" t="inlineStr">
        <is>
          <t>Medium</t>
        </is>
      </c>
      <c r="V3911">
        <f>IF(AND(OR(Dashboard!$C$6="All",E3911=Dashboard!$C$6),OR(Dashboard!$F$6="All",G3911=Dashboard!$F$6),OR(Dashboard!$I$6="All",H3911=Dashboard!$I$6)),1,0)</f>
        <v/>
      </c>
    </row>
    <row r="3912">
      <c r="A3912" t="inlineStr">
        <is>
          <t>PF103903</t>
        </is>
      </c>
      <c r="B3912" s="68" t="n">
        <v>46126</v>
      </c>
      <c r="C3912" s="69" t="n">
        <v>2026</v>
      </c>
      <c r="D3912" t="inlineStr">
        <is>
          <t>Apr</t>
        </is>
      </c>
      <c r="E3912" t="inlineStr">
        <is>
          <t>Emerging markets</t>
        </is>
      </c>
      <c r="F3912" t="inlineStr">
        <is>
          <t>Mexico</t>
        </is>
      </c>
      <c r="G3912" t="inlineStr">
        <is>
          <t>Comirnaty</t>
        </is>
      </c>
      <c r="H3912" t="inlineStr">
        <is>
          <t>Hospital</t>
        </is>
      </c>
      <c r="I3912" t="inlineStr">
        <is>
          <t>Private insurer</t>
        </is>
      </c>
      <c r="J3912" t="inlineStr">
        <is>
          <t>Wei Chen</t>
        </is>
      </c>
      <c r="K3912" s="70" t="n">
        <v>560</v>
      </c>
      <c r="L3912" s="71" t="n">
        <v>86.94</v>
      </c>
      <c r="M3912" s="71" t="n">
        <v>48686.4</v>
      </c>
      <c r="N3912" s="71" t="n">
        <v>7302.96</v>
      </c>
      <c r="O3912" s="71" t="n">
        <v>41383.44</v>
      </c>
      <c r="P3912" s="71" t="n">
        <v>20901.25</v>
      </c>
      <c r="Q3912" s="71" t="n">
        <v>20482.19</v>
      </c>
      <c r="R3912" t="inlineStr">
        <is>
          <t>Vaccines</t>
        </is>
      </c>
      <c r="S3912" s="70" t="n">
        <v>409</v>
      </c>
      <c r="T3912" s="71" t="n">
        <v>8206.379999999999</v>
      </c>
      <c r="U3912" t="inlineStr">
        <is>
          <t>Low</t>
        </is>
      </c>
      <c r="V3912">
        <f>IF(AND(OR(Dashboard!$C$6="All",E3912=Dashboard!$C$6),OR(Dashboard!$F$6="All",G3912=Dashboard!$F$6),OR(Dashboard!$I$6="All",H3912=Dashboard!$I$6)),1,0)</f>
        <v/>
      </c>
    </row>
    <row r="3913">
      <c r="A3913" t="inlineStr">
        <is>
          <t>PF103904</t>
        </is>
      </c>
      <c r="B3913" s="68" t="n">
        <v>46126</v>
      </c>
      <c r="C3913" s="69" t="n">
        <v>2026</v>
      </c>
      <c r="D3913" t="inlineStr">
        <is>
          <t>Apr</t>
        </is>
      </c>
      <c r="E3913" t="inlineStr">
        <is>
          <t>Europe</t>
        </is>
      </c>
      <c r="F3913" t="inlineStr">
        <is>
          <t>UK</t>
        </is>
      </c>
      <c r="G3913" t="inlineStr">
        <is>
          <t>Abrysvo</t>
        </is>
      </c>
      <c r="H3913" t="inlineStr">
        <is>
          <t>Government / tender</t>
        </is>
      </c>
      <c r="I3913" t="inlineStr">
        <is>
          <t>Private insurer</t>
        </is>
      </c>
      <c r="J3913" t="inlineStr">
        <is>
          <t>Amir Khan</t>
        </is>
      </c>
      <c r="K3913" s="70" t="n">
        <v>3022</v>
      </c>
      <c r="L3913" s="71" t="n">
        <v>294.18</v>
      </c>
      <c r="M3913" s="71" t="n">
        <v>889011.96</v>
      </c>
      <c r="N3913" s="71" t="n">
        <v>133351.79</v>
      </c>
      <c r="O3913" s="71" t="n">
        <v>755660.17</v>
      </c>
      <c r="P3913" s="71" t="n">
        <v>246119.9</v>
      </c>
      <c r="Q3913" s="71" t="n">
        <v>509540.27</v>
      </c>
      <c r="R3913" t="inlineStr">
        <is>
          <t>Vaccines</t>
        </is>
      </c>
      <c r="S3913" s="70" t="n">
        <v>2047</v>
      </c>
      <c r="T3913" s="71" t="n">
        <v>103440.58</v>
      </c>
      <c r="U3913" t="inlineStr">
        <is>
          <t>Low</t>
        </is>
      </c>
      <c r="V3913">
        <f>IF(AND(OR(Dashboard!$C$6="All",E3913=Dashboard!$C$6),OR(Dashboard!$F$6="All",G3913=Dashboard!$F$6),OR(Dashboard!$I$6="All",H3913=Dashboard!$I$6)),1,0)</f>
        <v/>
      </c>
    </row>
    <row r="3914">
      <c r="A3914" t="inlineStr">
        <is>
          <t>PF103905</t>
        </is>
      </c>
      <c r="B3914" s="68" t="n">
        <v>46126</v>
      </c>
      <c r="C3914" s="69" t="n">
        <v>2026</v>
      </c>
      <c r="D3914" t="inlineStr">
        <is>
          <t>Apr</t>
        </is>
      </c>
      <c r="E3914" t="inlineStr">
        <is>
          <t>United States</t>
        </is>
      </c>
      <c r="F3914" t="inlineStr">
        <is>
          <t>USA</t>
        </is>
      </c>
      <c r="G3914" t="inlineStr">
        <is>
          <t>Prevnar 20</t>
        </is>
      </c>
      <c r="H3914" t="inlineStr">
        <is>
          <t>Hospital</t>
        </is>
      </c>
      <c r="I3914" t="inlineStr">
        <is>
          <t>Private insurer</t>
        </is>
      </c>
      <c r="J3914" t="inlineStr">
        <is>
          <t>Ravindra Patil</t>
        </is>
      </c>
      <c r="K3914" s="70" t="n">
        <v>863</v>
      </c>
      <c r="L3914" s="71" t="n">
        <v>405.91</v>
      </c>
      <c r="M3914" s="71" t="n">
        <v>350300.33</v>
      </c>
      <c r="N3914" s="71" t="n">
        <v>122605.12</v>
      </c>
      <c r="O3914" s="71" t="n">
        <v>227695.21</v>
      </c>
      <c r="P3914" s="71" t="n">
        <v>59243.87</v>
      </c>
      <c r="Q3914" s="71" t="n">
        <v>168451.34</v>
      </c>
      <c r="R3914" t="inlineStr">
        <is>
          <t>Vaccines</t>
        </is>
      </c>
      <c r="S3914" s="70" t="n">
        <v>810</v>
      </c>
      <c r="T3914" s="71" t="n">
        <v>69879.3</v>
      </c>
      <c r="U3914" t="inlineStr">
        <is>
          <t>Low</t>
        </is>
      </c>
      <c r="V3914">
        <f>IF(AND(OR(Dashboard!$C$6="All",E3914=Dashboard!$C$6),OR(Dashboard!$F$6="All",G3914=Dashboard!$F$6),OR(Dashboard!$I$6="All",H3914=Dashboard!$I$6)),1,0)</f>
        <v/>
      </c>
    </row>
    <row r="3915">
      <c r="A3915" t="inlineStr">
        <is>
          <t>PF103906</t>
        </is>
      </c>
      <c r="B3915" s="68" t="n">
        <v>46126</v>
      </c>
      <c r="C3915" s="69" t="n">
        <v>2026</v>
      </c>
      <c r="D3915" t="inlineStr">
        <is>
          <t>Apr</t>
        </is>
      </c>
      <c r="E3915" t="inlineStr">
        <is>
          <t>United States</t>
        </is>
      </c>
      <c r="F3915" t="inlineStr">
        <is>
          <t>USA</t>
        </is>
      </c>
      <c r="G3915" t="inlineStr">
        <is>
          <t>Comirnaty</t>
        </is>
      </c>
      <c r="H3915" t="inlineStr">
        <is>
          <t>Government / tender</t>
        </is>
      </c>
      <c r="I3915" t="inlineStr">
        <is>
          <t>Public payer</t>
        </is>
      </c>
      <c r="J3915" t="inlineStr">
        <is>
          <t>Sara Rossi</t>
        </is>
      </c>
      <c r="K3915" s="70" t="n">
        <v>1465</v>
      </c>
      <c r="L3915" s="71" t="n">
        <v>141.11</v>
      </c>
      <c r="M3915" s="71" t="n">
        <v>206726.15</v>
      </c>
      <c r="N3915" s="71" t="n">
        <v>31008.92</v>
      </c>
      <c r="O3915" s="71" t="n">
        <v>175717.23</v>
      </c>
      <c r="P3915" s="71" t="n">
        <v>57864.77</v>
      </c>
      <c r="Q3915" s="71" t="n">
        <v>117852.46</v>
      </c>
      <c r="R3915" t="inlineStr">
        <is>
          <t>Vaccines</t>
        </is>
      </c>
      <c r="S3915" s="70" t="n">
        <v>1286</v>
      </c>
      <c r="T3915" s="71" t="n">
        <v>32840.88</v>
      </c>
      <c r="U3915" t="inlineStr">
        <is>
          <t>Low</t>
        </is>
      </c>
      <c r="V3915">
        <f>IF(AND(OR(Dashboard!$C$6="All",E3915=Dashboard!$C$6),OR(Dashboard!$F$6="All",G3915=Dashboard!$F$6),OR(Dashboard!$I$6="All",H3915=Dashboard!$I$6)),1,0)</f>
        <v/>
      </c>
    </row>
    <row r="3916">
      <c r="A3916" t="inlineStr">
        <is>
          <t>PF103907</t>
        </is>
      </c>
      <c r="B3916" s="68" t="n">
        <v>46126</v>
      </c>
      <c r="C3916" s="69" t="n">
        <v>2026</v>
      </c>
      <c r="D3916" t="inlineStr">
        <is>
          <t>Apr</t>
        </is>
      </c>
      <c r="E3916" t="inlineStr">
        <is>
          <t>United States</t>
        </is>
      </c>
      <c r="F3916" t="inlineStr">
        <is>
          <t>USA</t>
        </is>
      </c>
      <c r="G3916" t="inlineStr">
        <is>
          <t>Prevnar 20</t>
        </is>
      </c>
      <c r="H3916" t="inlineStr">
        <is>
          <t>Retail pharmacy</t>
        </is>
      </c>
      <c r="I3916" t="inlineStr">
        <is>
          <t>Private insurer</t>
        </is>
      </c>
      <c r="J3916" t="inlineStr">
        <is>
          <t>Amir Khan</t>
        </is>
      </c>
      <c r="K3916" s="70" t="n">
        <v>1232</v>
      </c>
      <c r="L3916" s="71" t="n">
        <v>379.47</v>
      </c>
      <c r="M3916" s="71" t="n">
        <v>467507.04</v>
      </c>
      <c r="N3916" s="71" t="n">
        <v>93501.41</v>
      </c>
      <c r="O3916" s="71" t="n">
        <v>374005.63</v>
      </c>
      <c r="P3916" s="71" t="n">
        <v>85104.19</v>
      </c>
      <c r="Q3916" s="71" t="n">
        <v>288901.44</v>
      </c>
      <c r="R3916" t="inlineStr">
        <is>
          <t>Vaccines</t>
        </is>
      </c>
      <c r="S3916" s="70" t="n">
        <v>1118</v>
      </c>
      <c r="T3916" s="71" t="n">
        <v>59182.8</v>
      </c>
      <c r="U3916" t="inlineStr">
        <is>
          <t>Low</t>
        </is>
      </c>
      <c r="V3916">
        <f>IF(AND(OR(Dashboard!$C$6="All",E3916=Dashboard!$C$6),OR(Dashboard!$F$6="All",G3916=Dashboard!$F$6),OR(Dashboard!$I$6="All",H3916=Dashboard!$I$6)),1,0)</f>
        <v/>
      </c>
    </row>
    <row r="3917">
      <c r="A3917" t="inlineStr">
        <is>
          <t>PF103908</t>
        </is>
      </c>
      <c r="B3917" s="68" t="n">
        <v>46126</v>
      </c>
      <c r="C3917" s="69" t="n">
        <v>2026</v>
      </c>
      <c r="D3917" t="inlineStr">
        <is>
          <t>Apr</t>
        </is>
      </c>
      <c r="E3917" t="inlineStr">
        <is>
          <t>International developed</t>
        </is>
      </c>
      <c r="F3917" t="inlineStr">
        <is>
          <t>Japan</t>
        </is>
      </c>
      <c r="G3917" t="inlineStr">
        <is>
          <t>Comirnaty</t>
        </is>
      </c>
      <c r="H3917" t="inlineStr">
        <is>
          <t>Hospital</t>
        </is>
      </c>
      <c r="I3917" t="inlineStr">
        <is>
          <t>Private insurer</t>
        </is>
      </c>
      <c r="J3917" t="inlineStr">
        <is>
          <t>Sophie Müller</t>
        </is>
      </c>
      <c r="K3917" s="70" t="n">
        <v>1330</v>
      </c>
      <c r="L3917" s="71" t="n">
        <v>80.66</v>
      </c>
      <c r="M3917" s="71" t="n">
        <v>107277.8</v>
      </c>
      <c r="N3917" s="71" t="n">
        <v>26819.45</v>
      </c>
      <c r="O3917" s="71" t="n">
        <v>80458.35000000001</v>
      </c>
      <c r="P3917" s="71" t="n">
        <v>50055.79</v>
      </c>
      <c r="Q3917" s="71" t="n">
        <v>30402.56</v>
      </c>
      <c r="R3917" t="inlineStr">
        <is>
          <t>Vaccines</t>
        </is>
      </c>
      <c r="S3917" s="70" t="n">
        <v>998</v>
      </c>
      <c r="T3917" s="71" t="n">
        <v>22584.71</v>
      </c>
      <c r="U3917" t="inlineStr">
        <is>
          <t>Low</t>
        </is>
      </c>
      <c r="V3917">
        <f>IF(AND(OR(Dashboard!$C$6="All",E3917=Dashboard!$C$6),OR(Dashboard!$F$6="All",G3917=Dashboard!$F$6),OR(Dashboard!$I$6="All",H3917=Dashboard!$I$6)),1,0)</f>
        <v/>
      </c>
    </row>
    <row r="3918">
      <c r="A3918" t="inlineStr">
        <is>
          <t>PF103909</t>
        </is>
      </c>
      <c r="B3918" s="68" t="n">
        <v>46127</v>
      </c>
      <c r="C3918" s="69" t="n">
        <v>2026</v>
      </c>
      <c r="D3918" t="inlineStr">
        <is>
          <t>Apr</t>
        </is>
      </c>
      <c r="E3918" t="inlineStr">
        <is>
          <t>United States</t>
        </is>
      </c>
      <c r="F3918" t="inlineStr">
        <is>
          <t>USA</t>
        </is>
      </c>
      <c r="G3918" t="inlineStr">
        <is>
          <t>Comirnaty</t>
        </is>
      </c>
      <c r="H3918" t="inlineStr">
        <is>
          <t>Retail pharmacy</t>
        </is>
      </c>
      <c r="I3918" t="inlineStr">
        <is>
          <t>Private insurer</t>
        </is>
      </c>
      <c r="J3918" t="inlineStr">
        <is>
          <t>Kofi Mensah</t>
        </is>
      </c>
      <c r="K3918" s="70" t="n">
        <v>1218</v>
      </c>
      <c r="L3918" s="71" t="n">
        <v>143.55</v>
      </c>
      <c r="M3918" s="71" t="n">
        <v>174843.9</v>
      </c>
      <c r="N3918" s="71" t="n">
        <v>34968.78</v>
      </c>
      <c r="O3918" s="71" t="n">
        <v>139875.12</v>
      </c>
      <c r="P3918" s="71" t="n">
        <v>47106.19</v>
      </c>
      <c r="Q3918" s="71" t="n">
        <v>92768.92999999999</v>
      </c>
      <c r="R3918" t="inlineStr">
        <is>
          <t>Vaccines</t>
        </is>
      </c>
      <c r="S3918" s="70" t="n">
        <v>786</v>
      </c>
      <c r="T3918" s="71" t="n">
        <v>36151.58</v>
      </c>
      <c r="U3918" t="inlineStr">
        <is>
          <t>Low</t>
        </is>
      </c>
      <c r="V3918">
        <f>IF(AND(OR(Dashboard!$C$6="All",E3918=Dashboard!$C$6),OR(Dashboard!$F$6="All",G3918=Dashboard!$F$6),OR(Dashboard!$I$6="All",H3918=Dashboard!$I$6)),1,0)</f>
        <v/>
      </c>
    </row>
    <row r="3919">
      <c r="A3919" t="inlineStr">
        <is>
          <t>PF103910</t>
        </is>
      </c>
      <c r="B3919" s="68" t="n">
        <v>46127</v>
      </c>
      <c r="C3919" s="69" t="n">
        <v>2026</v>
      </c>
      <c r="D3919" t="inlineStr">
        <is>
          <t>Apr</t>
        </is>
      </c>
      <c r="E3919" t="inlineStr">
        <is>
          <t>United States</t>
        </is>
      </c>
      <c r="F3919" t="inlineStr">
        <is>
          <t>USA</t>
        </is>
      </c>
      <c r="G3919" t="inlineStr">
        <is>
          <t>Xeljanz</t>
        </is>
      </c>
      <c r="H3919" t="inlineStr">
        <is>
          <t>Retail pharmacy</t>
        </is>
      </c>
      <c r="I3919" t="inlineStr">
        <is>
          <t>Public payer</t>
        </is>
      </c>
      <c r="J3919" t="inlineStr">
        <is>
          <t>Sara Rossi</t>
        </is>
      </c>
      <c r="K3919" s="70" t="n">
        <v>1402</v>
      </c>
      <c r="L3919" s="71" t="n">
        <v>2265.95</v>
      </c>
      <c r="M3919" s="71" t="n">
        <v>3176861.9</v>
      </c>
      <c r="N3919" s="71" t="n">
        <v>953058.5699999999</v>
      </c>
      <c r="O3919" s="71" t="n">
        <v>2223803.33</v>
      </c>
      <c r="P3919" s="71" t="n">
        <v>343913.37</v>
      </c>
      <c r="Q3919" s="71" t="n">
        <v>1879889.96</v>
      </c>
      <c r="R3919" t="inlineStr">
        <is>
          <t>Inflammation</t>
        </is>
      </c>
      <c r="S3919" s="70" t="n">
        <v>1245</v>
      </c>
      <c r="T3919" s="71" t="n">
        <v>407368.96</v>
      </c>
      <c r="U3919" t="inlineStr">
        <is>
          <t>High</t>
        </is>
      </c>
      <c r="V3919">
        <f>IF(AND(OR(Dashboard!$C$6="All",E3919=Dashboard!$C$6),OR(Dashboard!$F$6="All",G3919=Dashboard!$F$6),OR(Dashboard!$I$6="All",H3919=Dashboard!$I$6)),1,0)</f>
        <v/>
      </c>
    </row>
    <row r="3920">
      <c r="A3920" t="inlineStr">
        <is>
          <t>PF103911</t>
        </is>
      </c>
      <c r="B3920" s="68" t="n">
        <v>46127</v>
      </c>
      <c r="C3920" s="69" t="n">
        <v>2026</v>
      </c>
      <c r="D3920" t="inlineStr">
        <is>
          <t>Apr</t>
        </is>
      </c>
      <c r="E3920" t="inlineStr">
        <is>
          <t>Europe</t>
        </is>
      </c>
      <c r="F3920" t="inlineStr">
        <is>
          <t>Germany</t>
        </is>
      </c>
      <c r="G3920" t="inlineStr">
        <is>
          <t>Prevnar 20</t>
        </is>
      </c>
      <c r="H3920" t="inlineStr">
        <is>
          <t>Government / tender</t>
        </is>
      </c>
      <c r="I3920" t="inlineStr">
        <is>
          <t>Self-pay</t>
        </is>
      </c>
      <c r="J3920" t="inlineStr">
        <is>
          <t>Sophie Müller</t>
        </is>
      </c>
      <c r="K3920" s="70" t="n">
        <v>400</v>
      </c>
      <c r="L3920" s="71" t="n">
        <v>221</v>
      </c>
      <c r="M3920" s="71" t="n">
        <v>88400</v>
      </c>
      <c r="N3920" s="71" t="n">
        <v>22100</v>
      </c>
      <c r="O3920" s="71" t="n">
        <v>66300</v>
      </c>
      <c r="P3920" s="71" t="n">
        <v>28211.06</v>
      </c>
      <c r="Q3920" s="71" t="n">
        <v>38088.94</v>
      </c>
      <c r="R3920" t="inlineStr">
        <is>
          <t>Vaccines</t>
        </is>
      </c>
      <c r="S3920" s="70" t="n">
        <v>290</v>
      </c>
      <c r="T3920" s="71" t="n">
        <v>13011.58</v>
      </c>
      <c r="U3920" t="inlineStr">
        <is>
          <t>Low</t>
        </is>
      </c>
      <c r="V3920">
        <f>IF(AND(OR(Dashboard!$C$6="All",E3920=Dashboard!$C$6),OR(Dashboard!$F$6="All",G3920=Dashboard!$F$6),OR(Dashboard!$I$6="All",H3920=Dashboard!$I$6)),1,0)</f>
        <v/>
      </c>
    </row>
    <row r="3921">
      <c r="A3921" t="inlineStr">
        <is>
          <t>PF103912</t>
        </is>
      </c>
      <c r="B3921" s="68" t="n">
        <v>46127</v>
      </c>
      <c r="C3921" s="69" t="n">
        <v>2026</v>
      </c>
      <c r="D3921" t="inlineStr">
        <is>
          <t>Apr</t>
        </is>
      </c>
      <c r="E3921" t="inlineStr">
        <is>
          <t>Europe</t>
        </is>
      </c>
      <c r="F3921" t="inlineStr">
        <is>
          <t>Spain</t>
        </is>
      </c>
      <c r="G3921" t="inlineStr">
        <is>
          <t>Ibrance</t>
        </is>
      </c>
      <c r="H3921" t="inlineStr">
        <is>
          <t>Retail pharmacy</t>
        </is>
      </c>
      <c r="I3921" t="inlineStr">
        <is>
          <t>Public payer</t>
        </is>
      </c>
      <c r="J3921" t="inlineStr">
        <is>
          <t>Ruhi Shaikh</t>
        </is>
      </c>
      <c r="K3921" s="70" t="n">
        <v>960</v>
      </c>
      <c r="L3921" s="71" t="n">
        <v>2642.88</v>
      </c>
      <c r="M3921" s="71" t="n">
        <v>2537164.8</v>
      </c>
      <c r="N3921" s="71" t="n">
        <v>507432.96</v>
      </c>
      <c r="O3921" s="71" t="n">
        <v>2029731.84</v>
      </c>
      <c r="P3921" s="71" t="n">
        <v>421216.07</v>
      </c>
      <c r="Q3921" s="71" t="n">
        <v>1608515.77</v>
      </c>
      <c r="R3921" t="inlineStr">
        <is>
          <t>Oncology</t>
        </is>
      </c>
      <c r="S3921" s="70" t="n">
        <v>621</v>
      </c>
      <c r="T3921" s="71" t="n">
        <v>322334.88</v>
      </c>
      <c r="U3921" t="inlineStr">
        <is>
          <t>High</t>
        </is>
      </c>
      <c r="V3921">
        <f>IF(AND(OR(Dashboard!$C$6="All",E3921=Dashboard!$C$6),OR(Dashboard!$F$6="All",G3921=Dashboard!$F$6),OR(Dashboard!$I$6="All",H3921=Dashboard!$I$6)),1,0)</f>
        <v/>
      </c>
    </row>
    <row r="3922">
      <c r="A3922" t="inlineStr">
        <is>
          <t>PF103913</t>
        </is>
      </c>
      <c r="B3922" s="68" t="n">
        <v>46127</v>
      </c>
      <c r="C3922" s="69" t="n">
        <v>2026</v>
      </c>
      <c r="D3922" t="inlineStr">
        <is>
          <t>Apr</t>
        </is>
      </c>
      <c r="E3922" t="inlineStr">
        <is>
          <t>Europe</t>
        </is>
      </c>
      <c r="F3922" t="inlineStr">
        <is>
          <t>Spain</t>
        </is>
      </c>
      <c r="G3922" t="inlineStr">
        <is>
          <t>Comirnaty</t>
        </is>
      </c>
      <c r="H3922" t="inlineStr">
        <is>
          <t>Retail pharmacy</t>
        </is>
      </c>
      <c r="I3922" t="inlineStr">
        <is>
          <t>Self-pay</t>
        </is>
      </c>
      <c r="J3922" t="inlineStr">
        <is>
          <t>Sophie Müller</t>
        </is>
      </c>
      <c r="K3922" s="70" t="n">
        <v>1417</v>
      </c>
      <c r="L3922" s="71" t="n">
        <v>95.87</v>
      </c>
      <c r="M3922" s="71" t="n">
        <v>135847.79</v>
      </c>
      <c r="N3922" s="71" t="n">
        <v>6792.39</v>
      </c>
      <c r="O3922" s="71" t="n">
        <v>129055.4</v>
      </c>
      <c r="P3922" s="71" t="n">
        <v>56712.99</v>
      </c>
      <c r="Q3922" s="71" t="n">
        <v>72342.41</v>
      </c>
      <c r="R3922" t="inlineStr">
        <is>
          <t>Vaccines</t>
        </is>
      </c>
      <c r="S3922" s="70" t="n">
        <v>902</v>
      </c>
      <c r="T3922" s="71" t="n">
        <v>24079.64</v>
      </c>
      <c r="U3922" t="inlineStr">
        <is>
          <t>Low</t>
        </is>
      </c>
      <c r="V3922">
        <f>IF(AND(OR(Dashboard!$C$6="All",E3922=Dashboard!$C$6),OR(Dashboard!$F$6="All",G3922=Dashboard!$F$6),OR(Dashboard!$I$6="All",H3922=Dashboard!$I$6)),1,0)</f>
        <v/>
      </c>
    </row>
    <row r="3923">
      <c r="A3923" t="inlineStr">
        <is>
          <t>PF103914</t>
        </is>
      </c>
      <c r="B3923" s="68" t="n">
        <v>46127</v>
      </c>
      <c r="C3923" s="69" t="n">
        <v>2026</v>
      </c>
      <c r="D3923" t="inlineStr">
        <is>
          <t>Apr</t>
        </is>
      </c>
      <c r="E3923" t="inlineStr">
        <is>
          <t>United States</t>
        </is>
      </c>
      <c r="F3923" t="inlineStr">
        <is>
          <t>USA</t>
        </is>
      </c>
      <c r="G3923" t="inlineStr">
        <is>
          <t>Vyndaqel</t>
        </is>
      </c>
      <c r="H3923" t="inlineStr">
        <is>
          <t>Hospital</t>
        </is>
      </c>
      <c r="I3923" t="inlineStr">
        <is>
          <t>Private insurer</t>
        </is>
      </c>
      <c r="J3923" t="inlineStr">
        <is>
          <t>Omar Haddad</t>
        </is>
      </c>
      <c r="K3923" s="70" t="n">
        <v>956</v>
      </c>
      <c r="L3923" s="71" t="n">
        <v>9187.59</v>
      </c>
      <c r="M3923" s="71" t="n">
        <v>8783336.039999999</v>
      </c>
      <c r="N3923" s="71" t="n">
        <v>1756667.21</v>
      </c>
      <c r="O3923" s="71" t="n">
        <v>7026668.83</v>
      </c>
      <c r="P3923" s="71" t="n">
        <v>619769.28</v>
      </c>
      <c r="Q3923" s="71" t="n">
        <v>6406899.55</v>
      </c>
      <c r="R3923" t="inlineStr">
        <is>
          <t>Rare disease</t>
        </is>
      </c>
      <c r="S3923" s="70" t="n">
        <v>679</v>
      </c>
      <c r="T3923" s="71" t="n">
        <v>1428108.09</v>
      </c>
      <c r="U3923" t="inlineStr">
        <is>
          <t>Medium</t>
        </is>
      </c>
      <c r="V3923">
        <f>IF(AND(OR(Dashboard!$C$6="All",E3923=Dashboard!$C$6),OR(Dashboard!$F$6="All",G3923=Dashboard!$F$6),OR(Dashboard!$I$6="All",H3923=Dashboard!$I$6)),1,0)</f>
        <v/>
      </c>
    </row>
    <row r="3924">
      <c r="A3924" t="inlineStr">
        <is>
          <t>PF103915</t>
        </is>
      </c>
      <c r="B3924" s="68" t="n">
        <v>46127</v>
      </c>
      <c r="C3924" s="69" t="n">
        <v>2026</v>
      </c>
      <c r="D3924" t="inlineStr">
        <is>
          <t>Apr</t>
        </is>
      </c>
      <c r="E3924" t="inlineStr">
        <is>
          <t>United States</t>
        </is>
      </c>
      <c r="F3924" t="inlineStr">
        <is>
          <t>USA</t>
        </is>
      </c>
      <c r="G3924" t="inlineStr">
        <is>
          <t>Eliquis</t>
        </is>
      </c>
      <c r="H3924" t="inlineStr">
        <is>
          <t>Hospital</t>
        </is>
      </c>
      <c r="I3924" t="inlineStr">
        <is>
          <t>Public payer</t>
        </is>
      </c>
      <c r="J3924" t="inlineStr">
        <is>
          <t>Carlos Silva</t>
        </is>
      </c>
      <c r="K3924" s="70" t="n">
        <v>184</v>
      </c>
      <c r="L3924" s="71" t="n">
        <v>697.49</v>
      </c>
      <c r="M3924" s="71" t="n">
        <v>128338.16</v>
      </c>
      <c r="N3924" s="71" t="n">
        <v>32084.54</v>
      </c>
      <c r="O3924" s="71" t="n">
        <v>96253.62</v>
      </c>
      <c r="P3924" s="71" t="n">
        <v>13435.23</v>
      </c>
      <c r="Q3924" s="71" t="n">
        <v>82818.39</v>
      </c>
      <c r="R3924" t="inlineStr">
        <is>
          <t>Cardiology</t>
        </is>
      </c>
      <c r="S3924" s="70" t="n">
        <v>124</v>
      </c>
      <c r="T3924" s="71" t="n">
        <v>25312.14</v>
      </c>
      <c r="U3924" t="inlineStr">
        <is>
          <t>High</t>
        </is>
      </c>
      <c r="V3924">
        <f>IF(AND(OR(Dashboard!$C$6="All",E3924=Dashboard!$C$6),OR(Dashboard!$F$6="All",G3924=Dashboard!$F$6),OR(Dashboard!$I$6="All",H3924=Dashboard!$I$6)),1,0)</f>
        <v/>
      </c>
    </row>
    <row r="3925">
      <c r="A3925" t="inlineStr">
        <is>
          <t>PF103916</t>
        </is>
      </c>
      <c r="B3925" s="68" t="n">
        <v>46128</v>
      </c>
      <c r="C3925" s="69" t="n">
        <v>2026</v>
      </c>
      <c r="D3925" t="inlineStr">
        <is>
          <t>Apr</t>
        </is>
      </c>
      <c r="E3925" t="inlineStr">
        <is>
          <t>Emerging markets</t>
        </is>
      </c>
      <c r="F3925" t="inlineStr">
        <is>
          <t>Mexico</t>
        </is>
      </c>
      <c r="G3925" t="inlineStr">
        <is>
          <t>Prevnar 20</t>
        </is>
      </c>
      <c r="H3925" t="inlineStr">
        <is>
          <t>Hospital</t>
        </is>
      </c>
      <c r="I3925" t="inlineStr">
        <is>
          <t>Public payer</t>
        </is>
      </c>
      <c r="J3925" t="inlineStr">
        <is>
          <t>Kofi Mensah</t>
        </is>
      </c>
      <c r="K3925" s="70" t="n">
        <v>2766</v>
      </c>
      <c r="L3925" s="71" t="n">
        <v>228.51</v>
      </c>
      <c r="M3925" s="71" t="n">
        <v>632058.66</v>
      </c>
      <c r="N3925" s="71" t="n">
        <v>94808.8</v>
      </c>
      <c r="O3925" s="71" t="n">
        <v>537249.86</v>
      </c>
      <c r="P3925" s="71" t="n">
        <v>192369.63</v>
      </c>
      <c r="Q3925" s="71" t="n">
        <v>344880.23</v>
      </c>
      <c r="R3925" t="inlineStr">
        <is>
          <t>Vaccines</t>
        </is>
      </c>
      <c r="S3925" s="70" t="n">
        <v>1921</v>
      </c>
      <c r="T3925" s="71" t="n">
        <v>107026.7</v>
      </c>
      <c r="U3925" t="inlineStr">
        <is>
          <t>Low</t>
        </is>
      </c>
      <c r="V3925">
        <f>IF(AND(OR(Dashboard!$C$6="All",E3925=Dashboard!$C$6),OR(Dashboard!$F$6="All",G3925=Dashboard!$F$6),OR(Dashboard!$I$6="All",H3925=Dashboard!$I$6)),1,0)</f>
        <v/>
      </c>
    </row>
    <row r="3926">
      <c r="A3926" t="inlineStr">
        <is>
          <t>PF103917</t>
        </is>
      </c>
      <c r="B3926" s="68" t="n">
        <v>46128</v>
      </c>
      <c r="C3926" s="69" t="n">
        <v>2026</v>
      </c>
      <c r="D3926" t="inlineStr">
        <is>
          <t>Apr</t>
        </is>
      </c>
      <c r="E3926" t="inlineStr">
        <is>
          <t>Europe</t>
        </is>
      </c>
      <c r="F3926" t="inlineStr">
        <is>
          <t>UK</t>
        </is>
      </c>
      <c r="G3926" t="inlineStr">
        <is>
          <t>Xeljanz</t>
        </is>
      </c>
      <c r="H3926" t="inlineStr">
        <is>
          <t>Hospital</t>
        </is>
      </c>
      <c r="I3926" t="inlineStr">
        <is>
          <t>Public payer</t>
        </is>
      </c>
      <c r="J3926" t="inlineStr">
        <is>
          <t>Zoya Ahmed</t>
        </is>
      </c>
      <c r="K3926" s="70" t="n">
        <v>2202</v>
      </c>
      <c r="L3926" s="71" t="n">
        <v>1363.33</v>
      </c>
      <c r="M3926" s="71" t="n">
        <v>3002052.66</v>
      </c>
      <c r="N3926" s="71" t="n">
        <v>600410.53</v>
      </c>
      <c r="O3926" s="71" t="n">
        <v>2401642.13</v>
      </c>
      <c r="P3926" s="71" t="n">
        <v>556439.0600000001</v>
      </c>
      <c r="Q3926" s="71" t="n">
        <v>1845203.07</v>
      </c>
      <c r="R3926" t="inlineStr">
        <is>
          <t>Inflammation</t>
        </is>
      </c>
      <c r="S3926" s="70" t="n">
        <v>1498</v>
      </c>
      <c r="T3926" s="71" t="n">
        <v>604207.96</v>
      </c>
      <c r="U3926" t="inlineStr">
        <is>
          <t>High</t>
        </is>
      </c>
      <c r="V3926">
        <f>IF(AND(OR(Dashboard!$C$6="All",E3926=Dashboard!$C$6),OR(Dashboard!$F$6="All",G3926=Dashboard!$F$6),OR(Dashboard!$I$6="All",H3926=Dashboard!$I$6)),1,0)</f>
        <v/>
      </c>
    </row>
    <row r="3927">
      <c r="A3927" t="inlineStr">
        <is>
          <t>PF103918</t>
        </is>
      </c>
      <c r="B3927" s="68" t="n">
        <v>46128</v>
      </c>
      <c r="C3927" s="69" t="n">
        <v>2026</v>
      </c>
      <c r="D3927" t="inlineStr">
        <is>
          <t>Apr</t>
        </is>
      </c>
      <c r="E3927" t="inlineStr">
        <is>
          <t>United States</t>
        </is>
      </c>
      <c r="F3927" t="inlineStr">
        <is>
          <t>USA</t>
        </is>
      </c>
      <c r="G3927" t="inlineStr">
        <is>
          <t>Paxlovid</t>
        </is>
      </c>
      <c r="H3927" t="inlineStr">
        <is>
          <t>Retail pharmacy</t>
        </is>
      </c>
      <c r="I3927" t="inlineStr">
        <is>
          <t>Public payer</t>
        </is>
      </c>
      <c r="J3927" t="inlineStr">
        <is>
          <t>Yuki Sato</t>
        </is>
      </c>
      <c r="K3927" s="70" t="n">
        <v>424</v>
      </c>
      <c r="L3927" s="71" t="n">
        <v>1395.67</v>
      </c>
      <c r="M3927" s="71" t="n">
        <v>591764.08</v>
      </c>
      <c r="N3927" s="71" t="n">
        <v>177529.22</v>
      </c>
      <c r="O3927" s="71" t="n">
        <v>414234.86</v>
      </c>
      <c r="P3927" s="71" t="n">
        <v>112773.49</v>
      </c>
      <c r="Q3927" s="71" t="n">
        <v>301461.37</v>
      </c>
      <c r="R3927" t="inlineStr">
        <is>
          <t>Antiviral</t>
        </is>
      </c>
      <c r="S3927" s="70" t="n">
        <v>316</v>
      </c>
      <c r="T3927" s="71" t="n">
        <v>109979.39</v>
      </c>
      <c r="U3927" t="inlineStr">
        <is>
          <t>Low</t>
        </is>
      </c>
      <c r="V3927">
        <f>IF(AND(OR(Dashboard!$C$6="All",E3927=Dashboard!$C$6),OR(Dashboard!$F$6="All",G3927=Dashboard!$F$6),OR(Dashboard!$I$6="All",H3927=Dashboard!$I$6)),1,0)</f>
        <v/>
      </c>
    </row>
    <row r="3928">
      <c r="A3928" t="inlineStr">
        <is>
          <t>PF103919</t>
        </is>
      </c>
      <c r="B3928" s="68" t="n">
        <v>46128</v>
      </c>
      <c r="C3928" s="69" t="n">
        <v>2026</v>
      </c>
      <c r="D3928" t="inlineStr">
        <is>
          <t>Apr</t>
        </is>
      </c>
      <c r="E3928" t="inlineStr">
        <is>
          <t>International developed</t>
        </is>
      </c>
      <c r="F3928" t="inlineStr">
        <is>
          <t>Canada</t>
        </is>
      </c>
      <c r="G3928" t="inlineStr">
        <is>
          <t>Prevnar 20</t>
        </is>
      </c>
      <c r="H3928" t="inlineStr">
        <is>
          <t>Retail pharmacy</t>
        </is>
      </c>
      <c r="I3928" t="inlineStr">
        <is>
          <t>Private insurer</t>
        </is>
      </c>
      <c r="J3928" t="inlineStr">
        <is>
          <t>Ana Costa</t>
        </is>
      </c>
      <c r="K3928" s="70" t="n">
        <v>2245</v>
      </c>
      <c r="L3928" s="71" t="n">
        <v>253.33</v>
      </c>
      <c r="M3928" s="71" t="n">
        <v>568725.85</v>
      </c>
      <c r="N3928" s="71" t="n">
        <v>113745.17</v>
      </c>
      <c r="O3928" s="71" t="n">
        <v>454980.68</v>
      </c>
      <c r="P3928" s="71" t="n">
        <v>159569.77</v>
      </c>
      <c r="Q3928" s="71" t="n">
        <v>295410.91</v>
      </c>
      <c r="R3928" t="inlineStr">
        <is>
          <t>Vaccines</t>
        </is>
      </c>
      <c r="S3928" s="70" t="n">
        <v>1456</v>
      </c>
      <c r="T3928" s="71" t="n">
        <v>87261.14</v>
      </c>
      <c r="U3928" t="inlineStr">
        <is>
          <t>Low</t>
        </is>
      </c>
      <c r="V3928">
        <f>IF(AND(OR(Dashboard!$C$6="All",E3928=Dashboard!$C$6),OR(Dashboard!$F$6="All",G3928=Dashboard!$F$6),OR(Dashboard!$I$6="All",H3928=Dashboard!$I$6)),1,0)</f>
        <v/>
      </c>
    </row>
    <row r="3929">
      <c r="A3929" t="inlineStr">
        <is>
          <t>PF103920</t>
        </is>
      </c>
      <c r="B3929" s="68" t="n">
        <v>46128</v>
      </c>
      <c r="C3929" s="69" t="n">
        <v>2026</v>
      </c>
      <c r="D3929" t="inlineStr">
        <is>
          <t>Apr</t>
        </is>
      </c>
      <c r="E3929" t="inlineStr">
        <is>
          <t>United States</t>
        </is>
      </c>
      <c r="F3929" t="inlineStr">
        <is>
          <t>USA</t>
        </is>
      </c>
      <c r="G3929" t="inlineStr">
        <is>
          <t>Abrysvo</t>
        </is>
      </c>
      <c r="H3929" t="inlineStr">
        <is>
          <t>Retail pharmacy</t>
        </is>
      </c>
      <c r="I3929" t="inlineStr">
        <is>
          <t>Self-pay</t>
        </is>
      </c>
      <c r="J3929" t="inlineStr">
        <is>
          <t>Ana Costa</t>
        </is>
      </c>
      <c r="K3929" s="70" t="n">
        <v>2669</v>
      </c>
      <c r="L3929" s="71" t="n">
        <v>460.65</v>
      </c>
      <c r="M3929" s="71" t="n">
        <v>1229474.85</v>
      </c>
      <c r="N3929" s="71" t="n">
        <v>368842.46</v>
      </c>
      <c r="O3929" s="71" t="n">
        <v>860632.39</v>
      </c>
      <c r="P3929" s="71" t="n">
        <v>215913.03</v>
      </c>
      <c r="Q3929" s="71" t="n">
        <v>644719.36</v>
      </c>
      <c r="R3929" t="inlineStr">
        <is>
          <t>Vaccines</t>
        </is>
      </c>
      <c r="S3929" s="70" t="n">
        <v>1833</v>
      </c>
      <c r="T3929" s="71" t="n">
        <v>208100.36</v>
      </c>
      <c r="U3929" t="inlineStr">
        <is>
          <t>Low</t>
        </is>
      </c>
      <c r="V3929">
        <f>IF(AND(OR(Dashboard!$C$6="All",E3929=Dashboard!$C$6),OR(Dashboard!$F$6="All",G3929=Dashboard!$F$6),OR(Dashboard!$I$6="All",H3929=Dashboard!$I$6)),1,0)</f>
        <v/>
      </c>
    </row>
    <row r="3930">
      <c r="A3930" t="inlineStr">
        <is>
          <t>PF103921</t>
        </is>
      </c>
      <c r="B3930" s="68" t="n">
        <v>46129</v>
      </c>
      <c r="C3930" s="69" t="n">
        <v>2026</v>
      </c>
      <c r="D3930" t="inlineStr">
        <is>
          <t>Apr</t>
        </is>
      </c>
      <c r="E3930" t="inlineStr">
        <is>
          <t>United States</t>
        </is>
      </c>
      <c r="F3930" t="inlineStr">
        <is>
          <t>USA</t>
        </is>
      </c>
      <c r="G3930" t="inlineStr">
        <is>
          <t>Paxlovid</t>
        </is>
      </c>
      <c r="H3930" t="inlineStr">
        <is>
          <t>Hospital</t>
        </is>
      </c>
      <c r="I3930" t="inlineStr">
        <is>
          <t>Public payer</t>
        </is>
      </c>
      <c r="J3930" t="inlineStr">
        <is>
          <t>Noah Smith</t>
        </is>
      </c>
      <c r="K3930" s="70" t="n">
        <v>1471</v>
      </c>
      <c r="L3930" s="71" t="n">
        <v>1471.07</v>
      </c>
      <c r="M3930" s="71" t="n">
        <v>2163943.97</v>
      </c>
      <c r="N3930" s="71" t="n">
        <v>540985.99</v>
      </c>
      <c r="O3930" s="71" t="n">
        <v>1622957.98</v>
      </c>
      <c r="P3930" s="71" t="n">
        <v>410958.35</v>
      </c>
      <c r="Q3930" s="71" t="n">
        <v>1211999.63</v>
      </c>
      <c r="R3930" t="inlineStr">
        <is>
          <t>Antiviral</t>
        </is>
      </c>
      <c r="S3930" s="70" t="n">
        <v>1134</v>
      </c>
      <c r="T3930" s="71" t="n">
        <v>492396.37</v>
      </c>
      <c r="U3930" t="inlineStr">
        <is>
          <t>Low</t>
        </is>
      </c>
      <c r="V3930">
        <f>IF(AND(OR(Dashboard!$C$6="All",E3930=Dashboard!$C$6),OR(Dashboard!$F$6="All",G3930=Dashboard!$F$6),OR(Dashboard!$I$6="All",H3930=Dashboard!$I$6)),1,0)</f>
        <v/>
      </c>
    </row>
    <row r="3931">
      <c r="A3931" t="inlineStr">
        <is>
          <t>PF103922</t>
        </is>
      </c>
      <c r="B3931" s="68" t="n">
        <v>46129</v>
      </c>
      <c r="C3931" s="69" t="n">
        <v>2026</v>
      </c>
      <c r="D3931" t="inlineStr">
        <is>
          <t>Apr</t>
        </is>
      </c>
      <c r="E3931" t="inlineStr">
        <is>
          <t>Emerging markets</t>
        </is>
      </c>
      <c r="F3931" t="inlineStr">
        <is>
          <t>China</t>
        </is>
      </c>
      <c r="G3931" t="inlineStr">
        <is>
          <t>Eliquis</t>
        </is>
      </c>
      <c r="H3931" t="inlineStr">
        <is>
          <t>Retail pharmacy</t>
        </is>
      </c>
      <c r="I3931" t="inlineStr">
        <is>
          <t>Public payer</t>
        </is>
      </c>
      <c r="J3931" t="inlineStr">
        <is>
          <t>Sophie Müller</t>
        </is>
      </c>
      <c r="K3931" s="70" t="n">
        <v>584</v>
      </c>
      <c r="L3931" s="71" t="n">
        <v>466.23</v>
      </c>
      <c r="M3931" s="71" t="n">
        <v>272278.32</v>
      </c>
      <c r="N3931" s="71" t="n">
        <v>27227.83</v>
      </c>
      <c r="O3931" s="71" t="n">
        <v>245050.49</v>
      </c>
      <c r="P3931" s="71" t="n">
        <v>44268.78</v>
      </c>
      <c r="Q3931" s="71" t="n">
        <v>200781.71</v>
      </c>
      <c r="R3931" t="inlineStr">
        <is>
          <t>Cardiology</t>
        </is>
      </c>
      <c r="S3931" s="70" t="n">
        <v>524</v>
      </c>
      <c r="T3931" s="71" t="n">
        <v>56810.57</v>
      </c>
      <c r="U3931" t="inlineStr">
        <is>
          <t>High</t>
        </is>
      </c>
      <c r="V3931">
        <f>IF(AND(OR(Dashboard!$C$6="All",E3931=Dashboard!$C$6),OR(Dashboard!$F$6="All",G3931=Dashboard!$F$6),OR(Dashboard!$I$6="All",H3931=Dashboard!$I$6)),1,0)</f>
        <v/>
      </c>
    </row>
    <row r="3932">
      <c r="A3932" t="inlineStr">
        <is>
          <t>PF103923</t>
        </is>
      </c>
      <c r="B3932" s="68" t="n">
        <v>46129</v>
      </c>
      <c r="C3932" s="69" t="n">
        <v>2026</v>
      </c>
      <c r="D3932" t="inlineStr">
        <is>
          <t>Apr</t>
        </is>
      </c>
      <c r="E3932" t="inlineStr">
        <is>
          <t>United States</t>
        </is>
      </c>
      <c r="F3932" t="inlineStr">
        <is>
          <t>USA</t>
        </is>
      </c>
      <c r="G3932" t="inlineStr">
        <is>
          <t>Eliquis</t>
        </is>
      </c>
      <c r="H3932" t="inlineStr">
        <is>
          <t>Government / tender</t>
        </is>
      </c>
      <c r="I3932" t="inlineStr">
        <is>
          <t>Self-pay</t>
        </is>
      </c>
      <c r="J3932" t="inlineStr">
        <is>
          <t>Yuki Sato</t>
        </is>
      </c>
      <c r="K3932" s="70" t="n">
        <v>799</v>
      </c>
      <c r="L3932" s="71" t="n">
        <v>624.9</v>
      </c>
      <c r="M3932" s="71" t="n">
        <v>499295.1</v>
      </c>
      <c r="N3932" s="71" t="n">
        <v>149788.53</v>
      </c>
      <c r="O3932" s="71" t="n">
        <v>349506.57</v>
      </c>
      <c r="P3932" s="71" t="n">
        <v>59048.28</v>
      </c>
      <c r="Q3932" s="71" t="n">
        <v>290458.29</v>
      </c>
      <c r="R3932" t="inlineStr">
        <is>
          <t>Cardiology</t>
        </is>
      </c>
      <c r="S3932" s="70" t="n">
        <v>520</v>
      </c>
      <c r="T3932" s="71" t="n">
        <v>64766.45</v>
      </c>
      <c r="U3932" t="inlineStr">
        <is>
          <t>High</t>
        </is>
      </c>
      <c r="V3932">
        <f>IF(AND(OR(Dashboard!$C$6="All",E3932=Dashboard!$C$6),OR(Dashboard!$F$6="All",G3932=Dashboard!$F$6),OR(Dashboard!$I$6="All",H3932=Dashboard!$I$6)),1,0)</f>
        <v/>
      </c>
    </row>
    <row r="3933">
      <c r="A3933" t="inlineStr">
        <is>
          <t>PF103924</t>
        </is>
      </c>
      <c r="B3933" s="68" t="n">
        <v>46129</v>
      </c>
      <c r="C3933" s="69" t="n">
        <v>2026</v>
      </c>
      <c r="D3933" t="inlineStr">
        <is>
          <t>Apr</t>
        </is>
      </c>
      <c r="E3933" t="inlineStr">
        <is>
          <t>United States</t>
        </is>
      </c>
      <c r="F3933" t="inlineStr">
        <is>
          <t>USA</t>
        </is>
      </c>
      <c r="G3933" t="inlineStr">
        <is>
          <t>Abrysvo</t>
        </is>
      </c>
      <c r="H3933" t="inlineStr">
        <is>
          <t>Hospital</t>
        </is>
      </c>
      <c r="I3933" t="inlineStr">
        <is>
          <t>Public payer</t>
        </is>
      </c>
      <c r="J3933" t="inlineStr">
        <is>
          <t>Kofi Mensah</t>
        </is>
      </c>
      <c r="K3933" s="70" t="n">
        <v>1409</v>
      </c>
      <c r="L3933" s="71" t="n">
        <v>468.13</v>
      </c>
      <c r="M3933" s="71" t="n">
        <v>659595.17</v>
      </c>
      <c r="N3933" s="71" t="n">
        <v>230858.31</v>
      </c>
      <c r="O3933" s="71" t="n">
        <v>428736.86</v>
      </c>
      <c r="P3933" s="71" t="n">
        <v>119313.35</v>
      </c>
      <c r="Q3933" s="71" t="n">
        <v>309423.51</v>
      </c>
      <c r="R3933" t="inlineStr">
        <is>
          <t>Vaccines</t>
        </is>
      </c>
      <c r="S3933" s="70" t="n">
        <v>990</v>
      </c>
      <c r="T3933" s="71" t="n">
        <v>97725.57000000001</v>
      </c>
      <c r="U3933" t="inlineStr">
        <is>
          <t>Low</t>
        </is>
      </c>
      <c r="V3933">
        <f>IF(AND(OR(Dashboard!$C$6="All",E3933=Dashboard!$C$6),OR(Dashboard!$F$6="All",G3933=Dashboard!$F$6),OR(Dashboard!$I$6="All",H3933=Dashboard!$I$6)),1,0)</f>
        <v/>
      </c>
    </row>
    <row r="3934">
      <c r="A3934" t="inlineStr">
        <is>
          <t>PF103925</t>
        </is>
      </c>
      <c r="B3934" s="68" t="n">
        <v>46129</v>
      </c>
      <c r="C3934" s="69" t="n">
        <v>2026</v>
      </c>
      <c r="D3934" t="inlineStr">
        <is>
          <t>Apr</t>
        </is>
      </c>
      <c r="E3934" t="inlineStr">
        <is>
          <t>United States</t>
        </is>
      </c>
      <c r="F3934" t="inlineStr">
        <is>
          <t>USA</t>
        </is>
      </c>
      <c r="G3934" t="inlineStr">
        <is>
          <t>Abrysvo</t>
        </is>
      </c>
      <c r="H3934" t="inlineStr">
        <is>
          <t>Government / tender</t>
        </is>
      </c>
      <c r="I3934" t="inlineStr">
        <is>
          <t>Public payer</t>
        </is>
      </c>
      <c r="J3934" t="inlineStr">
        <is>
          <t>Zoya Ahmed</t>
        </is>
      </c>
      <c r="K3934" s="70" t="n">
        <v>1430</v>
      </c>
      <c r="L3934" s="71" t="n">
        <v>489.58</v>
      </c>
      <c r="M3934" s="71" t="n">
        <v>700099.4</v>
      </c>
      <c r="N3934" s="71" t="n">
        <v>245034.79</v>
      </c>
      <c r="O3934" s="71" t="n">
        <v>455064.61</v>
      </c>
      <c r="P3934" s="71" t="n">
        <v>115527.06</v>
      </c>
      <c r="Q3934" s="71" t="n">
        <v>339537.55</v>
      </c>
      <c r="R3934" t="inlineStr">
        <is>
          <t>Vaccines</t>
        </is>
      </c>
      <c r="S3934" s="70" t="n">
        <v>988</v>
      </c>
      <c r="T3934" s="71" t="n">
        <v>112741.23</v>
      </c>
      <c r="U3934" t="inlineStr">
        <is>
          <t>Low</t>
        </is>
      </c>
      <c r="V3934">
        <f>IF(AND(OR(Dashboard!$C$6="All",E3934=Dashboard!$C$6),OR(Dashboard!$F$6="All",G3934=Dashboard!$F$6),OR(Dashboard!$I$6="All",H3934=Dashboard!$I$6)),1,0)</f>
        <v/>
      </c>
    </row>
    <row r="3935">
      <c r="A3935" t="inlineStr">
        <is>
          <t>PF103926</t>
        </is>
      </c>
      <c r="B3935" s="68" t="n">
        <v>46129</v>
      </c>
      <c r="C3935" s="69" t="n">
        <v>2026</v>
      </c>
      <c r="D3935" t="inlineStr">
        <is>
          <t>Apr</t>
        </is>
      </c>
      <c r="E3935" t="inlineStr">
        <is>
          <t>International developed</t>
        </is>
      </c>
      <c r="F3935" t="inlineStr">
        <is>
          <t>Japan</t>
        </is>
      </c>
      <c r="G3935" t="inlineStr">
        <is>
          <t>Prevnar 20</t>
        </is>
      </c>
      <c r="H3935" t="inlineStr">
        <is>
          <t>Hospital</t>
        </is>
      </c>
      <c r="I3935" t="inlineStr">
        <is>
          <t>Public payer</t>
        </is>
      </c>
      <c r="J3935" t="inlineStr">
        <is>
          <t>Fatima Al-Saud</t>
        </is>
      </c>
      <c r="K3935" s="70" t="n">
        <v>1618</v>
      </c>
      <c r="L3935" s="71" t="n">
        <v>247.5</v>
      </c>
      <c r="M3935" s="71" t="n">
        <v>400455</v>
      </c>
      <c r="N3935" s="71" t="n">
        <v>80091</v>
      </c>
      <c r="O3935" s="71" t="n">
        <v>320364</v>
      </c>
      <c r="P3935" s="71" t="n">
        <v>113424.8</v>
      </c>
      <c r="Q3935" s="71" t="n">
        <v>206939.2</v>
      </c>
      <c r="R3935" t="inlineStr">
        <is>
          <t>Vaccines</t>
        </is>
      </c>
      <c r="S3935" s="70" t="n">
        <v>1578</v>
      </c>
      <c r="T3935" s="71" t="n">
        <v>70969.46000000001</v>
      </c>
      <c r="U3935" t="inlineStr">
        <is>
          <t>Low</t>
        </is>
      </c>
      <c r="V3935">
        <f>IF(AND(OR(Dashboard!$C$6="All",E3935=Dashboard!$C$6),OR(Dashboard!$F$6="All",G3935=Dashboard!$F$6),OR(Dashboard!$I$6="All",H3935=Dashboard!$I$6)),1,0)</f>
        <v/>
      </c>
    </row>
    <row r="3936">
      <c r="A3936" t="inlineStr">
        <is>
          <t>PF103927</t>
        </is>
      </c>
      <c r="B3936" s="68" t="n">
        <v>46129</v>
      </c>
      <c r="C3936" s="69" t="n">
        <v>2026</v>
      </c>
      <c r="D3936" t="inlineStr">
        <is>
          <t>Apr</t>
        </is>
      </c>
      <c r="E3936" t="inlineStr">
        <is>
          <t>Europe</t>
        </is>
      </c>
      <c r="F3936" t="inlineStr">
        <is>
          <t>UK</t>
        </is>
      </c>
      <c r="G3936" t="inlineStr">
        <is>
          <t>Prevnar 20</t>
        </is>
      </c>
      <c r="H3936" t="inlineStr">
        <is>
          <t>Retail pharmacy</t>
        </is>
      </c>
      <c r="I3936" t="inlineStr">
        <is>
          <t>Self-pay</t>
        </is>
      </c>
      <c r="J3936" t="inlineStr">
        <is>
          <t>Aisha Bello</t>
        </is>
      </c>
      <c r="K3936" s="70" t="n">
        <v>2962</v>
      </c>
      <c r="L3936" s="71" t="n">
        <v>222.51</v>
      </c>
      <c r="M3936" s="71" t="n">
        <v>659074.62</v>
      </c>
      <c r="N3936" s="71" t="n">
        <v>98861.19</v>
      </c>
      <c r="O3936" s="71" t="n">
        <v>560213.4300000001</v>
      </c>
      <c r="P3936" s="71" t="n">
        <v>210134.82</v>
      </c>
      <c r="Q3936" s="71" t="n">
        <v>350078.61</v>
      </c>
      <c r="R3936" t="inlineStr">
        <is>
          <t>Vaccines</t>
        </is>
      </c>
      <c r="S3936" s="70" t="n">
        <v>2570</v>
      </c>
      <c r="T3936" s="71" t="n">
        <v>95378.2</v>
      </c>
      <c r="U3936" t="inlineStr">
        <is>
          <t>Low</t>
        </is>
      </c>
      <c r="V3936">
        <f>IF(AND(OR(Dashboard!$C$6="All",E3936=Dashboard!$C$6),OR(Dashboard!$F$6="All",G3936=Dashboard!$F$6),OR(Dashboard!$I$6="All",H3936=Dashboard!$I$6)),1,0)</f>
        <v/>
      </c>
    </row>
    <row r="3937">
      <c r="A3937" t="inlineStr">
        <is>
          <t>PF103928</t>
        </is>
      </c>
      <c r="B3937" s="68" t="n">
        <v>46129</v>
      </c>
      <c r="C3937" s="69" t="n">
        <v>2026</v>
      </c>
      <c r="D3937" t="inlineStr">
        <is>
          <t>Apr</t>
        </is>
      </c>
      <c r="E3937" t="inlineStr">
        <is>
          <t>Europe</t>
        </is>
      </c>
      <c r="F3937" t="inlineStr">
        <is>
          <t>Germany</t>
        </is>
      </c>
      <c r="G3937" t="inlineStr">
        <is>
          <t>Xeljanz</t>
        </is>
      </c>
      <c r="H3937" t="inlineStr">
        <is>
          <t>Government / tender</t>
        </is>
      </c>
      <c r="I3937" t="inlineStr">
        <is>
          <t>Private insurer</t>
        </is>
      </c>
      <c r="J3937" t="inlineStr">
        <is>
          <t>Lucas Martin</t>
        </is>
      </c>
      <c r="K3937" s="70" t="n">
        <v>367</v>
      </c>
      <c r="L3937" s="71" t="n">
        <v>1208.71</v>
      </c>
      <c r="M3937" s="71" t="n">
        <v>443596.57</v>
      </c>
      <c r="N3937" s="71" t="n">
        <v>66539.49000000001</v>
      </c>
      <c r="O3937" s="71" t="n">
        <v>377057.08</v>
      </c>
      <c r="P3937" s="71" t="n">
        <v>90857.33</v>
      </c>
      <c r="Q3937" s="71" t="n">
        <v>286199.75</v>
      </c>
      <c r="R3937" t="inlineStr">
        <is>
          <t>Inflammation</t>
        </is>
      </c>
      <c r="S3937" s="70" t="n">
        <v>248</v>
      </c>
      <c r="T3937" s="71" t="n">
        <v>72256.77</v>
      </c>
      <c r="U3937" t="inlineStr">
        <is>
          <t>High</t>
        </is>
      </c>
      <c r="V3937">
        <f>IF(AND(OR(Dashboard!$C$6="All",E3937=Dashboard!$C$6),OR(Dashboard!$F$6="All",G3937=Dashboard!$F$6),OR(Dashboard!$I$6="All",H3937=Dashboard!$I$6)),1,0)</f>
        <v/>
      </c>
    </row>
    <row r="3938">
      <c r="A3938" t="inlineStr">
        <is>
          <t>PF103929</t>
        </is>
      </c>
      <c r="B3938" s="68" t="n">
        <v>46129</v>
      </c>
      <c r="C3938" s="69" t="n">
        <v>2026</v>
      </c>
      <c r="D3938" t="inlineStr">
        <is>
          <t>Apr</t>
        </is>
      </c>
      <c r="E3938" t="inlineStr">
        <is>
          <t>United States</t>
        </is>
      </c>
      <c r="F3938" t="inlineStr">
        <is>
          <t>USA</t>
        </is>
      </c>
      <c r="G3938" t="inlineStr">
        <is>
          <t>Eliquis</t>
        </is>
      </c>
      <c r="H3938" t="inlineStr">
        <is>
          <t>Retail pharmacy</t>
        </is>
      </c>
      <c r="I3938" t="inlineStr">
        <is>
          <t>Public payer</t>
        </is>
      </c>
      <c r="J3938" t="inlineStr">
        <is>
          <t>Arjun Mehta</t>
        </is>
      </c>
      <c r="K3938" s="70" t="n">
        <v>1316</v>
      </c>
      <c r="L3938" s="71" t="n">
        <v>658.13</v>
      </c>
      <c r="M3938" s="71" t="n">
        <v>866099.08</v>
      </c>
      <c r="N3938" s="71" t="n">
        <v>173219.82</v>
      </c>
      <c r="O3938" s="71" t="n">
        <v>692879.26</v>
      </c>
      <c r="P3938" s="71" t="n">
        <v>97578.5</v>
      </c>
      <c r="Q3938" s="71" t="n">
        <v>595300.76</v>
      </c>
      <c r="R3938" t="inlineStr">
        <is>
          <t>Cardiology</t>
        </is>
      </c>
      <c r="S3938" s="70" t="n">
        <v>871</v>
      </c>
      <c r="T3938" s="71" t="n">
        <v>105893.02</v>
      </c>
      <c r="U3938" t="inlineStr">
        <is>
          <t>High</t>
        </is>
      </c>
      <c r="V3938">
        <f>IF(AND(OR(Dashboard!$C$6="All",E3938=Dashboard!$C$6),OR(Dashboard!$F$6="All",G3938=Dashboard!$F$6),OR(Dashboard!$I$6="All",H3938=Dashboard!$I$6)),1,0)</f>
        <v/>
      </c>
    </row>
    <row r="3939">
      <c r="A3939" t="inlineStr">
        <is>
          <t>PF103930</t>
        </is>
      </c>
      <c r="B3939" s="68" t="n">
        <v>46129</v>
      </c>
      <c r="C3939" s="69" t="n">
        <v>2026</v>
      </c>
      <c r="D3939" t="inlineStr">
        <is>
          <t>Apr</t>
        </is>
      </c>
      <c r="E3939" t="inlineStr">
        <is>
          <t>Europe</t>
        </is>
      </c>
      <c r="F3939" t="inlineStr">
        <is>
          <t>UK</t>
        </is>
      </c>
      <c r="G3939" t="inlineStr">
        <is>
          <t>Vyndaqel</t>
        </is>
      </c>
      <c r="H3939" t="inlineStr">
        <is>
          <t>Hospital</t>
        </is>
      </c>
      <c r="I3939" t="inlineStr">
        <is>
          <t>Private insurer</t>
        </is>
      </c>
      <c r="J3939" t="inlineStr">
        <is>
          <t>Fatima Al-Saud</t>
        </is>
      </c>
      <c r="K3939" s="70" t="n">
        <v>1453</v>
      </c>
      <c r="L3939" s="71" t="n">
        <v>5333.27</v>
      </c>
      <c r="M3939" s="71" t="n">
        <v>7749241.31</v>
      </c>
      <c r="N3939" s="71" t="n">
        <v>1937310.33</v>
      </c>
      <c r="O3939" s="71" t="n">
        <v>5811930.98</v>
      </c>
      <c r="P3939" s="71" t="n">
        <v>910359.83</v>
      </c>
      <c r="Q3939" s="71" t="n">
        <v>4901571.15</v>
      </c>
      <c r="R3939" t="inlineStr">
        <is>
          <t>Rare disease</t>
        </is>
      </c>
      <c r="S3939" s="70" t="n">
        <v>1222</v>
      </c>
      <c r="T3939" s="71" t="n">
        <v>1449856.3</v>
      </c>
      <c r="U3939" t="inlineStr">
        <is>
          <t>Medium</t>
        </is>
      </c>
      <c r="V3939">
        <f>IF(AND(OR(Dashboard!$C$6="All",E3939=Dashboard!$C$6),OR(Dashboard!$F$6="All",G3939=Dashboard!$F$6),OR(Dashboard!$I$6="All",H3939=Dashboard!$I$6)),1,0)</f>
        <v/>
      </c>
    </row>
    <row r="3940">
      <c r="A3940" t="inlineStr">
        <is>
          <t>PF103931</t>
        </is>
      </c>
      <c r="B3940" s="68" t="n">
        <v>46129</v>
      </c>
      <c r="C3940" s="69" t="n">
        <v>2026</v>
      </c>
      <c r="D3940" t="inlineStr">
        <is>
          <t>Apr</t>
        </is>
      </c>
      <c r="E3940" t="inlineStr">
        <is>
          <t>United States</t>
        </is>
      </c>
      <c r="F3940" t="inlineStr">
        <is>
          <t>USA</t>
        </is>
      </c>
      <c r="G3940" t="inlineStr">
        <is>
          <t>Ibrance</t>
        </is>
      </c>
      <c r="H3940" t="inlineStr">
        <is>
          <t>Hospital</t>
        </is>
      </c>
      <c r="I3940" t="inlineStr">
        <is>
          <t>Public payer</t>
        </is>
      </c>
      <c r="J3940" t="inlineStr">
        <is>
          <t>Fatima Al-Saud</t>
        </is>
      </c>
      <c r="K3940" s="70" t="n">
        <v>956</v>
      </c>
      <c r="L3940" s="71" t="n">
        <v>4460.32</v>
      </c>
      <c r="M3940" s="71" t="n">
        <v>4264065.92</v>
      </c>
      <c r="N3940" s="71" t="n">
        <v>852813.1800000001</v>
      </c>
      <c r="O3940" s="71" t="n">
        <v>3411252.74</v>
      </c>
      <c r="P3940" s="71" t="n">
        <v>417825.74</v>
      </c>
      <c r="Q3940" s="71" t="n">
        <v>2993427</v>
      </c>
      <c r="R3940" t="inlineStr">
        <is>
          <t>Oncology</t>
        </is>
      </c>
      <c r="S3940" s="70" t="n">
        <v>804</v>
      </c>
      <c r="T3940" s="71" t="n">
        <v>733496.83</v>
      </c>
      <c r="U3940" t="inlineStr">
        <is>
          <t>High</t>
        </is>
      </c>
      <c r="V3940">
        <f>IF(AND(OR(Dashboard!$C$6="All",E3940=Dashboard!$C$6),OR(Dashboard!$F$6="All",G3940=Dashboard!$F$6),OR(Dashboard!$I$6="All",H3940=Dashboard!$I$6)),1,0)</f>
        <v/>
      </c>
    </row>
    <row r="3941">
      <c r="A3941" t="inlineStr">
        <is>
          <t>PF103932</t>
        </is>
      </c>
      <c r="B3941" s="68" t="n">
        <v>46130</v>
      </c>
      <c r="C3941" s="69" t="n">
        <v>2026</v>
      </c>
      <c r="D3941" t="inlineStr">
        <is>
          <t>Apr</t>
        </is>
      </c>
      <c r="E3941" t="inlineStr">
        <is>
          <t>United States</t>
        </is>
      </c>
      <c r="F3941" t="inlineStr">
        <is>
          <t>USA</t>
        </is>
      </c>
      <c r="G3941" t="inlineStr">
        <is>
          <t>Vyndaqel</t>
        </is>
      </c>
      <c r="H3941" t="inlineStr">
        <is>
          <t>Hospital</t>
        </is>
      </c>
      <c r="I3941" t="inlineStr">
        <is>
          <t>Public payer</t>
        </is>
      </c>
      <c r="J3941" t="inlineStr">
        <is>
          <t>Kofi Mensah</t>
        </is>
      </c>
      <c r="K3941" s="70" t="n">
        <v>1094</v>
      </c>
      <c r="L3941" s="71" t="n">
        <v>8309.610000000001</v>
      </c>
      <c r="M3941" s="71" t="n">
        <v>9090713.34</v>
      </c>
      <c r="N3941" s="71" t="n">
        <v>2272678.33</v>
      </c>
      <c r="O3941" s="71" t="n">
        <v>6818035.01</v>
      </c>
      <c r="P3941" s="71" t="n">
        <v>685608.52</v>
      </c>
      <c r="Q3941" s="71" t="n">
        <v>6132426.49</v>
      </c>
      <c r="R3941" t="inlineStr">
        <is>
          <t>Rare disease</t>
        </is>
      </c>
      <c r="S3941" s="70" t="n">
        <v>795</v>
      </c>
      <c r="T3941" s="71" t="n">
        <v>1151646.42</v>
      </c>
      <c r="U3941" t="inlineStr">
        <is>
          <t>Medium</t>
        </is>
      </c>
      <c r="V3941">
        <f>IF(AND(OR(Dashboard!$C$6="All",E3941=Dashboard!$C$6),OR(Dashboard!$F$6="All",G3941=Dashboard!$F$6),OR(Dashboard!$I$6="All",H3941=Dashboard!$I$6)),1,0)</f>
        <v/>
      </c>
    </row>
    <row r="3942">
      <c r="A3942" t="inlineStr">
        <is>
          <t>PF103933</t>
        </is>
      </c>
      <c r="B3942" s="68" t="n">
        <v>46130</v>
      </c>
      <c r="C3942" s="69" t="n">
        <v>2026</v>
      </c>
      <c r="D3942" t="inlineStr">
        <is>
          <t>Apr</t>
        </is>
      </c>
      <c r="E3942" t="inlineStr">
        <is>
          <t>United States</t>
        </is>
      </c>
      <c r="F3942" t="inlineStr">
        <is>
          <t>USA</t>
        </is>
      </c>
      <c r="G3942" t="inlineStr">
        <is>
          <t>Eliquis</t>
        </is>
      </c>
      <c r="H3942" t="inlineStr">
        <is>
          <t>Hospital</t>
        </is>
      </c>
      <c r="I3942" t="inlineStr">
        <is>
          <t>Public payer</t>
        </is>
      </c>
      <c r="J3942" t="inlineStr">
        <is>
          <t>Priya Nair</t>
        </is>
      </c>
      <c r="K3942" s="70" t="n">
        <v>2899</v>
      </c>
      <c r="L3942" s="71" t="n">
        <v>678.87</v>
      </c>
      <c r="M3942" s="71" t="n">
        <v>1968044.13</v>
      </c>
      <c r="N3942" s="71" t="n">
        <v>393608.83</v>
      </c>
      <c r="O3942" s="71" t="n">
        <v>1574435.3</v>
      </c>
      <c r="P3942" s="71" t="n">
        <v>224379.25</v>
      </c>
      <c r="Q3942" s="71" t="n">
        <v>1350056.05</v>
      </c>
      <c r="R3942" t="inlineStr">
        <is>
          <t>Cardiology</t>
        </is>
      </c>
      <c r="S3942" s="70" t="n">
        <v>2351</v>
      </c>
      <c r="T3942" s="71" t="n">
        <v>335224.18</v>
      </c>
      <c r="U3942" t="inlineStr">
        <is>
          <t>High</t>
        </is>
      </c>
      <c r="V3942">
        <f>IF(AND(OR(Dashboard!$C$6="All",E3942=Dashboard!$C$6),OR(Dashboard!$F$6="All",G3942=Dashboard!$F$6),OR(Dashboard!$I$6="All",H3942=Dashboard!$I$6)),1,0)</f>
        <v/>
      </c>
    </row>
    <row r="3943">
      <c r="A3943" t="inlineStr">
        <is>
          <t>PF103934</t>
        </is>
      </c>
      <c r="B3943" s="68" t="n">
        <v>46130</v>
      </c>
      <c r="C3943" s="69" t="n">
        <v>2026</v>
      </c>
      <c r="D3943" t="inlineStr">
        <is>
          <t>Apr</t>
        </is>
      </c>
      <c r="E3943" t="inlineStr">
        <is>
          <t>Emerging markets</t>
        </is>
      </c>
      <c r="F3943" t="inlineStr">
        <is>
          <t>China</t>
        </is>
      </c>
      <c r="G3943" t="inlineStr">
        <is>
          <t>Eliquis</t>
        </is>
      </c>
      <c r="H3943" t="inlineStr">
        <is>
          <t>Government / tender</t>
        </is>
      </c>
      <c r="I3943" t="inlineStr">
        <is>
          <t>Self-pay</t>
        </is>
      </c>
      <c r="J3943" t="inlineStr">
        <is>
          <t>Sophie Müller</t>
        </is>
      </c>
      <c r="K3943" s="70" t="n">
        <v>1409</v>
      </c>
      <c r="L3943" s="71" t="n">
        <v>389.8</v>
      </c>
      <c r="M3943" s="71" t="n">
        <v>549228.2</v>
      </c>
      <c r="N3943" s="71" t="n">
        <v>109845.64</v>
      </c>
      <c r="O3943" s="71" t="n">
        <v>439382.56</v>
      </c>
      <c r="P3943" s="71" t="n">
        <v>107460.8</v>
      </c>
      <c r="Q3943" s="71" t="n">
        <v>331921.76</v>
      </c>
      <c r="R3943" t="inlineStr">
        <is>
          <t>Cardiology</t>
        </is>
      </c>
      <c r="S3943" s="70" t="n">
        <v>990</v>
      </c>
      <c r="T3943" s="71" t="n">
        <v>69014.44</v>
      </c>
      <c r="U3943" t="inlineStr">
        <is>
          <t>High</t>
        </is>
      </c>
      <c r="V3943">
        <f>IF(AND(OR(Dashboard!$C$6="All",E3943=Dashboard!$C$6),OR(Dashboard!$F$6="All",G3943=Dashboard!$F$6),OR(Dashboard!$I$6="All",H3943=Dashboard!$I$6)),1,0)</f>
        <v/>
      </c>
    </row>
    <row r="3944">
      <c r="A3944" t="inlineStr">
        <is>
          <t>PF103935</t>
        </is>
      </c>
      <c r="B3944" s="68" t="n">
        <v>46130</v>
      </c>
      <c r="C3944" s="69" t="n">
        <v>2026</v>
      </c>
      <c r="D3944" t="inlineStr">
        <is>
          <t>Apr</t>
        </is>
      </c>
      <c r="E3944" t="inlineStr">
        <is>
          <t>Europe</t>
        </is>
      </c>
      <c r="F3944" t="inlineStr">
        <is>
          <t>Spain</t>
        </is>
      </c>
      <c r="G3944" t="inlineStr">
        <is>
          <t>Comirnaty</t>
        </is>
      </c>
      <c r="H3944" t="inlineStr">
        <is>
          <t>Government / tender</t>
        </is>
      </c>
      <c r="I3944" t="inlineStr">
        <is>
          <t>Public payer</t>
        </is>
      </c>
      <c r="J3944" t="inlineStr">
        <is>
          <t>Aisha Bello</t>
        </is>
      </c>
      <c r="K3944" s="70" t="n">
        <v>1286</v>
      </c>
      <c r="L3944" s="71" t="n">
        <v>95.86</v>
      </c>
      <c r="M3944" s="71" t="n">
        <v>123275.96</v>
      </c>
      <c r="N3944" s="71" t="n">
        <v>6163.8</v>
      </c>
      <c r="O3944" s="71" t="n">
        <v>117112.16</v>
      </c>
      <c r="P3944" s="71" t="n">
        <v>48514.98</v>
      </c>
      <c r="Q3944" s="71" t="n">
        <v>68597.17999999999</v>
      </c>
      <c r="R3944" t="inlineStr">
        <is>
          <t>Vaccines</t>
        </is>
      </c>
      <c r="S3944" s="70" t="n">
        <v>1003</v>
      </c>
      <c r="T3944" s="71" t="n">
        <v>21849.96</v>
      </c>
      <c r="U3944" t="inlineStr">
        <is>
          <t>Low</t>
        </is>
      </c>
      <c r="V3944">
        <f>IF(AND(OR(Dashboard!$C$6="All",E3944=Dashboard!$C$6),OR(Dashboard!$F$6="All",G3944=Dashboard!$F$6),OR(Dashboard!$I$6="All",H3944=Dashboard!$I$6)),1,0)</f>
        <v/>
      </c>
    </row>
    <row r="3945">
      <c r="A3945" t="inlineStr">
        <is>
          <t>PF103936</t>
        </is>
      </c>
      <c r="B3945" s="68" t="n">
        <v>46130</v>
      </c>
      <c r="C3945" s="69" t="n">
        <v>2026</v>
      </c>
      <c r="D3945" t="inlineStr">
        <is>
          <t>Apr</t>
        </is>
      </c>
      <c r="E3945" t="inlineStr">
        <is>
          <t>Europe</t>
        </is>
      </c>
      <c r="F3945" t="inlineStr">
        <is>
          <t>UK</t>
        </is>
      </c>
      <c r="G3945" t="inlineStr">
        <is>
          <t>Prevnar 20</t>
        </is>
      </c>
      <c r="H3945" t="inlineStr">
        <is>
          <t>Hospital</t>
        </is>
      </c>
      <c r="I3945" t="inlineStr">
        <is>
          <t>Private insurer</t>
        </is>
      </c>
      <c r="J3945" t="inlineStr">
        <is>
          <t>Arjun Mehta</t>
        </is>
      </c>
      <c r="K3945" s="70" t="n">
        <v>597</v>
      </c>
      <c r="L3945" s="71" t="n">
        <v>251.97</v>
      </c>
      <c r="M3945" s="71" t="n">
        <v>150426.09</v>
      </c>
      <c r="N3945" s="71" t="n">
        <v>30085.22</v>
      </c>
      <c r="O3945" s="71" t="n">
        <v>120340.87</v>
      </c>
      <c r="P3945" s="71" t="n">
        <v>40717.23</v>
      </c>
      <c r="Q3945" s="71" t="n">
        <v>79623.64</v>
      </c>
      <c r="R3945" t="inlineStr">
        <is>
          <t>Vaccines</t>
        </is>
      </c>
      <c r="S3945" s="70" t="n">
        <v>445</v>
      </c>
      <c r="T3945" s="71" t="n">
        <v>27707.62</v>
      </c>
      <c r="U3945" t="inlineStr">
        <is>
          <t>Low</t>
        </is>
      </c>
      <c r="V3945">
        <f>IF(AND(OR(Dashboard!$C$6="All",E3945=Dashboard!$C$6),OR(Dashboard!$F$6="All",G3945=Dashboard!$F$6),OR(Dashboard!$I$6="All",H3945=Dashboard!$I$6)),1,0)</f>
        <v/>
      </c>
    </row>
    <row r="3946">
      <c r="A3946" t="inlineStr">
        <is>
          <t>PF103937</t>
        </is>
      </c>
      <c r="B3946" s="68" t="n">
        <v>46130</v>
      </c>
      <c r="C3946" s="69" t="n">
        <v>2026</v>
      </c>
      <c r="D3946" t="inlineStr">
        <is>
          <t>Apr</t>
        </is>
      </c>
      <c r="E3946" t="inlineStr">
        <is>
          <t>Europe</t>
        </is>
      </c>
      <c r="F3946" t="inlineStr">
        <is>
          <t>Spain</t>
        </is>
      </c>
      <c r="G3946" t="inlineStr">
        <is>
          <t>Eliquis</t>
        </is>
      </c>
      <c r="H3946" t="inlineStr">
        <is>
          <t>Hospital</t>
        </is>
      </c>
      <c r="I3946" t="inlineStr">
        <is>
          <t>Self-pay</t>
        </is>
      </c>
      <c r="J3946" t="inlineStr">
        <is>
          <t>Omar Haddad</t>
        </is>
      </c>
      <c r="K3946" s="70" t="n">
        <v>878</v>
      </c>
      <c r="L3946" s="71" t="n">
        <v>460.24</v>
      </c>
      <c r="M3946" s="71" t="n">
        <v>404090.72</v>
      </c>
      <c r="N3946" s="71" t="n">
        <v>60613.61</v>
      </c>
      <c r="O3946" s="71" t="n">
        <v>343477.11</v>
      </c>
      <c r="P3946" s="71" t="n">
        <v>64208.15</v>
      </c>
      <c r="Q3946" s="71" t="n">
        <v>279268.96</v>
      </c>
      <c r="R3946" t="inlineStr">
        <is>
          <t>Cardiology</t>
        </is>
      </c>
      <c r="S3946" s="70" t="n">
        <v>826</v>
      </c>
      <c r="T3946" s="71" t="n">
        <v>78452.50999999999</v>
      </c>
      <c r="U3946" t="inlineStr">
        <is>
          <t>High</t>
        </is>
      </c>
      <c r="V3946">
        <f>IF(AND(OR(Dashboard!$C$6="All",E3946=Dashboard!$C$6),OR(Dashboard!$F$6="All",G3946=Dashboard!$F$6),OR(Dashboard!$I$6="All",H3946=Dashboard!$I$6)),1,0)</f>
        <v/>
      </c>
    </row>
    <row r="3947">
      <c r="A3947" t="inlineStr">
        <is>
          <t>PF103938</t>
        </is>
      </c>
      <c r="B3947" s="68" t="n">
        <v>46130</v>
      </c>
      <c r="C3947" s="69" t="n">
        <v>2026</v>
      </c>
      <c r="D3947" t="inlineStr">
        <is>
          <t>Apr</t>
        </is>
      </c>
      <c r="E3947" t="inlineStr">
        <is>
          <t>Europe</t>
        </is>
      </c>
      <c r="F3947" t="inlineStr">
        <is>
          <t>Spain</t>
        </is>
      </c>
      <c r="G3947" t="inlineStr">
        <is>
          <t>Eliquis</t>
        </is>
      </c>
      <c r="H3947" t="inlineStr">
        <is>
          <t>Hospital</t>
        </is>
      </c>
      <c r="I3947" t="inlineStr">
        <is>
          <t>Private insurer</t>
        </is>
      </c>
      <c r="J3947" t="inlineStr">
        <is>
          <t>Kofi Mensah</t>
        </is>
      </c>
      <c r="K3947" s="70" t="n">
        <v>2255</v>
      </c>
      <c r="L3947" s="71" t="n">
        <v>414.04</v>
      </c>
      <c r="M3947" s="71" t="n">
        <v>933660.2</v>
      </c>
      <c r="N3947" s="71" t="n">
        <v>46683.01</v>
      </c>
      <c r="O3947" s="71" t="n">
        <v>886977.1899999999</v>
      </c>
      <c r="P3947" s="71" t="n">
        <v>166052.47</v>
      </c>
      <c r="Q3947" s="71" t="n">
        <v>720924.72</v>
      </c>
      <c r="R3947" t="inlineStr">
        <is>
          <t>Cardiology</t>
        </is>
      </c>
      <c r="S3947" s="70" t="n">
        <v>1868</v>
      </c>
      <c r="T3947" s="71" t="n">
        <v>174680.24</v>
      </c>
      <c r="U3947" t="inlineStr">
        <is>
          <t>High</t>
        </is>
      </c>
      <c r="V3947">
        <f>IF(AND(OR(Dashboard!$C$6="All",E3947=Dashboard!$C$6),OR(Dashboard!$F$6="All",G3947=Dashboard!$F$6),OR(Dashboard!$I$6="All",H3947=Dashboard!$I$6)),1,0)</f>
        <v/>
      </c>
    </row>
    <row r="3948">
      <c r="A3948" t="inlineStr">
        <is>
          <t>PF103939</t>
        </is>
      </c>
      <c r="B3948" s="68" t="n">
        <v>46131</v>
      </c>
      <c r="C3948" s="69" t="n">
        <v>2026</v>
      </c>
      <c r="D3948" t="inlineStr">
        <is>
          <t>Apr</t>
        </is>
      </c>
      <c r="E3948" t="inlineStr">
        <is>
          <t>Europe</t>
        </is>
      </c>
      <c r="F3948" t="inlineStr">
        <is>
          <t>UK</t>
        </is>
      </c>
      <c r="G3948" t="inlineStr">
        <is>
          <t>Prevnar 20</t>
        </is>
      </c>
      <c r="H3948" t="inlineStr">
        <is>
          <t>Retail pharmacy</t>
        </is>
      </c>
      <c r="I3948" t="inlineStr">
        <is>
          <t>Public payer</t>
        </is>
      </c>
      <c r="J3948" t="inlineStr">
        <is>
          <t>Wei Chen</t>
        </is>
      </c>
      <c r="K3948" s="70" t="n">
        <v>2071</v>
      </c>
      <c r="L3948" s="71" t="n">
        <v>218.37</v>
      </c>
      <c r="M3948" s="71" t="n">
        <v>452244.27</v>
      </c>
      <c r="N3948" s="71" t="n">
        <v>45224.43</v>
      </c>
      <c r="O3948" s="71" t="n">
        <v>407019.84</v>
      </c>
      <c r="P3948" s="71" t="n">
        <v>147387.89</v>
      </c>
      <c r="Q3948" s="71" t="n">
        <v>259631.95</v>
      </c>
      <c r="R3948" t="inlineStr">
        <is>
          <t>Vaccines</t>
        </is>
      </c>
      <c r="S3948" s="70" t="n">
        <v>1517</v>
      </c>
      <c r="T3948" s="71" t="n">
        <v>67491.92999999999</v>
      </c>
      <c r="U3948" t="inlineStr">
        <is>
          <t>Low</t>
        </is>
      </c>
      <c r="V3948">
        <f>IF(AND(OR(Dashboard!$C$6="All",E3948=Dashboard!$C$6),OR(Dashboard!$F$6="All",G3948=Dashboard!$F$6),OR(Dashboard!$I$6="All",H3948=Dashboard!$I$6)),1,0)</f>
        <v/>
      </c>
    </row>
    <row r="3949">
      <c r="A3949" t="inlineStr">
        <is>
          <t>PF103940</t>
        </is>
      </c>
      <c r="B3949" s="68" t="n">
        <v>46131</v>
      </c>
      <c r="C3949" s="69" t="n">
        <v>2026</v>
      </c>
      <c r="D3949" t="inlineStr">
        <is>
          <t>Apr</t>
        </is>
      </c>
      <c r="E3949" t="inlineStr">
        <is>
          <t>United States</t>
        </is>
      </c>
      <c r="F3949" t="inlineStr">
        <is>
          <t>USA</t>
        </is>
      </c>
      <c r="G3949" t="inlineStr">
        <is>
          <t>Vyndaqel</t>
        </is>
      </c>
      <c r="H3949" t="inlineStr">
        <is>
          <t>Hospital</t>
        </is>
      </c>
      <c r="I3949" t="inlineStr">
        <is>
          <t>Private insurer</t>
        </is>
      </c>
      <c r="J3949" t="inlineStr">
        <is>
          <t>Olivia Brown</t>
        </is>
      </c>
      <c r="K3949" s="70" t="n">
        <v>1937</v>
      </c>
      <c r="L3949" s="71" t="n">
        <v>9617.540000000001</v>
      </c>
      <c r="M3949" s="71" t="n">
        <v>18629174.98</v>
      </c>
      <c r="N3949" s="71" t="n">
        <v>4657293.75</v>
      </c>
      <c r="O3949" s="71" t="n">
        <v>13971881.23</v>
      </c>
      <c r="P3949" s="71" t="n">
        <v>1245700.97</v>
      </c>
      <c r="Q3949" s="71" t="n">
        <v>12726180.26</v>
      </c>
      <c r="R3949" t="inlineStr">
        <is>
          <t>Rare disease</t>
        </is>
      </c>
      <c r="S3949" s="70" t="n">
        <v>1290</v>
      </c>
      <c r="T3949" s="71" t="n">
        <v>2230614.82</v>
      </c>
      <c r="U3949" t="inlineStr">
        <is>
          <t>Medium</t>
        </is>
      </c>
      <c r="V3949">
        <f>IF(AND(OR(Dashboard!$C$6="All",E3949=Dashboard!$C$6),OR(Dashboard!$F$6="All",G3949=Dashboard!$F$6),OR(Dashboard!$I$6="All",H3949=Dashboard!$I$6)),1,0)</f>
        <v/>
      </c>
    </row>
    <row r="3950">
      <c r="A3950" t="inlineStr">
        <is>
          <t>PF103941</t>
        </is>
      </c>
      <c r="B3950" s="68" t="n">
        <v>46131</v>
      </c>
      <c r="C3950" s="69" t="n">
        <v>2026</v>
      </c>
      <c r="D3950" t="inlineStr">
        <is>
          <t>Apr</t>
        </is>
      </c>
      <c r="E3950" t="inlineStr">
        <is>
          <t>Europe</t>
        </is>
      </c>
      <c r="F3950" t="inlineStr">
        <is>
          <t>UK</t>
        </is>
      </c>
      <c r="G3950" t="inlineStr">
        <is>
          <t>Prevnar 20</t>
        </is>
      </c>
      <c r="H3950" t="inlineStr">
        <is>
          <t>Hospital</t>
        </is>
      </c>
      <c r="I3950" t="inlineStr">
        <is>
          <t>Public payer</t>
        </is>
      </c>
      <c r="J3950" t="inlineStr">
        <is>
          <t>Emma Clarke</t>
        </is>
      </c>
      <c r="K3950" s="70" t="n">
        <v>2700</v>
      </c>
      <c r="L3950" s="71" t="n">
        <v>220.93</v>
      </c>
      <c r="M3950" s="71" t="n">
        <v>596511</v>
      </c>
      <c r="N3950" s="71" t="n">
        <v>59651.1</v>
      </c>
      <c r="O3950" s="71" t="n">
        <v>536859.9</v>
      </c>
      <c r="P3950" s="71" t="n">
        <v>181262.26</v>
      </c>
      <c r="Q3950" s="71" t="n">
        <v>355597.64</v>
      </c>
      <c r="R3950" t="inlineStr">
        <is>
          <t>Vaccines</t>
        </is>
      </c>
      <c r="S3950" s="70" t="n">
        <v>2655</v>
      </c>
      <c r="T3950" s="71" t="n">
        <v>76547.53999999999</v>
      </c>
      <c r="U3950" t="inlineStr">
        <is>
          <t>Low</t>
        </is>
      </c>
      <c r="V3950">
        <f>IF(AND(OR(Dashboard!$C$6="All",E3950=Dashboard!$C$6),OR(Dashboard!$F$6="All",G3950=Dashboard!$F$6),OR(Dashboard!$I$6="All",H3950=Dashboard!$I$6)),1,0)</f>
        <v/>
      </c>
    </row>
    <row r="3951">
      <c r="A3951" t="inlineStr">
        <is>
          <t>PF103942</t>
        </is>
      </c>
      <c r="B3951" s="68" t="n">
        <v>46131</v>
      </c>
      <c r="C3951" s="69" t="n">
        <v>2026</v>
      </c>
      <c r="D3951" t="inlineStr">
        <is>
          <t>Apr</t>
        </is>
      </c>
      <c r="E3951" t="inlineStr">
        <is>
          <t>United States</t>
        </is>
      </c>
      <c r="F3951" t="inlineStr">
        <is>
          <t>USA</t>
        </is>
      </c>
      <c r="G3951" t="inlineStr">
        <is>
          <t>Ibrance</t>
        </is>
      </c>
      <c r="H3951" t="inlineStr">
        <is>
          <t>Government / tender</t>
        </is>
      </c>
      <c r="I3951" t="inlineStr">
        <is>
          <t>Private insurer</t>
        </is>
      </c>
      <c r="J3951" t="inlineStr">
        <is>
          <t>Ruhi Shaikh</t>
        </is>
      </c>
      <c r="K3951" s="70" t="n">
        <v>2744</v>
      </c>
      <c r="L3951" s="71" t="n">
        <v>4578.67</v>
      </c>
      <c r="M3951" s="71" t="n">
        <v>12563870.48</v>
      </c>
      <c r="N3951" s="71" t="n">
        <v>2512774.1</v>
      </c>
      <c r="O3951" s="71" t="n">
        <v>10051096.38</v>
      </c>
      <c r="P3951" s="71" t="n">
        <v>1226001.6</v>
      </c>
      <c r="Q3951" s="71" t="n">
        <v>8825094.779999999</v>
      </c>
      <c r="R3951" t="inlineStr">
        <is>
          <t>Oncology</t>
        </is>
      </c>
      <c r="S3951" s="70" t="n">
        <v>2458</v>
      </c>
      <c r="T3951" s="71" t="n">
        <v>2260495.92</v>
      </c>
      <c r="U3951" t="inlineStr">
        <is>
          <t>High</t>
        </is>
      </c>
      <c r="V3951">
        <f>IF(AND(OR(Dashboard!$C$6="All",E3951=Dashboard!$C$6),OR(Dashboard!$F$6="All",G3951=Dashboard!$F$6),OR(Dashboard!$I$6="All",H3951=Dashboard!$I$6)),1,0)</f>
        <v/>
      </c>
    </row>
    <row r="3952">
      <c r="A3952" t="inlineStr">
        <is>
          <t>PF103943</t>
        </is>
      </c>
      <c r="B3952" s="68" t="n">
        <v>46131</v>
      </c>
      <c r="C3952" s="69" t="n">
        <v>2026</v>
      </c>
      <c r="D3952" t="inlineStr">
        <is>
          <t>Apr</t>
        </is>
      </c>
      <c r="E3952" t="inlineStr">
        <is>
          <t>United States</t>
        </is>
      </c>
      <c r="F3952" t="inlineStr">
        <is>
          <t>USA</t>
        </is>
      </c>
      <c r="G3952" t="inlineStr">
        <is>
          <t>Paxlovid</t>
        </is>
      </c>
      <c r="H3952" t="inlineStr">
        <is>
          <t>Government / tender</t>
        </is>
      </c>
      <c r="I3952" t="inlineStr">
        <is>
          <t>Public payer</t>
        </is>
      </c>
      <c r="J3952" t="inlineStr">
        <is>
          <t>Fatima Al-Saud</t>
        </is>
      </c>
      <c r="K3952" s="70" t="n">
        <v>1333</v>
      </c>
      <c r="L3952" s="71" t="n">
        <v>1519.01</v>
      </c>
      <c r="M3952" s="71" t="n">
        <v>2024840.33</v>
      </c>
      <c r="N3952" s="71" t="n">
        <v>506210.08</v>
      </c>
      <c r="O3952" s="71" t="n">
        <v>1518630.25</v>
      </c>
      <c r="P3952" s="71" t="n">
        <v>357986.9</v>
      </c>
      <c r="Q3952" s="71" t="n">
        <v>1160643.35</v>
      </c>
      <c r="R3952" t="inlineStr">
        <is>
          <t>Antiviral</t>
        </is>
      </c>
      <c r="S3952" s="70" t="n">
        <v>1310</v>
      </c>
      <c r="T3952" s="71" t="n">
        <v>460464.72</v>
      </c>
      <c r="U3952" t="inlineStr">
        <is>
          <t>Low</t>
        </is>
      </c>
      <c r="V3952">
        <f>IF(AND(OR(Dashboard!$C$6="All",E3952=Dashboard!$C$6),OR(Dashboard!$F$6="All",G3952=Dashboard!$F$6),OR(Dashboard!$I$6="All",H3952=Dashboard!$I$6)),1,0)</f>
        <v/>
      </c>
    </row>
    <row r="3953">
      <c r="A3953" t="inlineStr">
        <is>
          <t>PF103944</t>
        </is>
      </c>
      <c r="B3953" s="68" t="n">
        <v>46131</v>
      </c>
      <c r="C3953" s="69" t="n">
        <v>2026</v>
      </c>
      <c r="D3953" t="inlineStr">
        <is>
          <t>Apr</t>
        </is>
      </c>
      <c r="E3953" t="inlineStr">
        <is>
          <t>Emerging markets</t>
        </is>
      </c>
      <c r="F3953" t="inlineStr">
        <is>
          <t>Brazil</t>
        </is>
      </c>
      <c r="G3953" t="inlineStr">
        <is>
          <t>Xeljanz</t>
        </is>
      </c>
      <c r="H3953" t="inlineStr">
        <is>
          <t>Hospital</t>
        </is>
      </c>
      <c r="I3953" t="inlineStr">
        <is>
          <t>Public payer</t>
        </is>
      </c>
      <c r="J3953" t="inlineStr">
        <is>
          <t>Omar Haddad</t>
        </is>
      </c>
      <c r="K3953" s="70" t="n">
        <v>2203</v>
      </c>
      <c r="L3953" s="71" t="n">
        <v>1308.13</v>
      </c>
      <c r="M3953" s="71" t="n">
        <v>2881810.39</v>
      </c>
      <c r="N3953" s="71" t="n">
        <v>576362.08</v>
      </c>
      <c r="O3953" s="71" t="n">
        <v>2305448.31</v>
      </c>
      <c r="P3953" s="71" t="n">
        <v>538497.45</v>
      </c>
      <c r="Q3953" s="71" t="n">
        <v>1766950.86</v>
      </c>
      <c r="R3953" t="inlineStr">
        <is>
          <t>Inflammation</t>
        </is>
      </c>
      <c r="S3953" s="70" t="n">
        <v>2032</v>
      </c>
      <c r="T3953" s="71" t="n">
        <v>574956.52</v>
      </c>
      <c r="U3953" t="inlineStr">
        <is>
          <t>High</t>
        </is>
      </c>
      <c r="V3953">
        <f>IF(AND(OR(Dashboard!$C$6="All",E3953=Dashboard!$C$6),OR(Dashboard!$F$6="All",G3953=Dashboard!$F$6),OR(Dashboard!$I$6="All",H3953=Dashboard!$I$6)),1,0)</f>
        <v/>
      </c>
    </row>
    <row r="3954">
      <c r="A3954" t="inlineStr">
        <is>
          <t>PF103945</t>
        </is>
      </c>
      <c r="B3954" s="68" t="n">
        <v>46131</v>
      </c>
      <c r="C3954" s="69" t="n">
        <v>2026</v>
      </c>
      <c r="D3954" t="inlineStr">
        <is>
          <t>Apr</t>
        </is>
      </c>
      <c r="E3954" t="inlineStr">
        <is>
          <t>United States</t>
        </is>
      </c>
      <c r="F3954" t="inlineStr">
        <is>
          <t>USA</t>
        </is>
      </c>
      <c r="G3954" t="inlineStr">
        <is>
          <t>Vyndaqel</t>
        </is>
      </c>
      <c r="H3954" t="inlineStr">
        <is>
          <t>Government / tender</t>
        </is>
      </c>
      <c r="I3954" t="inlineStr">
        <is>
          <t>Public payer</t>
        </is>
      </c>
      <c r="J3954" t="inlineStr">
        <is>
          <t>Wei Chen</t>
        </is>
      </c>
      <c r="K3954" s="70" t="n">
        <v>2448</v>
      </c>
      <c r="L3954" s="71" t="n">
        <v>9771.23</v>
      </c>
      <c r="M3954" s="71" t="n">
        <v>23919971.04</v>
      </c>
      <c r="N3954" s="71" t="n">
        <v>7175991.31</v>
      </c>
      <c r="O3954" s="71" t="n">
        <v>16743979.73</v>
      </c>
      <c r="P3954" s="71" t="n">
        <v>1494042.71</v>
      </c>
      <c r="Q3954" s="71" t="n">
        <v>15249937.02</v>
      </c>
      <c r="R3954" t="inlineStr">
        <is>
          <t>Rare disease</t>
        </is>
      </c>
      <c r="S3954" s="70" t="n">
        <v>1578</v>
      </c>
      <c r="T3954" s="71" t="n">
        <v>2938141.5</v>
      </c>
      <c r="U3954" t="inlineStr">
        <is>
          <t>Medium</t>
        </is>
      </c>
      <c r="V3954">
        <f>IF(AND(OR(Dashboard!$C$6="All",E3954=Dashboard!$C$6),OR(Dashboard!$F$6="All",G3954=Dashboard!$F$6),OR(Dashboard!$I$6="All",H3954=Dashboard!$I$6)),1,0)</f>
        <v/>
      </c>
    </row>
    <row r="3955">
      <c r="A3955" t="inlineStr">
        <is>
          <t>PF103946</t>
        </is>
      </c>
      <c r="B3955" s="68" t="n">
        <v>46131</v>
      </c>
      <c r="C3955" s="69" t="n">
        <v>2026</v>
      </c>
      <c r="D3955" t="inlineStr">
        <is>
          <t>Apr</t>
        </is>
      </c>
      <c r="E3955" t="inlineStr">
        <is>
          <t>Emerging markets</t>
        </is>
      </c>
      <c r="F3955" t="inlineStr">
        <is>
          <t>Brazil</t>
        </is>
      </c>
      <c r="G3955" t="inlineStr">
        <is>
          <t>Comirnaty</t>
        </is>
      </c>
      <c r="H3955" t="inlineStr">
        <is>
          <t>Retail pharmacy</t>
        </is>
      </c>
      <c r="I3955" t="inlineStr">
        <is>
          <t>Public payer</t>
        </is>
      </c>
      <c r="J3955" t="inlineStr">
        <is>
          <t>Aisha Bello</t>
        </is>
      </c>
      <c r="K3955" s="70" t="n">
        <v>1995</v>
      </c>
      <c r="L3955" s="71" t="n">
        <v>82.16</v>
      </c>
      <c r="M3955" s="71" t="n">
        <v>163909.2</v>
      </c>
      <c r="N3955" s="71" t="n">
        <v>40977.3</v>
      </c>
      <c r="O3955" s="71" t="n">
        <v>122931.9</v>
      </c>
      <c r="P3955" s="71" t="n">
        <v>77274.37</v>
      </c>
      <c r="Q3955" s="71" t="n">
        <v>45657.53</v>
      </c>
      <c r="R3955" t="inlineStr">
        <is>
          <t>Vaccines</t>
        </is>
      </c>
      <c r="S3955" s="70" t="n">
        <v>1724</v>
      </c>
      <c r="T3955" s="71" t="n">
        <v>36911.65</v>
      </c>
      <c r="U3955" t="inlineStr">
        <is>
          <t>Low</t>
        </is>
      </c>
      <c r="V3955">
        <f>IF(AND(OR(Dashboard!$C$6="All",E3955=Dashboard!$C$6),OR(Dashboard!$F$6="All",G3955=Dashboard!$F$6),OR(Dashboard!$I$6="All",H3955=Dashboard!$I$6)),1,0)</f>
        <v/>
      </c>
    </row>
    <row r="3956">
      <c r="A3956" t="inlineStr">
        <is>
          <t>PF103947</t>
        </is>
      </c>
      <c r="B3956" s="68" t="n">
        <v>46131</v>
      </c>
      <c r="C3956" s="69" t="n">
        <v>2026</v>
      </c>
      <c r="D3956" t="inlineStr">
        <is>
          <t>Apr</t>
        </is>
      </c>
      <c r="E3956" t="inlineStr">
        <is>
          <t>United States</t>
        </is>
      </c>
      <c r="F3956" t="inlineStr">
        <is>
          <t>USA</t>
        </is>
      </c>
      <c r="G3956" t="inlineStr">
        <is>
          <t>Vyndaqel</t>
        </is>
      </c>
      <c r="H3956" t="inlineStr">
        <is>
          <t>Hospital</t>
        </is>
      </c>
      <c r="I3956" t="inlineStr">
        <is>
          <t>Private insurer</t>
        </is>
      </c>
      <c r="J3956" t="inlineStr">
        <is>
          <t>Mei Lin</t>
        </is>
      </c>
      <c r="K3956" s="70" t="n">
        <v>2479</v>
      </c>
      <c r="L3956" s="71" t="n">
        <v>9770.02</v>
      </c>
      <c r="M3956" s="71" t="n">
        <v>24219879.58</v>
      </c>
      <c r="N3956" s="71" t="n">
        <v>8476957.85</v>
      </c>
      <c r="O3956" s="71" t="n">
        <v>15742921.73</v>
      </c>
      <c r="P3956" s="71" t="n">
        <v>1585314.09</v>
      </c>
      <c r="Q3956" s="71" t="n">
        <v>14157607.64</v>
      </c>
      <c r="R3956" t="inlineStr">
        <is>
          <t>Rare disease</t>
        </is>
      </c>
      <c r="S3956" s="70" t="n">
        <v>2168</v>
      </c>
      <c r="T3956" s="71" t="n">
        <v>4281927.59</v>
      </c>
      <c r="U3956" t="inlineStr">
        <is>
          <t>Medium</t>
        </is>
      </c>
      <c r="V3956">
        <f>IF(AND(OR(Dashboard!$C$6="All",E3956=Dashboard!$C$6),OR(Dashboard!$F$6="All",G3956=Dashboard!$F$6),OR(Dashboard!$I$6="All",H3956=Dashboard!$I$6)),1,0)</f>
        <v/>
      </c>
    </row>
    <row r="3957">
      <c r="A3957" t="inlineStr">
        <is>
          <t>PF103948</t>
        </is>
      </c>
      <c r="B3957" s="68" t="n">
        <v>46131</v>
      </c>
      <c r="C3957" s="69" t="n">
        <v>2026</v>
      </c>
      <c r="D3957" t="inlineStr">
        <is>
          <t>Apr</t>
        </is>
      </c>
      <c r="E3957" t="inlineStr">
        <is>
          <t>Emerging markets</t>
        </is>
      </c>
      <c r="F3957" t="inlineStr">
        <is>
          <t>India</t>
        </is>
      </c>
      <c r="G3957" t="inlineStr">
        <is>
          <t>Abrysvo</t>
        </is>
      </c>
      <c r="H3957" t="inlineStr">
        <is>
          <t>Hospital</t>
        </is>
      </c>
      <c r="I3957" t="inlineStr">
        <is>
          <t>Private insurer</t>
        </is>
      </c>
      <c r="J3957" t="inlineStr">
        <is>
          <t>Hiroshi Tanaka</t>
        </is>
      </c>
      <c r="K3957" s="70" t="n">
        <v>1972</v>
      </c>
      <c r="L3957" s="71" t="n">
        <v>328.29</v>
      </c>
      <c r="M3957" s="71" t="n">
        <v>647387.88</v>
      </c>
      <c r="N3957" s="71" t="n">
        <v>129477.58</v>
      </c>
      <c r="O3957" s="71" t="n">
        <v>517910.3</v>
      </c>
      <c r="P3957" s="71" t="n">
        <v>167444.61</v>
      </c>
      <c r="Q3957" s="71" t="n">
        <v>350465.69</v>
      </c>
      <c r="R3957" t="inlineStr">
        <is>
          <t>Vaccines</t>
        </is>
      </c>
      <c r="S3957" s="70" t="n">
        <v>1940</v>
      </c>
      <c r="T3957" s="71" t="n">
        <v>108500.36</v>
      </c>
      <c r="U3957" t="inlineStr">
        <is>
          <t>Low</t>
        </is>
      </c>
      <c r="V3957">
        <f>IF(AND(OR(Dashboard!$C$6="All",E3957=Dashboard!$C$6),OR(Dashboard!$F$6="All",G3957=Dashboard!$F$6),OR(Dashboard!$I$6="All",H3957=Dashboard!$I$6)),1,0)</f>
        <v/>
      </c>
    </row>
    <row r="3958">
      <c r="A3958" t="inlineStr">
        <is>
          <t>PF103949</t>
        </is>
      </c>
      <c r="B3958" s="68" t="n">
        <v>46131</v>
      </c>
      <c r="C3958" s="69" t="n">
        <v>2026</v>
      </c>
      <c r="D3958" t="inlineStr">
        <is>
          <t>Apr</t>
        </is>
      </c>
      <c r="E3958" t="inlineStr">
        <is>
          <t>United States</t>
        </is>
      </c>
      <c r="F3958" t="inlineStr">
        <is>
          <t>USA</t>
        </is>
      </c>
      <c r="G3958" t="inlineStr">
        <is>
          <t>Eliquis</t>
        </is>
      </c>
      <c r="H3958" t="inlineStr">
        <is>
          <t>Hospital</t>
        </is>
      </c>
      <c r="I3958" t="inlineStr">
        <is>
          <t>Public payer</t>
        </is>
      </c>
      <c r="J3958" t="inlineStr">
        <is>
          <t>Lucas Martin</t>
        </is>
      </c>
      <c r="K3958" s="70" t="n">
        <v>818</v>
      </c>
      <c r="L3958" s="71" t="n">
        <v>658.76</v>
      </c>
      <c r="M3958" s="71" t="n">
        <v>538865.6800000001</v>
      </c>
      <c r="N3958" s="71" t="n">
        <v>161659.7</v>
      </c>
      <c r="O3958" s="71" t="n">
        <v>377205.98</v>
      </c>
      <c r="P3958" s="71" t="n">
        <v>63210.7</v>
      </c>
      <c r="Q3958" s="71" t="n">
        <v>313995.28</v>
      </c>
      <c r="R3958" t="inlineStr">
        <is>
          <t>Cardiology</t>
        </is>
      </c>
      <c r="S3958" s="70" t="n">
        <v>689</v>
      </c>
      <c r="T3958" s="71" t="n">
        <v>74107.06</v>
      </c>
      <c r="U3958" t="inlineStr">
        <is>
          <t>High</t>
        </is>
      </c>
      <c r="V3958">
        <f>IF(AND(OR(Dashboard!$C$6="All",E3958=Dashboard!$C$6),OR(Dashboard!$F$6="All",G3958=Dashboard!$F$6),OR(Dashboard!$I$6="All",H3958=Dashboard!$I$6)),1,0)</f>
        <v/>
      </c>
    </row>
    <row r="3959">
      <c r="A3959" t="inlineStr">
        <is>
          <t>PF103950</t>
        </is>
      </c>
      <c r="B3959" s="68" t="n">
        <v>46132</v>
      </c>
      <c r="C3959" s="69" t="n">
        <v>2026</v>
      </c>
      <c r="D3959" t="inlineStr">
        <is>
          <t>Apr</t>
        </is>
      </c>
      <c r="E3959" t="inlineStr">
        <is>
          <t>Emerging markets</t>
        </is>
      </c>
      <c r="F3959" t="inlineStr">
        <is>
          <t>China</t>
        </is>
      </c>
      <c r="G3959" t="inlineStr">
        <is>
          <t>Prevnar 20</t>
        </is>
      </c>
      <c r="H3959" t="inlineStr">
        <is>
          <t>Hospital</t>
        </is>
      </c>
      <c r="I3959" t="inlineStr">
        <is>
          <t>Public payer</t>
        </is>
      </c>
      <c r="J3959" t="inlineStr">
        <is>
          <t>Ana Costa</t>
        </is>
      </c>
      <c r="K3959" s="70" t="n">
        <v>1706</v>
      </c>
      <c r="L3959" s="71" t="n">
        <v>232.65</v>
      </c>
      <c r="M3959" s="71" t="n">
        <v>396900.9</v>
      </c>
      <c r="N3959" s="71" t="n">
        <v>59535.14</v>
      </c>
      <c r="O3959" s="71" t="n">
        <v>337365.76</v>
      </c>
      <c r="P3959" s="71" t="n">
        <v>113212.46</v>
      </c>
      <c r="Q3959" s="71" t="n">
        <v>224153.3</v>
      </c>
      <c r="R3959" t="inlineStr">
        <is>
          <t>Vaccines</t>
        </is>
      </c>
      <c r="S3959" s="70" t="n">
        <v>1092</v>
      </c>
      <c r="T3959" s="71" t="n">
        <v>51094.07</v>
      </c>
      <c r="U3959" t="inlineStr">
        <is>
          <t>Low</t>
        </is>
      </c>
      <c r="V3959">
        <f>IF(AND(OR(Dashboard!$C$6="All",E3959=Dashboard!$C$6),OR(Dashboard!$F$6="All",G3959=Dashboard!$F$6),OR(Dashboard!$I$6="All",H3959=Dashboard!$I$6)),1,0)</f>
        <v/>
      </c>
    </row>
    <row r="3960">
      <c r="A3960" t="inlineStr">
        <is>
          <t>PF103951</t>
        </is>
      </c>
      <c r="B3960" s="68" t="n">
        <v>46132</v>
      </c>
      <c r="C3960" s="69" t="n">
        <v>2026</v>
      </c>
      <c r="D3960" t="inlineStr">
        <is>
          <t>Apr</t>
        </is>
      </c>
      <c r="E3960" t="inlineStr">
        <is>
          <t>Emerging markets</t>
        </is>
      </c>
      <c r="F3960" t="inlineStr">
        <is>
          <t>Mexico</t>
        </is>
      </c>
      <c r="G3960" t="inlineStr">
        <is>
          <t>Eliquis</t>
        </is>
      </c>
      <c r="H3960" t="inlineStr">
        <is>
          <t>Hospital</t>
        </is>
      </c>
      <c r="I3960" t="inlineStr">
        <is>
          <t>Private insurer</t>
        </is>
      </c>
      <c r="J3960" t="inlineStr">
        <is>
          <t>Yuki Sato</t>
        </is>
      </c>
      <c r="K3960" s="70" t="n">
        <v>1398</v>
      </c>
      <c r="L3960" s="71" t="n">
        <v>426.08</v>
      </c>
      <c r="M3960" s="71" t="n">
        <v>595659.84</v>
      </c>
      <c r="N3960" s="71" t="n">
        <v>29782.99</v>
      </c>
      <c r="O3960" s="71" t="n">
        <v>565876.85</v>
      </c>
      <c r="P3960" s="71" t="n">
        <v>105162.42</v>
      </c>
      <c r="Q3960" s="71" t="n">
        <v>460714.43</v>
      </c>
      <c r="R3960" t="inlineStr">
        <is>
          <t>Cardiology</t>
        </is>
      </c>
      <c r="S3960" s="70" t="n">
        <v>874</v>
      </c>
      <c r="T3960" s="71" t="n">
        <v>79250.25999999999</v>
      </c>
      <c r="U3960" t="inlineStr">
        <is>
          <t>High</t>
        </is>
      </c>
      <c r="V3960">
        <f>IF(AND(OR(Dashboard!$C$6="All",E3960=Dashboard!$C$6),OR(Dashboard!$F$6="All",G3960=Dashboard!$F$6),OR(Dashboard!$I$6="All",H3960=Dashboard!$I$6)),1,0)</f>
        <v/>
      </c>
    </row>
    <row r="3961">
      <c r="A3961" t="inlineStr">
        <is>
          <t>PF103952</t>
        </is>
      </c>
      <c r="B3961" s="68" t="n">
        <v>46132</v>
      </c>
      <c r="C3961" s="69" t="n">
        <v>2026</v>
      </c>
      <c r="D3961" t="inlineStr">
        <is>
          <t>Apr</t>
        </is>
      </c>
      <c r="E3961" t="inlineStr">
        <is>
          <t>Emerging markets</t>
        </is>
      </c>
      <c r="F3961" t="inlineStr">
        <is>
          <t>China</t>
        </is>
      </c>
      <c r="G3961" t="inlineStr">
        <is>
          <t>Paxlovid</t>
        </is>
      </c>
      <c r="H3961" t="inlineStr">
        <is>
          <t>Government / tender</t>
        </is>
      </c>
      <c r="I3961" t="inlineStr">
        <is>
          <t>Public payer</t>
        </is>
      </c>
      <c r="J3961" t="inlineStr">
        <is>
          <t>Yuki Sato</t>
        </is>
      </c>
      <c r="K3961" s="70" t="n">
        <v>524</v>
      </c>
      <c r="L3961" s="71" t="n">
        <v>876.33</v>
      </c>
      <c r="M3961" s="71" t="n">
        <v>459196.92</v>
      </c>
      <c r="N3961" s="71" t="n">
        <v>91839.38</v>
      </c>
      <c r="O3961" s="71" t="n">
        <v>367357.54</v>
      </c>
      <c r="P3961" s="71" t="n">
        <v>145692.91</v>
      </c>
      <c r="Q3961" s="71" t="n">
        <v>221664.63</v>
      </c>
      <c r="R3961" t="inlineStr">
        <is>
          <t>Antiviral</t>
        </is>
      </c>
      <c r="S3961" s="70" t="n">
        <v>371</v>
      </c>
      <c r="T3961" s="71" t="n">
        <v>79935.84</v>
      </c>
      <c r="U3961" t="inlineStr">
        <is>
          <t>Low</t>
        </is>
      </c>
      <c r="V3961">
        <f>IF(AND(OR(Dashboard!$C$6="All",E3961=Dashboard!$C$6),OR(Dashboard!$F$6="All",G3961=Dashboard!$F$6),OR(Dashboard!$I$6="All",H3961=Dashboard!$I$6)),1,0)</f>
        <v/>
      </c>
    </row>
    <row r="3962">
      <c r="A3962" t="inlineStr">
        <is>
          <t>PF103953</t>
        </is>
      </c>
      <c r="B3962" s="68" t="n">
        <v>46132</v>
      </c>
      <c r="C3962" s="69" t="n">
        <v>2026</v>
      </c>
      <c r="D3962" t="inlineStr">
        <is>
          <t>Apr</t>
        </is>
      </c>
      <c r="E3962" t="inlineStr">
        <is>
          <t>United States</t>
        </is>
      </c>
      <c r="F3962" t="inlineStr">
        <is>
          <t>USA</t>
        </is>
      </c>
      <c r="G3962" t="inlineStr">
        <is>
          <t>Paxlovid</t>
        </is>
      </c>
      <c r="H3962" t="inlineStr">
        <is>
          <t>Hospital</t>
        </is>
      </c>
      <c r="I3962" t="inlineStr">
        <is>
          <t>Private insurer</t>
        </is>
      </c>
      <c r="J3962" t="inlineStr">
        <is>
          <t>Lucas Martin</t>
        </is>
      </c>
      <c r="K3962" s="70" t="n">
        <v>1745</v>
      </c>
      <c r="L3962" s="71" t="n">
        <v>1421.2</v>
      </c>
      <c r="M3962" s="71" t="n">
        <v>2479994</v>
      </c>
      <c r="N3962" s="71" t="n">
        <v>371999.1</v>
      </c>
      <c r="O3962" s="71" t="n">
        <v>2107994.9</v>
      </c>
      <c r="P3962" s="71" t="n">
        <v>483144</v>
      </c>
      <c r="Q3962" s="71" t="n">
        <v>1624850.9</v>
      </c>
      <c r="R3962" t="inlineStr">
        <is>
          <t>Antiviral</t>
        </is>
      </c>
      <c r="S3962" s="70" t="n">
        <v>1332</v>
      </c>
      <c r="T3962" s="71" t="n">
        <v>608026.86</v>
      </c>
      <c r="U3962" t="inlineStr">
        <is>
          <t>Low</t>
        </is>
      </c>
      <c r="V3962">
        <f>IF(AND(OR(Dashboard!$C$6="All",E3962=Dashboard!$C$6),OR(Dashboard!$F$6="All",G3962=Dashboard!$F$6),OR(Dashboard!$I$6="All",H3962=Dashboard!$I$6)),1,0)</f>
        <v/>
      </c>
    </row>
    <row r="3963">
      <c r="A3963" t="inlineStr">
        <is>
          <t>PF103954</t>
        </is>
      </c>
      <c r="B3963" s="68" t="n">
        <v>46132</v>
      </c>
      <c r="C3963" s="69" t="n">
        <v>2026</v>
      </c>
      <c r="D3963" t="inlineStr">
        <is>
          <t>Apr</t>
        </is>
      </c>
      <c r="E3963" t="inlineStr">
        <is>
          <t>Europe</t>
        </is>
      </c>
      <c r="F3963" t="inlineStr">
        <is>
          <t>Germany</t>
        </is>
      </c>
      <c r="G3963" t="inlineStr">
        <is>
          <t>Eliquis</t>
        </is>
      </c>
      <c r="H3963" t="inlineStr">
        <is>
          <t>Hospital</t>
        </is>
      </c>
      <c r="I3963" t="inlineStr">
        <is>
          <t>Public payer</t>
        </is>
      </c>
      <c r="J3963" t="inlineStr">
        <is>
          <t>Ravindra Patil</t>
        </is>
      </c>
      <c r="K3963" s="70" t="n">
        <v>1243</v>
      </c>
      <c r="L3963" s="71" t="n">
        <v>470.66</v>
      </c>
      <c r="M3963" s="71" t="n">
        <v>585030.38</v>
      </c>
      <c r="N3963" s="71" t="n">
        <v>87754.56</v>
      </c>
      <c r="O3963" s="71" t="n">
        <v>497275.82</v>
      </c>
      <c r="P3963" s="71" t="n">
        <v>92524.25</v>
      </c>
      <c r="Q3963" s="71" t="n">
        <v>404751.57</v>
      </c>
      <c r="R3963" t="inlineStr">
        <is>
          <t>Cardiology</t>
        </is>
      </c>
      <c r="S3963" s="70" t="n">
        <v>1161</v>
      </c>
      <c r="T3963" s="71" t="n">
        <v>81754.35000000001</v>
      </c>
      <c r="U3963" t="inlineStr">
        <is>
          <t>High</t>
        </is>
      </c>
      <c r="V3963">
        <f>IF(AND(OR(Dashboard!$C$6="All",E3963=Dashboard!$C$6),OR(Dashboard!$F$6="All",G3963=Dashboard!$F$6),OR(Dashboard!$I$6="All",H3963=Dashboard!$I$6)),1,0)</f>
        <v/>
      </c>
    </row>
    <row r="3964">
      <c r="A3964" t="inlineStr">
        <is>
          <t>PF103955</t>
        </is>
      </c>
      <c r="B3964" s="68" t="n">
        <v>46132</v>
      </c>
      <c r="C3964" s="69" t="n">
        <v>2026</v>
      </c>
      <c r="D3964" t="inlineStr">
        <is>
          <t>Apr</t>
        </is>
      </c>
      <c r="E3964" t="inlineStr">
        <is>
          <t>United States</t>
        </is>
      </c>
      <c r="F3964" t="inlineStr">
        <is>
          <t>USA</t>
        </is>
      </c>
      <c r="G3964" t="inlineStr">
        <is>
          <t>Abrysvo</t>
        </is>
      </c>
      <c r="H3964" t="inlineStr">
        <is>
          <t>Government / tender</t>
        </is>
      </c>
      <c r="I3964" t="inlineStr">
        <is>
          <t>Private insurer</t>
        </is>
      </c>
      <c r="J3964" t="inlineStr">
        <is>
          <t>Ana Costa</t>
        </is>
      </c>
      <c r="K3964" s="70" t="n">
        <v>529</v>
      </c>
      <c r="L3964" s="71" t="n">
        <v>496.81</v>
      </c>
      <c r="M3964" s="71" t="n">
        <v>262812.49</v>
      </c>
      <c r="N3964" s="71" t="n">
        <v>65703.12</v>
      </c>
      <c r="O3964" s="71" t="n">
        <v>197109.37</v>
      </c>
      <c r="P3964" s="71" t="n">
        <v>43539.81</v>
      </c>
      <c r="Q3964" s="71" t="n">
        <v>153569.56</v>
      </c>
      <c r="R3964" t="inlineStr">
        <is>
          <t>Vaccines</t>
        </is>
      </c>
      <c r="S3964" s="70" t="n">
        <v>507</v>
      </c>
      <c r="T3964" s="71" t="n">
        <v>37113.7</v>
      </c>
      <c r="U3964" t="inlineStr">
        <is>
          <t>Low</t>
        </is>
      </c>
      <c r="V3964">
        <f>IF(AND(OR(Dashboard!$C$6="All",E3964=Dashboard!$C$6),OR(Dashboard!$F$6="All",G3964=Dashboard!$F$6),OR(Dashboard!$I$6="All",H3964=Dashboard!$I$6)),1,0)</f>
        <v/>
      </c>
    </row>
    <row r="3965">
      <c r="A3965" t="inlineStr">
        <is>
          <t>PF103956</t>
        </is>
      </c>
      <c r="B3965" s="68" t="n">
        <v>46132</v>
      </c>
      <c r="C3965" s="69" t="n">
        <v>2026</v>
      </c>
      <c r="D3965" t="inlineStr">
        <is>
          <t>Apr</t>
        </is>
      </c>
      <c r="E3965" t="inlineStr">
        <is>
          <t>United States</t>
        </is>
      </c>
      <c r="F3965" t="inlineStr">
        <is>
          <t>USA</t>
        </is>
      </c>
      <c r="G3965" t="inlineStr">
        <is>
          <t>Xeljanz</t>
        </is>
      </c>
      <c r="H3965" t="inlineStr">
        <is>
          <t>Hospital</t>
        </is>
      </c>
      <c r="I3965" t="inlineStr">
        <is>
          <t>Public payer</t>
        </is>
      </c>
      <c r="J3965" t="inlineStr">
        <is>
          <t>Ana Costa</t>
        </is>
      </c>
      <c r="K3965" s="70" t="n">
        <v>1208</v>
      </c>
      <c r="L3965" s="71" t="n">
        <v>2217.7</v>
      </c>
      <c r="M3965" s="71" t="n">
        <v>2678981.6</v>
      </c>
      <c r="N3965" s="71" t="n">
        <v>401847.24</v>
      </c>
      <c r="O3965" s="71" t="n">
        <v>2277134.36</v>
      </c>
      <c r="P3965" s="71" t="n">
        <v>307650.19</v>
      </c>
      <c r="Q3965" s="71" t="n">
        <v>1969484.17</v>
      </c>
      <c r="R3965" t="inlineStr">
        <is>
          <t>Inflammation</t>
        </is>
      </c>
      <c r="S3965" s="70" t="n">
        <v>784</v>
      </c>
      <c r="T3965" s="71" t="n">
        <v>514909.19</v>
      </c>
      <c r="U3965" t="inlineStr">
        <is>
          <t>High</t>
        </is>
      </c>
      <c r="V3965">
        <f>IF(AND(OR(Dashboard!$C$6="All",E3965=Dashboard!$C$6),OR(Dashboard!$F$6="All",G3965=Dashboard!$F$6),OR(Dashboard!$I$6="All",H3965=Dashboard!$I$6)),1,0)</f>
        <v/>
      </c>
    </row>
    <row r="3966">
      <c r="A3966" t="inlineStr">
        <is>
          <t>PF103957</t>
        </is>
      </c>
      <c r="B3966" s="68" t="n">
        <v>46132</v>
      </c>
      <c r="C3966" s="69" t="n">
        <v>2026</v>
      </c>
      <c r="D3966" t="inlineStr">
        <is>
          <t>Apr</t>
        </is>
      </c>
      <c r="E3966" t="inlineStr">
        <is>
          <t>Europe</t>
        </is>
      </c>
      <c r="F3966" t="inlineStr">
        <is>
          <t>France</t>
        </is>
      </c>
      <c r="G3966" t="inlineStr">
        <is>
          <t>Abrysvo</t>
        </is>
      </c>
      <c r="H3966" t="inlineStr">
        <is>
          <t>Retail pharmacy</t>
        </is>
      </c>
      <c r="I3966" t="inlineStr">
        <is>
          <t>Public payer</t>
        </is>
      </c>
      <c r="J3966" t="inlineStr">
        <is>
          <t>Hiroshi Tanaka</t>
        </is>
      </c>
      <c r="K3966" s="70" t="n">
        <v>374</v>
      </c>
      <c r="L3966" s="71" t="n">
        <v>329.75</v>
      </c>
      <c r="M3966" s="71" t="n">
        <v>123326.5</v>
      </c>
      <c r="N3966" s="71" t="n">
        <v>30831.62</v>
      </c>
      <c r="O3966" s="71" t="n">
        <v>92494.88</v>
      </c>
      <c r="P3966" s="71" t="n">
        <v>31463.95</v>
      </c>
      <c r="Q3966" s="71" t="n">
        <v>61030.93</v>
      </c>
      <c r="R3966" t="inlineStr">
        <is>
          <t>Vaccines</t>
        </is>
      </c>
      <c r="S3966" s="70" t="n">
        <v>322</v>
      </c>
      <c r="T3966" s="71" t="n">
        <v>20148.21</v>
      </c>
      <c r="U3966" t="inlineStr">
        <is>
          <t>Low</t>
        </is>
      </c>
      <c r="V3966">
        <f>IF(AND(OR(Dashboard!$C$6="All",E3966=Dashboard!$C$6),OR(Dashboard!$F$6="All",G3966=Dashboard!$F$6),OR(Dashboard!$I$6="All",H3966=Dashboard!$I$6)),1,0)</f>
        <v/>
      </c>
    </row>
    <row r="3967">
      <c r="A3967" t="inlineStr">
        <is>
          <t>PF103958</t>
        </is>
      </c>
      <c r="B3967" s="68" t="n">
        <v>46132</v>
      </c>
      <c r="C3967" s="69" t="n">
        <v>2026</v>
      </c>
      <c r="D3967" t="inlineStr">
        <is>
          <t>Apr</t>
        </is>
      </c>
      <c r="E3967" t="inlineStr">
        <is>
          <t>United States</t>
        </is>
      </c>
      <c r="F3967" t="inlineStr">
        <is>
          <t>USA</t>
        </is>
      </c>
      <c r="G3967" t="inlineStr">
        <is>
          <t>Eliquis</t>
        </is>
      </c>
      <c r="H3967" t="inlineStr">
        <is>
          <t>Government / tender</t>
        </is>
      </c>
      <c r="I3967" t="inlineStr">
        <is>
          <t>Self-pay</t>
        </is>
      </c>
      <c r="J3967" t="inlineStr">
        <is>
          <t>Sara Rossi</t>
        </is>
      </c>
      <c r="K3967" s="70" t="n">
        <v>898</v>
      </c>
      <c r="L3967" s="71" t="n">
        <v>725.39</v>
      </c>
      <c r="M3967" s="71" t="n">
        <v>651400.22</v>
      </c>
      <c r="N3967" s="71" t="n">
        <v>130280.04</v>
      </c>
      <c r="O3967" s="71" t="n">
        <v>521120.18</v>
      </c>
      <c r="P3967" s="71" t="n">
        <v>69086.78</v>
      </c>
      <c r="Q3967" s="71" t="n">
        <v>452033.4</v>
      </c>
      <c r="R3967" t="inlineStr">
        <is>
          <t>Cardiology</t>
        </is>
      </c>
      <c r="S3967" s="70" t="n">
        <v>890</v>
      </c>
      <c r="T3967" s="71" t="n">
        <v>85495.24000000001</v>
      </c>
      <c r="U3967" t="inlineStr">
        <is>
          <t>High</t>
        </is>
      </c>
      <c r="V3967">
        <f>IF(AND(OR(Dashboard!$C$6="All",E3967=Dashboard!$C$6),OR(Dashboard!$F$6="All",G3967=Dashboard!$F$6),OR(Dashboard!$I$6="All",H3967=Dashboard!$I$6)),1,0)</f>
        <v/>
      </c>
    </row>
    <row r="3968">
      <c r="A3968" t="inlineStr">
        <is>
          <t>PF103959</t>
        </is>
      </c>
      <c r="B3968" s="68" t="n">
        <v>46133</v>
      </c>
      <c r="C3968" s="69" t="n">
        <v>2026</v>
      </c>
      <c r="D3968" t="inlineStr">
        <is>
          <t>Apr</t>
        </is>
      </c>
      <c r="E3968" t="inlineStr">
        <is>
          <t>International developed</t>
        </is>
      </c>
      <c r="F3968" t="inlineStr">
        <is>
          <t>Japan</t>
        </is>
      </c>
      <c r="G3968" t="inlineStr">
        <is>
          <t>Comirnaty</t>
        </is>
      </c>
      <c r="H3968" t="inlineStr">
        <is>
          <t>Government / tender</t>
        </is>
      </c>
      <c r="I3968" t="inlineStr">
        <is>
          <t>Public payer</t>
        </is>
      </c>
      <c r="J3968" t="inlineStr">
        <is>
          <t>Arjun Mehta</t>
        </is>
      </c>
      <c r="K3968" s="70" t="n">
        <v>1649</v>
      </c>
      <c r="L3968" s="71" t="n">
        <v>81.03</v>
      </c>
      <c r="M3968" s="71" t="n">
        <v>133618.47</v>
      </c>
      <c r="N3968" s="71" t="n">
        <v>6680.92</v>
      </c>
      <c r="O3968" s="71" t="n">
        <v>126937.55</v>
      </c>
      <c r="P3968" s="71" t="n">
        <v>61002.23</v>
      </c>
      <c r="Q3968" s="71" t="n">
        <v>65935.32000000001</v>
      </c>
      <c r="R3968" t="inlineStr">
        <is>
          <t>Vaccines</t>
        </is>
      </c>
      <c r="S3968" s="70" t="n">
        <v>1519</v>
      </c>
      <c r="T3968" s="71" t="n">
        <v>33555.77</v>
      </c>
      <c r="U3968" t="inlineStr">
        <is>
          <t>Low</t>
        </is>
      </c>
      <c r="V3968">
        <f>IF(AND(OR(Dashboard!$C$6="All",E3968=Dashboard!$C$6),OR(Dashboard!$F$6="All",G3968=Dashboard!$F$6),OR(Dashboard!$I$6="All",H3968=Dashboard!$I$6)),1,0)</f>
        <v/>
      </c>
    </row>
    <row r="3969">
      <c r="A3969" t="inlineStr">
        <is>
          <t>PF103960</t>
        </is>
      </c>
      <c r="B3969" s="68" t="n">
        <v>46133</v>
      </c>
      <c r="C3969" s="69" t="n">
        <v>2026</v>
      </c>
      <c r="D3969" t="inlineStr">
        <is>
          <t>Apr</t>
        </is>
      </c>
      <c r="E3969" t="inlineStr">
        <is>
          <t>United States</t>
        </is>
      </c>
      <c r="F3969" t="inlineStr">
        <is>
          <t>USA</t>
        </is>
      </c>
      <c r="G3969" t="inlineStr">
        <is>
          <t>Vyndaqel</t>
        </is>
      </c>
      <c r="H3969" t="inlineStr">
        <is>
          <t>Government / tender</t>
        </is>
      </c>
      <c r="I3969" t="inlineStr">
        <is>
          <t>Public payer</t>
        </is>
      </c>
      <c r="J3969" t="inlineStr">
        <is>
          <t>Kofi Mensah</t>
        </is>
      </c>
      <c r="K3969" s="70" t="n">
        <v>1357</v>
      </c>
      <c r="L3969" s="71" t="n">
        <v>8305.379999999999</v>
      </c>
      <c r="M3969" s="71" t="n">
        <v>11270400.66</v>
      </c>
      <c r="N3969" s="71" t="n">
        <v>1690560.1</v>
      </c>
      <c r="O3969" s="71" t="n">
        <v>9579840.560000001</v>
      </c>
      <c r="P3969" s="71" t="n">
        <v>824967.03</v>
      </c>
      <c r="Q3969" s="71" t="n">
        <v>8754873.529999999</v>
      </c>
      <c r="R3969" t="inlineStr">
        <is>
          <t>Rare disease</t>
        </is>
      </c>
      <c r="S3969" s="70" t="n">
        <v>951</v>
      </c>
      <c r="T3969" s="71" t="n">
        <v>1746997.19</v>
      </c>
      <c r="U3969" t="inlineStr">
        <is>
          <t>Medium</t>
        </is>
      </c>
      <c r="V3969">
        <f>IF(AND(OR(Dashboard!$C$6="All",E3969=Dashboard!$C$6),OR(Dashboard!$F$6="All",G3969=Dashboard!$F$6),OR(Dashboard!$I$6="All",H3969=Dashboard!$I$6)),1,0)</f>
        <v/>
      </c>
    </row>
    <row r="3970">
      <c r="A3970" t="inlineStr">
        <is>
          <t>PF103961</t>
        </is>
      </c>
      <c r="B3970" s="68" t="n">
        <v>46133</v>
      </c>
      <c r="C3970" s="69" t="n">
        <v>2026</v>
      </c>
      <c r="D3970" t="inlineStr">
        <is>
          <t>Apr</t>
        </is>
      </c>
      <c r="E3970" t="inlineStr">
        <is>
          <t>Emerging markets</t>
        </is>
      </c>
      <c r="F3970" t="inlineStr">
        <is>
          <t>China</t>
        </is>
      </c>
      <c r="G3970" t="inlineStr">
        <is>
          <t>Comirnaty</t>
        </is>
      </c>
      <c r="H3970" t="inlineStr">
        <is>
          <t>Government / tender</t>
        </is>
      </c>
      <c r="I3970" t="inlineStr">
        <is>
          <t>Public payer</t>
        </is>
      </c>
      <c r="J3970" t="inlineStr">
        <is>
          <t>Ana Costa</t>
        </is>
      </c>
      <c r="K3970" s="70" t="n">
        <v>1006</v>
      </c>
      <c r="L3970" s="71" t="n">
        <v>93.01000000000001</v>
      </c>
      <c r="M3970" s="71" t="n">
        <v>93568.06</v>
      </c>
      <c r="N3970" s="71" t="n">
        <v>9356.809999999999</v>
      </c>
      <c r="O3970" s="71" t="n">
        <v>84211.25</v>
      </c>
      <c r="P3970" s="71" t="n">
        <v>37328.97</v>
      </c>
      <c r="Q3970" s="71" t="n">
        <v>46882.28</v>
      </c>
      <c r="R3970" t="inlineStr">
        <is>
          <t>Vaccines</t>
        </is>
      </c>
      <c r="S3970" s="70" t="n">
        <v>792</v>
      </c>
      <c r="T3970" s="71" t="n">
        <v>19755.29</v>
      </c>
      <c r="U3970" t="inlineStr">
        <is>
          <t>Low</t>
        </is>
      </c>
      <c r="V3970">
        <f>IF(AND(OR(Dashboard!$C$6="All",E3970=Dashboard!$C$6),OR(Dashboard!$F$6="All",G3970=Dashboard!$F$6),OR(Dashboard!$I$6="All",H3970=Dashboard!$I$6)),1,0)</f>
        <v/>
      </c>
    </row>
    <row r="3971">
      <c r="A3971" t="inlineStr">
        <is>
          <t>PF103962</t>
        </is>
      </c>
      <c r="B3971" s="68" t="n">
        <v>46133</v>
      </c>
      <c r="C3971" s="69" t="n">
        <v>2026</v>
      </c>
      <c r="D3971" t="inlineStr">
        <is>
          <t>Apr</t>
        </is>
      </c>
      <c r="E3971" t="inlineStr">
        <is>
          <t>Emerging markets</t>
        </is>
      </c>
      <c r="F3971" t="inlineStr">
        <is>
          <t>India</t>
        </is>
      </c>
      <c r="G3971" t="inlineStr">
        <is>
          <t>Abrysvo</t>
        </is>
      </c>
      <c r="H3971" t="inlineStr">
        <is>
          <t>Retail pharmacy</t>
        </is>
      </c>
      <c r="I3971" t="inlineStr">
        <is>
          <t>Private insurer</t>
        </is>
      </c>
      <c r="J3971" t="inlineStr">
        <is>
          <t>Shraddha Kulkarni</t>
        </is>
      </c>
      <c r="K3971" s="70" t="n">
        <v>985</v>
      </c>
      <c r="L3971" s="71" t="n">
        <v>307.49</v>
      </c>
      <c r="M3971" s="71" t="n">
        <v>302877.65</v>
      </c>
      <c r="N3971" s="71" t="n">
        <v>75719.41</v>
      </c>
      <c r="O3971" s="71" t="n">
        <v>227158.24</v>
      </c>
      <c r="P3971" s="71" t="n">
        <v>83943.49000000001</v>
      </c>
      <c r="Q3971" s="71" t="n">
        <v>143214.75</v>
      </c>
      <c r="R3971" t="inlineStr">
        <is>
          <t>Vaccines</t>
        </is>
      </c>
      <c r="S3971" s="70" t="n">
        <v>677</v>
      </c>
      <c r="T3971" s="71" t="n">
        <v>55770.69</v>
      </c>
      <c r="U3971" t="inlineStr">
        <is>
          <t>Low</t>
        </is>
      </c>
      <c r="V3971">
        <f>IF(AND(OR(Dashboard!$C$6="All",E3971=Dashboard!$C$6),OR(Dashboard!$F$6="All",G3971=Dashboard!$F$6),OR(Dashboard!$I$6="All",H3971=Dashboard!$I$6)),1,0)</f>
        <v/>
      </c>
    </row>
    <row r="3972">
      <c r="A3972" t="inlineStr">
        <is>
          <t>PF103963</t>
        </is>
      </c>
      <c r="B3972" s="68" t="n">
        <v>46133</v>
      </c>
      <c r="C3972" s="69" t="n">
        <v>2026</v>
      </c>
      <c r="D3972" t="inlineStr">
        <is>
          <t>Apr</t>
        </is>
      </c>
      <c r="E3972" t="inlineStr">
        <is>
          <t>United States</t>
        </is>
      </c>
      <c r="F3972" t="inlineStr">
        <is>
          <t>USA</t>
        </is>
      </c>
      <c r="G3972" t="inlineStr">
        <is>
          <t>Xeljanz</t>
        </is>
      </c>
      <c r="H3972" t="inlineStr">
        <is>
          <t>Retail pharmacy</t>
        </is>
      </c>
      <c r="I3972" t="inlineStr">
        <is>
          <t>Public payer</t>
        </is>
      </c>
      <c r="J3972" t="inlineStr">
        <is>
          <t>Ravindra Patil</t>
        </is>
      </c>
      <c r="K3972" s="70" t="n">
        <v>1984</v>
      </c>
      <c r="L3972" s="71" t="n">
        <v>2319.26</v>
      </c>
      <c r="M3972" s="71" t="n">
        <v>4601411.84</v>
      </c>
      <c r="N3972" s="71" t="n">
        <v>1380423.55</v>
      </c>
      <c r="O3972" s="71" t="n">
        <v>3220988.29</v>
      </c>
      <c r="P3972" s="71" t="n">
        <v>488184.06</v>
      </c>
      <c r="Q3972" s="71" t="n">
        <v>2732804.23</v>
      </c>
      <c r="R3972" t="inlineStr">
        <is>
          <t>Inflammation</t>
        </is>
      </c>
      <c r="S3972" s="70" t="n">
        <v>1505</v>
      </c>
      <c r="T3972" s="71" t="n">
        <v>1026866.57</v>
      </c>
      <c r="U3972" t="inlineStr">
        <is>
          <t>High</t>
        </is>
      </c>
      <c r="V3972">
        <f>IF(AND(OR(Dashboard!$C$6="All",E3972=Dashboard!$C$6),OR(Dashboard!$F$6="All",G3972=Dashboard!$F$6),OR(Dashboard!$I$6="All",H3972=Dashboard!$I$6)),1,0)</f>
        <v/>
      </c>
    </row>
    <row r="3973">
      <c r="A3973" t="inlineStr">
        <is>
          <t>PF103964</t>
        </is>
      </c>
      <c r="B3973" s="68" t="n">
        <v>46133</v>
      </c>
      <c r="C3973" s="69" t="n">
        <v>2026</v>
      </c>
      <c r="D3973" t="inlineStr">
        <is>
          <t>Apr</t>
        </is>
      </c>
      <c r="E3973" t="inlineStr">
        <is>
          <t>United States</t>
        </is>
      </c>
      <c r="F3973" t="inlineStr">
        <is>
          <t>USA</t>
        </is>
      </c>
      <c r="G3973" t="inlineStr">
        <is>
          <t>Vyndaqel</t>
        </is>
      </c>
      <c r="H3973" t="inlineStr">
        <is>
          <t>Government / tender</t>
        </is>
      </c>
      <c r="I3973" t="inlineStr">
        <is>
          <t>Private insurer</t>
        </is>
      </c>
      <c r="J3973" t="inlineStr">
        <is>
          <t>Olivia Brown</t>
        </is>
      </c>
      <c r="K3973" s="70" t="n">
        <v>861</v>
      </c>
      <c r="L3973" s="71" t="n">
        <v>9773.18</v>
      </c>
      <c r="M3973" s="71" t="n">
        <v>8414707.98</v>
      </c>
      <c r="N3973" s="71" t="n">
        <v>1262206.2</v>
      </c>
      <c r="O3973" s="71" t="n">
        <v>7152501.78</v>
      </c>
      <c r="P3973" s="71" t="n">
        <v>555209.47</v>
      </c>
      <c r="Q3973" s="71" t="n">
        <v>6597292.31</v>
      </c>
      <c r="R3973" t="inlineStr">
        <is>
          <t>Rare disease</t>
        </is>
      </c>
      <c r="S3973" s="70" t="n">
        <v>591</v>
      </c>
      <c r="T3973" s="71" t="n">
        <v>1471278.07</v>
      </c>
      <c r="U3973" t="inlineStr">
        <is>
          <t>Medium</t>
        </is>
      </c>
      <c r="V3973">
        <f>IF(AND(OR(Dashboard!$C$6="All",E3973=Dashboard!$C$6),OR(Dashboard!$F$6="All",G3973=Dashboard!$F$6),OR(Dashboard!$I$6="All",H3973=Dashboard!$I$6)),1,0)</f>
        <v/>
      </c>
    </row>
    <row r="3974">
      <c r="A3974" t="inlineStr">
        <is>
          <t>PF103965</t>
        </is>
      </c>
      <c r="B3974" s="68" t="n">
        <v>46133</v>
      </c>
      <c r="C3974" s="69" t="n">
        <v>2026</v>
      </c>
      <c r="D3974" t="inlineStr">
        <is>
          <t>Apr</t>
        </is>
      </c>
      <c r="E3974" t="inlineStr">
        <is>
          <t>United States</t>
        </is>
      </c>
      <c r="F3974" t="inlineStr">
        <is>
          <t>USA</t>
        </is>
      </c>
      <c r="G3974" t="inlineStr">
        <is>
          <t>Ibrance</t>
        </is>
      </c>
      <c r="H3974" t="inlineStr">
        <is>
          <t>Retail pharmacy</t>
        </is>
      </c>
      <c r="I3974" t="inlineStr">
        <is>
          <t>Public payer</t>
        </is>
      </c>
      <c r="J3974" t="inlineStr">
        <is>
          <t>Ana Costa</t>
        </is>
      </c>
      <c r="K3974" s="70" t="n">
        <v>2226</v>
      </c>
      <c r="L3974" s="71" t="n">
        <v>4175.12</v>
      </c>
      <c r="M3974" s="71" t="n">
        <v>9293817.119999999</v>
      </c>
      <c r="N3974" s="71" t="n">
        <v>1858763.42</v>
      </c>
      <c r="O3974" s="71" t="n">
        <v>7435053.7</v>
      </c>
      <c r="P3974" s="71" t="n">
        <v>998459.1800000001</v>
      </c>
      <c r="Q3974" s="71" t="n">
        <v>6436594.52</v>
      </c>
      <c r="R3974" t="inlineStr">
        <is>
          <t>Oncology</t>
        </is>
      </c>
      <c r="S3974" s="70" t="n">
        <v>1496</v>
      </c>
      <c r="T3974" s="71" t="n">
        <v>1502983.7</v>
      </c>
      <c r="U3974" t="inlineStr">
        <is>
          <t>High</t>
        </is>
      </c>
      <c r="V3974">
        <f>IF(AND(OR(Dashboard!$C$6="All",E3974=Dashboard!$C$6),OR(Dashboard!$F$6="All",G3974=Dashboard!$F$6),OR(Dashboard!$I$6="All",H3974=Dashboard!$I$6)),1,0)</f>
        <v/>
      </c>
    </row>
    <row r="3975">
      <c r="A3975" t="inlineStr">
        <is>
          <t>PF103966</t>
        </is>
      </c>
      <c r="B3975" s="68" t="n">
        <v>46133</v>
      </c>
      <c r="C3975" s="69" t="n">
        <v>2026</v>
      </c>
      <c r="D3975" t="inlineStr">
        <is>
          <t>Apr</t>
        </is>
      </c>
      <c r="E3975" t="inlineStr">
        <is>
          <t>Europe</t>
        </is>
      </c>
      <c r="F3975" t="inlineStr">
        <is>
          <t>UK</t>
        </is>
      </c>
      <c r="G3975" t="inlineStr">
        <is>
          <t>Comirnaty</t>
        </is>
      </c>
      <c r="H3975" t="inlineStr">
        <is>
          <t>Government / tender</t>
        </is>
      </c>
      <c r="I3975" t="inlineStr">
        <is>
          <t>Private insurer</t>
        </is>
      </c>
      <c r="J3975" t="inlineStr">
        <is>
          <t>Liam O'Brien</t>
        </is>
      </c>
      <c r="K3975" s="70" t="n">
        <v>396</v>
      </c>
      <c r="L3975" s="71" t="n">
        <v>92.43000000000001</v>
      </c>
      <c r="M3975" s="71" t="n">
        <v>36602.28</v>
      </c>
      <c r="N3975" s="71" t="n">
        <v>7320.46</v>
      </c>
      <c r="O3975" s="71" t="n">
        <v>29281.82</v>
      </c>
      <c r="P3975" s="71" t="n">
        <v>15269.41</v>
      </c>
      <c r="Q3975" s="71" t="n">
        <v>14012.41</v>
      </c>
      <c r="R3975" t="inlineStr">
        <is>
          <t>Vaccines</t>
        </is>
      </c>
      <c r="S3975" s="70" t="n">
        <v>306</v>
      </c>
      <c r="T3975" s="71" t="n">
        <v>6564.94</v>
      </c>
      <c r="U3975" t="inlineStr">
        <is>
          <t>Low</t>
        </is>
      </c>
      <c r="V3975">
        <f>IF(AND(OR(Dashboard!$C$6="All",E3975=Dashboard!$C$6),OR(Dashboard!$F$6="All",G3975=Dashboard!$F$6),OR(Dashboard!$I$6="All",H3975=Dashboard!$I$6)),1,0)</f>
        <v/>
      </c>
    </row>
    <row r="3976">
      <c r="A3976" t="inlineStr">
        <is>
          <t>PF103967</t>
        </is>
      </c>
      <c r="B3976" s="68" t="n">
        <v>46133</v>
      </c>
      <c r="C3976" s="69" t="n">
        <v>2026</v>
      </c>
      <c r="D3976" t="inlineStr">
        <is>
          <t>Apr</t>
        </is>
      </c>
      <c r="E3976" t="inlineStr">
        <is>
          <t>Europe</t>
        </is>
      </c>
      <c r="F3976" t="inlineStr">
        <is>
          <t>Germany</t>
        </is>
      </c>
      <c r="G3976" t="inlineStr">
        <is>
          <t>Paxlovid</t>
        </is>
      </c>
      <c r="H3976" t="inlineStr">
        <is>
          <t>Government / tender</t>
        </is>
      </c>
      <c r="I3976" t="inlineStr">
        <is>
          <t>Self-pay</t>
        </is>
      </c>
      <c r="J3976" t="inlineStr">
        <is>
          <t>Liam O'Brien</t>
        </is>
      </c>
      <c r="K3976" s="70" t="n">
        <v>280</v>
      </c>
      <c r="L3976" s="71" t="n">
        <v>866.24</v>
      </c>
      <c r="M3976" s="71" t="n">
        <v>242547.2</v>
      </c>
      <c r="N3976" s="71" t="n">
        <v>48509.44</v>
      </c>
      <c r="O3976" s="71" t="n">
        <v>194037.76</v>
      </c>
      <c r="P3976" s="71" t="n">
        <v>77403.7</v>
      </c>
      <c r="Q3976" s="71" t="n">
        <v>116634.06</v>
      </c>
      <c r="R3976" t="inlineStr">
        <is>
          <t>Antiviral</t>
        </is>
      </c>
      <c r="S3976" s="70" t="n">
        <v>177</v>
      </c>
      <c r="T3976" s="71" t="n">
        <v>49728.96</v>
      </c>
      <c r="U3976" t="inlineStr">
        <is>
          <t>Low</t>
        </is>
      </c>
      <c r="V3976">
        <f>IF(AND(OR(Dashboard!$C$6="All",E3976=Dashboard!$C$6),OR(Dashboard!$F$6="All",G3976=Dashboard!$F$6),OR(Dashboard!$I$6="All",H3976=Dashboard!$I$6)),1,0)</f>
        <v/>
      </c>
    </row>
    <row r="3977">
      <c r="A3977" t="inlineStr">
        <is>
          <t>PF103968</t>
        </is>
      </c>
      <c r="B3977" s="68" t="n">
        <v>46133</v>
      </c>
      <c r="C3977" s="69" t="n">
        <v>2026</v>
      </c>
      <c r="D3977" t="inlineStr">
        <is>
          <t>Apr</t>
        </is>
      </c>
      <c r="E3977" t="inlineStr">
        <is>
          <t>United States</t>
        </is>
      </c>
      <c r="F3977" t="inlineStr">
        <is>
          <t>USA</t>
        </is>
      </c>
      <c r="G3977" t="inlineStr">
        <is>
          <t>Xeljanz</t>
        </is>
      </c>
      <c r="H3977" t="inlineStr">
        <is>
          <t>Hospital</t>
        </is>
      </c>
      <c r="I3977" t="inlineStr">
        <is>
          <t>Public payer</t>
        </is>
      </c>
      <c r="J3977" t="inlineStr">
        <is>
          <t>Ana Costa</t>
        </is>
      </c>
      <c r="K3977" s="70" t="n">
        <v>1883</v>
      </c>
      <c r="L3977" s="71" t="n">
        <v>2032.84</v>
      </c>
      <c r="M3977" s="71" t="n">
        <v>3827837.72</v>
      </c>
      <c r="N3977" s="71" t="n">
        <v>574175.66</v>
      </c>
      <c r="O3977" s="71" t="n">
        <v>3253662.06</v>
      </c>
      <c r="P3977" s="71" t="n">
        <v>488267.55</v>
      </c>
      <c r="Q3977" s="71" t="n">
        <v>2765394.51</v>
      </c>
      <c r="R3977" t="inlineStr">
        <is>
          <t>Inflammation</t>
        </is>
      </c>
      <c r="S3977" s="70" t="n">
        <v>1740</v>
      </c>
      <c r="T3977" s="71" t="n">
        <v>504696.36</v>
      </c>
      <c r="U3977" t="inlineStr">
        <is>
          <t>High</t>
        </is>
      </c>
      <c r="V3977">
        <f>IF(AND(OR(Dashboard!$C$6="All",E3977=Dashboard!$C$6),OR(Dashboard!$F$6="All",G3977=Dashboard!$F$6),OR(Dashboard!$I$6="All",H3977=Dashboard!$I$6)),1,0)</f>
        <v/>
      </c>
    </row>
    <row r="3978">
      <c r="A3978" t="inlineStr">
        <is>
          <t>PF103969</t>
        </is>
      </c>
      <c r="B3978" s="68" t="n">
        <v>46133</v>
      </c>
      <c r="C3978" s="69" t="n">
        <v>2026</v>
      </c>
      <c r="D3978" t="inlineStr">
        <is>
          <t>Apr</t>
        </is>
      </c>
      <c r="E3978" t="inlineStr">
        <is>
          <t>Europe</t>
        </is>
      </c>
      <c r="F3978" t="inlineStr">
        <is>
          <t>UK</t>
        </is>
      </c>
      <c r="G3978" t="inlineStr">
        <is>
          <t>Vyndaqel</t>
        </is>
      </c>
      <c r="H3978" t="inlineStr">
        <is>
          <t>Hospital</t>
        </is>
      </c>
      <c r="I3978" t="inlineStr">
        <is>
          <t>Private insurer</t>
        </is>
      </c>
      <c r="J3978" t="inlineStr">
        <is>
          <t>Ana Costa</t>
        </is>
      </c>
      <c r="K3978" s="70" t="n">
        <v>2510</v>
      </c>
      <c r="L3978" s="71" t="n">
        <v>5675.98</v>
      </c>
      <c r="M3978" s="71" t="n">
        <v>14246709.8</v>
      </c>
      <c r="N3978" s="71" t="n">
        <v>2137006.47</v>
      </c>
      <c r="O3978" s="71" t="n">
        <v>12109703.33</v>
      </c>
      <c r="P3978" s="71" t="n">
        <v>1524396.88</v>
      </c>
      <c r="Q3978" s="71" t="n">
        <v>10585306.45</v>
      </c>
      <c r="R3978" t="inlineStr">
        <is>
          <t>Rare disease</t>
        </is>
      </c>
      <c r="S3978" s="70" t="n">
        <v>2017</v>
      </c>
      <c r="T3978" s="71" t="n">
        <v>1590356.24</v>
      </c>
      <c r="U3978" t="inlineStr">
        <is>
          <t>Medium</t>
        </is>
      </c>
      <c r="V3978">
        <f>IF(AND(OR(Dashboard!$C$6="All",E3978=Dashboard!$C$6),OR(Dashboard!$F$6="All",G3978=Dashboard!$F$6),OR(Dashboard!$I$6="All",H3978=Dashboard!$I$6)),1,0)</f>
        <v/>
      </c>
    </row>
    <row r="3979">
      <c r="A3979" t="inlineStr">
        <is>
          <t>PF103970</t>
        </is>
      </c>
      <c r="B3979" s="68" t="n">
        <v>46134</v>
      </c>
      <c r="C3979" s="69" t="n">
        <v>2026</v>
      </c>
      <c r="D3979" t="inlineStr">
        <is>
          <t>Apr</t>
        </is>
      </c>
      <c r="E3979" t="inlineStr">
        <is>
          <t>United States</t>
        </is>
      </c>
      <c r="F3979" t="inlineStr">
        <is>
          <t>USA</t>
        </is>
      </c>
      <c r="G3979" t="inlineStr">
        <is>
          <t>Ibrance</t>
        </is>
      </c>
      <c r="H3979" t="inlineStr">
        <is>
          <t>Retail pharmacy</t>
        </is>
      </c>
      <c r="I3979" t="inlineStr">
        <is>
          <t>Self-pay</t>
        </is>
      </c>
      <c r="J3979" t="inlineStr">
        <is>
          <t>Sara Rossi</t>
        </is>
      </c>
      <c r="K3979" s="70" t="n">
        <v>2348</v>
      </c>
      <c r="L3979" s="71" t="n">
        <v>4941.33</v>
      </c>
      <c r="M3979" s="71" t="n">
        <v>11602242.84</v>
      </c>
      <c r="N3979" s="71" t="n">
        <v>1740336.43</v>
      </c>
      <c r="O3979" s="71" t="n">
        <v>9861906.41</v>
      </c>
      <c r="P3979" s="71" t="n">
        <v>1060456.81</v>
      </c>
      <c r="Q3979" s="71" t="n">
        <v>8801449.6</v>
      </c>
      <c r="R3979" t="inlineStr">
        <is>
          <t>Oncology</t>
        </is>
      </c>
      <c r="S3979" s="70" t="n">
        <v>1489</v>
      </c>
      <c r="T3979" s="71" t="n">
        <v>1460847.01</v>
      </c>
      <c r="U3979" t="inlineStr">
        <is>
          <t>High</t>
        </is>
      </c>
      <c r="V3979">
        <f>IF(AND(OR(Dashboard!$C$6="All",E3979=Dashboard!$C$6),OR(Dashboard!$F$6="All",G3979=Dashboard!$F$6),OR(Dashboard!$I$6="All",H3979=Dashboard!$I$6)),1,0)</f>
        <v/>
      </c>
    </row>
    <row r="3980">
      <c r="A3980" t="inlineStr">
        <is>
          <t>PF103971</t>
        </is>
      </c>
      <c r="B3980" s="68" t="n">
        <v>46134</v>
      </c>
      <c r="C3980" s="69" t="n">
        <v>2026</v>
      </c>
      <c r="D3980" t="inlineStr">
        <is>
          <t>Apr</t>
        </is>
      </c>
      <c r="E3980" t="inlineStr">
        <is>
          <t>United States</t>
        </is>
      </c>
      <c r="F3980" t="inlineStr">
        <is>
          <t>USA</t>
        </is>
      </c>
      <c r="G3980" t="inlineStr">
        <is>
          <t>Eliquis</t>
        </is>
      </c>
      <c r="H3980" t="inlineStr">
        <is>
          <t>Retail pharmacy</t>
        </is>
      </c>
      <c r="I3980" t="inlineStr">
        <is>
          <t>Public payer</t>
        </is>
      </c>
      <c r="J3980" t="inlineStr">
        <is>
          <t>Emma Clarke</t>
        </is>
      </c>
      <c r="K3980" s="70" t="n">
        <v>1641</v>
      </c>
      <c r="L3980" s="71" t="n">
        <v>700.04</v>
      </c>
      <c r="M3980" s="71" t="n">
        <v>1148765.64</v>
      </c>
      <c r="N3980" s="71" t="n">
        <v>344629.69</v>
      </c>
      <c r="O3980" s="71" t="n">
        <v>804135.95</v>
      </c>
      <c r="P3980" s="71" t="n">
        <v>128709.62</v>
      </c>
      <c r="Q3980" s="71" t="n">
        <v>675426.33</v>
      </c>
      <c r="R3980" t="inlineStr">
        <is>
          <t>Cardiology</t>
        </is>
      </c>
      <c r="S3980" s="70" t="n">
        <v>1312</v>
      </c>
      <c r="T3980" s="71" t="n">
        <v>220905.96</v>
      </c>
      <c r="U3980" t="inlineStr">
        <is>
          <t>High</t>
        </is>
      </c>
      <c r="V3980">
        <f>IF(AND(OR(Dashboard!$C$6="All",E3980=Dashboard!$C$6),OR(Dashboard!$F$6="All",G3980=Dashboard!$F$6),OR(Dashboard!$I$6="All",H3980=Dashboard!$I$6)),1,0)</f>
        <v/>
      </c>
    </row>
    <row r="3981">
      <c r="A3981" t="inlineStr">
        <is>
          <t>PF103972</t>
        </is>
      </c>
      <c r="B3981" s="68" t="n">
        <v>46134</v>
      </c>
      <c r="C3981" s="69" t="n">
        <v>2026</v>
      </c>
      <c r="D3981" t="inlineStr">
        <is>
          <t>Apr</t>
        </is>
      </c>
      <c r="E3981" t="inlineStr">
        <is>
          <t>Emerging markets</t>
        </is>
      </c>
      <c r="F3981" t="inlineStr">
        <is>
          <t>Brazil</t>
        </is>
      </c>
      <c r="G3981" t="inlineStr">
        <is>
          <t>Abrysvo</t>
        </is>
      </c>
      <c r="H3981" t="inlineStr">
        <is>
          <t>Hospital</t>
        </is>
      </c>
      <c r="I3981" t="inlineStr">
        <is>
          <t>Private insurer</t>
        </is>
      </c>
      <c r="J3981" t="inlineStr">
        <is>
          <t>Noah Smith</t>
        </is>
      </c>
      <c r="K3981" s="70" t="n">
        <v>1618</v>
      </c>
      <c r="L3981" s="71" t="n">
        <v>326.75</v>
      </c>
      <c r="M3981" s="71" t="n">
        <v>528681.5</v>
      </c>
      <c r="N3981" s="71" t="n">
        <v>26434.08</v>
      </c>
      <c r="O3981" s="71" t="n">
        <v>502247.42</v>
      </c>
      <c r="P3981" s="71" t="n">
        <v>132711.46</v>
      </c>
      <c r="Q3981" s="71" t="n">
        <v>369535.96</v>
      </c>
      <c r="R3981" t="inlineStr">
        <is>
          <t>Vaccines</t>
        </is>
      </c>
      <c r="S3981" s="70" t="n">
        <v>1560</v>
      </c>
      <c r="T3981" s="71" t="n">
        <v>74779.19</v>
      </c>
      <c r="U3981" t="inlineStr">
        <is>
          <t>Low</t>
        </is>
      </c>
      <c r="V3981">
        <f>IF(AND(OR(Dashboard!$C$6="All",E3981=Dashboard!$C$6),OR(Dashboard!$F$6="All",G3981=Dashboard!$F$6),OR(Dashboard!$I$6="All",H3981=Dashboard!$I$6)),1,0)</f>
        <v/>
      </c>
    </row>
    <row r="3982">
      <c r="A3982" t="inlineStr">
        <is>
          <t>PF103973</t>
        </is>
      </c>
      <c r="B3982" s="68" t="n">
        <v>46134</v>
      </c>
      <c r="C3982" s="69" t="n">
        <v>2026</v>
      </c>
      <c r="D3982" t="inlineStr">
        <is>
          <t>Apr</t>
        </is>
      </c>
      <c r="E3982" t="inlineStr">
        <is>
          <t>Emerging markets</t>
        </is>
      </c>
      <c r="F3982" t="inlineStr">
        <is>
          <t>India</t>
        </is>
      </c>
      <c r="G3982" t="inlineStr">
        <is>
          <t>Abrysvo</t>
        </is>
      </c>
      <c r="H3982" t="inlineStr">
        <is>
          <t>Hospital</t>
        </is>
      </c>
      <c r="I3982" t="inlineStr">
        <is>
          <t>Public payer</t>
        </is>
      </c>
      <c r="J3982" t="inlineStr">
        <is>
          <t>Sophie Müller</t>
        </is>
      </c>
      <c r="K3982" s="70" t="n">
        <v>2839</v>
      </c>
      <c r="L3982" s="71" t="n">
        <v>319.92</v>
      </c>
      <c r="M3982" s="71" t="n">
        <v>908252.88</v>
      </c>
      <c r="N3982" s="71" t="n">
        <v>181650.58</v>
      </c>
      <c r="O3982" s="71" t="n">
        <v>726602.3</v>
      </c>
      <c r="P3982" s="71" t="n">
        <v>232852.23</v>
      </c>
      <c r="Q3982" s="71" t="n">
        <v>493750.07</v>
      </c>
      <c r="R3982" t="inlineStr">
        <is>
          <t>Vaccines</t>
        </is>
      </c>
      <c r="S3982" s="70" t="n">
        <v>2181</v>
      </c>
      <c r="T3982" s="71" t="n">
        <v>116718.5</v>
      </c>
      <c r="U3982" t="inlineStr">
        <is>
          <t>Low</t>
        </is>
      </c>
      <c r="V3982">
        <f>IF(AND(OR(Dashboard!$C$6="All",E3982=Dashboard!$C$6),OR(Dashboard!$F$6="All",G3982=Dashboard!$F$6),OR(Dashboard!$I$6="All",H3982=Dashboard!$I$6)),1,0)</f>
        <v/>
      </c>
    </row>
    <row r="3983">
      <c r="A3983" t="inlineStr">
        <is>
          <t>PF103974</t>
        </is>
      </c>
      <c r="B3983" s="68" t="n">
        <v>46134</v>
      </c>
      <c r="C3983" s="69" t="n">
        <v>2026</v>
      </c>
      <c r="D3983" t="inlineStr">
        <is>
          <t>Apr</t>
        </is>
      </c>
      <c r="E3983" t="inlineStr">
        <is>
          <t>Europe</t>
        </is>
      </c>
      <c r="F3983" t="inlineStr">
        <is>
          <t>Spain</t>
        </is>
      </c>
      <c r="G3983" t="inlineStr">
        <is>
          <t>Abrysvo</t>
        </is>
      </c>
      <c r="H3983" t="inlineStr">
        <is>
          <t>Retail pharmacy</t>
        </is>
      </c>
      <c r="I3983" t="inlineStr">
        <is>
          <t>Public payer</t>
        </is>
      </c>
      <c r="J3983" t="inlineStr">
        <is>
          <t>Lucas Martin</t>
        </is>
      </c>
      <c r="K3983" s="70" t="n">
        <v>1848</v>
      </c>
      <c r="L3983" s="71" t="n">
        <v>343.53</v>
      </c>
      <c r="M3983" s="71" t="n">
        <v>634843.4399999999</v>
      </c>
      <c r="N3983" s="71" t="n">
        <v>158710.86</v>
      </c>
      <c r="O3983" s="71" t="n">
        <v>476132.58</v>
      </c>
      <c r="P3983" s="71" t="n">
        <v>159851.37</v>
      </c>
      <c r="Q3983" s="71" t="n">
        <v>316281.21</v>
      </c>
      <c r="R3983" t="inlineStr">
        <is>
          <t>Vaccines</t>
        </is>
      </c>
      <c r="S3983" s="70" t="n">
        <v>1435</v>
      </c>
      <c r="T3983" s="71" t="n">
        <v>87613.47</v>
      </c>
      <c r="U3983" t="inlineStr">
        <is>
          <t>Low</t>
        </is>
      </c>
      <c r="V3983">
        <f>IF(AND(OR(Dashboard!$C$6="All",E3983=Dashboard!$C$6),OR(Dashboard!$F$6="All",G3983=Dashboard!$F$6),OR(Dashboard!$I$6="All",H3983=Dashboard!$I$6)),1,0)</f>
        <v/>
      </c>
    </row>
    <row r="3984">
      <c r="A3984" t="inlineStr">
        <is>
          <t>PF103975</t>
        </is>
      </c>
      <c r="B3984" s="68" t="n">
        <v>46134</v>
      </c>
      <c r="C3984" s="69" t="n">
        <v>2026</v>
      </c>
      <c r="D3984" t="inlineStr">
        <is>
          <t>Apr</t>
        </is>
      </c>
      <c r="E3984" t="inlineStr">
        <is>
          <t>United States</t>
        </is>
      </c>
      <c r="F3984" t="inlineStr">
        <is>
          <t>USA</t>
        </is>
      </c>
      <c r="G3984" t="inlineStr">
        <is>
          <t>Prevnar 20</t>
        </is>
      </c>
      <c r="H3984" t="inlineStr">
        <is>
          <t>Hospital</t>
        </is>
      </c>
      <c r="I3984" t="inlineStr">
        <is>
          <t>Public payer</t>
        </is>
      </c>
      <c r="J3984" t="inlineStr">
        <is>
          <t>Sara Rossi</t>
        </is>
      </c>
      <c r="K3984" s="70" t="n">
        <v>2763</v>
      </c>
      <c r="L3984" s="71" t="n">
        <v>392.88</v>
      </c>
      <c r="M3984" s="71" t="n">
        <v>1085527.44</v>
      </c>
      <c r="N3984" s="71" t="n">
        <v>271381.86</v>
      </c>
      <c r="O3984" s="71" t="n">
        <v>814145.58</v>
      </c>
      <c r="P3984" s="71" t="n">
        <v>189926.65</v>
      </c>
      <c r="Q3984" s="71" t="n">
        <v>624218.9300000001</v>
      </c>
      <c r="R3984" t="inlineStr">
        <is>
          <t>Vaccines</t>
        </is>
      </c>
      <c r="S3984" s="70" t="n">
        <v>1797</v>
      </c>
      <c r="T3984" s="71" t="n">
        <v>194239.54</v>
      </c>
      <c r="U3984" t="inlineStr">
        <is>
          <t>Low</t>
        </is>
      </c>
      <c r="V3984">
        <f>IF(AND(OR(Dashboard!$C$6="All",E3984=Dashboard!$C$6),OR(Dashboard!$F$6="All",G3984=Dashboard!$F$6),OR(Dashboard!$I$6="All",H3984=Dashboard!$I$6)),1,0)</f>
        <v/>
      </c>
    </row>
    <row r="3985">
      <c r="A3985" t="inlineStr">
        <is>
          <t>PF103976</t>
        </is>
      </c>
      <c r="B3985" s="68" t="n">
        <v>46134</v>
      </c>
      <c r="C3985" s="69" t="n">
        <v>2026</v>
      </c>
      <c r="D3985" t="inlineStr">
        <is>
          <t>Apr</t>
        </is>
      </c>
      <c r="E3985" t="inlineStr">
        <is>
          <t>United States</t>
        </is>
      </c>
      <c r="F3985" t="inlineStr">
        <is>
          <t>USA</t>
        </is>
      </c>
      <c r="G3985" t="inlineStr">
        <is>
          <t>Prevnar 20</t>
        </is>
      </c>
      <c r="H3985" t="inlineStr">
        <is>
          <t>Government / tender</t>
        </is>
      </c>
      <c r="I3985" t="inlineStr">
        <is>
          <t>Private insurer</t>
        </is>
      </c>
      <c r="J3985" t="inlineStr">
        <is>
          <t>Omar Haddad</t>
        </is>
      </c>
      <c r="K3985" s="70" t="n">
        <v>1558</v>
      </c>
      <c r="L3985" s="71" t="n">
        <v>407.41</v>
      </c>
      <c r="M3985" s="71" t="n">
        <v>634744.78</v>
      </c>
      <c r="N3985" s="71" t="n">
        <v>126948.96</v>
      </c>
      <c r="O3985" s="71" t="n">
        <v>507795.82</v>
      </c>
      <c r="P3985" s="71" t="n">
        <v>109903.38</v>
      </c>
      <c r="Q3985" s="71" t="n">
        <v>397892.44</v>
      </c>
      <c r="R3985" t="inlineStr">
        <is>
          <t>Vaccines</t>
        </is>
      </c>
      <c r="S3985" s="70" t="n">
        <v>1092</v>
      </c>
      <c r="T3985" s="71" t="n">
        <v>76660.89</v>
      </c>
      <c r="U3985" t="inlineStr">
        <is>
          <t>Low</t>
        </is>
      </c>
      <c r="V3985">
        <f>IF(AND(OR(Dashboard!$C$6="All",E3985=Dashboard!$C$6),OR(Dashboard!$F$6="All",G3985=Dashboard!$F$6),OR(Dashboard!$I$6="All",H3985=Dashboard!$I$6)),1,0)</f>
        <v/>
      </c>
    </row>
    <row r="3986">
      <c r="A3986" t="inlineStr">
        <is>
          <t>PF103977</t>
        </is>
      </c>
      <c r="B3986" s="68" t="n">
        <v>46134</v>
      </c>
      <c r="C3986" s="69" t="n">
        <v>2026</v>
      </c>
      <c r="D3986" t="inlineStr">
        <is>
          <t>Apr</t>
        </is>
      </c>
      <c r="E3986" t="inlineStr">
        <is>
          <t>Europe</t>
        </is>
      </c>
      <c r="F3986" t="inlineStr">
        <is>
          <t>Italy</t>
        </is>
      </c>
      <c r="G3986" t="inlineStr">
        <is>
          <t>Paxlovid</t>
        </is>
      </c>
      <c r="H3986" t="inlineStr">
        <is>
          <t>Government / tender</t>
        </is>
      </c>
      <c r="I3986" t="inlineStr">
        <is>
          <t>Public payer</t>
        </is>
      </c>
      <c r="J3986" t="inlineStr">
        <is>
          <t>Olivia Brown</t>
        </is>
      </c>
      <c r="K3986" s="70" t="n">
        <v>684</v>
      </c>
      <c r="L3986" s="71" t="n">
        <v>963.26</v>
      </c>
      <c r="M3986" s="71" t="n">
        <v>658869.84</v>
      </c>
      <c r="N3986" s="71" t="n">
        <v>98830.48</v>
      </c>
      <c r="O3986" s="71" t="n">
        <v>560039.36</v>
      </c>
      <c r="P3986" s="71" t="n">
        <v>184749.68</v>
      </c>
      <c r="Q3986" s="71" t="n">
        <v>375289.68</v>
      </c>
      <c r="R3986" t="inlineStr">
        <is>
          <t>Antiviral</t>
        </is>
      </c>
      <c r="S3986" s="70" t="n">
        <v>618</v>
      </c>
      <c r="T3986" s="71" t="n">
        <v>95900.84</v>
      </c>
      <c r="U3986" t="inlineStr">
        <is>
          <t>Low</t>
        </is>
      </c>
      <c r="V3986">
        <f>IF(AND(OR(Dashboard!$C$6="All",E3986=Dashboard!$C$6),OR(Dashboard!$F$6="All",G3986=Dashboard!$F$6),OR(Dashboard!$I$6="All",H3986=Dashboard!$I$6)),1,0)</f>
        <v/>
      </c>
    </row>
    <row r="3987">
      <c r="A3987" t="inlineStr">
        <is>
          <t>PF103978</t>
        </is>
      </c>
      <c r="B3987" s="68" t="n">
        <v>46134</v>
      </c>
      <c r="C3987" s="69" t="n">
        <v>2026</v>
      </c>
      <c r="D3987" t="inlineStr">
        <is>
          <t>Apr</t>
        </is>
      </c>
      <c r="E3987" t="inlineStr">
        <is>
          <t>Europe</t>
        </is>
      </c>
      <c r="F3987" t="inlineStr">
        <is>
          <t>Spain</t>
        </is>
      </c>
      <c r="G3987" t="inlineStr">
        <is>
          <t>Prevnar 20</t>
        </is>
      </c>
      <c r="H3987" t="inlineStr">
        <is>
          <t>Retail pharmacy</t>
        </is>
      </c>
      <c r="I3987" t="inlineStr">
        <is>
          <t>Public payer</t>
        </is>
      </c>
      <c r="J3987" t="inlineStr">
        <is>
          <t>Ana Costa</t>
        </is>
      </c>
      <c r="K3987" s="70" t="n">
        <v>250</v>
      </c>
      <c r="L3987" s="71" t="n">
        <v>256.15</v>
      </c>
      <c r="M3987" s="71" t="n">
        <v>64037.5</v>
      </c>
      <c r="N3987" s="71" t="n">
        <v>12807.5</v>
      </c>
      <c r="O3987" s="71" t="n">
        <v>51230</v>
      </c>
      <c r="P3987" s="71" t="n">
        <v>16630.46</v>
      </c>
      <c r="Q3987" s="71" t="n">
        <v>34599.54</v>
      </c>
      <c r="R3987" t="inlineStr">
        <is>
          <t>Vaccines</t>
        </is>
      </c>
      <c r="S3987" s="70" t="n">
        <v>214</v>
      </c>
      <c r="T3987" s="71" t="n">
        <v>9698.48</v>
      </c>
      <c r="U3987" t="inlineStr">
        <is>
          <t>Low</t>
        </is>
      </c>
      <c r="V3987">
        <f>IF(AND(OR(Dashboard!$C$6="All",E3987=Dashboard!$C$6),OR(Dashboard!$F$6="All",G3987=Dashboard!$F$6),OR(Dashboard!$I$6="All",H3987=Dashboard!$I$6)),1,0)</f>
        <v/>
      </c>
    </row>
    <row r="3988">
      <c r="A3988" t="inlineStr">
        <is>
          <t>PF103979</t>
        </is>
      </c>
      <c r="B3988" s="68" t="n">
        <v>46135</v>
      </c>
      <c r="C3988" s="69" t="n">
        <v>2026</v>
      </c>
      <c r="D3988" t="inlineStr">
        <is>
          <t>Apr</t>
        </is>
      </c>
      <c r="E3988" t="inlineStr">
        <is>
          <t>International developed</t>
        </is>
      </c>
      <c r="F3988" t="inlineStr">
        <is>
          <t>Canada</t>
        </is>
      </c>
      <c r="G3988" t="inlineStr">
        <is>
          <t>Ibrance</t>
        </is>
      </c>
      <c r="H3988" t="inlineStr">
        <is>
          <t>Hospital</t>
        </is>
      </c>
      <c r="I3988" t="inlineStr">
        <is>
          <t>Private insurer</t>
        </is>
      </c>
      <c r="J3988" t="inlineStr">
        <is>
          <t>Aisha Bello</t>
        </is>
      </c>
      <c r="K3988" s="70" t="n">
        <v>707</v>
      </c>
      <c r="L3988" s="71" t="n">
        <v>2663.15</v>
      </c>
      <c r="M3988" s="71" t="n">
        <v>1882847.05</v>
      </c>
      <c r="N3988" s="71" t="n">
        <v>94142.35000000001</v>
      </c>
      <c r="O3988" s="71" t="n">
        <v>1788704.7</v>
      </c>
      <c r="P3988" s="71" t="n">
        <v>308965.02</v>
      </c>
      <c r="Q3988" s="71" t="n">
        <v>1479739.68</v>
      </c>
      <c r="R3988" t="inlineStr">
        <is>
          <t>Oncology</t>
        </is>
      </c>
      <c r="S3988" s="70" t="n">
        <v>623</v>
      </c>
      <c r="T3988" s="71" t="n">
        <v>360043.9</v>
      </c>
      <c r="U3988" t="inlineStr">
        <is>
          <t>High</t>
        </is>
      </c>
      <c r="V3988">
        <f>IF(AND(OR(Dashboard!$C$6="All",E3988=Dashboard!$C$6),OR(Dashboard!$F$6="All",G3988=Dashboard!$F$6),OR(Dashboard!$I$6="All",H3988=Dashboard!$I$6)),1,0)</f>
        <v/>
      </c>
    </row>
    <row r="3989">
      <c r="A3989" t="inlineStr">
        <is>
          <t>PF103980</t>
        </is>
      </c>
      <c r="B3989" s="68" t="n">
        <v>46135</v>
      </c>
      <c r="C3989" s="69" t="n">
        <v>2026</v>
      </c>
      <c r="D3989" t="inlineStr">
        <is>
          <t>Apr</t>
        </is>
      </c>
      <c r="E3989" t="inlineStr">
        <is>
          <t>Europe</t>
        </is>
      </c>
      <c r="F3989" t="inlineStr">
        <is>
          <t>Germany</t>
        </is>
      </c>
      <c r="G3989" t="inlineStr">
        <is>
          <t>Eliquis</t>
        </is>
      </c>
      <c r="H3989" t="inlineStr">
        <is>
          <t>Retail pharmacy</t>
        </is>
      </c>
      <c r="I3989" t="inlineStr">
        <is>
          <t>Private insurer</t>
        </is>
      </c>
      <c r="J3989" t="inlineStr">
        <is>
          <t>Aisha Bello</t>
        </is>
      </c>
      <c r="K3989" s="70" t="n">
        <v>2689</v>
      </c>
      <c r="L3989" s="71" t="n">
        <v>475.46</v>
      </c>
      <c r="M3989" s="71" t="n">
        <v>1278511.94</v>
      </c>
      <c r="N3989" s="71" t="n">
        <v>255702.39</v>
      </c>
      <c r="O3989" s="71" t="n">
        <v>1022809.55</v>
      </c>
      <c r="P3989" s="71" t="n">
        <v>195518.42</v>
      </c>
      <c r="Q3989" s="71" t="n">
        <v>827291.13</v>
      </c>
      <c r="R3989" t="inlineStr">
        <is>
          <t>Cardiology</t>
        </is>
      </c>
      <c r="S3989" s="70" t="n">
        <v>2323</v>
      </c>
      <c r="T3989" s="71" t="n">
        <v>216537.22</v>
      </c>
      <c r="U3989" t="inlineStr">
        <is>
          <t>High</t>
        </is>
      </c>
      <c r="V3989">
        <f>IF(AND(OR(Dashboard!$C$6="All",E3989=Dashboard!$C$6),OR(Dashboard!$F$6="All",G3989=Dashboard!$F$6),OR(Dashboard!$I$6="All",H3989=Dashboard!$I$6)),1,0)</f>
        <v/>
      </c>
    </row>
    <row r="3990">
      <c r="A3990" t="inlineStr">
        <is>
          <t>PF103981</t>
        </is>
      </c>
      <c r="B3990" s="68" t="n">
        <v>46135</v>
      </c>
      <c r="C3990" s="69" t="n">
        <v>2026</v>
      </c>
      <c r="D3990" t="inlineStr">
        <is>
          <t>Apr</t>
        </is>
      </c>
      <c r="E3990" t="inlineStr">
        <is>
          <t>United States</t>
        </is>
      </c>
      <c r="F3990" t="inlineStr">
        <is>
          <t>USA</t>
        </is>
      </c>
      <c r="G3990" t="inlineStr">
        <is>
          <t>Xeljanz</t>
        </is>
      </c>
      <c r="H3990" t="inlineStr">
        <is>
          <t>Hospital</t>
        </is>
      </c>
      <c r="I3990" t="inlineStr">
        <is>
          <t>Public payer</t>
        </is>
      </c>
      <c r="J3990" t="inlineStr">
        <is>
          <t>Omar Haddad</t>
        </is>
      </c>
      <c r="K3990" s="70" t="n">
        <v>2022</v>
      </c>
      <c r="L3990" s="71" t="n">
        <v>2268.93</v>
      </c>
      <c r="M3990" s="71" t="n">
        <v>4587776.46</v>
      </c>
      <c r="N3990" s="71" t="n">
        <v>1605721.76</v>
      </c>
      <c r="O3990" s="71" t="n">
        <v>2982054.7</v>
      </c>
      <c r="P3990" s="71" t="n">
        <v>507783.14</v>
      </c>
      <c r="Q3990" s="71" t="n">
        <v>2474271.56</v>
      </c>
      <c r="R3990" t="inlineStr">
        <is>
          <t>Inflammation</t>
        </is>
      </c>
      <c r="S3990" s="70" t="n">
        <v>1514</v>
      </c>
      <c r="T3990" s="71" t="n">
        <v>704033.39</v>
      </c>
      <c r="U3990" t="inlineStr">
        <is>
          <t>High</t>
        </is>
      </c>
      <c r="V3990">
        <f>IF(AND(OR(Dashboard!$C$6="All",E3990=Dashboard!$C$6),OR(Dashboard!$F$6="All",G3990=Dashboard!$F$6),OR(Dashboard!$I$6="All",H3990=Dashboard!$I$6)),1,0)</f>
        <v/>
      </c>
    </row>
    <row r="3991">
      <c r="A3991" t="inlineStr">
        <is>
          <t>PF103982</t>
        </is>
      </c>
      <c r="B3991" s="68" t="n">
        <v>46135</v>
      </c>
      <c r="C3991" s="69" t="n">
        <v>2026</v>
      </c>
      <c r="D3991" t="inlineStr">
        <is>
          <t>Apr</t>
        </is>
      </c>
      <c r="E3991" t="inlineStr">
        <is>
          <t>International developed</t>
        </is>
      </c>
      <c r="F3991" t="inlineStr">
        <is>
          <t>Australia</t>
        </is>
      </c>
      <c r="G3991" t="inlineStr">
        <is>
          <t>Abrysvo</t>
        </is>
      </c>
      <c r="H3991" t="inlineStr">
        <is>
          <t>Retail pharmacy</t>
        </is>
      </c>
      <c r="I3991" t="inlineStr">
        <is>
          <t>Private insurer</t>
        </is>
      </c>
      <c r="J3991" t="inlineStr">
        <is>
          <t>Yuki Sato</t>
        </is>
      </c>
      <c r="K3991" s="70" t="n">
        <v>1697</v>
      </c>
      <c r="L3991" s="71" t="n">
        <v>296.17</v>
      </c>
      <c r="M3991" s="71" t="n">
        <v>502600.49</v>
      </c>
      <c r="N3991" s="71" t="n">
        <v>125650.12</v>
      </c>
      <c r="O3991" s="71" t="n">
        <v>376950.37</v>
      </c>
      <c r="P3991" s="71" t="n">
        <v>144846.08</v>
      </c>
      <c r="Q3991" s="71" t="n">
        <v>232104.29</v>
      </c>
      <c r="R3991" t="inlineStr">
        <is>
          <t>Vaccines</t>
        </is>
      </c>
      <c r="S3991" s="70" t="n">
        <v>1643</v>
      </c>
      <c r="T3991" s="71" t="n">
        <v>62634.39</v>
      </c>
      <c r="U3991" t="inlineStr">
        <is>
          <t>Low</t>
        </is>
      </c>
      <c r="V3991">
        <f>IF(AND(OR(Dashboard!$C$6="All",E3991=Dashboard!$C$6),OR(Dashboard!$F$6="All",G3991=Dashboard!$F$6),OR(Dashboard!$I$6="All",H3991=Dashboard!$I$6)),1,0)</f>
        <v/>
      </c>
    </row>
    <row r="3992">
      <c r="A3992" t="inlineStr">
        <is>
          <t>PF103983</t>
        </is>
      </c>
      <c r="B3992" s="68" t="n">
        <v>46135</v>
      </c>
      <c r="C3992" s="69" t="n">
        <v>2026</v>
      </c>
      <c r="D3992" t="inlineStr">
        <is>
          <t>Apr</t>
        </is>
      </c>
      <c r="E3992" t="inlineStr">
        <is>
          <t>Europe</t>
        </is>
      </c>
      <c r="F3992" t="inlineStr">
        <is>
          <t>France</t>
        </is>
      </c>
      <c r="G3992" t="inlineStr">
        <is>
          <t>Eliquis</t>
        </is>
      </c>
      <c r="H3992" t="inlineStr">
        <is>
          <t>Retail pharmacy</t>
        </is>
      </c>
      <c r="I3992" t="inlineStr">
        <is>
          <t>Public payer</t>
        </is>
      </c>
      <c r="J3992" t="inlineStr">
        <is>
          <t>Yuki Sato</t>
        </is>
      </c>
      <c r="K3992" s="70" t="n">
        <v>2766</v>
      </c>
      <c r="L3992" s="71" t="n">
        <v>465.47</v>
      </c>
      <c r="M3992" s="71" t="n">
        <v>1287490.02</v>
      </c>
      <c r="N3992" s="71" t="n">
        <v>193123.5</v>
      </c>
      <c r="O3992" s="71" t="n">
        <v>1094366.52</v>
      </c>
      <c r="P3992" s="71" t="n">
        <v>215560.8</v>
      </c>
      <c r="Q3992" s="71" t="n">
        <v>878805.72</v>
      </c>
      <c r="R3992" t="inlineStr">
        <is>
          <t>Cardiology</t>
        </is>
      </c>
      <c r="S3992" s="70" t="n">
        <v>1805</v>
      </c>
      <c r="T3992" s="71" t="n">
        <v>161628.33</v>
      </c>
      <c r="U3992" t="inlineStr">
        <is>
          <t>High</t>
        </is>
      </c>
      <c r="V3992">
        <f>IF(AND(OR(Dashboard!$C$6="All",E3992=Dashboard!$C$6),OR(Dashboard!$F$6="All",G3992=Dashboard!$F$6),OR(Dashboard!$I$6="All",H3992=Dashboard!$I$6)),1,0)</f>
        <v/>
      </c>
    </row>
    <row r="3993">
      <c r="A3993" t="inlineStr">
        <is>
          <t>PF103984</t>
        </is>
      </c>
      <c r="B3993" s="68" t="n">
        <v>46135</v>
      </c>
      <c r="C3993" s="69" t="n">
        <v>2026</v>
      </c>
      <c r="D3993" t="inlineStr">
        <is>
          <t>Apr</t>
        </is>
      </c>
      <c r="E3993" t="inlineStr">
        <is>
          <t>Europe</t>
        </is>
      </c>
      <c r="F3993" t="inlineStr">
        <is>
          <t>Germany</t>
        </is>
      </c>
      <c r="G3993" t="inlineStr">
        <is>
          <t>Paxlovid</t>
        </is>
      </c>
      <c r="H3993" t="inlineStr">
        <is>
          <t>Retail pharmacy</t>
        </is>
      </c>
      <c r="I3993" t="inlineStr">
        <is>
          <t>Private insurer</t>
        </is>
      </c>
      <c r="J3993" t="inlineStr">
        <is>
          <t>Noah Smith</t>
        </is>
      </c>
      <c r="K3993" s="70" t="n">
        <v>222</v>
      </c>
      <c r="L3993" s="71" t="n">
        <v>979.78</v>
      </c>
      <c r="M3993" s="71" t="n">
        <v>217511.16</v>
      </c>
      <c r="N3993" s="71" t="n">
        <v>32626.67</v>
      </c>
      <c r="O3993" s="71" t="n">
        <v>184884.49</v>
      </c>
      <c r="P3993" s="71" t="n">
        <v>60974.72</v>
      </c>
      <c r="Q3993" s="71" t="n">
        <v>123909.77</v>
      </c>
      <c r="R3993" t="inlineStr">
        <is>
          <t>Antiviral</t>
        </is>
      </c>
      <c r="S3993" s="70" t="n">
        <v>220</v>
      </c>
      <c r="T3993" s="71" t="n">
        <v>46580.46</v>
      </c>
      <c r="U3993" t="inlineStr">
        <is>
          <t>Low</t>
        </is>
      </c>
      <c r="V3993">
        <f>IF(AND(OR(Dashboard!$C$6="All",E3993=Dashboard!$C$6),OR(Dashboard!$F$6="All",G3993=Dashboard!$F$6),OR(Dashboard!$I$6="All",H3993=Dashboard!$I$6)),1,0)</f>
        <v/>
      </c>
    </row>
    <row r="3994">
      <c r="A3994" t="inlineStr">
        <is>
          <t>PF103985</t>
        </is>
      </c>
      <c r="B3994" s="68" t="n">
        <v>46135</v>
      </c>
      <c r="C3994" s="69" t="n">
        <v>2026</v>
      </c>
      <c r="D3994" t="inlineStr">
        <is>
          <t>Apr</t>
        </is>
      </c>
      <c r="E3994" t="inlineStr">
        <is>
          <t>United States</t>
        </is>
      </c>
      <c r="F3994" t="inlineStr">
        <is>
          <t>USA</t>
        </is>
      </c>
      <c r="G3994" t="inlineStr">
        <is>
          <t>Vyndaqel</t>
        </is>
      </c>
      <c r="H3994" t="inlineStr">
        <is>
          <t>Retail pharmacy</t>
        </is>
      </c>
      <c r="I3994" t="inlineStr">
        <is>
          <t>Private insurer</t>
        </is>
      </c>
      <c r="J3994" t="inlineStr">
        <is>
          <t>Noah Smith</t>
        </is>
      </c>
      <c r="K3994" s="70" t="n">
        <v>156</v>
      </c>
      <c r="L3994" s="71" t="n">
        <v>8552.41</v>
      </c>
      <c r="M3994" s="71" t="n">
        <v>1334175.96</v>
      </c>
      <c r="N3994" s="71" t="n">
        <v>200126.39</v>
      </c>
      <c r="O3994" s="71" t="n">
        <v>1134049.57</v>
      </c>
      <c r="P3994" s="71" t="n">
        <v>93655.12</v>
      </c>
      <c r="Q3994" s="71" t="n">
        <v>1040394.45</v>
      </c>
      <c r="R3994" t="inlineStr">
        <is>
          <t>Rare disease</t>
        </is>
      </c>
      <c r="S3994" s="70" t="n">
        <v>107</v>
      </c>
      <c r="T3994" s="71" t="n">
        <v>149172.7</v>
      </c>
      <c r="U3994" t="inlineStr">
        <is>
          <t>Medium</t>
        </is>
      </c>
      <c r="V3994">
        <f>IF(AND(OR(Dashboard!$C$6="All",E3994=Dashboard!$C$6),OR(Dashboard!$F$6="All",G3994=Dashboard!$F$6),OR(Dashboard!$I$6="All",H3994=Dashboard!$I$6)),1,0)</f>
        <v/>
      </c>
    </row>
    <row r="3995">
      <c r="A3995" t="inlineStr">
        <is>
          <t>PF103986</t>
        </is>
      </c>
      <c r="B3995" s="68" t="n">
        <v>46135</v>
      </c>
      <c r="C3995" s="69" t="n">
        <v>2026</v>
      </c>
      <c r="D3995" t="inlineStr">
        <is>
          <t>Apr</t>
        </is>
      </c>
      <c r="E3995" t="inlineStr">
        <is>
          <t>International developed</t>
        </is>
      </c>
      <c r="F3995" t="inlineStr">
        <is>
          <t>Australia</t>
        </is>
      </c>
      <c r="G3995" t="inlineStr">
        <is>
          <t>Paxlovid</t>
        </is>
      </c>
      <c r="H3995" t="inlineStr">
        <is>
          <t>Retail pharmacy</t>
        </is>
      </c>
      <c r="I3995" t="inlineStr">
        <is>
          <t>Self-pay</t>
        </is>
      </c>
      <c r="J3995" t="inlineStr">
        <is>
          <t>Sophie Müller</t>
        </is>
      </c>
      <c r="K3995" s="70" t="n">
        <v>1802</v>
      </c>
      <c r="L3995" s="71" t="n">
        <v>939.17</v>
      </c>
      <c r="M3995" s="71" t="n">
        <v>1692384.34</v>
      </c>
      <c r="N3995" s="71" t="n">
        <v>253857.65</v>
      </c>
      <c r="O3995" s="71" t="n">
        <v>1438526.69</v>
      </c>
      <c r="P3995" s="71" t="n">
        <v>504358.77</v>
      </c>
      <c r="Q3995" s="71" t="n">
        <v>934167.92</v>
      </c>
      <c r="R3995" t="inlineStr">
        <is>
          <t>Antiviral</t>
        </is>
      </c>
      <c r="S3995" s="70" t="n">
        <v>1306</v>
      </c>
      <c r="T3995" s="71" t="n">
        <v>342350.45</v>
      </c>
      <c r="U3995" t="inlineStr">
        <is>
          <t>Low</t>
        </is>
      </c>
      <c r="V3995">
        <f>IF(AND(OR(Dashboard!$C$6="All",E3995=Dashboard!$C$6),OR(Dashboard!$F$6="All",G3995=Dashboard!$F$6),OR(Dashboard!$I$6="All",H3995=Dashboard!$I$6)),1,0)</f>
        <v/>
      </c>
    </row>
    <row r="3996">
      <c r="A3996" t="inlineStr">
        <is>
          <t>PF103987</t>
        </is>
      </c>
      <c r="B3996" s="68" t="n">
        <v>46136</v>
      </c>
      <c r="C3996" s="69" t="n">
        <v>2026</v>
      </c>
      <c r="D3996" t="inlineStr">
        <is>
          <t>Apr</t>
        </is>
      </c>
      <c r="E3996" t="inlineStr">
        <is>
          <t>International developed</t>
        </is>
      </c>
      <c r="F3996" t="inlineStr">
        <is>
          <t>Japan</t>
        </is>
      </c>
      <c r="G3996" t="inlineStr">
        <is>
          <t>Prevnar 20</t>
        </is>
      </c>
      <c r="H3996" t="inlineStr">
        <is>
          <t>Hospital</t>
        </is>
      </c>
      <c r="I3996" t="inlineStr">
        <is>
          <t>Public payer</t>
        </is>
      </c>
      <c r="J3996" t="inlineStr">
        <is>
          <t>Omar Haddad</t>
        </is>
      </c>
      <c r="K3996" s="70" t="n">
        <v>2671</v>
      </c>
      <c r="L3996" s="71" t="n">
        <v>252.55</v>
      </c>
      <c r="M3996" s="71" t="n">
        <v>674561.05</v>
      </c>
      <c r="N3996" s="71" t="n">
        <v>67456.11</v>
      </c>
      <c r="O3996" s="71" t="n">
        <v>607104.9399999999</v>
      </c>
      <c r="P3996" s="71" t="n">
        <v>191113.3</v>
      </c>
      <c r="Q3996" s="71" t="n">
        <v>415991.64</v>
      </c>
      <c r="R3996" t="inlineStr">
        <is>
          <t>Vaccines</t>
        </is>
      </c>
      <c r="S3996" s="70" t="n">
        <v>1678</v>
      </c>
      <c r="T3996" s="71" t="n">
        <v>100948.16</v>
      </c>
      <c r="U3996" t="inlineStr">
        <is>
          <t>Low</t>
        </is>
      </c>
      <c r="V3996">
        <f>IF(AND(OR(Dashboard!$C$6="All",E3996=Dashboard!$C$6),OR(Dashboard!$F$6="All",G3996=Dashboard!$F$6),OR(Dashboard!$I$6="All",H3996=Dashboard!$I$6)),1,0)</f>
        <v/>
      </c>
    </row>
    <row r="3997">
      <c r="A3997" t="inlineStr">
        <is>
          <t>PF103988</t>
        </is>
      </c>
      <c r="B3997" s="68" t="n">
        <v>46136</v>
      </c>
      <c r="C3997" s="69" t="n">
        <v>2026</v>
      </c>
      <c r="D3997" t="inlineStr">
        <is>
          <t>Apr</t>
        </is>
      </c>
      <c r="E3997" t="inlineStr">
        <is>
          <t>International developed</t>
        </is>
      </c>
      <c r="F3997" t="inlineStr">
        <is>
          <t>Japan</t>
        </is>
      </c>
      <c r="G3997" t="inlineStr">
        <is>
          <t>Prevnar 20</t>
        </is>
      </c>
      <c r="H3997" t="inlineStr">
        <is>
          <t>Retail pharmacy</t>
        </is>
      </c>
      <c r="I3997" t="inlineStr">
        <is>
          <t>Self-pay</t>
        </is>
      </c>
      <c r="J3997" t="inlineStr">
        <is>
          <t>Ana Costa</t>
        </is>
      </c>
      <c r="K3997" s="70" t="n">
        <v>375</v>
      </c>
      <c r="L3997" s="71" t="n">
        <v>243.89</v>
      </c>
      <c r="M3997" s="71" t="n">
        <v>91458.75</v>
      </c>
      <c r="N3997" s="71" t="n">
        <v>9145.879999999999</v>
      </c>
      <c r="O3997" s="71" t="n">
        <v>82312.87</v>
      </c>
      <c r="P3997" s="71" t="n">
        <v>25972.51</v>
      </c>
      <c r="Q3997" s="71" t="n">
        <v>56340.36</v>
      </c>
      <c r="R3997" t="inlineStr">
        <is>
          <t>Vaccines</t>
        </is>
      </c>
      <c r="S3997" s="70" t="n">
        <v>241</v>
      </c>
      <c r="T3997" s="71" t="n">
        <v>17120.82</v>
      </c>
      <c r="U3997" t="inlineStr">
        <is>
          <t>Low</t>
        </is>
      </c>
      <c r="V3997">
        <f>IF(AND(OR(Dashboard!$C$6="All",E3997=Dashboard!$C$6),OR(Dashboard!$F$6="All",G3997=Dashboard!$F$6),OR(Dashboard!$I$6="All",H3997=Dashboard!$I$6)),1,0)</f>
        <v/>
      </c>
    </row>
    <row r="3998">
      <c r="A3998" t="inlineStr">
        <is>
          <t>PF103989</t>
        </is>
      </c>
      <c r="B3998" s="68" t="n">
        <v>46136</v>
      </c>
      <c r="C3998" s="69" t="n">
        <v>2026</v>
      </c>
      <c r="D3998" t="inlineStr">
        <is>
          <t>Apr</t>
        </is>
      </c>
      <c r="E3998" t="inlineStr">
        <is>
          <t>United States</t>
        </is>
      </c>
      <c r="F3998" t="inlineStr">
        <is>
          <t>USA</t>
        </is>
      </c>
      <c r="G3998" t="inlineStr">
        <is>
          <t>Prevnar 20</t>
        </is>
      </c>
      <c r="H3998" t="inlineStr">
        <is>
          <t>Retail pharmacy</t>
        </is>
      </c>
      <c r="I3998" t="inlineStr">
        <is>
          <t>Public payer</t>
        </is>
      </c>
      <c r="J3998" t="inlineStr">
        <is>
          <t>Mei Lin</t>
        </is>
      </c>
      <c r="K3998" s="70" t="n">
        <v>957</v>
      </c>
      <c r="L3998" s="71" t="n">
        <v>359.02</v>
      </c>
      <c r="M3998" s="71" t="n">
        <v>343582.14</v>
      </c>
      <c r="N3998" s="71" t="n">
        <v>103074.64</v>
      </c>
      <c r="O3998" s="71" t="n">
        <v>240507.5</v>
      </c>
      <c r="P3998" s="71" t="n">
        <v>68298.03999999999</v>
      </c>
      <c r="Q3998" s="71" t="n">
        <v>172209.46</v>
      </c>
      <c r="R3998" t="inlineStr">
        <is>
          <t>Vaccines</t>
        </is>
      </c>
      <c r="S3998" s="70" t="n">
        <v>606</v>
      </c>
      <c r="T3998" s="71" t="n">
        <v>61407.55</v>
      </c>
      <c r="U3998" t="inlineStr">
        <is>
          <t>Low</t>
        </is>
      </c>
      <c r="V3998">
        <f>IF(AND(OR(Dashboard!$C$6="All",E3998=Dashboard!$C$6),OR(Dashboard!$F$6="All",G3998=Dashboard!$F$6),OR(Dashboard!$I$6="All",H3998=Dashboard!$I$6)),1,0)</f>
        <v/>
      </c>
    </row>
    <row r="3999">
      <c r="A3999" t="inlineStr">
        <is>
          <t>PF103990</t>
        </is>
      </c>
      <c r="B3999" s="68" t="n">
        <v>46136</v>
      </c>
      <c r="C3999" s="69" t="n">
        <v>2026</v>
      </c>
      <c r="D3999" t="inlineStr">
        <is>
          <t>Apr</t>
        </is>
      </c>
      <c r="E3999" t="inlineStr">
        <is>
          <t>International developed</t>
        </is>
      </c>
      <c r="F3999" t="inlineStr">
        <is>
          <t>Australia</t>
        </is>
      </c>
      <c r="G3999" t="inlineStr">
        <is>
          <t>Vyndaqel</t>
        </is>
      </c>
      <c r="H3999" t="inlineStr">
        <is>
          <t>Retail pharmacy</t>
        </is>
      </c>
      <c r="I3999" t="inlineStr">
        <is>
          <t>Public payer</t>
        </is>
      </c>
      <c r="J3999" t="inlineStr">
        <is>
          <t>Yuki Sato</t>
        </is>
      </c>
      <c r="K3999" s="70" t="n">
        <v>1521</v>
      </c>
      <c r="L3999" s="71" t="n">
        <v>5844.3</v>
      </c>
      <c r="M3999" s="71" t="n">
        <v>8889180.300000001</v>
      </c>
      <c r="N3999" s="71" t="n">
        <v>888918.03</v>
      </c>
      <c r="O3999" s="71" t="n">
        <v>8000262.27</v>
      </c>
      <c r="P3999" s="71" t="n">
        <v>940657.02</v>
      </c>
      <c r="Q3999" s="71" t="n">
        <v>7059605.25</v>
      </c>
      <c r="R3999" t="inlineStr">
        <is>
          <t>Rare disease</t>
        </is>
      </c>
      <c r="S3999" s="70" t="n">
        <v>1416</v>
      </c>
      <c r="T3999" s="71" t="n">
        <v>1490927.64</v>
      </c>
      <c r="U3999" t="inlineStr">
        <is>
          <t>Medium</t>
        </is>
      </c>
      <c r="V3999">
        <f>IF(AND(OR(Dashboard!$C$6="All",E3999=Dashboard!$C$6),OR(Dashboard!$F$6="All",G3999=Dashboard!$F$6),OR(Dashboard!$I$6="All",H3999=Dashboard!$I$6)),1,0)</f>
        <v/>
      </c>
    </row>
    <row r="4000">
      <c r="A4000" t="inlineStr">
        <is>
          <t>PF103991</t>
        </is>
      </c>
      <c r="B4000" s="68" t="n">
        <v>46136</v>
      </c>
      <c r="C4000" s="69" t="n">
        <v>2026</v>
      </c>
      <c r="D4000" t="inlineStr">
        <is>
          <t>Apr</t>
        </is>
      </c>
      <c r="E4000" t="inlineStr">
        <is>
          <t>United States</t>
        </is>
      </c>
      <c r="F4000" t="inlineStr">
        <is>
          <t>USA</t>
        </is>
      </c>
      <c r="G4000" t="inlineStr">
        <is>
          <t>Paxlovid</t>
        </is>
      </c>
      <c r="H4000" t="inlineStr">
        <is>
          <t>Hospital</t>
        </is>
      </c>
      <c r="I4000" t="inlineStr">
        <is>
          <t>Self-pay</t>
        </is>
      </c>
      <c r="J4000" t="inlineStr">
        <is>
          <t>Ruhi Shaikh</t>
        </is>
      </c>
      <c r="K4000" s="70" t="n">
        <v>1966</v>
      </c>
      <c r="L4000" s="71" t="n">
        <v>1427.28</v>
      </c>
      <c r="M4000" s="71" t="n">
        <v>2806032.48</v>
      </c>
      <c r="N4000" s="71" t="n">
        <v>982111.37</v>
      </c>
      <c r="O4000" s="71" t="n">
        <v>1823921.11</v>
      </c>
      <c r="P4000" s="71" t="n">
        <v>528460.9</v>
      </c>
      <c r="Q4000" s="71" t="n">
        <v>1295460.21</v>
      </c>
      <c r="R4000" t="inlineStr">
        <is>
          <t>Antiviral</t>
        </is>
      </c>
      <c r="S4000" s="70" t="n">
        <v>1349</v>
      </c>
      <c r="T4000" s="71" t="n">
        <v>483860.38</v>
      </c>
      <c r="U4000" t="inlineStr">
        <is>
          <t>Low</t>
        </is>
      </c>
      <c r="V4000">
        <f>IF(AND(OR(Dashboard!$C$6="All",E4000=Dashboard!$C$6),OR(Dashboard!$F$6="All",G4000=Dashboard!$F$6),OR(Dashboard!$I$6="All",H4000=Dashboard!$I$6)),1,0)</f>
        <v/>
      </c>
    </row>
    <row r="4001">
      <c r="A4001" t="inlineStr">
        <is>
          <t>PF103992</t>
        </is>
      </c>
      <c r="B4001" s="68" t="n">
        <v>46136</v>
      </c>
      <c r="C4001" s="69" t="n">
        <v>2026</v>
      </c>
      <c r="D4001" t="inlineStr">
        <is>
          <t>Apr</t>
        </is>
      </c>
      <c r="E4001" t="inlineStr">
        <is>
          <t>United States</t>
        </is>
      </c>
      <c r="F4001" t="inlineStr">
        <is>
          <t>USA</t>
        </is>
      </c>
      <c r="G4001" t="inlineStr">
        <is>
          <t>Eliquis</t>
        </is>
      </c>
      <c r="H4001" t="inlineStr">
        <is>
          <t>Hospital</t>
        </is>
      </c>
      <c r="I4001" t="inlineStr">
        <is>
          <t>Private insurer</t>
        </is>
      </c>
      <c r="J4001" t="inlineStr">
        <is>
          <t>Omar Haddad</t>
        </is>
      </c>
      <c r="K4001" s="70" t="n">
        <v>1218</v>
      </c>
      <c r="L4001" s="71" t="n">
        <v>719.16</v>
      </c>
      <c r="M4001" s="71" t="n">
        <v>875936.88</v>
      </c>
      <c r="N4001" s="71" t="n">
        <v>262781.06</v>
      </c>
      <c r="O4001" s="71" t="n">
        <v>613155.8199999999</v>
      </c>
      <c r="P4001" s="71" t="n">
        <v>95240.34</v>
      </c>
      <c r="Q4001" s="71" t="n">
        <v>517915.48</v>
      </c>
      <c r="R4001" t="inlineStr">
        <is>
          <t>Cardiology</t>
        </is>
      </c>
      <c r="S4001" s="70" t="n">
        <v>796</v>
      </c>
      <c r="T4001" s="71" t="n">
        <v>144666.34</v>
      </c>
      <c r="U4001" t="inlineStr">
        <is>
          <t>High</t>
        </is>
      </c>
      <c r="V4001">
        <f>IF(AND(OR(Dashboard!$C$6="All",E4001=Dashboard!$C$6),OR(Dashboard!$F$6="All",G4001=Dashboard!$F$6),OR(Dashboard!$I$6="All",H4001=Dashboard!$I$6)),1,0)</f>
        <v/>
      </c>
    </row>
    <row r="4002">
      <c r="A4002" t="inlineStr">
        <is>
          <t>PF103993</t>
        </is>
      </c>
      <c r="B4002" s="68" t="n">
        <v>46136</v>
      </c>
      <c r="C4002" s="69" t="n">
        <v>2026</v>
      </c>
      <c r="D4002" t="inlineStr">
        <is>
          <t>Apr</t>
        </is>
      </c>
      <c r="E4002" t="inlineStr">
        <is>
          <t>Emerging markets</t>
        </is>
      </c>
      <c r="F4002" t="inlineStr">
        <is>
          <t>Mexico</t>
        </is>
      </c>
      <c r="G4002" t="inlineStr">
        <is>
          <t>Xeljanz</t>
        </is>
      </c>
      <c r="H4002" t="inlineStr">
        <is>
          <t>Hospital</t>
        </is>
      </c>
      <c r="I4002" t="inlineStr">
        <is>
          <t>Public payer</t>
        </is>
      </c>
      <c r="J4002" t="inlineStr">
        <is>
          <t>Yuki Sato</t>
        </is>
      </c>
      <c r="K4002" s="70" t="n">
        <v>1156</v>
      </c>
      <c r="L4002" s="71" t="n">
        <v>1463.82</v>
      </c>
      <c r="M4002" s="71" t="n">
        <v>1692175.92</v>
      </c>
      <c r="N4002" s="71" t="n">
        <v>169217.59</v>
      </c>
      <c r="O4002" s="71" t="n">
        <v>1522958.33</v>
      </c>
      <c r="P4002" s="71" t="n">
        <v>286393.91</v>
      </c>
      <c r="Q4002" s="71" t="n">
        <v>1236564.42</v>
      </c>
      <c r="R4002" t="inlineStr">
        <is>
          <t>Inflammation</t>
        </is>
      </c>
      <c r="S4002" s="70" t="n">
        <v>924</v>
      </c>
      <c r="T4002" s="71" t="n">
        <v>383056.1</v>
      </c>
      <c r="U4002" t="inlineStr">
        <is>
          <t>High</t>
        </is>
      </c>
      <c r="V4002">
        <f>IF(AND(OR(Dashboard!$C$6="All",E4002=Dashboard!$C$6),OR(Dashboard!$F$6="All",G4002=Dashboard!$F$6),OR(Dashboard!$I$6="All",H4002=Dashboard!$I$6)),1,0)</f>
        <v/>
      </c>
    </row>
    <row r="4003">
      <c r="A4003" t="inlineStr">
        <is>
          <t>PF103994</t>
        </is>
      </c>
      <c r="B4003" s="68" t="n">
        <v>46136</v>
      </c>
      <c r="C4003" s="69" t="n">
        <v>2026</v>
      </c>
      <c r="D4003" t="inlineStr">
        <is>
          <t>Apr</t>
        </is>
      </c>
      <c r="E4003" t="inlineStr">
        <is>
          <t>United States</t>
        </is>
      </c>
      <c r="F4003" t="inlineStr">
        <is>
          <t>USA</t>
        </is>
      </c>
      <c r="G4003" t="inlineStr">
        <is>
          <t>Abrysvo</t>
        </is>
      </c>
      <c r="H4003" t="inlineStr">
        <is>
          <t>Government / tender</t>
        </is>
      </c>
      <c r="I4003" t="inlineStr">
        <is>
          <t>Public payer</t>
        </is>
      </c>
      <c r="J4003" t="inlineStr">
        <is>
          <t>Sophie Müller</t>
        </is>
      </c>
      <c r="K4003" s="70" t="n">
        <v>2743</v>
      </c>
      <c r="L4003" s="71" t="n">
        <v>555.24</v>
      </c>
      <c r="M4003" s="71" t="n">
        <v>1523023.32</v>
      </c>
      <c r="N4003" s="71" t="n">
        <v>380755.83</v>
      </c>
      <c r="O4003" s="71" t="n">
        <v>1142267.49</v>
      </c>
      <c r="P4003" s="71" t="n">
        <v>228654.84</v>
      </c>
      <c r="Q4003" s="71" t="n">
        <v>913612.65</v>
      </c>
      <c r="R4003" t="inlineStr">
        <is>
          <t>Vaccines</t>
        </is>
      </c>
      <c r="S4003" s="70" t="n">
        <v>2297</v>
      </c>
      <c r="T4003" s="71" t="n">
        <v>258903.96</v>
      </c>
      <c r="U4003" t="inlineStr">
        <is>
          <t>Low</t>
        </is>
      </c>
      <c r="V4003">
        <f>IF(AND(OR(Dashboard!$C$6="All",E4003=Dashboard!$C$6),OR(Dashboard!$F$6="All",G4003=Dashboard!$F$6),OR(Dashboard!$I$6="All",H4003=Dashboard!$I$6)),1,0)</f>
        <v/>
      </c>
    </row>
    <row r="4004">
      <c r="A4004" t="inlineStr">
        <is>
          <t>PF103995</t>
        </is>
      </c>
      <c r="B4004" s="68" t="n">
        <v>46136</v>
      </c>
      <c r="C4004" s="69" t="n">
        <v>2026</v>
      </c>
      <c r="D4004" t="inlineStr">
        <is>
          <t>Apr</t>
        </is>
      </c>
      <c r="E4004" t="inlineStr">
        <is>
          <t>United States</t>
        </is>
      </c>
      <c r="F4004" t="inlineStr">
        <is>
          <t>USA</t>
        </is>
      </c>
      <c r="G4004" t="inlineStr">
        <is>
          <t>Eliquis</t>
        </is>
      </c>
      <c r="H4004" t="inlineStr">
        <is>
          <t>Retail pharmacy</t>
        </is>
      </c>
      <c r="I4004" t="inlineStr">
        <is>
          <t>Self-pay</t>
        </is>
      </c>
      <c r="J4004" t="inlineStr">
        <is>
          <t>Priya Nair</t>
        </is>
      </c>
      <c r="K4004" s="70" t="n">
        <v>2048</v>
      </c>
      <c r="L4004" s="71" t="n">
        <v>749.8</v>
      </c>
      <c r="M4004" s="71" t="n">
        <v>1535590.4</v>
      </c>
      <c r="N4004" s="71" t="n">
        <v>383897.6</v>
      </c>
      <c r="O4004" s="71" t="n">
        <v>1151692.8</v>
      </c>
      <c r="P4004" s="71" t="n">
        <v>149885.24</v>
      </c>
      <c r="Q4004" s="71" t="n">
        <v>1001807.56</v>
      </c>
      <c r="R4004" t="inlineStr">
        <is>
          <t>Cardiology</t>
        </is>
      </c>
      <c r="S4004" s="70" t="n">
        <v>1567</v>
      </c>
      <c r="T4004" s="71" t="n">
        <v>251742.35</v>
      </c>
      <c r="U4004" t="inlineStr">
        <is>
          <t>High</t>
        </is>
      </c>
      <c r="V4004">
        <f>IF(AND(OR(Dashboard!$C$6="All",E4004=Dashboard!$C$6),OR(Dashboard!$F$6="All",G4004=Dashboard!$F$6),OR(Dashboard!$I$6="All",H4004=Dashboard!$I$6)),1,0)</f>
        <v/>
      </c>
    </row>
    <row r="4005">
      <c r="A4005" t="inlineStr">
        <is>
          <t>PF103996</t>
        </is>
      </c>
      <c r="B4005" s="68" t="n">
        <v>46136</v>
      </c>
      <c r="C4005" s="69" t="n">
        <v>2026</v>
      </c>
      <c r="D4005" t="inlineStr">
        <is>
          <t>Apr</t>
        </is>
      </c>
      <c r="E4005" t="inlineStr">
        <is>
          <t>United States</t>
        </is>
      </c>
      <c r="F4005" t="inlineStr">
        <is>
          <t>USA</t>
        </is>
      </c>
      <c r="G4005" t="inlineStr">
        <is>
          <t>Prevnar 20</t>
        </is>
      </c>
      <c r="H4005" t="inlineStr">
        <is>
          <t>Retail pharmacy</t>
        </is>
      </c>
      <c r="I4005" t="inlineStr">
        <is>
          <t>Public payer</t>
        </is>
      </c>
      <c r="J4005" t="inlineStr">
        <is>
          <t>Shraddha Kulkarni</t>
        </is>
      </c>
      <c r="K4005" s="70" t="n">
        <v>2359</v>
      </c>
      <c r="L4005" s="71" t="n">
        <v>400.11</v>
      </c>
      <c r="M4005" s="71" t="n">
        <v>943859.49</v>
      </c>
      <c r="N4005" s="71" t="n">
        <v>188771.9</v>
      </c>
      <c r="O4005" s="71" t="n">
        <v>755087.59</v>
      </c>
      <c r="P4005" s="71" t="n">
        <v>158461.56</v>
      </c>
      <c r="Q4005" s="71" t="n">
        <v>596626.03</v>
      </c>
      <c r="R4005" t="inlineStr">
        <is>
          <t>Vaccines</t>
        </is>
      </c>
      <c r="S4005" s="70" t="n">
        <v>2120</v>
      </c>
      <c r="T4005" s="71" t="n">
        <v>178546.61</v>
      </c>
      <c r="U4005" t="inlineStr">
        <is>
          <t>Low</t>
        </is>
      </c>
      <c r="V4005">
        <f>IF(AND(OR(Dashboard!$C$6="All",E4005=Dashboard!$C$6),OR(Dashboard!$F$6="All",G4005=Dashboard!$F$6),OR(Dashboard!$I$6="All",H4005=Dashboard!$I$6)),1,0)</f>
        <v/>
      </c>
    </row>
    <row r="4006">
      <c r="A4006" t="inlineStr">
        <is>
          <t>PF103997</t>
        </is>
      </c>
      <c r="B4006" s="68" t="n">
        <v>46136</v>
      </c>
      <c r="C4006" s="69" t="n">
        <v>2026</v>
      </c>
      <c r="D4006" t="inlineStr">
        <is>
          <t>Apr</t>
        </is>
      </c>
      <c r="E4006" t="inlineStr">
        <is>
          <t>United States</t>
        </is>
      </c>
      <c r="F4006" t="inlineStr">
        <is>
          <t>USA</t>
        </is>
      </c>
      <c r="G4006" t="inlineStr">
        <is>
          <t>Prevnar 20</t>
        </is>
      </c>
      <c r="H4006" t="inlineStr">
        <is>
          <t>Government / tender</t>
        </is>
      </c>
      <c r="I4006" t="inlineStr">
        <is>
          <t>Private insurer</t>
        </is>
      </c>
      <c r="J4006" t="inlineStr">
        <is>
          <t>Sophie Müller</t>
        </is>
      </c>
      <c r="K4006" s="70" t="n">
        <v>2664</v>
      </c>
      <c r="L4006" s="71" t="n">
        <v>352.47</v>
      </c>
      <c r="M4006" s="71" t="n">
        <v>938980.08</v>
      </c>
      <c r="N4006" s="71" t="n">
        <v>187796.02</v>
      </c>
      <c r="O4006" s="71" t="n">
        <v>751184.0600000001</v>
      </c>
      <c r="P4006" s="71" t="n">
        <v>185403.71</v>
      </c>
      <c r="Q4006" s="71" t="n">
        <v>565780.35</v>
      </c>
      <c r="R4006" t="inlineStr">
        <is>
          <t>Vaccines</t>
        </is>
      </c>
      <c r="S4006" s="70" t="n">
        <v>1673</v>
      </c>
      <c r="T4006" s="71" t="n">
        <v>130775.85</v>
      </c>
      <c r="U4006" t="inlineStr">
        <is>
          <t>Low</t>
        </is>
      </c>
      <c r="V4006">
        <f>IF(AND(OR(Dashboard!$C$6="All",E4006=Dashboard!$C$6),OR(Dashboard!$F$6="All",G4006=Dashboard!$F$6),OR(Dashboard!$I$6="All",H4006=Dashboard!$I$6)),1,0)</f>
        <v/>
      </c>
    </row>
    <row r="4007">
      <c r="A4007" t="inlineStr">
        <is>
          <t>PF103998</t>
        </is>
      </c>
      <c r="B4007" s="68" t="n">
        <v>46136</v>
      </c>
      <c r="C4007" s="69" t="n">
        <v>2026</v>
      </c>
      <c r="D4007" t="inlineStr">
        <is>
          <t>Apr</t>
        </is>
      </c>
      <c r="E4007" t="inlineStr">
        <is>
          <t>Europe</t>
        </is>
      </c>
      <c r="F4007" t="inlineStr">
        <is>
          <t>Germany</t>
        </is>
      </c>
      <c r="G4007" t="inlineStr">
        <is>
          <t>Abrysvo</t>
        </is>
      </c>
      <c r="H4007" t="inlineStr">
        <is>
          <t>Retail pharmacy</t>
        </is>
      </c>
      <c r="I4007" t="inlineStr">
        <is>
          <t>Private insurer</t>
        </is>
      </c>
      <c r="J4007" t="inlineStr">
        <is>
          <t>Lucas Martin</t>
        </is>
      </c>
      <c r="K4007" s="70" t="n">
        <v>2773</v>
      </c>
      <c r="L4007" s="71" t="n">
        <v>320.43</v>
      </c>
      <c r="M4007" s="71" t="n">
        <v>888552.39</v>
      </c>
      <c r="N4007" s="71" t="n">
        <v>222138.1</v>
      </c>
      <c r="O4007" s="71" t="n">
        <v>666414.29</v>
      </c>
      <c r="P4007" s="71" t="n">
        <v>236576.03</v>
      </c>
      <c r="Q4007" s="71" t="n">
        <v>429838.26</v>
      </c>
      <c r="R4007" t="inlineStr">
        <is>
          <t>Vaccines</t>
        </is>
      </c>
      <c r="S4007" s="70" t="n">
        <v>2064</v>
      </c>
      <c r="T4007" s="71" t="n">
        <v>155672.47</v>
      </c>
      <c r="U4007" t="inlineStr">
        <is>
          <t>Low</t>
        </is>
      </c>
      <c r="V4007">
        <f>IF(AND(OR(Dashboard!$C$6="All",E4007=Dashboard!$C$6),OR(Dashboard!$F$6="All",G4007=Dashboard!$F$6),OR(Dashboard!$I$6="All",H4007=Dashboard!$I$6)),1,0)</f>
        <v/>
      </c>
    </row>
    <row r="4008">
      <c r="A4008" t="inlineStr">
        <is>
          <t>PF103999</t>
        </is>
      </c>
      <c r="B4008" s="68" t="n">
        <v>46137</v>
      </c>
      <c r="C4008" s="69" t="n">
        <v>2026</v>
      </c>
      <c r="D4008" t="inlineStr">
        <is>
          <t>Apr</t>
        </is>
      </c>
      <c r="E4008" t="inlineStr">
        <is>
          <t>Emerging markets</t>
        </is>
      </c>
      <c r="F4008" t="inlineStr">
        <is>
          <t>Mexico</t>
        </is>
      </c>
      <c r="G4008" t="inlineStr">
        <is>
          <t>Comirnaty</t>
        </is>
      </c>
      <c r="H4008" t="inlineStr">
        <is>
          <t>Hospital</t>
        </is>
      </c>
      <c r="I4008" t="inlineStr">
        <is>
          <t>Public payer</t>
        </is>
      </c>
      <c r="J4008" t="inlineStr">
        <is>
          <t>Lucas Martin</t>
        </is>
      </c>
      <c r="K4008" s="70" t="n">
        <v>2200</v>
      </c>
      <c r="L4008" s="71" t="n">
        <v>82.36</v>
      </c>
      <c r="M4008" s="71" t="n">
        <v>181192</v>
      </c>
      <c r="N4008" s="71" t="n">
        <v>18119.2</v>
      </c>
      <c r="O4008" s="71" t="n">
        <v>163072.8</v>
      </c>
      <c r="P4008" s="71" t="n">
        <v>84269.12</v>
      </c>
      <c r="Q4008" s="71" t="n">
        <v>78803.67999999999</v>
      </c>
      <c r="R4008" t="inlineStr">
        <is>
          <t>Vaccines</t>
        </is>
      </c>
      <c r="S4008" s="70" t="n">
        <v>1919</v>
      </c>
      <c r="T4008" s="71" t="n">
        <v>32911.12</v>
      </c>
      <c r="U4008" t="inlineStr">
        <is>
          <t>Low</t>
        </is>
      </c>
      <c r="V4008">
        <f>IF(AND(OR(Dashboard!$C$6="All",E4008=Dashboard!$C$6),OR(Dashboard!$F$6="All",G4008=Dashboard!$F$6),OR(Dashboard!$I$6="All",H4008=Dashboard!$I$6)),1,0)</f>
        <v/>
      </c>
    </row>
    <row r="4009">
      <c r="A4009" t="inlineStr">
        <is>
          <t>PF104000</t>
        </is>
      </c>
      <c r="B4009" s="68" t="n">
        <v>46137</v>
      </c>
      <c r="C4009" s="69" t="n">
        <v>2026</v>
      </c>
      <c r="D4009" t="inlineStr">
        <is>
          <t>Apr</t>
        </is>
      </c>
      <c r="E4009" t="inlineStr">
        <is>
          <t>United States</t>
        </is>
      </c>
      <c r="F4009" t="inlineStr">
        <is>
          <t>USA</t>
        </is>
      </c>
      <c r="G4009" t="inlineStr">
        <is>
          <t>Comirnaty</t>
        </is>
      </c>
      <c r="H4009" t="inlineStr">
        <is>
          <t>Government / tender</t>
        </is>
      </c>
      <c r="I4009" t="inlineStr">
        <is>
          <t>Private insurer</t>
        </is>
      </c>
      <c r="J4009" t="inlineStr">
        <is>
          <t>Amir Khan</t>
        </is>
      </c>
      <c r="K4009" s="70" t="n">
        <v>1221</v>
      </c>
      <c r="L4009" s="71" t="n">
        <v>133.43</v>
      </c>
      <c r="M4009" s="71" t="n">
        <v>162918.03</v>
      </c>
      <c r="N4009" s="71" t="n">
        <v>48875.41</v>
      </c>
      <c r="O4009" s="71" t="n">
        <v>114042.62</v>
      </c>
      <c r="P4009" s="71" t="n">
        <v>48829.71</v>
      </c>
      <c r="Q4009" s="71" t="n">
        <v>65212.91</v>
      </c>
      <c r="R4009" t="inlineStr">
        <is>
          <t>Vaccines</t>
        </is>
      </c>
      <c r="S4009" s="70" t="n">
        <v>875</v>
      </c>
      <c r="T4009" s="71" t="n">
        <v>29436.1</v>
      </c>
      <c r="U4009" t="inlineStr">
        <is>
          <t>Low</t>
        </is>
      </c>
      <c r="V4009">
        <f>IF(AND(OR(Dashboard!$C$6="All",E4009=Dashboard!$C$6),OR(Dashboard!$F$6="All",G4009=Dashboard!$F$6),OR(Dashboard!$I$6="All",H4009=Dashboard!$I$6)),1,0)</f>
        <v/>
      </c>
    </row>
    <row r="4010">
      <c r="A4010" t="inlineStr">
        <is>
          <t>PF104001</t>
        </is>
      </c>
      <c r="B4010" s="68" t="n">
        <v>46137</v>
      </c>
      <c r="C4010" s="69" t="n">
        <v>2026</v>
      </c>
      <c r="D4010" t="inlineStr">
        <is>
          <t>Apr</t>
        </is>
      </c>
      <c r="E4010" t="inlineStr">
        <is>
          <t>United States</t>
        </is>
      </c>
      <c r="F4010" t="inlineStr">
        <is>
          <t>USA</t>
        </is>
      </c>
      <c r="G4010" t="inlineStr">
        <is>
          <t>Xeljanz</t>
        </is>
      </c>
      <c r="H4010" t="inlineStr">
        <is>
          <t>Retail pharmacy</t>
        </is>
      </c>
      <c r="I4010" t="inlineStr">
        <is>
          <t>Public payer</t>
        </is>
      </c>
      <c r="J4010" t="inlineStr">
        <is>
          <t>Yuki Sato</t>
        </is>
      </c>
      <c r="K4010" s="70" t="n">
        <v>2701</v>
      </c>
      <c r="L4010" s="71" t="n">
        <v>2085.87</v>
      </c>
      <c r="M4010" s="71" t="n">
        <v>5633934.87</v>
      </c>
      <c r="N4010" s="71" t="n">
        <v>1126786.97</v>
      </c>
      <c r="O4010" s="71" t="n">
        <v>4507147.9</v>
      </c>
      <c r="P4010" s="71" t="n">
        <v>694293.09</v>
      </c>
      <c r="Q4010" s="71" t="n">
        <v>3812854.81</v>
      </c>
      <c r="R4010" t="inlineStr">
        <is>
          <t>Inflammation</t>
        </is>
      </c>
      <c r="S4010" s="70" t="n">
        <v>2369</v>
      </c>
      <c r="T4010" s="71" t="n">
        <v>795547.9300000001</v>
      </c>
      <c r="U4010" t="inlineStr">
        <is>
          <t>High</t>
        </is>
      </c>
      <c r="V4010">
        <f>IF(AND(OR(Dashboard!$C$6="All",E4010=Dashboard!$C$6),OR(Dashboard!$F$6="All",G4010=Dashboard!$F$6),OR(Dashboard!$I$6="All",H4010=Dashboard!$I$6)),1,0)</f>
        <v/>
      </c>
    </row>
    <row r="4011">
      <c r="A4011" t="inlineStr">
        <is>
          <t>PF104002</t>
        </is>
      </c>
      <c r="B4011" s="68" t="n">
        <v>46137</v>
      </c>
      <c r="C4011" s="69" t="n">
        <v>2026</v>
      </c>
      <c r="D4011" t="inlineStr">
        <is>
          <t>Apr</t>
        </is>
      </c>
      <c r="E4011" t="inlineStr">
        <is>
          <t>Emerging markets</t>
        </is>
      </c>
      <c r="F4011" t="inlineStr">
        <is>
          <t>China</t>
        </is>
      </c>
      <c r="G4011" t="inlineStr">
        <is>
          <t>Ibrance</t>
        </is>
      </c>
      <c r="H4011" t="inlineStr">
        <is>
          <t>Retail pharmacy</t>
        </is>
      </c>
      <c r="I4011" t="inlineStr">
        <is>
          <t>Public payer</t>
        </is>
      </c>
      <c r="J4011" t="inlineStr">
        <is>
          <t>Ana Costa</t>
        </is>
      </c>
      <c r="K4011" s="70" t="n">
        <v>2085</v>
      </c>
      <c r="L4011" s="71" t="n">
        <v>2903.8</v>
      </c>
      <c r="M4011" s="71" t="n">
        <v>6054423</v>
      </c>
      <c r="N4011" s="71" t="n">
        <v>302721.15</v>
      </c>
      <c r="O4011" s="71" t="n">
        <v>5751701.85</v>
      </c>
      <c r="P4011" s="71" t="n">
        <v>937008.2</v>
      </c>
      <c r="Q4011" s="71" t="n">
        <v>4814693.65</v>
      </c>
      <c r="R4011" t="inlineStr">
        <is>
          <t>Oncology</t>
        </is>
      </c>
      <c r="S4011" s="70" t="n">
        <v>1481</v>
      </c>
      <c r="T4011" s="71" t="n">
        <v>845123.98</v>
      </c>
      <c r="U4011" t="inlineStr">
        <is>
          <t>High</t>
        </is>
      </c>
      <c r="V4011">
        <f>IF(AND(OR(Dashboard!$C$6="All",E4011=Dashboard!$C$6),OR(Dashboard!$F$6="All",G4011=Dashboard!$F$6),OR(Dashboard!$I$6="All",H4011=Dashboard!$I$6)),1,0)</f>
        <v/>
      </c>
    </row>
    <row r="4012">
      <c r="A4012" t="inlineStr">
        <is>
          <t>PF104003</t>
        </is>
      </c>
      <c r="B4012" s="68" t="n">
        <v>46137</v>
      </c>
      <c r="C4012" s="69" t="n">
        <v>2026</v>
      </c>
      <c r="D4012" t="inlineStr">
        <is>
          <t>Apr</t>
        </is>
      </c>
      <c r="E4012" t="inlineStr">
        <is>
          <t>International developed</t>
        </is>
      </c>
      <c r="F4012" t="inlineStr">
        <is>
          <t>Australia</t>
        </is>
      </c>
      <c r="G4012" t="inlineStr">
        <is>
          <t>Abrysvo</t>
        </is>
      </c>
      <c r="H4012" t="inlineStr">
        <is>
          <t>Government / tender</t>
        </is>
      </c>
      <c r="I4012" t="inlineStr">
        <is>
          <t>Public payer</t>
        </is>
      </c>
      <c r="J4012" t="inlineStr">
        <is>
          <t>Amir Khan</t>
        </is>
      </c>
      <c r="K4012" s="70" t="n">
        <v>380</v>
      </c>
      <c r="L4012" s="71" t="n">
        <v>321.96</v>
      </c>
      <c r="M4012" s="71" t="n">
        <v>122344.8</v>
      </c>
      <c r="N4012" s="71" t="n">
        <v>6117.24</v>
      </c>
      <c r="O4012" s="71" t="n">
        <v>116227.56</v>
      </c>
      <c r="P4012" s="71" t="n">
        <v>32513.85</v>
      </c>
      <c r="Q4012" s="71" t="n">
        <v>83713.71000000001</v>
      </c>
      <c r="R4012" t="inlineStr">
        <is>
          <t>Vaccines</t>
        </is>
      </c>
      <c r="S4012" s="70" t="n">
        <v>266</v>
      </c>
      <c r="T4012" s="71" t="n">
        <v>19957.78</v>
      </c>
      <c r="U4012" t="inlineStr">
        <is>
          <t>Low</t>
        </is>
      </c>
      <c r="V4012">
        <f>IF(AND(OR(Dashboard!$C$6="All",E4012=Dashboard!$C$6),OR(Dashboard!$F$6="All",G4012=Dashboard!$F$6),OR(Dashboard!$I$6="All",H4012=Dashboard!$I$6)),1,0)</f>
        <v/>
      </c>
    </row>
    <row r="4013">
      <c r="A4013" t="inlineStr">
        <is>
          <t>PF104004</t>
        </is>
      </c>
      <c r="B4013" s="68" t="n">
        <v>46137</v>
      </c>
      <c r="C4013" s="69" t="n">
        <v>2026</v>
      </c>
      <c r="D4013" t="inlineStr">
        <is>
          <t>Apr</t>
        </is>
      </c>
      <c r="E4013" t="inlineStr">
        <is>
          <t>United States</t>
        </is>
      </c>
      <c r="F4013" t="inlineStr">
        <is>
          <t>USA</t>
        </is>
      </c>
      <c r="G4013" t="inlineStr">
        <is>
          <t>Ibrance</t>
        </is>
      </c>
      <c r="H4013" t="inlineStr">
        <is>
          <t>Retail pharmacy</t>
        </is>
      </c>
      <c r="I4013" t="inlineStr">
        <is>
          <t>Private insurer</t>
        </is>
      </c>
      <c r="J4013" t="inlineStr">
        <is>
          <t>Arjun Mehta</t>
        </is>
      </c>
      <c r="K4013" s="70" t="n">
        <v>756</v>
      </c>
      <c r="L4013" s="71" t="n">
        <v>4678.13</v>
      </c>
      <c r="M4013" s="71" t="n">
        <v>3536666.28</v>
      </c>
      <c r="N4013" s="71" t="n">
        <v>1060999.88</v>
      </c>
      <c r="O4013" s="71" t="n">
        <v>2475666.4</v>
      </c>
      <c r="P4013" s="71" t="n">
        <v>338979.42</v>
      </c>
      <c r="Q4013" s="71" t="n">
        <v>2136686.98</v>
      </c>
      <c r="R4013" t="inlineStr">
        <is>
          <t>Oncology</t>
        </is>
      </c>
      <c r="S4013" s="70" t="n">
        <v>524</v>
      </c>
      <c r="T4013" s="71" t="n">
        <v>630027.16</v>
      </c>
      <c r="U4013" t="inlineStr">
        <is>
          <t>High</t>
        </is>
      </c>
      <c r="V4013">
        <f>IF(AND(OR(Dashboard!$C$6="All",E4013=Dashboard!$C$6),OR(Dashboard!$F$6="All",G4013=Dashboard!$F$6),OR(Dashboard!$I$6="All",H4013=Dashboard!$I$6)),1,0)</f>
        <v/>
      </c>
    </row>
    <row r="4014">
      <c r="A4014" t="inlineStr">
        <is>
          <t>PF104005</t>
        </is>
      </c>
      <c r="B4014" s="68" t="n">
        <v>46137</v>
      </c>
      <c r="C4014" s="69" t="n">
        <v>2026</v>
      </c>
      <c r="D4014" t="inlineStr">
        <is>
          <t>Apr</t>
        </is>
      </c>
      <c r="E4014" t="inlineStr">
        <is>
          <t>Europe</t>
        </is>
      </c>
      <c r="F4014" t="inlineStr">
        <is>
          <t>Germany</t>
        </is>
      </c>
      <c r="G4014" t="inlineStr">
        <is>
          <t>Prevnar 20</t>
        </is>
      </c>
      <c r="H4014" t="inlineStr">
        <is>
          <t>Government / tender</t>
        </is>
      </c>
      <c r="I4014" t="inlineStr">
        <is>
          <t>Public payer</t>
        </is>
      </c>
      <c r="J4014" t="inlineStr">
        <is>
          <t>Carlos Silva</t>
        </is>
      </c>
      <c r="K4014" s="70" t="n">
        <v>1621</v>
      </c>
      <c r="L4014" s="71" t="n">
        <v>211.82</v>
      </c>
      <c r="M4014" s="71" t="n">
        <v>343360.22</v>
      </c>
      <c r="N4014" s="71" t="n">
        <v>68672.03999999999</v>
      </c>
      <c r="O4014" s="71" t="n">
        <v>274688.18</v>
      </c>
      <c r="P4014" s="71" t="n">
        <v>107490.24</v>
      </c>
      <c r="Q4014" s="71" t="n">
        <v>167197.94</v>
      </c>
      <c r="R4014" t="inlineStr">
        <is>
          <t>Vaccines</t>
        </is>
      </c>
      <c r="S4014" s="70" t="n">
        <v>1081</v>
      </c>
      <c r="T4014" s="71" t="n">
        <v>49304.74</v>
      </c>
      <c r="U4014" t="inlineStr">
        <is>
          <t>Low</t>
        </is>
      </c>
      <c r="V4014">
        <f>IF(AND(OR(Dashboard!$C$6="All",E4014=Dashboard!$C$6),OR(Dashboard!$F$6="All",G4014=Dashboard!$F$6),OR(Dashboard!$I$6="All",H4014=Dashboard!$I$6)),1,0)</f>
        <v/>
      </c>
    </row>
    <row r="4015">
      <c r="A4015" t="inlineStr">
        <is>
          <t>PF104006</t>
        </is>
      </c>
      <c r="B4015" s="68" t="n">
        <v>46137</v>
      </c>
      <c r="C4015" s="69" t="n">
        <v>2026</v>
      </c>
      <c r="D4015" t="inlineStr">
        <is>
          <t>Apr</t>
        </is>
      </c>
      <c r="E4015" t="inlineStr">
        <is>
          <t>United States</t>
        </is>
      </c>
      <c r="F4015" t="inlineStr">
        <is>
          <t>USA</t>
        </is>
      </c>
      <c r="G4015" t="inlineStr">
        <is>
          <t>Comirnaty</t>
        </is>
      </c>
      <c r="H4015" t="inlineStr">
        <is>
          <t>Retail pharmacy</t>
        </is>
      </c>
      <c r="I4015" t="inlineStr">
        <is>
          <t>Public payer</t>
        </is>
      </c>
      <c r="J4015" t="inlineStr">
        <is>
          <t>Omar Haddad</t>
        </is>
      </c>
      <c r="K4015" s="70" t="n">
        <v>1415</v>
      </c>
      <c r="L4015" s="71" t="n">
        <v>154.23</v>
      </c>
      <c r="M4015" s="71" t="n">
        <v>218235.45</v>
      </c>
      <c r="N4015" s="71" t="n">
        <v>54558.86</v>
      </c>
      <c r="O4015" s="71" t="n">
        <v>163676.59</v>
      </c>
      <c r="P4015" s="71" t="n">
        <v>55853.92</v>
      </c>
      <c r="Q4015" s="71" t="n">
        <v>107822.67</v>
      </c>
      <c r="R4015" t="inlineStr">
        <is>
          <t>Vaccines</t>
        </is>
      </c>
      <c r="S4015" s="70" t="n">
        <v>968</v>
      </c>
      <c r="T4015" s="71" t="n">
        <v>32974.72</v>
      </c>
      <c r="U4015" t="inlineStr">
        <is>
          <t>Low</t>
        </is>
      </c>
      <c r="V4015">
        <f>IF(AND(OR(Dashboard!$C$6="All",E4015=Dashboard!$C$6),OR(Dashboard!$F$6="All",G4015=Dashboard!$F$6),OR(Dashboard!$I$6="All",H4015=Dashboard!$I$6)),1,0)</f>
        <v/>
      </c>
    </row>
    <row r="4016">
      <c r="A4016" t="inlineStr">
        <is>
          <t>PF104007</t>
        </is>
      </c>
      <c r="B4016" s="68" t="n">
        <v>46137</v>
      </c>
      <c r="C4016" s="69" t="n">
        <v>2026</v>
      </c>
      <c r="D4016" t="inlineStr">
        <is>
          <t>Apr</t>
        </is>
      </c>
      <c r="E4016" t="inlineStr">
        <is>
          <t>Emerging markets</t>
        </is>
      </c>
      <c r="F4016" t="inlineStr">
        <is>
          <t>India</t>
        </is>
      </c>
      <c r="G4016" t="inlineStr">
        <is>
          <t>Prevnar 20</t>
        </is>
      </c>
      <c r="H4016" t="inlineStr">
        <is>
          <t>Retail pharmacy</t>
        </is>
      </c>
      <c r="I4016" t="inlineStr">
        <is>
          <t>Public payer</t>
        </is>
      </c>
      <c r="J4016" t="inlineStr">
        <is>
          <t>Liam O'Brien</t>
        </is>
      </c>
      <c r="K4016" s="70" t="n">
        <v>2284</v>
      </c>
      <c r="L4016" s="71" t="n">
        <v>230.3</v>
      </c>
      <c r="M4016" s="71" t="n">
        <v>526005.2</v>
      </c>
      <c r="N4016" s="71" t="n">
        <v>131501.3</v>
      </c>
      <c r="O4016" s="71" t="n">
        <v>394503.9</v>
      </c>
      <c r="P4016" s="71" t="n">
        <v>151700.12</v>
      </c>
      <c r="Q4016" s="71" t="n">
        <v>242803.78</v>
      </c>
      <c r="R4016" t="inlineStr">
        <is>
          <t>Vaccines</t>
        </is>
      </c>
      <c r="S4016" s="70" t="n">
        <v>2127</v>
      </c>
      <c r="T4016" s="71" t="n">
        <v>67734.08</v>
      </c>
      <c r="U4016" t="inlineStr">
        <is>
          <t>Low</t>
        </is>
      </c>
      <c r="V4016">
        <f>IF(AND(OR(Dashboard!$C$6="All",E4016=Dashboard!$C$6),OR(Dashboard!$F$6="All",G4016=Dashboard!$F$6),OR(Dashboard!$I$6="All",H4016=Dashboard!$I$6)),1,0)</f>
        <v/>
      </c>
    </row>
    <row r="4017">
      <c r="A4017" t="inlineStr">
        <is>
          <t>PF104008</t>
        </is>
      </c>
      <c r="B4017" s="68" t="n">
        <v>46137</v>
      </c>
      <c r="C4017" s="69" t="n">
        <v>2026</v>
      </c>
      <c r="D4017" t="inlineStr">
        <is>
          <t>Apr</t>
        </is>
      </c>
      <c r="E4017" t="inlineStr">
        <is>
          <t>Europe</t>
        </is>
      </c>
      <c r="F4017" t="inlineStr">
        <is>
          <t>Italy</t>
        </is>
      </c>
      <c r="G4017" t="inlineStr">
        <is>
          <t>Eliquis</t>
        </is>
      </c>
      <c r="H4017" t="inlineStr">
        <is>
          <t>Retail pharmacy</t>
        </is>
      </c>
      <c r="I4017" t="inlineStr">
        <is>
          <t>Private insurer</t>
        </is>
      </c>
      <c r="J4017" t="inlineStr">
        <is>
          <t>Shraddha Kulkarni</t>
        </is>
      </c>
      <c r="K4017" s="70" t="n">
        <v>2698</v>
      </c>
      <c r="L4017" s="71" t="n">
        <v>421.37</v>
      </c>
      <c r="M4017" s="71" t="n">
        <v>1136856.26</v>
      </c>
      <c r="N4017" s="71" t="n">
        <v>170528.44</v>
      </c>
      <c r="O4017" s="71" t="n">
        <v>966327.8199999999</v>
      </c>
      <c r="P4017" s="71" t="n">
        <v>199478.92</v>
      </c>
      <c r="Q4017" s="71" t="n">
        <v>766848.9</v>
      </c>
      <c r="R4017" t="inlineStr">
        <is>
          <t>Cardiology</t>
        </is>
      </c>
      <c r="S4017" s="70" t="n">
        <v>1803</v>
      </c>
      <c r="T4017" s="71" t="n">
        <v>147122.24</v>
      </c>
      <c r="U4017" t="inlineStr">
        <is>
          <t>High</t>
        </is>
      </c>
      <c r="V4017">
        <f>IF(AND(OR(Dashboard!$C$6="All",E4017=Dashboard!$C$6),OR(Dashboard!$F$6="All",G4017=Dashboard!$F$6),OR(Dashboard!$I$6="All",H4017=Dashboard!$I$6)),1,0)</f>
        <v/>
      </c>
    </row>
    <row r="4018">
      <c r="A4018" t="inlineStr">
        <is>
          <t>PF104009</t>
        </is>
      </c>
      <c r="B4018" s="68" t="n">
        <v>46138</v>
      </c>
      <c r="C4018" s="69" t="n">
        <v>2026</v>
      </c>
      <c r="D4018" t="inlineStr">
        <is>
          <t>Apr</t>
        </is>
      </c>
      <c r="E4018" t="inlineStr">
        <is>
          <t>United States</t>
        </is>
      </c>
      <c r="F4018" t="inlineStr">
        <is>
          <t>USA</t>
        </is>
      </c>
      <c r="G4018" t="inlineStr">
        <is>
          <t>Eliquis</t>
        </is>
      </c>
      <c r="H4018" t="inlineStr">
        <is>
          <t>Hospital</t>
        </is>
      </c>
      <c r="I4018" t="inlineStr">
        <is>
          <t>Private insurer</t>
        </is>
      </c>
      <c r="J4018" t="inlineStr">
        <is>
          <t>Liam O'Brien</t>
        </is>
      </c>
      <c r="K4018" s="70" t="n">
        <v>718</v>
      </c>
      <c r="L4018" s="71" t="n">
        <v>712.4299999999999</v>
      </c>
      <c r="M4018" s="71" t="n">
        <v>511524.74</v>
      </c>
      <c r="N4018" s="71" t="n">
        <v>127881.18</v>
      </c>
      <c r="O4018" s="71" t="n">
        <v>383643.56</v>
      </c>
      <c r="P4018" s="71" t="n">
        <v>52753.35</v>
      </c>
      <c r="Q4018" s="71" t="n">
        <v>330890.21</v>
      </c>
      <c r="R4018" t="inlineStr">
        <is>
          <t>Cardiology</t>
        </is>
      </c>
      <c r="S4018" s="70" t="n">
        <v>583</v>
      </c>
      <c r="T4018" s="71" t="n">
        <v>90511.7</v>
      </c>
      <c r="U4018" t="inlineStr">
        <is>
          <t>High</t>
        </is>
      </c>
      <c r="V4018">
        <f>IF(AND(OR(Dashboard!$C$6="All",E4018=Dashboard!$C$6),OR(Dashboard!$F$6="All",G4018=Dashboard!$F$6),OR(Dashboard!$I$6="All",H4018=Dashboard!$I$6)),1,0)</f>
        <v/>
      </c>
    </row>
    <row r="4019">
      <c r="A4019" t="inlineStr">
        <is>
          <t>PF104010</t>
        </is>
      </c>
      <c r="B4019" s="68" t="n">
        <v>46138</v>
      </c>
      <c r="C4019" s="69" t="n">
        <v>2026</v>
      </c>
      <c r="D4019" t="inlineStr">
        <is>
          <t>Apr</t>
        </is>
      </c>
      <c r="E4019" t="inlineStr">
        <is>
          <t>Europe</t>
        </is>
      </c>
      <c r="F4019" t="inlineStr">
        <is>
          <t>Germany</t>
        </is>
      </c>
      <c r="G4019" t="inlineStr">
        <is>
          <t>Eliquis</t>
        </is>
      </c>
      <c r="H4019" t="inlineStr">
        <is>
          <t>Government / tender</t>
        </is>
      </c>
      <c r="I4019" t="inlineStr">
        <is>
          <t>Public payer</t>
        </is>
      </c>
      <c r="J4019" t="inlineStr">
        <is>
          <t>Wei Chen</t>
        </is>
      </c>
      <c r="K4019" s="70" t="n">
        <v>622</v>
      </c>
      <c r="L4019" s="71" t="n">
        <v>422.6</v>
      </c>
      <c r="M4019" s="71" t="n">
        <v>262857.2</v>
      </c>
      <c r="N4019" s="71" t="n">
        <v>26285.72</v>
      </c>
      <c r="O4019" s="71" t="n">
        <v>236571.48</v>
      </c>
      <c r="P4019" s="71" t="n">
        <v>45289.32</v>
      </c>
      <c r="Q4019" s="71" t="n">
        <v>191282.16</v>
      </c>
      <c r="R4019" t="inlineStr">
        <is>
          <t>Cardiology</t>
        </is>
      </c>
      <c r="S4019" s="70" t="n">
        <v>429</v>
      </c>
      <c r="T4019" s="71" t="n">
        <v>36938.24</v>
      </c>
      <c r="U4019" t="inlineStr">
        <is>
          <t>High</t>
        </is>
      </c>
      <c r="V4019">
        <f>IF(AND(OR(Dashboard!$C$6="All",E4019=Dashboard!$C$6),OR(Dashboard!$F$6="All",G4019=Dashboard!$F$6),OR(Dashboard!$I$6="All",H4019=Dashboard!$I$6)),1,0)</f>
        <v/>
      </c>
    </row>
    <row r="4020">
      <c r="A4020" t="inlineStr">
        <is>
          <t>PF104011</t>
        </is>
      </c>
      <c r="B4020" s="68" t="n">
        <v>46138</v>
      </c>
      <c r="C4020" s="69" t="n">
        <v>2026</v>
      </c>
      <c r="D4020" t="inlineStr">
        <is>
          <t>Apr</t>
        </is>
      </c>
      <c r="E4020" t="inlineStr">
        <is>
          <t>United States</t>
        </is>
      </c>
      <c r="F4020" t="inlineStr">
        <is>
          <t>USA</t>
        </is>
      </c>
      <c r="G4020" t="inlineStr">
        <is>
          <t>Eliquis</t>
        </is>
      </c>
      <c r="H4020" t="inlineStr">
        <is>
          <t>Hospital</t>
        </is>
      </c>
      <c r="I4020" t="inlineStr">
        <is>
          <t>Public payer</t>
        </is>
      </c>
      <c r="J4020" t="inlineStr">
        <is>
          <t>Omar Haddad</t>
        </is>
      </c>
      <c r="K4020" s="70" t="n">
        <v>2440</v>
      </c>
      <c r="L4020" s="71" t="n">
        <v>742.91</v>
      </c>
      <c r="M4020" s="71" t="n">
        <v>1812700.4</v>
      </c>
      <c r="N4020" s="71" t="n">
        <v>271905.06</v>
      </c>
      <c r="O4020" s="71" t="n">
        <v>1540795.34</v>
      </c>
      <c r="P4020" s="71" t="n">
        <v>179923.53</v>
      </c>
      <c r="Q4020" s="71" t="n">
        <v>1360871.81</v>
      </c>
      <c r="R4020" t="inlineStr">
        <is>
          <t>Cardiology</t>
        </is>
      </c>
      <c r="S4020" s="70" t="n">
        <v>2086</v>
      </c>
      <c r="T4020" s="71" t="n">
        <v>383262.11</v>
      </c>
      <c r="U4020" t="inlineStr">
        <is>
          <t>High</t>
        </is>
      </c>
      <c r="V4020">
        <f>IF(AND(OR(Dashboard!$C$6="All",E4020=Dashboard!$C$6),OR(Dashboard!$F$6="All",G4020=Dashboard!$F$6),OR(Dashboard!$I$6="All",H4020=Dashboard!$I$6)),1,0)</f>
        <v/>
      </c>
    </row>
    <row r="4021">
      <c r="A4021" t="inlineStr">
        <is>
          <t>PF104012</t>
        </is>
      </c>
      <c r="B4021" s="68" t="n">
        <v>46138</v>
      </c>
      <c r="C4021" s="69" t="n">
        <v>2026</v>
      </c>
      <c r="D4021" t="inlineStr">
        <is>
          <t>Apr</t>
        </is>
      </c>
      <c r="E4021" t="inlineStr">
        <is>
          <t>United States</t>
        </is>
      </c>
      <c r="F4021" t="inlineStr">
        <is>
          <t>USA</t>
        </is>
      </c>
      <c r="G4021" t="inlineStr">
        <is>
          <t>Ibrance</t>
        </is>
      </c>
      <c r="H4021" t="inlineStr">
        <is>
          <t>Government / tender</t>
        </is>
      </c>
      <c r="I4021" t="inlineStr">
        <is>
          <t>Private insurer</t>
        </is>
      </c>
      <c r="J4021" t="inlineStr">
        <is>
          <t>Sophie Müller</t>
        </is>
      </c>
      <c r="K4021" s="70" t="n">
        <v>852</v>
      </c>
      <c r="L4021" s="71" t="n">
        <v>4646.28</v>
      </c>
      <c r="M4021" s="71" t="n">
        <v>3958630.56</v>
      </c>
      <c r="N4021" s="71" t="n">
        <v>1385520.7</v>
      </c>
      <c r="O4021" s="71" t="n">
        <v>2573109.86</v>
      </c>
      <c r="P4021" s="71" t="n">
        <v>357831.33</v>
      </c>
      <c r="Q4021" s="71" t="n">
        <v>2215278.53</v>
      </c>
      <c r="R4021" t="inlineStr">
        <is>
          <t>Oncology</t>
        </is>
      </c>
      <c r="S4021" s="70" t="n">
        <v>617</v>
      </c>
      <c r="T4021" s="71" t="n">
        <v>859285.03</v>
      </c>
      <c r="U4021" t="inlineStr">
        <is>
          <t>High</t>
        </is>
      </c>
      <c r="V4021">
        <f>IF(AND(OR(Dashboard!$C$6="All",E4021=Dashboard!$C$6),OR(Dashboard!$F$6="All",G4021=Dashboard!$F$6),OR(Dashboard!$I$6="All",H4021=Dashboard!$I$6)),1,0)</f>
        <v/>
      </c>
    </row>
    <row r="4022">
      <c r="A4022" t="inlineStr">
        <is>
          <t>PF104013</t>
        </is>
      </c>
      <c r="B4022" s="68" t="n">
        <v>46138</v>
      </c>
      <c r="C4022" s="69" t="n">
        <v>2026</v>
      </c>
      <c r="D4022" t="inlineStr">
        <is>
          <t>Apr</t>
        </is>
      </c>
      <c r="E4022" t="inlineStr">
        <is>
          <t>United States</t>
        </is>
      </c>
      <c r="F4022" t="inlineStr">
        <is>
          <t>USA</t>
        </is>
      </c>
      <c r="G4022" t="inlineStr">
        <is>
          <t>Abrysvo</t>
        </is>
      </c>
      <c r="H4022" t="inlineStr">
        <is>
          <t>Hospital</t>
        </is>
      </c>
      <c r="I4022" t="inlineStr">
        <is>
          <t>Public payer</t>
        </is>
      </c>
      <c r="J4022" t="inlineStr">
        <is>
          <t>Amir Khan</t>
        </is>
      </c>
      <c r="K4022" s="70" t="n">
        <v>3038</v>
      </c>
      <c r="L4022" s="71" t="n">
        <v>529.1900000000001</v>
      </c>
      <c r="M4022" s="71" t="n">
        <v>1607679.22</v>
      </c>
      <c r="N4022" s="71" t="n">
        <v>482303.77</v>
      </c>
      <c r="O4022" s="71" t="n">
        <v>1125375.45</v>
      </c>
      <c r="P4022" s="71" t="n">
        <v>259030.76</v>
      </c>
      <c r="Q4022" s="71" t="n">
        <v>866344.6899999999</v>
      </c>
      <c r="R4022" t="inlineStr">
        <is>
          <t>Vaccines</t>
        </is>
      </c>
      <c r="S4022" s="70" t="n">
        <v>2548</v>
      </c>
      <c r="T4022" s="71" t="n">
        <v>212078.16</v>
      </c>
      <c r="U4022" t="inlineStr">
        <is>
          <t>Low</t>
        </is>
      </c>
      <c r="V4022">
        <f>IF(AND(OR(Dashboard!$C$6="All",E4022=Dashboard!$C$6),OR(Dashboard!$F$6="All",G4022=Dashboard!$F$6),OR(Dashboard!$I$6="All",H4022=Dashboard!$I$6)),1,0)</f>
        <v/>
      </c>
    </row>
    <row r="4023">
      <c r="A4023" t="inlineStr">
        <is>
          <t>PF104014</t>
        </is>
      </c>
      <c r="B4023" s="68" t="n">
        <v>46138</v>
      </c>
      <c r="C4023" s="69" t="n">
        <v>2026</v>
      </c>
      <c r="D4023" t="inlineStr">
        <is>
          <t>Apr</t>
        </is>
      </c>
      <c r="E4023" t="inlineStr">
        <is>
          <t>United States</t>
        </is>
      </c>
      <c r="F4023" t="inlineStr">
        <is>
          <t>USA</t>
        </is>
      </c>
      <c r="G4023" t="inlineStr">
        <is>
          <t>Abrysvo</t>
        </is>
      </c>
      <c r="H4023" t="inlineStr">
        <is>
          <t>Hospital</t>
        </is>
      </c>
      <c r="I4023" t="inlineStr">
        <is>
          <t>Private insurer</t>
        </is>
      </c>
      <c r="J4023" t="inlineStr">
        <is>
          <t>Emma Clarke</t>
        </is>
      </c>
      <c r="K4023" s="70" t="n">
        <v>1819</v>
      </c>
      <c r="L4023" s="71" t="n">
        <v>471.25</v>
      </c>
      <c r="M4023" s="71" t="n">
        <v>857203.75</v>
      </c>
      <c r="N4023" s="71" t="n">
        <v>257161.13</v>
      </c>
      <c r="O4023" s="71" t="n">
        <v>600042.62</v>
      </c>
      <c r="P4023" s="71" t="n">
        <v>153124.54</v>
      </c>
      <c r="Q4023" s="71" t="n">
        <v>446918.08</v>
      </c>
      <c r="R4023" t="inlineStr">
        <is>
          <t>Vaccines</t>
        </is>
      </c>
      <c r="S4023" s="70" t="n">
        <v>1294</v>
      </c>
      <c r="T4023" s="71" t="n">
        <v>151146.11</v>
      </c>
      <c r="U4023" t="inlineStr">
        <is>
          <t>Low</t>
        </is>
      </c>
      <c r="V4023">
        <f>IF(AND(OR(Dashboard!$C$6="All",E4023=Dashboard!$C$6),OR(Dashboard!$F$6="All",G4023=Dashboard!$F$6),OR(Dashboard!$I$6="All",H4023=Dashboard!$I$6)),1,0)</f>
        <v/>
      </c>
    </row>
    <row r="4024">
      <c r="A4024" t="inlineStr">
        <is>
          <t>PF104015</t>
        </is>
      </c>
      <c r="B4024" s="68" t="n">
        <v>46138</v>
      </c>
      <c r="C4024" s="69" t="n">
        <v>2026</v>
      </c>
      <c r="D4024" t="inlineStr">
        <is>
          <t>Apr</t>
        </is>
      </c>
      <c r="E4024" t="inlineStr">
        <is>
          <t>United States</t>
        </is>
      </c>
      <c r="F4024" t="inlineStr">
        <is>
          <t>USA</t>
        </is>
      </c>
      <c r="G4024" t="inlineStr">
        <is>
          <t>Vyndaqel</t>
        </is>
      </c>
      <c r="H4024" t="inlineStr">
        <is>
          <t>Hospital</t>
        </is>
      </c>
      <c r="I4024" t="inlineStr">
        <is>
          <t>Private insurer</t>
        </is>
      </c>
      <c r="J4024" t="inlineStr">
        <is>
          <t>Arjun Mehta</t>
        </is>
      </c>
      <c r="K4024" s="70" t="n">
        <v>754</v>
      </c>
      <c r="L4024" s="71" t="n">
        <v>9445.969999999999</v>
      </c>
      <c r="M4024" s="71" t="n">
        <v>7122261.38</v>
      </c>
      <c r="N4024" s="71" t="n">
        <v>1068339.21</v>
      </c>
      <c r="O4024" s="71" t="n">
        <v>6053922.17</v>
      </c>
      <c r="P4024" s="71" t="n">
        <v>460648.81</v>
      </c>
      <c r="Q4024" s="71" t="n">
        <v>5593273.36</v>
      </c>
      <c r="R4024" t="inlineStr">
        <is>
          <t>Rare disease</t>
        </is>
      </c>
      <c r="S4024" s="70" t="n">
        <v>474</v>
      </c>
      <c r="T4024" s="71" t="n">
        <v>779137.9</v>
      </c>
      <c r="U4024" t="inlineStr">
        <is>
          <t>Medium</t>
        </is>
      </c>
      <c r="V4024">
        <f>IF(AND(OR(Dashboard!$C$6="All",E4024=Dashboard!$C$6),OR(Dashboard!$F$6="All",G4024=Dashboard!$F$6),OR(Dashboard!$I$6="All",H4024=Dashboard!$I$6)),1,0)</f>
        <v/>
      </c>
    </row>
    <row r="4025">
      <c r="A4025" t="inlineStr">
        <is>
          <t>PF104016</t>
        </is>
      </c>
      <c r="B4025" s="68" t="n">
        <v>46139</v>
      </c>
      <c r="C4025" s="69" t="n">
        <v>2026</v>
      </c>
      <c r="D4025" t="inlineStr">
        <is>
          <t>Apr</t>
        </is>
      </c>
      <c r="E4025" t="inlineStr">
        <is>
          <t>International developed</t>
        </is>
      </c>
      <c r="F4025" t="inlineStr">
        <is>
          <t>Japan</t>
        </is>
      </c>
      <c r="G4025" t="inlineStr">
        <is>
          <t>Paxlovid</t>
        </is>
      </c>
      <c r="H4025" t="inlineStr">
        <is>
          <t>Retail pharmacy</t>
        </is>
      </c>
      <c r="I4025" t="inlineStr">
        <is>
          <t>Self-pay</t>
        </is>
      </c>
      <c r="J4025" t="inlineStr">
        <is>
          <t>Ravindra Patil</t>
        </is>
      </c>
      <c r="K4025" s="70" t="n">
        <v>1738</v>
      </c>
      <c r="L4025" s="71" t="n">
        <v>856.2</v>
      </c>
      <c r="M4025" s="71" t="n">
        <v>1488075.6</v>
      </c>
      <c r="N4025" s="71" t="n">
        <v>223211.34</v>
      </c>
      <c r="O4025" s="71" t="n">
        <v>1264864.26</v>
      </c>
      <c r="P4025" s="71" t="n">
        <v>459940.95</v>
      </c>
      <c r="Q4025" s="71" t="n">
        <v>804923.3100000001</v>
      </c>
      <c r="R4025" t="inlineStr">
        <is>
          <t>Antiviral</t>
        </is>
      </c>
      <c r="S4025" s="70" t="n">
        <v>1160</v>
      </c>
      <c r="T4025" s="71" t="n">
        <v>350313.99</v>
      </c>
      <c r="U4025" t="inlineStr">
        <is>
          <t>Low</t>
        </is>
      </c>
      <c r="V4025">
        <f>IF(AND(OR(Dashboard!$C$6="All",E4025=Dashboard!$C$6),OR(Dashboard!$F$6="All",G4025=Dashboard!$F$6),OR(Dashboard!$I$6="All",H4025=Dashboard!$I$6)),1,0)</f>
        <v/>
      </c>
    </row>
    <row r="4026">
      <c r="A4026" t="inlineStr">
        <is>
          <t>PF104017</t>
        </is>
      </c>
      <c r="B4026" s="68" t="n">
        <v>46139</v>
      </c>
      <c r="C4026" s="69" t="n">
        <v>2026</v>
      </c>
      <c r="D4026" t="inlineStr">
        <is>
          <t>Apr</t>
        </is>
      </c>
      <c r="E4026" t="inlineStr">
        <is>
          <t>United States</t>
        </is>
      </c>
      <c r="F4026" t="inlineStr">
        <is>
          <t>USA</t>
        </is>
      </c>
      <c r="G4026" t="inlineStr">
        <is>
          <t>Abrysvo</t>
        </is>
      </c>
      <c r="H4026" t="inlineStr">
        <is>
          <t>Hospital</t>
        </is>
      </c>
      <c r="I4026" t="inlineStr">
        <is>
          <t>Self-pay</t>
        </is>
      </c>
      <c r="J4026" t="inlineStr">
        <is>
          <t>Lucas Martin</t>
        </is>
      </c>
      <c r="K4026" s="70" t="n">
        <v>398</v>
      </c>
      <c r="L4026" s="71" t="n">
        <v>516.45</v>
      </c>
      <c r="M4026" s="71" t="n">
        <v>205547.1</v>
      </c>
      <c r="N4026" s="71" t="n">
        <v>61664.13</v>
      </c>
      <c r="O4026" s="71" t="n">
        <v>143882.97</v>
      </c>
      <c r="P4026" s="71" t="n">
        <v>32593.75</v>
      </c>
      <c r="Q4026" s="71" t="n">
        <v>111289.22</v>
      </c>
      <c r="R4026" t="inlineStr">
        <is>
          <t>Vaccines</t>
        </is>
      </c>
      <c r="S4026" s="70" t="n">
        <v>327</v>
      </c>
      <c r="T4026" s="71" t="n">
        <v>24070.96</v>
      </c>
      <c r="U4026" t="inlineStr">
        <is>
          <t>Low</t>
        </is>
      </c>
      <c r="V4026">
        <f>IF(AND(OR(Dashboard!$C$6="All",E4026=Dashboard!$C$6),OR(Dashboard!$F$6="All",G4026=Dashboard!$F$6),OR(Dashboard!$I$6="All",H4026=Dashboard!$I$6)),1,0)</f>
        <v/>
      </c>
    </row>
    <row r="4027">
      <c r="A4027" t="inlineStr">
        <is>
          <t>PF104018</t>
        </is>
      </c>
      <c r="B4027" s="68" t="n">
        <v>46139</v>
      </c>
      <c r="C4027" s="69" t="n">
        <v>2026</v>
      </c>
      <c r="D4027" t="inlineStr">
        <is>
          <t>Apr</t>
        </is>
      </c>
      <c r="E4027" t="inlineStr">
        <is>
          <t>United States</t>
        </is>
      </c>
      <c r="F4027" t="inlineStr">
        <is>
          <t>USA</t>
        </is>
      </c>
      <c r="G4027" t="inlineStr">
        <is>
          <t>Prevnar 20</t>
        </is>
      </c>
      <c r="H4027" t="inlineStr">
        <is>
          <t>Retail pharmacy</t>
        </is>
      </c>
      <c r="I4027" t="inlineStr">
        <is>
          <t>Public payer</t>
        </is>
      </c>
      <c r="J4027" t="inlineStr">
        <is>
          <t>Lucas Martin</t>
        </is>
      </c>
      <c r="K4027" s="70" t="n">
        <v>2908</v>
      </c>
      <c r="L4027" s="71" t="n">
        <v>372.22</v>
      </c>
      <c r="M4027" s="71" t="n">
        <v>1082415.76</v>
      </c>
      <c r="N4027" s="71" t="n">
        <v>162362.36</v>
      </c>
      <c r="O4027" s="71" t="n">
        <v>920053.4</v>
      </c>
      <c r="P4027" s="71" t="n">
        <v>202996.08</v>
      </c>
      <c r="Q4027" s="71" t="n">
        <v>717057.3199999999</v>
      </c>
      <c r="R4027" t="inlineStr">
        <is>
          <t>Vaccines</t>
        </is>
      </c>
      <c r="S4027" s="70" t="n">
        <v>2039</v>
      </c>
      <c r="T4027" s="71" t="n">
        <v>144230.17</v>
      </c>
      <c r="U4027" t="inlineStr">
        <is>
          <t>Low</t>
        </is>
      </c>
      <c r="V4027">
        <f>IF(AND(OR(Dashboard!$C$6="All",E4027=Dashboard!$C$6),OR(Dashboard!$F$6="All",G4027=Dashboard!$F$6),OR(Dashboard!$I$6="All",H4027=Dashboard!$I$6)),1,0)</f>
        <v/>
      </c>
    </row>
    <row r="4028">
      <c r="A4028" t="inlineStr">
        <is>
          <t>PF104019</t>
        </is>
      </c>
      <c r="B4028" s="68" t="n">
        <v>46139</v>
      </c>
      <c r="C4028" s="69" t="n">
        <v>2026</v>
      </c>
      <c r="D4028" t="inlineStr">
        <is>
          <t>Apr</t>
        </is>
      </c>
      <c r="E4028" t="inlineStr">
        <is>
          <t>Emerging markets</t>
        </is>
      </c>
      <c r="F4028" t="inlineStr">
        <is>
          <t>Brazil</t>
        </is>
      </c>
      <c r="G4028" t="inlineStr">
        <is>
          <t>Eliquis</t>
        </is>
      </c>
      <c r="H4028" t="inlineStr">
        <is>
          <t>Hospital</t>
        </is>
      </c>
      <c r="I4028" t="inlineStr">
        <is>
          <t>Self-pay</t>
        </is>
      </c>
      <c r="J4028" t="inlineStr">
        <is>
          <t>Lucas Martin</t>
        </is>
      </c>
      <c r="K4028" s="70" t="n">
        <v>711</v>
      </c>
      <c r="L4028" s="71" t="n">
        <v>456.83</v>
      </c>
      <c r="M4028" s="71" t="n">
        <v>324806.13</v>
      </c>
      <c r="N4028" s="71" t="n">
        <v>48720.92</v>
      </c>
      <c r="O4028" s="71" t="n">
        <v>276085.21</v>
      </c>
      <c r="P4028" s="71" t="n">
        <v>54049.38</v>
      </c>
      <c r="Q4028" s="71" t="n">
        <v>222035.83</v>
      </c>
      <c r="R4028" t="inlineStr">
        <is>
          <t>Cardiology</t>
        </is>
      </c>
      <c r="S4028" s="70" t="n">
        <v>577</v>
      </c>
      <c r="T4028" s="71" t="n">
        <v>56194.4</v>
      </c>
      <c r="U4028" t="inlineStr">
        <is>
          <t>High</t>
        </is>
      </c>
      <c r="V4028">
        <f>IF(AND(OR(Dashboard!$C$6="All",E4028=Dashboard!$C$6),OR(Dashboard!$F$6="All",G4028=Dashboard!$F$6),OR(Dashboard!$I$6="All",H4028=Dashboard!$I$6)),1,0)</f>
        <v/>
      </c>
    </row>
    <row r="4029">
      <c r="A4029" t="inlineStr">
        <is>
          <t>PF104020</t>
        </is>
      </c>
      <c r="B4029" s="68" t="n">
        <v>46139</v>
      </c>
      <c r="C4029" s="69" t="n">
        <v>2026</v>
      </c>
      <c r="D4029" t="inlineStr">
        <is>
          <t>Apr</t>
        </is>
      </c>
      <c r="E4029" t="inlineStr">
        <is>
          <t>United States</t>
        </is>
      </c>
      <c r="F4029" t="inlineStr">
        <is>
          <t>USA</t>
        </is>
      </c>
      <c r="G4029" t="inlineStr">
        <is>
          <t>Vyndaqel</t>
        </is>
      </c>
      <c r="H4029" t="inlineStr">
        <is>
          <t>Hospital</t>
        </is>
      </c>
      <c r="I4029" t="inlineStr">
        <is>
          <t>Public payer</t>
        </is>
      </c>
      <c r="J4029" t="inlineStr">
        <is>
          <t>Zoya Ahmed</t>
        </is>
      </c>
      <c r="K4029" s="70" t="n">
        <v>2500</v>
      </c>
      <c r="L4029" s="71" t="n">
        <v>9231.16</v>
      </c>
      <c r="M4029" s="71" t="n">
        <v>23077900</v>
      </c>
      <c r="N4029" s="71" t="n">
        <v>6923370</v>
      </c>
      <c r="O4029" s="71" t="n">
        <v>16154530</v>
      </c>
      <c r="P4029" s="71" t="n">
        <v>1536577.64</v>
      </c>
      <c r="Q4029" s="71" t="n">
        <v>14617952.36</v>
      </c>
      <c r="R4029" t="inlineStr">
        <is>
          <t>Rare disease</t>
        </is>
      </c>
      <c r="S4029" s="70" t="n">
        <v>1630</v>
      </c>
      <c r="T4029" s="71" t="n">
        <v>4155322.7</v>
      </c>
      <c r="U4029" t="inlineStr">
        <is>
          <t>Medium</t>
        </is>
      </c>
      <c r="V4029">
        <f>IF(AND(OR(Dashboard!$C$6="All",E4029=Dashboard!$C$6),OR(Dashboard!$F$6="All",G4029=Dashboard!$F$6),OR(Dashboard!$I$6="All",H4029=Dashboard!$I$6)),1,0)</f>
        <v/>
      </c>
    </row>
    <row r="4030">
      <c r="A4030" t="inlineStr">
        <is>
          <t>PF104021</t>
        </is>
      </c>
      <c r="B4030" s="68" t="n">
        <v>46140</v>
      </c>
      <c r="C4030" s="69" t="n">
        <v>2026</v>
      </c>
      <c r="D4030" t="inlineStr">
        <is>
          <t>Apr</t>
        </is>
      </c>
      <c r="E4030" t="inlineStr">
        <is>
          <t>United States</t>
        </is>
      </c>
      <c r="F4030" t="inlineStr">
        <is>
          <t>USA</t>
        </is>
      </c>
      <c r="G4030" t="inlineStr">
        <is>
          <t>Vyndaqel</t>
        </is>
      </c>
      <c r="H4030" t="inlineStr">
        <is>
          <t>Government / tender</t>
        </is>
      </c>
      <c r="I4030" t="inlineStr">
        <is>
          <t>Private insurer</t>
        </is>
      </c>
      <c r="J4030" t="inlineStr">
        <is>
          <t>Noah Smith</t>
        </is>
      </c>
      <c r="K4030" s="70" t="n">
        <v>1303</v>
      </c>
      <c r="L4030" s="71" t="n">
        <v>8933.33</v>
      </c>
      <c r="M4030" s="71" t="n">
        <v>11640128.99</v>
      </c>
      <c r="N4030" s="71" t="n">
        <v>1746019.35</v>
      </c>
      <c r="O4030" s="71" t="n">
        <v>9894109.640000001</v>
      </c>
      <c r="P4030" s="71" t="n">
        <v>817955.02</v>
      </c>
      <c r="Q4030" s="71" t="n">
        <v>9076154.619999999</v>
      </c>
      <c r="R4030" t="inlineStr">
        <is>
          <t>Rare disease</t>
        </is>
      </c>
      <c r="S4030" s="70" t="n">
        <v>1037</v>
      </c>
      <c r="T4030" s="71" t="n">
        <v>1752377.3</v>
      </c>
      <c r="U4030" t="inlineStr">
        <is>
          <t>Medium</t>
        </is>
      </c>
      <c r="V4030">
        <f>IF(AND(OR(Dashboard!$C$6="All",E4030=Dashboard!$C$6),OR(Dashboard!$F$6="All",G4030=Dashboard!$F$6),OR(Dashboard!$I$6="All",H4030=Dashboard!$I$6)),1,0)</f>
        <v/>
      </c>
    </row>
    <row r="4031">
      <c r="A4031" t="inlineStr">
        <is>
          <t>PF104022</t>
        </is>
      </c>
      <c r="B4031" s="68" t="n">
        <v>46140</v>
      </c>
      <c r="C4031" s="69" t="n">
        <v>2026</v>
      </c>
      <c r="D4031" t="inlineStr">
        <is>
          <t>Apr</t>
        </is>
      </c>
      <c r="E4031" t="inlineStr">
        <is>
          <t>Europe</t>
        </is>
      </c>
      <c r="F4031" t="inlineStr">
        <is>
          <t>France</t>
        </is>
      </c>
      <c r="G4031" t="inlineStr">
        <is>
          <t>Paxlovid</t>
        </is>
      </c>
      <c r="H4031" t="inlineStr">
        <is>
          <t>Government / tender</t>
        </is>
      </c>
      <c r="I4031" t="inlineStr">
        <is>
          <t>Private insurer</t>
        </is>
      </c>
      <c r="J4031" t="inlineStr">
        <is>
          <t>Hiroshi Tanaka</t>
        </is>
      </c>
      <c r="K4031" s="70" t="n">
        <v>1543</v>
      </c>
      <c r="L4031" s="71" t="n">
        <v>850.1900000000001</v>
      </c>
      <c r="M4031" s="71" t="n">
        <v>1311843.17</v>
      </c>
      <c r="N4031" s="71" t="n">
        <v>131184.32</v>
      </c>
      <c r="O4031" s="71" t="n">
        <v>1180658.85</v>
      </c>
      <c r="P4031" s="71" t="n">
        <v>428267.06</v>
      </c>
      <c r="Q4031" s="71" t="n">
        <v>752391.79</v>
      </c>
      <c r="R4031" t="inlineStr">
        <is>
          <t>Antiviral</t>
        </is>
      </c>
      <c r="S4031" s="70" t="n">
        <v>1197</v>
      </c>
      <c r="T4031" s="71" t="n">
        <v>321790.6</v>
      </c>
      <c r="U4031" t="inlineStr">
        <is>
          <t>Low</t>
        </is>
      </c>
      <c r="V4031">
        <f>IF(AND(OR(Dashboard!$C$6="All",E4031=Dashboard!$C$6),OR(Dashboard!$F$6="All",G4031=Dashboard!$F$6),OR(Dashboard!$I$6="All",H4031=Dashboard!$I$6)),1,0)</f>
        <v/>
      </c>
    </row>
    <row r="4032">
      <c r="A4032" t="inlineStr">
        <is>
          <t>PF104023</t>
        </is>
      </c>
      <c r="B4032" s="68" t="n">
        <v>46140</v>
      </c>
      <c r="C4032" s="69" t="n">
        <v>2026</v>
      </c>
      <c r="D4032" t="inlineStr">
        <is>
          <t>Apr</t>
        </is>
      </c>
      <c r="E4032" t="inlineStr">
        <is>
          <t>United States</t>
        </is>
      </c>
      <c r="F4032" t="inlineStr">
        <is>
          <t>USA</t>
        </is>
      </c>
      <c r="G4032" t="inlineStr">
        <is>
          <t>Xeljanz</t>
        </is>
      </c>
      <c r="H4032" t="inlineStr">
        <is>
          <t>Retail pharmacy</t>
        </is>
      </c>
      <c r="I4032" t="inlineStr">
        <is>
          <t>Private insurer</t>
        </is>
      </c>
      <c r="J4032" t="inlineStr">
        <is>
          <t>Omar Haddad</t>
        </is>
      </c>
      <c r="K4032" s="70" t="n">
        <v>292</v>
      </c>
      <c r="L4032" s="71" t="n">
        <v>1971.76</v>
      </c>
      <c r="M4032" s="71" t="n">
        <v>575753.92</v>
      </c>
      <c r="N4032" s="71" t="n">
        <v>86363.09</v>
      </c>
      <c r="O4032" s="71" t="n">
        <v>489390.83</v>
      </c>
      <c r="P4032" s="71" t="n">
        <v>71402.3</v>
      </c>
      <c r="Q4032" s="71" t="n">
        <v>417988.53</v>
      </c>
      <c r="R4032" t="inlineStr">
        <is>
          <t>Inflammation</t>
        </is>
      </c>
      <c r="S4032" s="70" t="n">
        <v>272</v>
      </c>
      <c r="T4032" s="71" t="n">
        <v>109675.08</v>
      </c>
      <c r="U4032" t="inlineStr">
        <is>
          <t>High</t>
        </is>
      </c>
      <c r="V4032">
        <f>IF(AND(OR(Dashboard!$C$6="All",E4032=Dashboard!$C$6),OR(Dashboard!$F$6="All",G4032=Dashboard!$F$6),OR(Dashboard!$I$6="All",H4032=Dashboard!$I$6)),1,0)</f>
        <v/>
      </c>
    </row>
    <row r="4033">
      <c r="A4033" t="inlineStr">
        <is>
          <t>PF104024</t>
        </is>
      </c>
      <c r="B4033" s="68" t="n">
        <v>46140</v>
      </c>
      <c r="C4033" s="69" t="n">
        <v>2026</v>
      </c>
      <c r="D4033" t="inlineStr">
        <is>
          <t>Apr</t>
        </is>
      </c>
      <c r="E4033" t="inlineStr">
        <is>
          <t>Europe</t>
        </is>
      </c>
      <c r="F4033" t="inlineStr">
        <is>
          <t>France</t>
        </is>
      </c>
      <c r="G4033" t="inlineStr">
        <is>
          <t>Prevnar 20</t>
        </is>
      </c>
      <c r="H4033" t="inlineStr">
        <is>
          <t>Government / tender</t>
        </is>
      </c>
      <c r="I4033" t="inlineStr">
        <is>
          <t>Private insurer</t>
        </is>
      </c>
      <c r="J4033" t="inlineStr">
        <is>
          <t>Mei Lin</t>
        </is>
      </c>
      <c r="K4033" s="70" t="n">
        <v>2705</v>
      </c>
      <c r="L4033" s="71" t="n">
        <v>213.46</v>
      </c>
      <c r="M4033" s="71" t="n">
        <v>577409.3</v>
      </c>
      <c r="N4033" s="71" t="n">
        <v>57740.93</v>
      </c>
      <c r="O4033" s="71" t="n">
        <v>519668.37</v>
      </c>
      <c r="P4033" s="71" t="n">
        <v>189567.4</v>
      </c>
      <c r="Q4033" s="71" t="n">
        <v>330100.97</v>
      </c>
      <c r="R4033" t="inlineStr">
        <is>
          <t>Vaccines</t>
        </is>
      </c>
      <c r="S4033" s="70" t="n">
        <v>2533</v>
      </c>
      <c r="T4033" s="71" t="n">
        <v>97926.97</v>
      </c>
      <c r="U4033" t="inlineStr">
        <is>
          <t>Low</t>
        </is>
      </c>
      <c r="V4033">
        <f>IF(AND(OR(Dashboard!$C$6="All",E4033=Dashboard!$C$6),OR(Dashboard!$F$6="All",G4033=Dashboard!$F$6),OR(Dashboard!$I$6="All",H4033=Dashboard!$I$6)),1,0)</f>
        <v/>
      </c>
    </row>
    <row r="4034">
      <c r="A4034" t="inlineStr">
        <is>
          <t>PF104025</t>
        </is>
      </c>
      <c r="B4034" s="68" t="n">
        <v>46140</v>
      </c>
      <c r="C4034" s="69" t="n">
        <v>2026</v>
      </c>
      <c r="D4034" t="inlineStr">
        <is>
          <t>Apr</t>
        </is>
      </c>
      <c r="E4034" t="inlineStr">
        <is>
          <t>United States</t>
        </is>
      </c>
      <c r="F4034" t="inlineStr">
        <is>
          <t>USA</t>
        </is>
      </c>
      <c r="G4034" t="inlineStr">
        <is>
          <t>Xeljanz</t>
        </is>
      </c>
      <c r="H4034" t="inlineStr">
        <is>
          <t>Hospital</t>
        </is>
      </c>
      <c r="I4034" t="inlineStr">
        <is>
          <t>Private insurer</t>
        </is>
      </c>
      <c r="J4034" t="inlineStr">
        <is>
          <t>Olivia Brown</t>
        </is>
      </c>
      <c r="K4034" s="70" t="n">
        <v>1131</v>
      </c>
      <c r="L4034" s="71" t="n">
        <v>2273.44</v>
      </c>
      <c r="M4034" s="71" t="n">
        <v>2571260.64</v>
      </c>
      <c r="N4034" s="71" t="n">
        <v>642815.16</v>
      </c>
      <c r="O4034" s="71" t="n">
        <v>1928445.48</v>
      </c>
      <c r="P4034" s="71" t="n">
        <v>290708.17</v>
      </c>
      <c r="Q4034" s="71" t="n">
        <v>1637737.31</v>
      </c>
      <c r="R4034" t="inlineStr">
        <is>
          <t>Inflammation</t>
        </is>
      </c>
      <c r="S4034" s="70" t="n">
        <v>1022</v>
      </c>
      <c r="T4034" s="71" t="n">
        <v>506689.8</v>
      </c>
      <c r="U4034" t="inlineStr">
        <is>
          <t>High</t>
        </is>
      </c>
      <c r="V4034">
        <f>IF(AND(OR(Dashboard!$C$6="All",E4034=Dashboard!$C$6),OR(Dashboard!$F$6="All",G4034=Dashboard!$F$6),OR(Dashboard!$I$6="All",H4034=Dashboard!$I$6)),1,0)</f>
        <v/>
      </c>
    </row>
    <row r="4035">
      <c r="A4035" t="inlineStr">
        <is>
          <t>PF104026</t>
        </is>
      </c>
      <c r="B4035" s="68" t="n">
        <v>46140</v>
      </c>
      <c r="C4035" s="69" t="n">
        <v>2026</v>
      </c>
      <c r="D4035" t="inlineStr">
        <is>
          <t>Apr</t>
        </is>
      </c>
      <c r="E4035" t="inlineStr">
        <is>
          <t>Europe</t>
        </is>
      </c>
      <c r="F4035" t="inlineStr">
        <is>
          <t>France</t>
        </is>
      </c>
      <c r="G4035" t="inlineStr">
        <is>
          <t>Comirnaty</t>
        </is>
      </c>
      <c r="H4035" t="inlineStr">
        <is>
          <t>Retail pharmacy</t>
        </is>
      </c>
      <c r="I4035" t="inlineStr">
        <is>
          <t>Public payer</t>
        </is>
      </c>
      <c r="J4035" t="inlineStr">
        <is>
          <t>Olivia Brown</t>
        </is>
      </c>
      <c r="K4035" s="70" t="n">
        <v>1936</v>
      </c>
      <c r="L4035" s="71" t="n">
        <v>93.38</v>
      </c>
      <c r="M4035" s="71" t="n">
        <v>180783.68</v>
      </c>
      <c r="N4035" s="71" t="n">
        <v>18078.37</v>
      </c>
      <c r="O4035" s="71" t="n">
        <v>162705.31</v>
      </c>
      <c r="P4035" s="71" t="n">
        <v>72364.36</v>
      </c>
      <c r="Q4035" s="71" t="n">
        <v>90340.95</v>
      </c>
      <c r="R4035" t="inlineStr">
        <is>
          <t>Vaccines</t>
        </is>
      </c>
      <c r="S4035" s="70" t="n">
        <v>1499</v>
      </c>
      <c r="T4035" s="71" t="n">
        <v>40501.53</v>
      </c>
      <c r="U4035" t="inlineStr">
        <is>
          <t>Low</t>
        </is>
      </c>
      <c r="V4035">
        <f>IF(AND(OR(Dashboard!$C$6="All",E4035=Dashboard!$C$6),OR(Dashboard!$F$6="All",G4035=Dashboard!$F$6),OR(Dashboard!$I$6="All",H4035=Dashboard!$I$6)),1,0)</f>
        <v/>
      </c>
    </row>
    <row r="4036">
      <c r="A4036" t="inlineStr">
        <is>
          <t>PF104027</t>
        </is>
      </c>
      <c r="B4036" s="68" t="n">
        <v>46140</v>
      </c>
      <c r="C4036" s="69" t="n">
        <v>2026</v>
      </c>
      <c r="D4036" t="inlineStr">
        <is>
          <t>Apr</t>
        </is>
      </c>
      <c r="E4036" t="inlineStr">
        <is>
          <t>United States</t>
        </is>
      </c>
      <c r="F4036" t="inlineStr">
        <is>
          <t>USA</t>
        </is>
      </c>
      <c r="G4036" t="inlineStr">
        <is>
          <t>Vyndaqel</t>
        </is>
      </c>
      <c r="H4036" t="inlineStr">
        <is>
          <t>Hospital</t>
        </is>
      </c>
      <c r="I4036" t="inlineStr">
        <is>
          <t>Public payer</t>
        </is>
      </c>
      <c r="J4036" t="inlineStr">
        <is>
          <t>Zoya Ahmed</t>
        </is>
      </c>
      <c r="K4036" s="70" t="n">
        <v>1741</v>
      </c>
      <c r="L4036" s="71" t="n">
        <v>9870.809999999999</v>
      </c>
      <c r="M4036" s="71" t="n">
        <v>17185080.21</v>
      </c>
      <c r="N4036" s="71" t="n">
        <v>6014778.07</v>
      </c>
      <c r="O4036" s="71" t="n">
        <v>11170302.14</v>
      </c>
      <c r="P4036" s="71" t="n">
        <v>1120223.19</v>
      </c>
      <c r="Q4036" s="71" t="n">
        <v>10050078.95</v>
      </c>
      <c r="R4036" t="inlineStr">
        <is>
          <t>Rare disease</t>
        </is>
      </c>
      <c r="S4036" s="70" t="n">
        <v>1142</v>
      </c>
      <c r="T4036" s="71" t="n">
        <v>2992816.34</v>
      </c>
      <c r="U4036" t="inlineStr">
        <is>
          <t>Medium</t>
        </is>
      </c>
      <c r="V4036">
        <f>IF(AND(OR(Dashboard!$C$6="All",E4036=Dashboard!$C$6),OR(Dashboard!$F$6="All",G4036=Dashboard!$F$6),OR(Dashboard!$I$6="All",H4036=Dashboard!$I$6)),1,0)</f>
        <v/>
      </c>
    </row>
    <row r="4037">
      <c r="A4037" t="inlineStr">
        <is>
          <t>PF104028</t>
        </is>
      </c>
      <c r="B4037" s="68" t="n">
        <v>46140</v>
      </c>
      <c r="C4037" s="69" t="n">
        <v>2026</v>
      </c>
      <c r="D4037" t="inlineStr">
        <is>
          <t>Apr</t>
        </is>
      </c>
      <c r="E4037" t="inlineStr">
        <is>
          <t>United States</t>
        </is>
      </c>
      <c r="F4037" t="inlineStr">
        <is>
          <t>USA</t>
        </is>
      </c>
      <c r="G4037" t="inlineStr">
        <is>
          <t>Eliquis</t>
        </is>
      </c>
      <c r="H4037" t="inlineStr">
        <is>
          <t>Retail pharmacy</t>
        </is>
      </c>
      <c r="I4037" t="inlineStr">
        <is>
          <t>Private insurer</t>
        </is>
      </c>
      <c r="J4037" t="inlineStr">
        <is>
          <t>Zoya Ahmed</t>
        </is>
      </c>
      <c r="K4037" s="70" t="n">
        <v>459</v>
      </c>
      <c r="L4037" s="71" t="n">
        <v>674.95</v>
      </c>
      <c r="M4037" s="71" t="n">
        <v>309802.05</v>
      </c>
      <c r="N4037" s="71" t="n">
        <v>92940.62</v>
      </c>
      <c r="O4037" s="71" t="n">
        <v>216861.43</v>
      </c>
      <c r="P4037" s="71" t="n">
        <v>34423.48</v>
      </c>
      <c r="Q4037" s="71" t="n">
        <v>182437.95</v>
      </c>
      <c r="R4037" t="inlineStr">
        <is>
          <t>Cardiology</t>
        </is>
      </c>
      <c r="S4037" s="70" t="n">
        <v>422</v>
      </c>
      <c r="T4037" s="71" t="n">
        <v>65494.7</v>
      </c>
      <c r="U4037" t="inlineStr">
        <is>
          <t>High</t>
        </is>
      </c>
      <c r="V4037">
        <f>IF(AND(OR(Dashboard!$C$6="All",E4037=Dashboard!$C$6),OR(Dashboard!$F$6="All",G4037=Dashboard!$F$6),OR(Dashboard!$I$6="All",H4037=Dashboard!$I$6)),1,0)</f>
        <v/>
      </c>
    </row>
    <row r="4038">
      <c r="A4038" t="inlineStr">
        <is>
          <t>PF104029</t>
        </is>
      </c>
      <c r="B4038" s="68" t="n">
        <v>46140</v>
      </c>
      <c r="C4038" s="69" t="n">
        <v>2026</v>
      </c>
      <c r="D4038" t="inlineStr">
        <is>
          <t>Apr</t>
        </is>
      </c>
      <c r="E4038" t="inlineStr">
        <is>
          <t>United States</t>
        </is>
      </c>
      <c r="F4038" t="inlineStr">
        <is>
          <t>USA</t>
        </is>
      </c>
      <c r="G4038" t="inlineStr">
        <is>
          <t>Eliquis</t>
        </is>
      </c>
      <c r="H4038" t="inlineStr">
        <is>
          <t>Government / tender</t>
        </is>
      </c>
      <c r="I4038" t="inlineStr">
        <is>
          <t>Public payer</t>
        </is>
      </c>
      <c r="J4038" t="inlineStr">
        <is>
          <t>Mei Lin</t>
        </is>
      </c>
      <c r="K4038" s="70" t="n">
        <v>1332</v>
      </c>
      <c r="L4038" s="71" t="n">
        <v>735.0599999999999</v>
      </c>
      <c r="M4038" s="71" t="n">
        <v>979099.92</v>
      </c>
      <c r="N4038" s="71" t="n">
        <v>195819.98</v>
      </c>
      <c r="O4038" s="71" t="n">
        <v>783279.9399999999</v>
      </c>
      <c r="P4038" s="71" t="n">
        <v>96998.69</v>
      </c>
      <c r="Q4038" s="71" t="n">
        <v>686281.25</v>
      </c>
      <c r="R4038" t="inlineStr">
        <is>
          <t>Cardiology</t>
        </is>
      </c>
      <c r="S4038" s="70" t="n">
        <v>935</v>
      </c>
      <c r="T4038" s="71" t="n">
        <v>156167.71</v>
      </c>
      <c r="U4038" t="inlineStr">
        <is>
          <t>High</t>
        </is>
      </c>
      <c r="V4038">
        <f>IF(AND(OR(Dashboard!$C$6="All",E4038=Dashboard!$C$6),OR(Dashboard!$F$6="All",G4038=Dashboard!$F$6),OR(Dashboard!$I$6="All",H4038=Dashboard!$I$6)),1,0)</f>
        <v/>
      </c>
    </row>
    <row r="4039">
      <c r="A4039" t="inlineStr">
        <is>
          <t>PF104030</t>
        </is>
      </c>
      <c r="B4039" s="68" t="n">
        <v>46143</v>
      </c>
      <c r="C4039" s="69" t="n">
        <v>2026</v>
      </c>
      <c r="D4039" t="inlineStr">
        <is>
          <t>May</t>
        </is>
      </c>
      <c r="E4039" t="inlineStr">
        <is>
          <t>International developed</t>
        </is>
      </c>
      <c r="F4039" t="inlineStr">
        <is>
          <t>Canada</t>
        </is>
      </c>
      <c r="G4039" t="inlineStr">
        <is>
          <t>Comirnaty</t>
        </is>
      </c>
      <c r="H4039" t="inlineStr">
        <is>
          <t>Retail pharmacy</t>
        </is>
      </c>
      <c r="I4039" t="inlineStr">
        <is>
          <t>Private insurer</t>
        </is>
      </c>
      <c r="J4039" t="inlineStr">
        <is>
          <t>Mei Lin</t>
        </is>
      </c>
      <c r="K4039" s="70" t="n">
        <v>282</v>
      </c>
      <c r="L4039" s="71" t="n">
        <v>87.88</v>
      </c>
      <c r="M4039" s="71" t="n">
        <v>24782.16</v>
      </c>
      <c r="N4039" s="71" t="n">
        <v>6195.54</v>
      </c>
      <c r="O4039" s="71" t="n">
        <v>18586.62</v>
      </c>
      <c r="P4039" s="71" t="n">
        <v>11071.15</v>
      </c>
      <c r="Q4039" s="71" t="n">
        <v>7515.47</v>
      </c>
      <c r="R4039" t="inlineStr">
        <is>
          <t>Vaccines</t>
        </is>
      </c>
      <c r="S4039" s="70" t="n">
        <v>233</v>
      </c>
      <c r="T4039" s="71" t="n">
        <v>4120.7</v>
      </c>
      <c r="U4039" t="inlineStr">
        <is>
          <t>Low</t>
        </is>
      </c>
      <c r="V4039">
        <f>IF(AND(OR(Dashboard!$C$6="All",E4039=Dashboard!$C$6),OR(Dashboard!$F$6="All",G4039=Dashboard!$F$6),OR(Dashboard!$I$6="All",H4039=Dashboard!$I$6)),1,0)</f>
        <v/>
      </c>
    </row>
    <row r="4040">
      <c r="A4040" t="inlineStr">
        <is>
          <t>PF104031</t>
        </is>
      </c>
      <c r="B4040" s="68" t="n">
        <v>46143</v>
      </c>
      <c r="C4040" s="69" t="n">
        <v>2026</v>
      </c>
      <c r="D4040" t="inlineStr">
        <is>
          <t>May</t>
        </is>
      </c>
      <c r="E4040" t="inlineStr">
        <is>
          <t>United States</t>
        </is>
      </c>
      <c r="F4040" t="inlineStr">
        <is>
          <t>USA</t>
        </is>
      </c>
      <c r="G4040" t="inlineStr">
        <is>
          <t>Comirnaty</t>
        </is>
      </c>
      <c r="H4040" t="inlineStr">
        <is>
          <t>Retail pharmacy</t>
        </is>
      </c>
      <c r="I4040" t="inlineStr">
        <is>
          <t>Public payer</t>
        </is>
      </c>
      <c r="J4040" t="inlineStr">
        <is>
          <t>Ruhi Shaikh</t>
        </is>
      </c>
      <c r="K4040" s="70" t="n">
        <v>751</v>
      </c>
      <c r="L4040" s="71" t="n">
        <v>137.25</v>
      </c>
      <c r="M4040" s="71" t="n">
        <v>103074.75</v>
      </c>
      <c r="N4040" s="71" t="n">
        <v>15461.21</v>
      </c>
      <c r="O4040" s="71" t="n">
        <v>87613.53999999999</v>
      </c>
      <c r="P4040" s="71" t="n">
        <v>29439.58</v>
      </c>
      <c r="Q4040" s="71" t="n">
        <v>58173.96</v>
      </c>
      <c r="R4040" t="inlineStr">
        <is>
          <t>Vaccines</t>
        </is>
      </c>
      <c r="S4040" s="70" t="n">
        <v>624</v>
      </c>
      <c r="T4040" s="71" t="n">
        <v>18835.88</v>
      </c>
      <c r="U4040" t="inlineStr">
        <is>
          <t>Low</t>
        </is>
      </c>
      <c r="V4040">
        <f>IF(AND(OR(Dashboard!$C$6="All",E4040=Dashboard!$C$6),OR(Dashboard!$F$6="All",G4040=Dashboard!$F$6),OR(Dashboard!$I$6="All",H4040=Dashboard!$I$6)),1,0)</f>
        <v/>
      </c>
    </row>
    <row r="4041">
      <c r="A4041" t="inlineStr">
        <is>
          <t>PF104032</t>
        </is>
      </c>
      <c r="B4041" s="68" t="n">
        <v>46143</v>
      </c>
      <c r="C4041" s="69" t="n">
        <v>2026</v>
      </c>
      <c r="D4041" t="inlineStr">
        <is>
          <t>May</t>
        </is>
      </c>
      <c r="E4041" t="inlineStr">
        <is>
          <t>United States</t>
        </is>
      </c>
      <c r="F4041" t="inlineStr">
        <is>
          <t>USA</t>
        </is>
      </c>
      <c r="G4041" t="inlineStr">
        <is>
          <t>Ibrance</t>
        </is>
      </c>
      <c r="H4041" t="inlineStr">
        <is>
          <t>Government / tender</t>
        </is>
      </c>
      <c r="I4041" t="inlineStr">
        <is>
          <t>Private insurer</t>
        </is>
      </c>
      <c r="J4041" t="inlineStr">
        <is>
          <t>Amir Khan</t>
        </is>
      </c>
      <c r="K4041" s="70" t="n">
        <v>973</v>
      </c>
      <c r="L4041" s="71" t="n">
        <v>4257.84</v>
      </c>
      <c r="M4041" s="71" t="n">
        <v>4142878.32</v>
      </c>
      <c r="N4041" s="71" t="n">
        <v>1035719.58</v>
      </c>
      <c r="O4041" s="71" t="n">
        <v>3107158.74</v>
      </c>
      <c r="P4041" s="71" t="n">
        <v>425200.68</v>
      </c>
      <c r="Q4041" s="71" t="n">
        <v>2681958.06</v>
      </c>
      <c r="R4041" t="inlineStr">
        <is>
          <t>Oncology</t>
        </is>
      </c>
      <c r="S4041" s="70" t="n">
        <v>643</v>
      </c>
      <c r="T4041" s="71" t="n">
        <v>576561.5</v>
      </c>
      <c r="U4041" t="inlineStr">
        <is>
          <t>High</t>
        </is>
      </c>
      <c r="V4041">
        <f>IF(AND(OR(Dashboard!$C$6="All",E4041=Dashboard!$C$6),OR(Dashboard!$F$6="All",G4041=Dashboard!$F$6),OR(Dashboard!$I$6="All",H4041=Dashboard!$I$6)),1,0)</f>
        <v/>
      </c>
    </row>
    <row r="4042">
      <c r="A4042" t="inlineStr">
        <is>
          <t>PF104033</t>
        </is>
      </c>
      <c r="B4042" s="68" t="n">
        <v>46143</v>
      </c>
      <c r="C4042" s="69" t="n">
        <v>2026</v>
      </c>
      <c r="D4042" t="inlineStr">
        <is>
          <t>May</t>
        </is>
      </c>
      <c r="E4042" t="inlineStr">
        <is>
          <t>Emerging markets</t>
        </is>
      </c>
      <c r="F4042" t="inlineStr">
        <is>
          <t>China</t>
        </is>
      </c>
      <c r="G4042" t="inlineStr">
        <is>
          <t>Eliquis</t>
        </is>
      </c>
      <c r="H4042" t="inlineStr">
        <is>
          <t>Hospital</t>
        </is>
      </c>
      <c r="I4042" t="inlineStr">
        <is>
          <t>Self-pay</t>
        </is>
      </c>
      <c r="J4042" t="inlineStr">
        <is>
          <t>Arjun Mehta</t>
        </is>
      </c>
      <c r="K4042" s="70" t="n">
        <v>558</v>
      </c>
      <c r="L4042" s="71" t="n">
        <v>446.13</v>
      </c>
      <c r="M4042" s="71" t="n">
        <v>248940.54</v>
      </c>
      <c r="N4042" s="71" t="n">
        <v>24894.05</v>
      </c>
      <c r="O4042" s="71" t="n">
        <v>224046.49</v>
      </c>
      <c r="P4042" s="71" t="n">
        <v>42700.19</v>
      </c>
      <c r="Q4042" s="71" t="n">
        <v>181346.3</v>
      </c>
      <c r="R4042" t="inlineStr">
        <is>
          <t>Cardiology</t>
        </is>
      </c>
      <c r="S4042" s="70" t="n">
        <v>525</v>
      </c>
      <c r="T4042" s="71" t="n">
        <v>44997.03</v>
      </c>
      <c r="U4042" t="inlineStr">
        <is>
          <t>High</t>
        </is>
      </c>
      <c r="V4042">
        <f>IF(AND(OR(Dashboard!$C$6="All",E4042=Dashboard!$C$6),OR(Dashboard!$F$6="All",G4042=Dashboard!$F$6),OR(Dashboard!$I$6="All",H4042=Dashboard!$I$6)),1,0)</f>
        <v/>
      </c>
    </row>
    <row r="4043">
      <c r="A4043" t="inlineStr">
        <is>
          <t>PF104034</t>
        </is>
      </c>
      <c r="B4043" s="68" t="n">
        <v>46143</v>
      </c>
      <c r="C4043" s="69" t="n">
        <v>2026</v>
      </c>
      <c r="D4043" t="inlineStr">
        <is>
          <t>May</t>
        </is>
      </c>
      <c r="E4043" t="inlineStr">
        <is>
          <t>Europe</t>
        </is>
      </c>
      <c r="F4043" t="inlineStr">
        <is>
          <t>UK</t>
        </is>
      </c>
      <c r="G4043" t="inlineStr">
        <is>
          <t>Ibrance</t>
        </is>
      </c>
      <c r="H4043" t="inlineStr">
        <is>
          <t>Retail pharmacy</t>
        </is>
      </c>
      <c r="I4043" t="inlineStr">
        <is>
          <t>Private insurer</t>
        </is>
      </c>
      <c r="J4043" t="inlineStr">
        <is>
          <t>Fatima Al-Saud</t>
        </is>
      </c>
      <c r="K4043" s="70" t="n">
        <v>439</v>
      </c>
      <c r="L4043" s="71" t="n">
        <v>3010.33</v>
      </c>
      <c r="M4043" s="71" t="n">
        <v>1321534.87</v>
      </c>
      <c r="N4043" s="71" t="n">
        <v>264306.97</v>
      </c>
      <c r="O4043" s="71" t="n">
        <v>1057227.9</v>
      </c>
      <c r="P4043" s="71" t="n">
        <v>198259.43</v>
      </c>
      <c r="Q4043" s="71" t="n">
        <v>858968.47</v>
      </c>
      <c r="R4043" t="inlineStr">
        <is>
          <t>Oncology</t>
        </is>
      </c>
      <c r="S4043" s="70" t="n">
        <v>343</v>
      </c>
      <c r="T4043" s="71" t="n">
        <v>168367.12</v>
      </c>
      <c r="U4043" t="inlineStr">
        <is>
          <t>High</t>
        </is>
      </c>
      <c r="V4043">
        <f>IF(AND(OR(Dashboard!$C$6="All",E4043=Dashboard!$C$6),OR(Dashboard!$F$6="All",G4043=Dashboard!$F$6),OR(Dashboard!$I$6="All",H4043=Dashboard!$I$6)),1,0)</f>
        <v/>
      </c>
    </row>
    <row r="4044">
      <c r="A4044" t="inlineStr">
        <is>
          <t>PF104035</t>
        </is>
      </c>
      <c r="B4044" s="68" t="n">
        <v>46144</v>
      </c>
      <c r="C4044" s="69" t="n">
        <v>2026</v>
      </c>
      <c r="D4044" t="inlineStr">
        <is>
          <t>May</t>
        </is>
      </c>
      <c r="E4044" t="inlineStr">
        <is>
          <t>Emerging markets</t>
        </is>
      </c>
      <c r="F4044" t="inlineStr">
        <is>
          <t>India</t>
        </is>
      </c>
      <c r="G4044" t="inlineStr">
        <is>
          <t>Prevnar 20</t>
        </is>
      </c>
      <c r="H4044" t="inlineStr">
        <is>
          <t>Retail pharmacy</t>
        </is>
      </c>
      <c r="I4044" t="inlineStr">
        <is>
          <t>Private insurer</t>
        </is>
      </c>
      <c r="J4044" t="inlineStr">
        <is>
          <t>Emma Clarke</t>
        </is>
      </c>
      <c r="K4044" s="70" t="n">
        <v>1259</v>
      </c>
      <c r="L4044" s="71" t="n">
        <v>212.75</v>
      </c>
      <c r="M4044" s="71" t="n">
        <v>267852.25</v>
      </c>
      <c r="N4044" s="71" t="n">
        <v>66963.06</v>
      </c>
      <c r="O4044" s="71" t="n">
        <v>200889.19</v>
      </c>
      <c r="P4044" s="71" t="n">
        <v>86261.66</v>
      </c>
      <c r="Q4044" s="71" t="n">
        <v>114627.53</v>
      </c>
      <c r="R4044" t="inlineStr">
        <is>
          <t>Vaccines</t>
        </is>
      </c>
      <c r="S4044" s="70" t="n">
        <v>973</v>
      </c>
      <c r="T4044" s="71" t="n">
        <v>47606.63</v>
      </c>
      <c r="U4044" t="inlineStr">
        <is>
          <t>Low</t>
        </is>
      </c>
      <c r="V4044">
        <f>IF(AND(OR(Dashboard!$C$6="All",E4044=Dashboard!$C$6),OR(Dashboard!$F$6="All",G4044=Dashboard!$F$6),OR(Dashboard!$I$6="All",H4044=Dashboard!$I$6)),1,0)</f>
        <v/>
      </c>
    </row>
    <row r="4045">
      <c r="A4045" t="inlineStr">
        <is>
          <t>PF104036</t>
        </is>
      </c>
      <c r="B4045" s="68" t="n">
        <v>46144</v>
      </c>
      <c r="C4045" s="69" t="n">
        <v>2026</v>
      </c>
      <c r="D4045" t="inlineStr">
        <is>
          <t>May</t>
        </is>
      </c>
      <c r="E4045" t="inlineStr">
        <is>
          <t>United States</t>
        </is>
      </c>
      <c r="F4045" t="inlineStr">
        <is>
          <t>USA</t>
        </is>
      </c>
      <c r="G4045" t="inlineStr">
        <is>
          <t>Eliquis</t>
        </is>
      </c>
      <c r="H4045" t="inlineStr">
        <is>
          <t>Hospital</t>
        </is>
      </c>
      <c r="I4045" t="inlineStr">
        <is>
          <t>Public payer</t>
        </is>
      </c>
      <c r="J4045" t="inlineStr">
        <is>
          <t>Omar Haddad</t>
        </is>
      </c>
      <c r="K4045" s="70" t="n">
        <v>778</v>
      </c>
      <c r="L4045" s="71" t="n">
        <v>630.89</v>
      </c>
      <c r="M4045" s="71" t="n">
        <v>490832.42</v>
      </c>
      <c r="N4045" s="71" t="n">
        <v>171791.35</v>
      </c>
      <c r="O4045" s="71" t="n">
        <v>319041.07</v>
      </c>
      <c r="P4045" s="71" t="n">
        <v>57449.8</v>
      </c>
      <c r="Q4045" s="71" t="n">
        <v>261591.27</v>
      </c>
      <c r="R4045" t="inlineStr">
        <is>
          <t>Cardiology</t>
        </is>
      </c>
      <c r="S4045" s="70" t="n">
        <v>546</v>
      </c>
      <c r="T4045" s="71" t="n">
        <v>60332.34</v>
      </c>
      <c r="U4045" t="inlineStr">
        <is>
          <t>High</t>
        </is>
      </c>
      <c r="V4045">
        <f>IF(AND(OR(Dashboard!$C$6="All",E4045=Dashboard!$C$6),OR(Dashboard!$F$6="All",G4045=Dashboard!$F$6),OR(Dashboard!$I$6="All",H4045=Dashboard!$I$6)),1,0)</f>
        <v/>
      </c>
    </row>
    <row r="4046">
      <c r="A4046" t="inlineStr">
        <is>
          <t>PF104037</t>
        </is>
      </c>
      <c r="B4046" s="68" t="n">
        <v>46144</v>
      </c>
      <c r="C4046" s="69" t="n">
        <v>2026</v>
      </c>
      <c r="D4046" t="inlineStr">
        <is>
          <t>May</t>
        </is>
      </c>
      <c r="E4046" t="inlineStr">
        <is>
          <t>Emerging markets</t>
        </is>
      </c>
      <c r="F4046" t="inlineStr">
        <is>
          <t>China</t>
        </is>
      </c>
      <c r="G4046" t="inlineStr">
        <is>
          <t>Paxlovid</t>
        </is>
      </c>
      <c r="H4046" t="inlineStr">
        <is>
          <t>Hospital</t>
        </is>
      </c>
      <c r="I4046" t="inlineStr">
        <is>
          <t>Private insurer</t>
        </is>
      </c>
      <c r="J4046" t="inlineStr">
        <is>
          <t>Lucas Martin</t>
        </is>
      </c>
      <c r="K4046" s="70" t="n">
        <v>546</v>
      </c>
      <c r="L4046" s="71" t="n">
        <v>955.42</v>
      </c>
      <c r="M4046" s="71" t="n">
        <v>521659.32</v>
      </c>
      <c r="N4046" s="71" t="n">
        <v>52165.93</v>
      </c>
      <c r="O4046" s="71" t="n">
        <v>469493.39</v>
      </c>
      <c r="P4046" s="71" t="n">
        <v>154965.55</v>
      </c>
      <c r="Q4046" s="71" t="n">
        <v>314527.84</v>
      </c>
      <c r="R4046" t="inlineStr">
        <is>
          <t>Antiviral</t>
        </is>
      </c>
      <c r="S4046" s="70" t="n">
        <v>455</v>
      </c>
      <c r="T4046" s="71" t="n">
        <v>134769.61</v>
      </c>
      <c r="U4046" t="inlineStr">
        <is>
          <t>Low</t>
        </is>
      </c>
      <c r="V4046">
        <f>IF(AND(OR(Dashboard!$C$6="All",E4046=Dashboard!$C$6),OR(Dashboard!$F$6="All",G4046=Dashboard!$F$6),OR(Dashboard!$I$6="All",H4046=Dashboard!$I$6)),1,0)</f>
        <v/>
      </c>
    </row>
    <row r="4047">
      <c r="A4047" t="inlineStr">
        <is>
          <t>PF104038</t>
        </is>
      </c>
      <c r="B4047" s="68" t="n">
        <v>46144</v>
      </c>
      <c r="C4047" s="69" t="n">
        <v>2026</v>
      </c>
      <c r="D4047" t="inlineStr">
        <is>
          <t>May</t>
        </is>
      </c>
      <c r="E4047" t="inlineStr">
        <is>
          <t>International developed</t>
        </is>
      </c>
      <c r="F4047" t="inlineStr">
        <is>
          <t>Australia</t>
        </is>
      </c>
      <c r="G4047" t="inlineStr">
        <is>
          <t>Paxlovid</t>
        </is>
      </c>
      <c r="H4047" t="inlineStr">
        <is>
          <t>Hospital</t>
        </is>
      </c>
      <c r="I4047" t="inlineStr">
        <is>
          <t>Self-pay</t>
        </is>
      </c>
      <c r="J4047" t="inlineStr">
        <is>
          <t>Mei Lin</t>
        </is>
      </c>
      <c r="K4047" s="70" t="n">
        <v>2192</v>
      </c>
      <c r="L4047" s="71" t="n">
        <v>993.34</v>
      </c>
      <c r="M4047" s="71" t="n">
        <v>2177401.28</v>
      </c>
      <c r="N4047" s="71" t="n">
        <v>108870.06</v>
      </c>
      <c r="O4047" s="71" t="n">
        <v>2068531.22</v>
      </c>
      <c r="P4047" s="71" t="n">
        <v>597243.78</v>
      </c>
      <c r="Q4047" s="71" t="n">
        <v>1471287.44</v>
      </c>
      <c r="R4047" t="inlineStr">
        <is>
          <t>Antiviral</t>
        </is>
      </c>
      <c r="S4047" s="70" t="n">
        <v>1396</v>
      </c>
      <c r="T4047" s="71" t="n">
        <v>495000.83</v>
      </c>
      <c r="U4047" t="inlineStr">
        <is>
          <t>Low</t>
        </is>
      </c>
      <c r="V4047">
        <f>IF(AND(OR(Dashboard!$C$6="All",E4047=Dashboard!$C$6),OR(Dashboard!$F$6="All",G4047=Dashboard!$F$6),OR(Dashboard!$I$6="All",H4047=Dashboard!$I$6)),1,0)</f>
        <v/>
      </c>
    </row>
    <row r="4048">
      <c r="A4048" t="inlineStr">
        <is>
          <t>PF104039</t>
        </is>
      </c>
      <c r="B4048" s="68" t="n">
        <v>46144</v>
      </c>
      <c r="C4048" s="69" t="n">
        <v>2026</v>
      </c>
      <c r="D4048" t="inlineStr">
        <is>
          <t>May</t>
        </is>
      </c>
      <c r="E4048" t="inlineStr">
        <is>
          <t>United States</t>
        </is>
      </c>
      <c r="F4048" t="inlineStr">
        <is>
          <t>USA</t>
        </is>
      </c>
      <c r="G4048" t="inlineStr">
        <is>
          <t>Vyndaqel</t>
        </is>
      </c>
      <c r="H4048" t="inlineStr">
        <is>
          <t>Hospital</t>
        </is>
      </c>
      <c r="I4048" t="inlineStr">
        <is>
          <t>Private insurer</t>
        </is>
      </c>
      <c r="J4048" t="inlineStr">
        <is>
          <t>Priya Nair</t>
        </is>
      </c>
      <c r="K4048" s="70" t="n">
        <v>2952</v>
      </c>
      <c r="L4048" s="71" t="n">
        <v>9654.26</v>
      </c>
      <c r="M4048" s="71" t="n">
        <v>28499375.52</v>
      </c>
      <c r="N4048" s="71" t="n">
        <v>8549812.66</v>
      </c>
      <c r="O4048" s="71" t="n">
        <v>19949562.86</v>
      </c>
      <c r="P4048" s="71" t="n">
        <v>1838406.06</v>
      </c>
      <c r="Q4048" s="71" t="n">
        <v>18111156.8</v>
      </c>
      <c r="R4048" t="inlineStr">
        <is>
          <t>Rare disease</t>
        </is>
      </c>
      <c r="S4048" s="70" t="n">
        <v>2055</v>
      </c>
      <c r="T4048" s="71" t="n">
        <v>4956446.86</v>
      </c>
      <c r="U4048" t="inlineStr">
        <is>
          <t>Medium</t>
        </is>
      </c>
      <c r="V4048">
        <f>IF(AND(OR(Dashboard!$C$6="All",E4048=Dashboard!$C$6),OR(Dashboard!$F$6="All",G4048=Dashboard!$F$6),OR(Dashboard!$I$6="All",H4048=Dashboard!$I$6)),1,0)</f>
        <v/>
      </c>
    </row>
    <row r="4049">
      <c r="A4049" t="inlineStr">
        <is>
          <t>PF104040</t>
        </is>
      </c>
      <c r="B4049" s="68" t="n">
        <v>46144</v>
      </c>
      <c r="C4049" s="69" t="n">
        <v>2026</v>
      </c>
      <c r="D4049" t="inlineStr">
        <is>
          <t>May</t>
        </is>
      </c>
      <c r="E4049" t="inlineStr">
        <is>
          <t>Europe</t>
        </is>
      </c>
      <c r="F4049" t="inlineStr">
        <is>
          <t>France</t>
        </is>
      </c>
      <c r="G4049" t="inlineStr">
        <is>
          <t>Prevnar 20</t>
        </is>
      </c>
      <c r="H4049" t="inlineStr">
        <is>
          <t>Government / tender</t>
        </is>
      </c>
      <c r="I4049" t="inlineStr">
        <is>
          <t>Private insurer</t>
        </is>
      </c>
      <c r="J4049" t="inlineStr">
        <is>
          <t>Mei Lin</t>
        </is>
      </c>
      <c r="K4049" s="70" t="n">
        <v>2628</v>
      </c>
      <c r="L4049" s="71" t="n">
        <v>242.79</v>
      </c>
      <c r="M4049" s="71" t="n">
        <v>638052.12</v>
      </c>
      <c r="N4049" s="71" t="n">
        <v>159513.03</v>
      </c>
      <c r="O4049" s="71" t="n">
        <v>478539.09</v>
      </c>
      <c r="P4049" s="71" t="n">
        <v>186130.72</v>
      </c>
      <c r="Q4049" s="71" t="n">
        <v>292408.37</v>
      </c>
      <c r="R4049" t="inlineStr">
        <is>
          <t>Vaccines</t>
        </is>
      </c>
      <c r="S4049" s="70" t="n">
        <v>2094</v>
      </c>
      <c r="T4049" s="71" t="n">
        <v>136407.94</v>
      </c>
      <c r="U4049" t="inlineStr">
        <is>
          <t>Low</t>
        </is>
      </c>
      <c r="V4049">
        <f>IF(AND(OR(Dashboard!$C$6="All",E4049=Dashboard!$C$6),OR(Dashboard!$F$6="All",G4049=Dashboard!$F$6),OR(Dashboard!$I$6="All",H4049=Dashboard!$I$6)),1,0)</f>
        <v/>
      </c>
    </row>
    <row r="4050">
      <c r="A4050" t="inlineStr">
        <is>
          <t>PF104041</t>
        </is>
      </c>
      <c r="B4050" s="68" t="n">
        <v>46144</v>
      </c>
      <c r="C4050" s="69" t="n">
        <v>2026</v>
      </c>
      <c r="D4050" t="inlineStr">
        <is>
          <t>May</t>
        </is>
      </c>
      <c r="E4050" t="inlineStr">
        <is>
          <t>United States</t>
        </is>
      </c>
      <c r="F4050" t="inlineStr">
        <is>
          <t>USA</t>
        </is>
      </c>
      <c r="G4050" t="inlineStr">
        <is>
          <t>Eliquis</t>
        </is>
      </c>
      <c r="H4050" t="inlineStr">
        <is>
          <t>Retail pharmacy</t>
        </is>
      </c>
      <c r="I4050" t="inlineStr">
        <is>
          <t>Private insurer</t>
        </is>
      </c>
      <c r="J4050" t="inlineStr">
        <is>
          <t>Omar Haddad</t>
        </is>
      </c>
      <c r="K4050" s="70" t="n">
        <v>334</v>
      </c>
      <c r="L4050" s="71" t="n">
        <v>689.09</v>
      </c>
      <c r="M4050" s="71" t="n">
        <v>230156.06</v>
      </c>
      <c r="N4050" s="71" t="n">
        <v>34523.41</v>
      </c>
      <c r="O4050" s="71" t="n">
        <v>195632.65</v>
      </c>
      <c r="P4050" s="71" t="n">
        <v>24346.92</v>
      </c>
      <c r="Q4050" s="71" t="n">
        <v>171285.73</v>
      </c>
      <c r="R4050" t="inlineStr">
        <is>
          <t>Cardiology</t>
        </is>
      </c>
      <c r="S4050" s="70" t="n">
        <v>218</v>
      </c>
      <c r="T4050" s="71" t="n">
        <v>39348</v>
      </c>
      <c r="U4050" t="inlineStr">
        <is>
          <t>High</t>
        </is>
      </c>
      <c r="V4050">
        <f>IF(AND(OR(Dashboard!$C$6="All",E4050=Dashboard!$C$6),OR(Dashboard!$F$6="All",G4050=Dashboard!$F$6),OR(Dashboard!$I$6="All",H4050=Dashboard!$I$6)),1,0)</f>
        <v/>
      </c>
    </row>
    <row r="4051">
      <c r="A4051" t="inlineStr">
        <is>
          <t>PF104042</t>
        </is>
      </c>
      <c r="B4051" s="68" t="n">
        <v>46144</v>
      </c>
      <c r="C4051" s="69" t="n">
        <v>2026</v>
      </c>
      <c r="D4051" t="inlineStr">
        <is>
          <t>May</t>
        </is>
      </c>
      <c r="E4051" t="inlineStr">
        <is>
          <t>United States</t>
        </is>
      </c>
      <c r="F4051" t="inlineStr">
        <is>
          <t>USA</t>
        </is>
      </c>
      <c r="G4051" t="inlineStr">
        <is>
          <t>Eliquis</t>
        </is>
      </c>
      <c r="H4051" t="inlineStr">
        <is>
          <t>Retail pharmacy</t>
        </is>
      </c>
      <c r="I4051" t="inlineStr">
        <is>
          <t>Private insurer</t>
        </is>
      </c>
      <c r="J4051" t="inlineStr">
        <is>
          <t>Aisha Bello</t>
        </is>
      </c>
      <c r="K4051" s="70" t="n">
        <v>444</v>
      </c>
      <c r="L4051" s="71" t="n">
        <v>704</v>
      </c>
      <c r="M4051" s="71" t="n">
        <v>312576</v>
      </c>
      <c r="N4051" s="71" t="n">
        <v>78144</v>
      </c>
      <c r="O4051" s="71" t="n">
        <v>234432</v>
      </c>
      <c r="P4051" s="71" t="n">
        <v>32939.08</v>
      </c>
      <c r="Q4051" s="71" t="n">
        <v>201492.92</v>
      </c>
      <c r="R4051" t="inlineStr">
        <is>
          <t>Cardiology</t>
        </is>
      </c>
      <c r="S4051" s="70" t="n">
        <v>308</v>
      </c>
      <c r="T4051" s="71" t="n">
        <v>60182.99</v>
      </c>
      <c r="U4051" t="inlineStr">
        <is>
          <t>High</t>
        </is>
      </c>
      <c r="V4051">
        <f>IF(AND(OR(Dashboard!$C$6="All",E4051=Dashboard!$C$6),OR(Dashboard!$F$6="All",G4051=Dashboard!$F$6),OR(Dashboard!$I$6="All",H4051=Dashboard!$I$6)),1,0)</f>
        <v/>
      </c>
    </row>
    <row r="4052">
      <c r="A4052" t="inlineStr">
        <is>
          <t>PF104043</t>
        </is>
      </c>
      <c r="B4052" s="68" t="n">
        <v>46144</v>
      </c>
      <c r="C4052" s="69" t="n">
        <v>2026</v>
      </c>
      <c r="D4052" t="inlineStr">
        <is>
          <t>May</t>
        </is>
      </c>
      <c r="E4052" t="inlineStr">
        <is>
          <t>United States</t>
        </is>
      </c>
      <c r="F4052" t="inlineStr">
        <is>
          <t>USA</t>
        </is>
      </c>
      <c r="G4052" t="inlineStr">
        <is>
          <t>Xeljanz</t>
        </is>
      </c>
      <c r="H4052" t="inlineStr">
        <is>
          <t>Government / tender</t>
        </is>
      </c>
      <c r="I4052" t="inlineStr">
        <is>
          <t>Private insurer</t>
        </is>
      </c>
      <c r="J4052" t="inlineStr">
        <is>
          <t>Kofi Mensah</t>
        </is>
      </c>
      <c r="K4052" s="70" t="n">
        <v>95</v>
      </c>
      <c r="L4052" s="71" t="n">
        <v>2139.04</v>
      </c>
      <c r="M4052" s="71" t="n">
        <v>203208.8</v>
      </c>
      <c r="N4052" s="71" t="n">
        <v>60962.64</v>
      </c>
      <c r="O4052" s="71" t="n">
        <v>142246.16</v>
      </c>
      <c r="P4052" s="71" t="n">
        <v>23633.21</v>
      </c>
      <c r="Q4052" s="71" t="n">
        <v>118612.95</v>
      </c>
      <c r="R4052" t="inlineStr">
        <is>
          <t>Inflammation</t>
        </is>
      </c>
      <c r="S4052" s="70" t="n">
        <v>83</v>
      </c>
      <c r="T4052" s="71" t="n">
        <v>32641.95</v>
      </c>
      <c r="U4052" t="inlineStr">
        <is>
          <t>High</t>
        </is>
      </c>
      <c r="V4052">
        <f>IF(AND(OR(Dashboard!$C$6="All",E4052=Dashboard!$C$6),OR(Dashboard!$F$6="All",G4052=Dashboard!$F$6),OR(Dashboard!$I$6="All",H4052=Dashboard!$I$6)),1,0)</f>
        <v/>
      </c>
    </row>
    <row r="4053">
      <c r="A4053" t="inlineStr">
        <is>
          <t>PF104044</t>
        </is>
      </c>
      <c r="B4053" s="68" t="n">
        <v>46144</v>
      </c>
      <c r="C4053" s="69" t="n">
        <v>2026</v>
      </c>
      <c r="D4053" t="inlineStr">
        <is>
          <t>May</t>
        </is>
      </c>
      <c r="E4053" t="inlineStr">
        <is>
          <t>Europe</t>
        </is>
      </c>
      <c r="F4053" t="inlineStr">
        <is>
          <t>Spain</t>
        </is>
      </c>
      <c r="G4053" t="inlineStr">
        <is>
          <t>Abrysvo</t>
        </is>
      </c>
      <c r="H4053" t="inlineStr">
        <is>
          <t>Hospital</t>
        </is>
      </c>
      <c r="I4053" t="inlineStr">
        <is>
          <t>Public payer</t>
        </is>
      </c>
      <c r="J4053" t="inlineStr">
        <is>
          <t>Kofi Mensah</t>
        </is>
      </c>
      <c r="K4053" s="70" t="n">
        <v>2641</v>
      </c>
      <c r="L4053" s="71" t="n">
        <v>301.43</v>
      </c>
      <c r="M4053" s="71" t="n">
        <v>796076.63</v>
      </c>
      <c r="N4053" s="71" t="n">
        <v>119411.49</v>
      </c>
      <c r="O4053" s="71" t="n">
        <v>676665.14</v>
      </c>
      <c r="P4053" s="71" t="n">
        <v>225268.62</v>
      </c>
      <c r="Q4053" s="71" t="n">
        <v>451396.52</v>
      </c>
      <c r="R4053" t="inlineStr">
        <is>
          <t>Vaccines</t>
        </is>
      </c>
      <c r="S4053" s="70" t="n">
        <v>2524</v>
      </c>
      <c r="T4053" s="71" t="n">
        <v>122425.82</v>
      </c>
      <c r="U4053" t="inlineStr">
        <is>
          <t>Low</t>
        </is>
      </c>
      <c r="V4053">
        <f>IF(AND(OR(Dashboard!$C$6="All",E4053=Dashboard!$C$6),OR(Dashboard!$F$6="All",G4053=Dashboard!$F$6),OR(Dashboard!$I$6="All",H4053=Dashboard!$I$6)),1,0)</f>
        <v/>
      </c>
    </row>
    <row r="4054">
      <c r="A4054" t="inlineStr">
        <is>
          <t>PF104045</t>
        </is>
      </c>
      <c r="B4054" s="68" t="n">
        <v>46144</v>
      </c>
      <c r="C4054" s="69" t="n">
        <v>2026</v>
      </c>
      <c r="D4054" t="inlineStr">
        <is>
          <t>May</t>
        </is>
      </c>
      <c r="E4054" t="inlineStr">
        <is>
          <t>United States</t>
        </is>
      </c>
      <c r="F4054" t="inlineStr">
        <is>
          <t>USA</t>
        </is>
      </c>
      <c r="G4054" t="inlineStr">
        <is>
          <t>Comirnaty</t>
        </is>
      </c>
      <c r="H4054" t="inlineStr">
        <is>
          <t>Retail pharmacy</t>
        </is>
      </c>
      <c r="I4054" t="inlineStr">
        <is>
          <t>Public payer</t>
        </is>
      </c>
      <c r="J4054" t="inlineStr">
        <is>
          <t>Mei Lin</t>
        </is>
      </c>
      <c r="K4054" s="70" t="n">
        <v>1047</v>
      </c>
      <c r="L4054" s="71" t="n">
        <v>128.76</v>
      </c>
      <c r="M4054" s="71" t="n">
        <v>134811.72</v>
      </c>
      <c r="N4054" s="71" t="n">
        <v>26962.34</v>
      </c>
      <c r="O4054" s="71" t="n">
        <v>107849.38</v>
      </c>
      <c r="P4054" s="71" t="n">
        <v>41754.42</v>
      </c>
      <c r="Q4054" s="71" t="n">
        <v>66094.96000000001</v>
      </c>
      <c r="R4054" t="inlineStr">
        <is>
          <t>Vaccines</t>
        </is>
      </c>
      <c r="S4054" s="70" t="n">
        <v>664</v>
      </c>
      <c r="T4054" s="71" t="n">
        <v>34121.5</v>
      </c>
      <c r="U4054" t="inlineStr">
        <is>
          <t>Low</t>
        </is>
      </c>
      <c r="V4054">
        <f>IF(AND(OR(Dashboard!$C$6="All",E4054=Dashboard!$C$6),OR(Dashboard!$F$6="All",G4054=Dashboard!$F$6),OR(Dashboard!$I$6="All",H4054=Dashboard!$I$6)),1,0)</f>
        <v/>
      </c>
    </row>
    <row r="4055">
      <c r="A4055" t="inlineStr">
        <is>
          <t>PF104046</t>
        </is>
      </c>
      <c r="B4055" s="68" t="n">
        <v>46145</v>
      </c>
      <c r="C4055" s="69" t="n">
        <v>2026</v>
      </c>
      <c r="D4055" t="inlineStr">
        <is>
          <t>May</t>
        </is>
      </c>
      <c r="E4055" t="inlineStr">
        <is>
          <t>United States</t>
        </is>
      </c>
      <c r="F4055" t="inlineStr">
        <is>
          <t>USA</t>
        </is>
      </c>
      <c r="G4055" t="inlineStr">
        <is>
          <t>Comirnaty</t>
        </is>
      </c>
      <c r="H4055" t="inlineStr">
        <is>
          <t>Retail pharmacy</t>
        </is>
      </c>
      <c r="I4055" t="inlineStr">
        <is>
          <t>Public payer</t>
        </is>
      </c>
      <c r="J4055" t="inlineStr">
        <is>
          <t>Priya Nair</t>
        </is>
      </c>
      <c r="K4055" s="70" t="n">
        <v>977</v>
      </c>
      <c r="L4055" s="71" t="n">
        <v>143.79</v>
      </c>
      <c r="M4055" s="71" t="n">
        <v>140482.83</v>
      </c>
      <c r="N4055" s="71" t="n">
        <v>42144.85</v>
      </c>
      <c r="O4055" s="71" t="n">
        <v>98337.98</v>
      </c>
      <c r="P4055" s="71" t="n">
        <v>38502.08</v>
      </c>
      <c r="Q4055" s="71" t="n">
        <v>59835.9</v>
      </c>
      <c r="R4055" t="inlineStr">
        <is>
          <t>Vaccines</t>
        </is>
      </c>
      <c r="S4055" s="70" t="n">
        <v>821</v>
      </c>
      <c r="T4055" s="71" t="n">
        <v>24246.48</v>
      </c>
      <c r="U4055" t="inlineStr">
        <is>
          <t>Low</t>
        </is>
      </c>
      <c r="V4055">
        <f>IF(AND(OR(Dashboard!$C$6="All",E4055=Dashboard!$C$6),OR(Dashboard!$F$6="All",G4055=Dashboard!$F$6),OR(Dashboard!$I$6="All",H4055=Dashboard!$I$6)),1,0)</f>
        <v/>
      </c>
    </row>
    <row r="4056">
      <c r="A4056" t="inlineStr">
        <is>
          <t>PF104047</t>
        </is>
      </c>
      <c r="B4056" s="68" t="n">
        <v>46145</v>
      </c>
      <c r="C4056" s="69" t="n">
        <v>2026</v>
      </c>
      <c r="D4056" t="inlineStr">
        <is>
          <t>May</t>
        </is>
      </c>
      <c r="E4056" t="inlineStr">
        <is>
          <t>International developed</t>
        </is>
      </c>
      <c r="F4056" t="inlineStr">
        <is>
          <t>Japan</t>
        </is>
      </c>
      <c r="G4056" t="inlineStr">
        <is>
          <t>Comirnaty</t>
        </is>
      </c>
      <c r="H4056" t="inlineStr">
        <is>
          <t>Retail pharmacy</t>
        </is>
      </c>
      <c r="I4056" t="inlineStr">
        <is>
          <t>Private insurer</t>
        </is>
      </c>
      <c r="J4056" t="inlineStr">
        <is>
          <t>Fatima Al-Saud</t>
        </is>
      </c>
      <c r="K4056" s="70" t="n">
        <v>1557</v>
      </c>
      <c r="L4056" s="71" t="n">
        <v>92.45</v>
      </c>
      <c r="M4056" s="71" t="n">
        <v>143944.65</v>
      </c>
      <c r="N4056" s="71" t="n">
        <v>28788.93</v>
      </c>
      <c r="O4056" s="71" t="n">
        <v>115155.72</v>
      </c>
      <c r="P4056" s="71" t="n">
        <v>58701.62</v>
      </c>
      <c r="Q4056" s="71" t="n">
        <v>56454.1</v>
      </c>
      <c r="R4056" t="inlineStr">
        <is>
          <t>Vaccines</t>
        </is>
      </c>
      <c r="S4056" s="70" t="n">
        <v>1460</v>
      </c>
      <c r="T4056" s="71" t="n">
        <v>37069.17</v>
      </c>
      <c r="U4056" t="inlineStr">
        <is>
          <t>Low</t>
        </is>
      </c>
      <c r="V4056">
        <f>IF(AND(OR(Dashboard!$C$6="All",E4056=Dashboard!$C$6),OR(Dashboard!$F$6="All",G4056=Dashboard!$F$6),OR(Dashboard!$I$6="All",H4056=Dashboard!$I$6)),1,0)</f>
        <v/>
      </c>
    </row>
    <row r="4057">
      <c r="A4057" t="inlineStr">
        <is>
          <t>PF104048</t>
        </is>
      </c>
      <c r="B4057" s="68" t="n">
        <v>46145</v>
      </c>
      <c r="C4057" s="69" t="n">
        <v>2026</v>
      </c>
      <c r="D4057" t="inlineStr">
        <is>
          <t>May</t>
        </is>
      </c>
      <c r="E4057" t="inlineStr">
        <is>
          <t>United States</t>
        </is>
      </c>
      <c r="F4057" t="inlineStr">
        <is>
          <t>USA</t>
        </is>
      </c>
      <c r="G4057" t="inlineStr">
        <is>
          <t>Eliquis</t>
        </is>
      </c>
      <c r="H4057" t="inlineStr">
        <is>
          <t>Government / tender</t>
        </is>
      </c>
      <c r="I4057" t="inlineStr">
        <is>
          <t>Private insurer</t>
        </is>
      </c>
      <c r="J4057" t="inlineStr">
        <is>
          <t>Wei Chen</t>
        </is>
      </c>
      <c r="K4057" s="70" t="n">
        <v>2884</v>
      </c>
      <c r="L4057" s="71" t="n">
        <v>742</v>
      </c>
      <c r="M4057" s="71" t="n">
        <v>2139928</v>
      </c>
      <c r="N4057" s="71" t="n">
        <v>320989.2</v>
      </c>
      <c r="O4057" s="71" t="n">
        <v>1818938.8</v>
      </c>
      <c r="P4057" s="71" t="n">
        <v>215700.33</v>
      </c>
      <c r="Q4057" s="71" t="n">
        <v>1603238.47</v>
      </c>
      <c r="R4057" t="inlineStr">
        <is>
          <t>Cardiology</t>
        </is>
      </c>
      <c r="S4057" s="70" t="n">
        <v>1887</v>
      </c>
      <c r="T4057" s="71" t="n">
        <v>436706.81</v>
      </c>
      <c r="U4057" t="inlineStr">
        <is>
          <t>High</t>
        </is>
      </c>
      <c r="V4057">
        <f>IF(AND(OR(Dashboard!$C$6="All",E4057=Dashboard!$C$6),OR(Dashboard!$F$6="All",G4057=Dashboard!$F$6),OR(Dashboard!$I$6="All",H4057=Dashboard!$I$6)),1,0)</f>
        <v/>
      </c>
    </row>
    <row r="4058">
      <c r="A4058" t="inlineStr">
        <is>
          <t>PF104049</t>
        </is>
      </c>
      <c r="B4058" s="68" t="n">
        <v>46145</v>
      </c>
      <c r="C4058" s="69" t="n">
        <v>2026</v>
      </c>
      <c r="D4058" t="inlineStr">
        <is>
          <t>May</t>
        </is>
      </c>
      <c r="E4058" t="inlineStr">
        <is>
          <t>Emerging markets</t>
        </is>
      </c>
      <c r="F4058" t="inlineStr">
        <is>
          <t>Mexico</t>
        </is>
      </c>
      <c r="G4058" t="inlineStr">
        <is>
          <t>Prevnar 20</t>
        </is>
      </c>
      <c r="H4058" t="inlineStr">
        <is>
          <t>Government / tender</t>
        </is>
      </c>
      <c r="I4058" t="inlineStr">
        <is>
          <t>Public payer</t>
        </is>
      </c>
      <c r="J4058" t="inlineStr">
        <is>
          <t>Zoya Ahmed</t>
        </is>
      </c>
      <c r="K4058" s="70" t="n">
        <v>1549</v>
      </c>
      <c r="L4058" s="71" t="n">
        <v>216.37</v>
      </c>
      <c r="M4058" s="71" t="n">
        <v>335157.13</v>
      </c>
      <c r="N4058" s="71" t="n">
        <v>16757.86</v>
      </c>
      <c r="O4058" s="71" t="n">
        <v>318399.27</v>
      </c>
      <c r="P4058" s="71" t="n">
        <v>102677.9</v>
      </c>
      <c r="Q4058" s="71" t="n">
        <v>215721.37</v>
      </c>
      <c r="R4058" t="inlineStr">
        <is>
          <t>Vaccines</t>
        </is>
      </c>
      <c r="S4058" s="70" t="n">
        <v>992</v>
      </c>
      <c r="T4058" s="71" t="n">
        <v>60543.68</v>
      </c>
      <c r="U4058" t="inlineStr">
        <is>
          <t>Low</t>
        </is>
      </c>
      <c r="V4058">
        <f>IF(AND(OR(Dashboard!$C$6="All",E4058=Dashboard!$C$6),OR(Dashboard!$F$6="All",G4058=Dashboard!$F$6),OR(Dashboard!$I$6="All",H4058=Dashboard!$I$6)),1,0)</f>
        <v/>
      </c>
    </row>
    <row r="4059">
      <c r="A4059" t="inlineStr">
        <is>
          <t>PF104050</t>
        </is>
      </c>
      <c r="B4059" s="68" t="n">
        <v>46145</v>
      </c>
      <c r="C4059" s="69" t="n">
        <v>2026</v>
      </c>
      <c r="D4059" t="inlineStr">
        <is>
          <t>May</t>
        </is>
      </c>
      <c r="E4059" t="inlineStr">
        <is>
          <t>Europe</t>
        </is>
      </c>
      <c r="F4059" t="inlineStr">
        <is>
          <t>Germany</t>
        </is>
      </c>
      <c r="G4059" t="inlineStr">
        <is>
          <t>Abrysvo</t>
        </is>
      </c>
      <c r="H4059" t="inlineStr">
        <is>
          <t>Retail pharmacy</t>
        </is>
      </c>
      <c r="I4059" t="inlineStr">
        <is>
          <t>Private insurer</t>
        </is>
      </c>
      <c r="J4059" t="inlineStr">
        <is>
          <t>Zoya Ahmed</t>
        </is>
      </c>
      <c r="K4059" s="70" t="n">
        <v>2850</v>
      </c>
      <c r="L4059" s="71" t="n">
        <v>318.98</v>
      </c>
      <c r="M4059" s="71" t="n">
        <v>909093</v>
      </c>
      <c r="N4059" s="71" t="n">
        <v>45454.65</v>
      </c>
      <c r="O4059" s="71" t="n">
        <v>863638.35</v>
      </c>
      <c r="P4059" s="71" t="n">
        <v>239138.07</v>
      </c>
      <c r="Q4059" s="71" t="n">
        <v>624500.28</v>
      </c>
      <c r="R4059" t="inlineStr">
        <is>
          <t>Vaccines</t>
        </is>
      </c>
      <c r="S4059" s="70" t="n">
        <v>2033</v>
      </c>
      <c r="T4059" s="71" t="n">
        <v>149105.62</v>
      </c>
      <c r="U4059" t="inlineStr">
        <is>
          <t>Low</t>
        </is>
      </c>
      <c r="V4059">
        <f>IF(AND(OR(Dashboard!$C$6="All",E4059=Dashboard!$C$6),OR(Dashboard!$F$6="All",G4059=Dashboard!$F$6),OR(Dashboard!$I$6="All",H4059=Dashboard!$I$6)),1,0)</f>
        <v/>
      </c>
    </row>
    <row r="4060">
      <c r="A4060" t="inlineStr">
        <is>
          <t>PF104051</t>
        </is>
      </c>
      <c r="B4060" s="68" t="n">
        <v>46145</v>
      </c>
      <c r="C4060" s="69" t="n">
        <v>2026</v>
      </c>
      <c r="D4060" t="inlineStr">
        <is>
          <t>May</t>
        </is>
      </c>
      <c r="E4060" t="inlineStr">
        <is>
          <t>International developed</t>
        </is>
      </c>
      <c r="F4060" t="inlineStr">
        <is>
          <t>Canada</t>
        </is>
      </c>
      <c r="G4060" t="inlineStr">
        <is>
          <t>Eliquis</t>
        </is>
      </c>
      <c r="H4060" t="inlineStr">
        <is>
          <t>Retail pharmacy</t>
        </is>
      </c>
      <c r="I4060" t="inlineStr">
        <is>
          <t>Private insurer</t>
        </is>
      </c>
      <c r="J4060" t="inlineStr">
        <is>
          <t>Liam O'Brien</t>
        </is>
      </c>
      <c r="K4060" s="70" t="n">
        <v>2451</v>
      </c>
      <c r="L4060" s="71" t="n">
        <v>415.42</v>
      </c>
      <c r="M4060" s="71" t="n">
        <v>1018194.42</v>
      </c>
      <c r="N4060" s="71" t="n">
        <v>101819.44</v>
      </c>
      <c r="O4060" s="71" t="n">
        <v>916374.98</v>
      </c>
      <c r="P4060" s="71" t="n">
        <v>185446.26</v>
      </c>
      <c r="Q4060" s="71" t="n">
        <v>730928.72</v>
      </c>
      <c r="R4060" t="inlineStr">
        <is>
          <t>Cardiology</t>
        </is>
      </c>
      <c r="S4060" s="70" t="n">
        <v>1623</v>
      </c>
      <c r="T4060" s="71" t="n">
        <v>181354.61</v>
      </c>
      <c r="U4060" t="inlineStr">
        <is>
          <t>High</t>
        </is>
      </c>
      <c r="V4060">
        <f>IF(AND(OR(Dashboard!$C$6="All",E4060=Dashboard!$C$6),OR(Dashboard!$F$6="All",G4060=Dashboard!$F$6),OR(Dashboard!$I$6="All",H4060=Dashboard!$I$6)),1,0)</f>
        <v/>
      </c>
    </row>
    <row r="4061">
      <c r="A4061" t="inlineStr">
        <is>
          <t>PF104052</t>
        </is>
      </c>
      <c r="B4061" s="68" t="n">
        <v>46145</v>
      </c>
      <c r="C4061" s="69" t="n">
        <v>2026</v>
      </c>
      <c r="D4061" t="inlineStr">
        <is>
          <t>May</t>
        </is>
      </c>
      <c r="E4061" t="inlineStr">
        <is>
          <t>United States</t>
        </is>
      </c>
      <c r="F4061" t="inlineStr">
        <is>
          <t>USA</t>
        </is>
      </c>
      <c r="G4061" t="inlineStr">
        <is>
          <t>Xeljanz</t>
        </is>
      </c>
      <c r="H4061" t="inlineStr">
        <is>
          <t>Government / tender</t>
        </is>
      </c>
      <c r="I4061" t="inlineStr">
        <is>
          <t>Public payer</t>
        </is>
      </c>
      <c r="J4061" t="inlineStr">
        <is>
          <t>Zoya Ahmed</t>
        </is>
      </c>
      <c r="K4061" s="70" t="n">
        <v>1506</v>
      </c>
      <c r="L4061" s="71" t="n">
        <v>2354.28</v>
      </c>
      <c r="M4061" s="71" t="n">
        <v>3545545.68</v>
      </c>
      <c r="N4061" s="71" t="n">
        <v>1063663.7</v>
      </c>
      <c r="O4061" s="71" t="n">
        <v>2481881.98</v>
      </c>
      <c r="P4061" s="71" t="n">
        <v>388676.72</v>
      </c>
      <c r="Q4061" s="71" t="n">
        <v>2093205.26</v>
      </c>
      <c r="R4061" t="inlineStr">
        <is>
          <t>Inflammation</t>
        </is>
      </c>
      <c r="S4061" s="70" t="n">
        <v>1425</v>
      </c>
      <c r="T4061" s="71" t="n">
        <v>738624.1</v>
      </c>
      <c r="U4061" t="inlineStr">
        <is>
          <t>High</t>
        </is>
      </c>
      <c r="V4061">
        <f>IF(AND(OR(Dashboard!$C$6="All",E4061=Dashboard!$C$6),OR(Dashboard!$F$6="All",G4061=Dashboard!$F$6),OR(Dashboard!$I$6="All",H4061=Dashboard!$I$6)),1,0)</f>
        <v/>
      </c>
    </row>
    <row r="4062">
      <c r="A4062" t="inlineStr">
        <is>
          <t>PF104053</t>
        </is>
      </c>
      <c r="B4062" s="68" t="n">
        <v>46145</v>
      </c>
      <c r="C4062" s="69" t="n">
        <v>2026</v>
      </c>
      <c r="D4062" t="inlineStr">
        <is>
          <t>May</t>
        </is>
      </c>
      <c r="E4062" t="inlineStr">
        <is>
          <t>International developed</t>
        </is>
      </c>
      <c r="F4062" t="inlineStr">
        <is>
          <t>Australia</t>
        </is>
      </c>
      <c r="G4062" t="inlineStr">
        <is>
          <t>Ibrance</t>
        </is>
      </c>
      <c r="H4062" t="inlineStr">
        <is>
          <t>Hospital</t>
        </is>
      </c>
      <c r="I4062" t="inlineStr">
        <is>
          <t>Public payer</t>
        </is>
      </c>
      <c r="J4062" t="inlineStr">
        <is>
          <t>Shraddha Kulkarni</t>
        </is>
      </c>
      <c r="K4062" s="70" t="n">
        <v>135</v>
      </c>
      <c r="L4062" s="71" t="n">
        <v>2862.59</v>
      </c>
      <c r="M4062" s="71" t="n">
        <v>386449.65</v>
      </c>
      <c r="N4062" s="71" t="n">
        <v>77289.92999999999</v>
      </c>
      <c r="O4062" s="71" t="n">
        <v>309159.72</v>
      </c>
      <c r="P4062" s="71" t="n">
        <v>60549.91</v>
      </c>
      <c r="Q4062" s="71" t="n">
        <v>248609.81</v>
      </c>
      <c r="R4062" t="inlineStr">
        <is>
          <t>Oncology</t>
        </is>
      </c>
      <c r="S4062" s="70" t="n">
        <v>110</v>
      </c>
      <c r="T4062" s="71" t="n">
        <v>75040.64</v>
      </c>
      <c r="U4062" t="inlineStr">
        <is>
          <t>High</t>
        </is>
      </c>
      <c r="V4062">
        <f>IF(AND(OR(Dashboard!$C$6="All",E4062=Dashboard!$C$6),OR(Dashboard!$F$6="All",G4062=Dashboard!$F$6),OR(Dashboard!$I$6="All",H4062=Dashboard!$I$6)),1,0)</f>
        <v/>
      </c>
    </row>
    <row r="4063">
      <c r="A4063" t="inlineStr">
        <is>
          <t>PF104054</t>
        </is>
      </c>
      <c r="B4063" s="68" t="n">
        <v>46145</v>
      </c>
      <c r="C4063" s="69" t="n">
        <v>2026</v>
      </c>
      <c r="D4063" t="inlineStr">
        <is>
          <t>May</t>
        </is>
      </c>
      <c r="E4063" t="inlineStr">
        <is>
          <t>United States</t>
        </is>
      </c>
      <c r="F4063" t="inlineStr">
        <is>
          <t>USA</t>
        </is>
      </c>
      <c r="G4063" t="inlineStr">
        <is>
          <t>Vyndaqel</t>
        </is>
      </c>
      <c r="H4063" t="inlineStr">
        <is>
          <t>Retail pharmacy</t>
        </is>
      </c>
      <c r="I4063" t="inlineStr">
        <is>
          <t>Private insurer</t>
        </is>
      </c>
      <c r="J4063" t="inlineStr">
        <is>
          <t>Mei Lin</t>
        </is>
      </c>
      <c r="K4063" s="70" t="n">
        <v>3132</v>
      </c>
      <c r="L4063" s="71" t="n">
        <v>9373.290000000001</v>
      </c>
      <c r="M4063" s="71" t="n">
        <v>29357144.28</v>
      </c>
      <c r="N4063" s="71" t="n">
        <v>7339286.07</v>
      </c>
      <c r="O4063" s="71" t="n">
        <v>22017858.21</v>
      </c>
      <c r="P4063" s="71" t="n">
        <v>1983396.5</v>
      </c>
      <c r="Q4063" s="71" t="n">
        <v>20034461.71</v>
      </c>
      <c r="R4063" t="inlineStr">
        <is>
          <t>Rare disease</t>
        </is>
      </c>
      <c r="S4063" s="70" t="n">
        <v>1966</v>
      </c>
      <c r="T4063" s="71" t="n">
        <v>5700623.67</v>
      </c>
      <c r="U4063" t="inlineStr">
        <is>
          <t>Medium</t>
        </is>
      </c>
      <c r="V4063">
        <f>IF(AND(OR(Dashboard!$C$6="All",E4063=Dashboard!$C$6),OR(Dashboard!$F$6="All",G4063=Dashboard!$F$6),OR(Dashboard!$I$6="All",H4063=Dashboard!$I$6)),1,0)</f>
        <v/>
      </c>
    </row>
    <row r="4064">
      <c r="A4064" t="inlineStr">
        <is>
          <t>PF104055</t>
        </is>
      </c>
      <c r="B4064" s="68" t="n">
        <v>46145</v>
      </c>
      <c r="C4064" s="69" t="n">
        <v>2026</v>
      </c>
      <c r="D4064" t="inlineStr">
        <is>
          <t>May</t>
        </is>
      </c>
      <c r="E4064" t="inlineStr">
        <is>
          <t>Emerging markets</t>
        </is>
      </c>
      <c r="F4064" t="inlineStr">
        <is>
          <t>Brazil</t>
        </is>
      </c>
      <c r="G4064" t="inlineStr">
        <is>
          <t>Paxlovid</t>
        </is>
      </c>
      <c r="H4064" t="inlineStr">
        <is>
          <t>Government / tender</t>
        </is>
      </c>
      <c r="I4064" t="inlineStr">
        <is>
          <t>Public payer</t>
        </is>
      </c>
      <c r="J4064" t="inlineStr">
        <is>
          <t>Arjun Mehta</t>
        </is>
      </c>
      <c r="K4064" s="70" t="n">
        <v>889</v>
      </c>
      <c r="L4064" s="71" t="n">
        <v>1000.95</v>
      </c>
      <c r="M4064" s="71" t="n">
        <v>889844.55</v>
      </c>
      <c r="N4064" s="71" t="n">
        <v>222461.14</v>
      </c>
      <c r="O4064" s="71" t="n">
        <v>667383.41</v>
      </c>
      <c r="P4064" s="71" t="n">
        <v>241081.75</v>
      </c>
      <c r="Q4064" s="71" t="n">
        <v>426301.66</v>
      </c>
      <c r="R4064" t="inlineStr">
        <is>
          <t>Antiviral</t>
        </is>
      </c>
      <c r="S4064" s="70" t="n">
        <v>694</v>
      </c>
      <c r="T4064" s="71" t="n">
        <v>139590.17</v>
      </c>
      <c r="U4064" t="inlineStr">
        <is>
          <t>Low</t>
        </is>
      </c>
      <c r="V4064">
        <f>IF(AND(OR(Dashboard!$C$6="All",E4064=Dashboard!$C$6),OR(Dashboard!$F$6="All",G4064=Dashboard!$F$6),OR(Dashboard!$I$6="All",H4064=Dashboard!$I$6)),1,0)</f>
        <v/>
      </c>
    </row>
    <row r="4065">
      <c r="A4065" t="inlineStr">
        <is>
          <t>PF104056</t>
        </is>
      </c>
      <c r="B4065" s="68" t="n">
        <v>46145</v>
      </c>
      <c r="C4065" s="69" t="n">
        <v>2026</v>
      </c>
      <c r="D4065" t="inlineStr">
        <is>
          <t>May</t>
        </is>
      </c>
      <c r="E4065" t="inlineStr">
        <is>
          <t>Emerging markets</t>
        </is>
      </c>
      <c r="F4065" t="inlineStr">
        <is>
          <t>India</t>
        </is>
      </c>
      <c r="G4065" t="inlineStr">
        <is>
          <t>Prevnar 20</t>
        </is>
      </c>
      <c r="H4065" t="inlineStr">
        <is>
          <t>Hospital</t>
        </is>
      </c>
      <c r="I4065" t="inlineStr">
        <is>
          <t>Private insurer</t>
        </is>
      </c>
      <c r="J4065" t="inlineStr">
        <is>
          <t>Mei Lin</t>
        </is>
      </c>
      <c r="K4065" s="70" t="n">
        <v>823</v>
      </c>
      <c r="L4065" s="71" t="n">
        <v>252.42</v>
      </c>
      <c r="M4065" s="71" t="n">
        <v>207741.66</v>
      </c>
      <c r="N4065" s="71" t="n">
        <v>20774.17</v>
      </c>
      <c r="O4065" s="71" t="n">
        <v>186967.49</v>
      </c>
      <c r="P4065" s="71" t="n">
        <v>55113.57</v>
      </c>
      <c r="Q4065" s="71" t="n">
        <v>131853.92</v>
      </c>
      <c r="R4065" t="inlineStr">
        <is>
          <t>Vaccines</t>
        </is>
      </c>
      <c r="S4065" s="70" t="n">
        <v>748</v>
      </c>
      <c r="T4065" s="71" t="n">
        <v>39239.46</v>
      </c>
      <c r="U4065" t="inlineStr">
        <is>
          <t>Low</t>
        </is>
      </c>
      <c r="V4065">
        <f>IF(AND(OR(Dashboard!$C$6="All",E4065=Dashboard!$C$6),OR(Dashboard!$F$6="All",G4065=Dashboard!$F$6),OR(Dashboard!$I$6="All",H4065=Dashboard!$I$6)),1,0)</f>
        <v/>
      </c>
    </row>
    <row r="4066">
      <c r="A4066" t="inlineStr">
        <is>
          <t>PF104057</t>
        </is>
      </c>
      <c r="B4066" s="68" t="n">
        <v>46145</v>
      </c>
      <c r="C4066" s="69" t="n">
        <v>2026</v>
      </c>
      <c r="D4066" t="inlineStr">
        <is>
          <t>May</t>
        </is>
      </c>
      <c r="E4066" t="inlineStr">
        <is>
          <t>United States</t>
        </is>
      </c>
      <c r="F4066" t="inlineStr">
        <is>
          <t>USA</t>
        </is>
      </c>
      <c r="G4066" t="inlineStr">
        <is>
          <t>Prevnar 20</t>
        </is>
      </c>
      <c r="H4066" t="inlineStr">
        <is>
          <t>Hospital</t>
        </is>
      </c>
      <c r="I4066" t="inlineStr">
        <is>
          <t>Private insurer</t>
        </is>
      </c>
      <c r="J4066" t="inlineStr">
        <is>
          <t>Lucas Martin</t>
        </is>
      </c>
      <c r="K4066" s="70" t="n">
        <v>667</v>
      </c>
      <c r="L4066" s="71" t="n">
        <v>385.94</v>
      </c>
      <c r="M4066" s="71" t="n">
        <v>257421.98</v>
      </c>
      <c r="N4066" s="71" t="n">
        <v>64355.5</v>
      </c>
      <c r="O4066" s="71" t="n">
        <v>193066.48</v>
      </c>
      <c r="P4066" s="71" t="n">
        <v>45478.41</v>
      </c>
      <c r="Q4066" s="71" t="n">
        <v>147588.07</v>
      </c>
      <c r="R4066" t="inlineStr">
        <is>
          <t>Vaccines</t>
        </is>
      </c>
      <c r="S4066" s="70" t="n">
        <v>607</v>
      </c>
      <c r="T4066" s="71" t="n">
        <v>55441.78</v>
      </c>
      <c r="U4066" t="inlineStr">
        <is>
          <t>Low</t>
        </is>
      </c>
      <c r="V4066">
        <f>IF(AND(OR(Dashboard!$C$6="All",E4066=Dashboard!$C$6),OR(Dashboard!$F$6="All",G4066=Dashboard!$F$6),OR(Dashboard!$I$6="All",H4066=Dashboard!$I$6)),1,0)</f>
        <v/>
      </c>
    </row>
    <row r="4067">
      <c r="A4067" t="inlineStr">
        <is>
          <t>PF104058</t>
        </is>
      </c>
      <c r="B4067" s="68" t="n">
        <v>46146</v>
      </c>
      <c r="C4067" s="69" t="n">
        <v>2026</v>
      </c>
      <c r="D4067" t="inlineStr">
        <is>
          <t>May</t>
        </is>
      </c>
      <c r="E4067" t="inlineStr">
        <is>
          <t>Emerging markets</t>
        </is>
      </c>
      <c r="F4067" t="inlineStr">
        <is>
          <t>India</t>
        </is>
      </c>
      <c r="G4067" t="inlineStr">
        <is>
          <t>Paxlovid</t>
        </is>
      </c>
      <c r="H4067" t="inlineStr">
        <is>
          <t>Government / tender</t>
        </is>
      </c>
      <c r="I4067" t="inlineStr">
        <is>
          <t>Private insurer</t>
        </is>
      </c>
      <c r="J4067" t="inlineStr">
        <is>
          <t>Noah Smith</t>
        </is>
      </c>
      <c r="K4067" s="70" t="n">
        <v>1513</v>
      </c>
      <c r="L4067" s="71" t="n">
        <v>1009.25</v>
      </c>
      <c r="M4067" s="71" t="n">
        <v>1526995.25</v>
      </c>
      <c r="N4067" s="71" t="n">
        <v>152699.52</v>
      </c>
      <c r="O4067" s="71" t="n">
        <v>1374295.73</v>
      </c>
      <c r="P4067" s="71" t="n">
        <v>415058.52</v>
      </c>
      <c r="Q4067" s="71" t="n">
        <v>959237.21</v>
      </c>
      <c r="R4067" t="inlineStr">
        <is>
          <t>Antiviral</t>
        </is>
      </c>
      <c r="S4067" s="70" t="n">
        <v>1423</v>
      </c>
      <c r="T4067" s="71" t="n">
        <v>274598.81</v>
      </c>
      <c r="U4067" t="inlineStr">
        <is>
          <t>Low</t>
        </is>
      </c>
      <c r="V4067">
        <f>IF(AND(OR(Dashboard!$C$6="All",E4067=Dashboard!$C$6),OR(Dashboard!$F$6="All",G4067=Dashboard!$F$6),OR(Dashboard!$I$6="All",H4067=Dashboard!$I$6)),1,0)</f>
        <v/>
      </c>
    </row>
    <row r="4068">
      <c r="A4068" t="inlineStr">
        <is>
          <t>PF104059</t>
        </is>
      </c>
      <c r="B4068" s="68" t="n">
        <v>46146</v>
      </c>
      <c r="C4068" s="69" t="n">
        <v>2026</v>
      </c>
      <c r="D4068" t="inlineStr">
        <is>
          <t>May</t>
        </is>
      </c>
      <c r="E4068" t="inlineStr">
        <is>
          <t>Europe</t>
        </is>
      </c>
      <c r="F4068" t="inlineStr">
        <is>
          <t>Germany</t>
        </is>
      </c>
      <c r="G4068" t="inlineStr">
        <is>
          <t>Paxlovid</t>
        </is>
      </c>
      <c r="H4068" t="inlineStr">
        <is>
          <t>Government / tender</t>
        </is>
      </c>
      <c r="I4068" t="inlineStr">
        <is>
          <t>Public payer</t>
        </is>
      </c>
      <c r="J4068" t="inlineStr">
        <is>
          <t>Ravindra Patil</t>
        </is>
      </c>
      <c r="K4068" s="70" t="n">
        <v>425</v>
      </c>
      <c r="L4068" s="71" t="n">
        <v>859.13</v>
      </c>
      <c r="M4068" s="71" t="n">
        <v>365130.25</v>
      </c>
      <c r="N4068" s="71" t="n">
        <v>54769.54</v>
      </c>
      <c r="O4068" s="71" t="n">
        <v>310360.71</v>
      </c>
      <c r="P4068" s="71" t="n">
        <v>113275.34</v>
      </c>
      <c r="Q4068" s="71" t="n">
        <v>197085.37</v>
      </c>
      <c r="R4068" t="inlineStr">
        <is>
          <t>Antiviral</t>
        </is>
      </c>
      <c r="S4068" s="70" t="n">
        <v>327</v>
      </c>
      <c r="T4068" s="71" t="n">
        <v>62609.33</v>
      </c>
      <c r="U4068" t="inlineStr">
        <is>
          <t>Low</t>
        </is>
      </c>
      <c r="V4068">
        <f>IF(AND(OR(Dashboard!$C$6="All",E4068=Dashboard!$C$6),OR(Dashboard!$F$6="All",G4068=Dashboard!$F$6),OR(Dashboard!$I$6="All",H4068=Dashboard!$I$6)),1,0)</f>
        <v/>
      </c>
    </row>
    <row r="4069">
      <c r="A4069" t="inlineStr">
        <is>
          <t>PF104060</t>
        </is>
      </c>
      <c r="B4069" s="68" t="n">
        <v>46146</v>
      </c>
      <c r="C4069" s="69" t="n">
        <v>2026</v>
      </c>
      <c r="D4069" t="inlineStr">
        <is>
          <t>May</t>
        </is>
      </c>
      <c r="E4069" t="inlineStr">
        <is>
          <t>United States</t>
        </is>
      </c>
      <c r="F4069" t="inlineStr">
        <is>
          <t>USA</t>
        </is>
      </c>
      <c r="G4069" t="inlineStr">
        <is>
          <t>Vyndaqel</t>
        </is>
      </c>
      <c r="H4069" t="inlineStr">
        <is>
          <t>Retail pharmacy</t>
        </is>
      </c>
      <c r="I4069" t="inlineStr">
        <is>
          <t>Self-pay</t>
        </is>
      </c>
      <c r="J4069" t="inlineStr">
        <is>
          <t>Lucas Martin</t>
        </is>
      </c>
      <c r="K4069" s="70" t="n">
        <v>2438</v>
      </c>
      <c r="L4069" s="71" t="n">
        <v>8640.540000000001</v>
      </c>
      <c r="M4069" s="71" t="n">
        <v>21065636.52</v>
      </c>
      <c r="N4069" s="71" t="n">
        <v>4213127.3</v>
      </c>
      <c r="O4069" s="71" t="n">
        <v>16852509.22</v>
      </c>
      <c r="P4069" s="71" t="n">
        <v>1517502.88</v>
      </c>
      <c r="Q4069" s="71" t="n">
        <v>15335006.34</v>
      </c>
      <c r="R4069" t="inlineStr">
        <is>
          <t>Rare disease</t>
        </is>
      </c>
      <c r="S4069" s="70" t="n">
        <v>2357</v>
      </c>
      <c r="T4069" s="71" t="n">
        <v>4166598.36</v>
      </c>
      <c r="U4069" t="inlineStr">
        <is>
          <t>Medium</t>
        </is>
      </c>
      <c r="V4069">
        <f>IF(AND(OR(Dashboard!$C$6="All",E4069=Dashboard!$C$6),OR(Dashboard!$F$6="All",G4069=Dashboard!$F$6),OR(Dashboard!$I$6="All",H4069=Dashboard!$I$6)),1,0)</f>
        <v/>
      </c>
    </row>
    <row r="4070">
      <c r="A4070" t="inlineStr">
        <is>
          <t>PF104061</t>
        </is>
      </c>
      <c r="B4070" s="68" t="n">
        <v>46146</v>
      </c>
      <c r="C4070" s="69" t="n">
        <v>2026</v>
      </c>
      <c r="D4070" t="inlineStr">
        <is>
          <t>May</t>
        </is>
      </c>
      <c r="E4070" t="inlineStr">
        <is>
          <t>Emerging markets</t>
        </is>
      </c>
      <c r="F4070" t="inlineStr">
        <is>
          <t>Mexico</t>
        </is>
      </c>
      <c r="G4070" t="inlineStr">
        <is>
          <t>Eliquis</t>
        </is>
      </c>
      <c r="H4070" t="inlineStr">
        <is>
          <t>Government / tender</t>
        </is>
      </c>
      <c r="I4070" t="inlineStr">
        <is>
          <t>Public payer</t>
        </is>
      </c>
      <c r="J4070" t="inlineStr">
        <is>
          <t>Noah Smith</t>
        </is>
      </c>
      <c r="K4070" s="70" t="n">
        <v>1691</v>
      </c>
      <c r="L4070" s="71" t="n">
        <v>455.24</v>
      </c>
      <c r="M4070" s="71" t="n">
        <v>769810.84</v>
      </c>
      <c r="N4070" s="71" t="n">
        <v>38490.54</v>
      </c>
      <c r="O4070" s="71" t="n">
        <v>731320.3</v>
      </c>
      <c r="P4070" s="71" t="n">
        <v>127942.35</v>
      </c>
      <c r="Q4070" s="71" t="n">
        <v>603377.95</v>
      </c>
      <c r="R4070" t="inlineStr">
        <is>
          <t>Cardiology</t>
        </is>
      </c>
      <c r="S4070" s="70" t="n">
        <v>1330</v>
      </c>
      <c r="T4070" s="71" t="n">
        <v>138451.99</v>
      </c>
      <c r="U4070" t="inlineStr">
        <is>
          <t>High</t>
        </is>
      </c>
      <c r="V4070">
        <f>IF(AND(OR(Dashboard!$C$6="All",E4070=Dashboard!$C$6),OR(Dashboard!$F$6="All",G4070=Dashboard!$F$6),OR(Dashboard!$I$6="All",H4070=Dashboard!$I$6)),1,0)</f>
        <v/>
      </c>
    </row>
    <row r="4071">
      <c r="A4071" t="inlineStr">
        <is>
          <t>PF104062</t>
        </is>
      </c>
      <c r="B4071" s="68" t="n">
        <v>46146</v>
      </c>
      <c r="C4071" s="69" t="n">
        <v>2026</v>
      </c>
      <c r="D4071" t="inlineStr">
        <is>
          <t>May</t>
        </is>
      </c>
      <c r="E4071" t="inlineStr">
        <is>
          <t>Emerging markets</t>
        </is>
      </c>
      <c r="F4071" t="inlineStr">
        <is>
          <t>Brazil</t>
        </is>
      </c>
      <c r="G4071" t="inlineStr">
        <is>
          <t>Prevnar 20</t>
        </is>
      </c>
      <c r="H4071" t="inlineStr">
        <is>
          <t>Government / tender</t>
        </is>
      </c>
      <c r="I4071" t="inlineStr">
        <is>
          <t>Public payer</t>
        </is>
      </c>
      <c r="J4071" t="inlineStr">
        <is>
          <t>Amir Khan</t>
        </is>
      </c>
      <c r="K4071" s="70" t="n">
        <v>56</v>
      </c>
      <c r="L4071" s="71" t="n">
        <v>227.04</v>
      </c>
      <c r="M4071" s="71" t="n">
        <v>12714.24</v>
      </c>
      <c r="N4071" s="71" t="n">
        <v>3178.56</v>
      </c>
      <c r="O4071" s="71" t="n">
        <v>9535.68</v>
      </c>
      <c r="P4071" s="71" t="n">
        <v>3883.48</v>
      </c>
      <c r="Q4071" s="71" t="n">
        <v>5652.2</v>
      </c>
      <c r="R4071" t="inlineStr">
        <is>
          <t>Vaccines</t>
        </is>
      </c>
      <c r="S4071" s="70" t="n">
        <v>53</v>
      </c>
      <c r="T4071" s="71" t="n">
        <v>1730.14</v>
      </c>
      <c r="U4071" t="inlineStr">
        <is>
          <t>Low</t>
        </is>
      </c>
      <c r="V4071">
        <f>IF(AND(OR(Dashboard!$C$6="All",E4071=Dashboard!$C$6),OR(Dashboard!$F$6="All",G4071=Dashboard!$F$6),OR(Dashboard!$I$6="All",H4071=Dashboard!$I$6)),1,0)</f>
        <v/>
      </c>
    </row>
    <row r="4072">
      <c r="A4072" t="inlineStr">
        <is>
          <t>PF104063</t>
        </is>
      </c>
      <c r="B4072" s="68" t="n">
        <v>46146</v>
      </c>
      <c r="C4072" s="69" t="n">
        <v>2026</v>
      </c>
      <c r="D4072" t="inlineStr">
        <is>
          <t>May</t>
        </is>
      </c>
      <c r="E4072" t="inlineStr">
        <is>
          <t>International developed</t>
        </is>
      </c>
      <c r="F4072" t="inlineStr">
        <is>
          <t>Japan</t>
        </is>
      </c>
      <c r="G4072" t="inlineStr">
        <is>
          <t>Eliquis</t>
        </is>
      </c>
      <c r="H4072" t="inlineStr">
        <is>
          <t>Retail pharmacy</t>
        </is>
      </c>
      <c r="I4072" t="inlineStr">
        <is>
          <t>Public payer</t>
        </is>
      </c>
      <c r="J4072" t="inlineStr">
        <is>
          <t>Ana Costa</t>
        </is>
      </c>
      <c r="K4072" s="70" t="n">
        <v>1787</v>
      </c>
      <c r="L4072" s="71" t="n">
        <v>411.34</v>
      </c>
      <c r="M4072" s="71" t="n">
        <v>735064.58</v>
      </c>
      <c r="N4072" s="71" t="n">
        <v>110259.69</v>
      </c>
      <c r="O4072" s="71" t="n">
        <v>624804.89</v>
      </c>
      <c r="P4072" s="71" t="n">
        <v>134303.47</v>
      </c>
      <c r="Q4072" s="71" t="n">
        <v>490501.42</v>
      </c>
      <c r="R4072" t="inlineStr">
        <is>
          <t>Cardiology</t>
        </is>
      </c>
      <c r="S4072" s="70" t="n">
        <v>1291</v>
      </c>
      <c r="T4072" s="71" t="n">
        <v>107476.72</v>
      </c>
      <c r="U4072" t="inlineStr">
        <is>
          <t>High</t>
        </is>
      </c>
      <c r="V4072">
        <f>IF(AND(OR(Dashboard!$C$6="All",E4072=Dashboard!$C$6),OR(Dashboard!$F$6="All",G4072=Dashboard!$F$6),OR(Dashboard!$I$6="All",H4072=Dashboard!$I$6)),1,0)</f>
        <v/>
      </c>
    </row>
    <row r="4073">
      <c r="A4073" t="inlineStr">
        <is>
          <t>PF104064</t>
        </is>
      </c>
      <c r="B4073" s="68" t="n">
        <v>46146</v>
      </c>
      <c r="C4073" s="69" t="n">
        <v>2026</v>
      </c>
      <c r="D4073" t="inlineStr">
        <is>
          <t>May</t>
        </is>
      </c>
      <c r="E4073" t="inlineStr">
        <is>
          <t>Emerging markets</t>
        </is>
      </c>
      <c r="F4073" t="inlineStr">
        <is>
          <t>China</t>
        </is>
      </c>
      <c r="G4073" t="inlineStr">
        <is>
          <t>Comirnaty</t>
        </is>
      </c>
      <c r="H4073" t="inlineStr">
        <is>
          <t>Retail pharmacy</t>
        </is>
      </c>
      <c r="I4073" t="inlineStr">
        <is>
          <t>Private insurer</t>
        </is>
      </c>
      <c r="J4073" t="inlineStr">
        <is>
          <t>Hiroshi Tanaka</t>
        </is>
      </c>
      <c r="K4073" s="70" t="n">
        <v>832</v>
      </c>
      <c r="L4073" s="71" t="n">
        <v>93.73999999999999</v>
      </c>
      <c r="M4073" s="71" t="n">
        <v>77991.67999999999</v>
      </c>
      <c r="N4073" s="71" t="n">
        <v>3899.58</v>
      </c>
      <c r="O4073" s="71" t="n">
        <v>74092.10000000001</v>
      </c>
      <c r="P4073" s="71" t="n">
        <v>31973.13</v>
      </c>
      <c r="Q4073" s="71" t="n">
        <v>42118.97</v>
      </c>
      <c r="R4073" t="inlineStr">
        <is>
          <t>Vaccines</t>
        </is>
      </c>
      <c r="S4073" s="70" t="n">
        <v>595</v>
      </c>
      <c r="T4073" s="71" t="n">
        <v>15515.23</v>
      </c>
      <c r="U4073" t="inlineStr">
        <is>
          <t>Low</t>
        </is>
      </c>
      <c r="V4073">
        <f>IF(AND(OR(Dashboard!$C$6="All",E4073=Dashboard!$C$6),OR(Dashboard!$F$6="All",G4073=Dashboard!$F$6),OR(Dashboard!$I$6="All",H4073=Dashboard!$I$6)),1,0)</f>
        <v/>
      </c>
    </row>
    <row r="4074">
      <c r="A4074" t="inlineStr">
        <is>
          <t>PF104065</t>
        </is>
      </c>
      <c r="B4074" s="68" t="n">
        <v>46146</v>
      </c>
      <c r="C4074" s="69" t="n">
        <v>2026</v>
      </c>
      <c r="D4074" t="inlineStr">
        <is>
          <t>May</t>
        </is>
      </c>
      <c r="E4074" t="inlineStr">
        <is>
          <t>United States</t>
        </is>
      </c>
      <c r="F4074" t="inlineStr">
        <is>
          <t>USA</t>
        </is>
      </c>
      <c r="G4074" t="inlineStr">
        <is>
          <t>Comirnaty</t>
        </is>
      </c>
      <c r="H4074" t="inlineStr">
        <is>
          <t>Retail pharmacy</t>
        </is>
      </c>
      <c r="I4074" t="inlineStr">
        <is>
          <t>Public payer</t>
        </is>
      </c>
      <c r="J4074" t="inlineStr">
        <is>
          <t>Sophie Müller</t>
        </is>
      </c>
      <c r="K4074" s="70" t="n">
        <v>2324</v>
      </c>
      <c r="L4074" s="71" t="n">
        <v>151.22</v>
      </c>
      <c r="M4074" s="71" t="n">
        <v>351435.28</v>
      </c>
      <c r="N4074" s="71" t="n">
        <v>52715.29</v>
      </c>
      <c r="O4074" s="71" t="n">
        <v>298719.99</v>
      </c>
      <c r="P4074" s="71" t="n">
        <v>88496.36</v>
      </c>
      <c r="Q4074" s="71" t="n">
        <v>210223.63</v>
      </c>
      <c r="R4074" t="inlineStr">
        <is>
          <t>Vaccines</t>
        </is>
      </c>
      <c r="S4074" s="70" t="n">
        <v>1923</v>
      </c>
      <c r="T4074" s="71" t="n">
        <v>87287.09</v>
      </c>
      <c r="U4074" t="inlineStr">
        <is>
          <t>Low</t>
        </is>
      </c>
      <c r="V4074">
        <f>IF(AND(OR(Dashboard!$C$6="All",E4074=Dashboard!$C$6),OR(Dashboard!$F$6="All",G4074=Dashboard!$F$6),OR(Dashboard!$I$6="All",H4074=Dashboard!$I$6)),1,0)</f>
        <v/>
      </c>
    </row>
    <row r="4075">
      <c r="A4075" t="inlineStr">
        <is>
          <t>PF104066</t>
        </is>
      </c>
      <c r="B4075" s="68" t="n">
        <v>46146</v>
      </c>
      <c r="C4075" s="69" t="n">
        <v>2026</v>
      </c>
      <c r="D4075" t="inlineStr">
        <is>
          <t>May</t>
        </is>
      </c>
      <c r="E4075" t="inlineStr">
        <is>
          <t>United States</t>
        </is>
      </c>
      <c r="F4075" t="inlineStr">
        <is>
          <t>USA</t>
        </is>
      </c>
      <c r="G4075" t="inlineStr">
        <is>
          <t>Eliquis</t>
        </is>
      </c>
      <c r="H4075" t="inlineStr">
        <is>
          <t>Retail pharmacy</t>
        </is>
      </c>
      <c r="I4075" t="inlineStr">
        <is>
          <t>Public payer</t>
        </is>
      </c>
      <c r="J4075" t="inlineStr">
        <is>
          <t>Sara Rossi</t>
        </is>
      </c>
      <c r="K4075" s="70" t="n">
        <v>2615</v>
      </c>
      <c r="L4075" s="71" t="n">
        <v>626.3</v>
      </c>
      <c r="M4075" s="71" t="n">
        <v>1637774.5</v>
      </c>
      <c r="N4075" s="71" t="n">
        <v>573221.0699999999</v>
      </c>
      <c r="O4075" s="71" t="n">
        <v>1064553.43</v>
      </c>
      <c r="P4075" s="71" t="n">
        <v>202769.81</v>
      </c>
      <c r="Q4075" s="71" t="n">
        <v>861783.62</v>
      </c>
      <c r="R4075" t="inlineStr">
        <is>
          <t>Cardiology</t>
        </is>
      </c>
      <c r="S4075" s="70" t="n">
        <v>1807</v>
      </c>
      <c r="T4075" s="71" t="n">
        <v>200373.39</v>
      </c>
      <c r="U4075" t="inlineStr">
        <is>
          <t>High</t>
        </is>
      </c>
      <c r="V4075">
        <f>IF(AND(OR(Dashboard!$C$6="All",E4075=Dashboard!$C$6),OR(Dashboard!$F$6="All",G4075=Dashboard!$F$6),OR(Dashboard!$I$6="All",H4075=Dashboard!$I$6)),1,0)</f>
        <v/>
      </c>
    </row>
    <row r="4076">
      <c r="A4076" t="inlineStr">
        <is>
          <t>PF104067</t>
        </is>
      </c>
      <c r="B4076" s="68" t="n">
        <v>46146</v>
      </c>
      <c r="C4076" s="69" t="n">
        <v>2026</v>
      </c>
      <c r="D4076" t="inlineStr">
        <is>
          <t>May</t>
        </is>
      </c>
      <c r="E4076" t="inlineStr">
        <is>
          <t>Europe</t>
        </is>
      </c>
      <c r="F4076" t="inlineStr">
        <is>
          <t>Italy</t>
        </is>
      </c>
      <c r="G4076" t="inlineStr">
        <is>
          <t>Prevnar 20</t>
        </is>
      </c>
      <c r="H4076" t="inlineStr">
        <is>
          <t>Retail pharmacy</t>
        </is>
      </c>
      <c r="I4076" t="inlineStr">
        <is>
          <t>Public payer</t>
        </is>
      </c>
      <c r="J4076" t="inlineStr">
        <is>
          <t>Omar Haddad</t>
        </is>
      </c>
      <c r="K4076" s="70" t="n">
        <v>1664</v>
      </c>
      <c r="L4076" s="71" t="n">
        <v>221.19</v>
      </c>
      <c r="M4076" s="71" t="n">
        <v>368060.16</v>
      </c>
      <c r="N4076" s="71" t="n">
        <v>36806.02</v>
      </c>
      <c r="O4076" s="71" t="n">
        <v>331254.14</v>
      </c>
      <c r="P4076" s="71" t="n">
        <v>112290.61</v>
      </c>
      <c r="Q4076" s="71" t="n">
        <v>218963.53</v>
      </c>
      <c r="R4076" t="inlineStr">
        <is>
          <t>Vaccines</t>
        </is>
      </c>
      <c r="S4076" s="70" t="n">
        <v>1481</v>
      </c>
      <c r="T4076" s="71" t="n">
        <v>61090.36</v>
      </c>
      <c r="U4076" t="inlineStr">
        <is>
          <t>Low</t>
        </is>
      </c>
      <c r="V4076">
        <f>IF(AND(OR(Dashboard!$C$6="All",E4076=Dashboard!$C$6),OR(Dashboard!$F$6="All",G4076=Dashboard!$F$6),OR(Dashboard!$I$6="All",H4076=Dashboard!$I$6)),1,0)</f>
        <v/>
      </c>
    </row>
    <row r="4077">
      <c r="A4077" t="inlineStr">
        <is>
          <t>PF104068</t>
        </is>
      </c>
      <c r="B4077" s="68" t="n">
        <v>46146</v>
      </c>
      <c r="C4077" s="69" t="n">
        <v>2026</v>
      </c>
      <c r="D4077" t="inlineStr">
        <is>
          <t>May</t>
        </is>
      </c>
      <c r="E4077" t="inlineStr">
        <is>
          <t>Europe</t>
        </is>
      </c>
      <c r="F4077" t="inlineStr">
        <is>
          <t>Italy</t>
        </is>
      </c>
      <c r="G4077" t="inlineStr">
        <is>
          <t>Eliquis</t>
        </is>
      </c>
      <c r="H4077" t="inlineStr">
        <is>
          <t>Hospital</t>
        </is>
      </c>
      <c r="I4077" t="inlineStr">
        <is>
          <t>Self-pay</t>
        </is>
      </c>
      <c r="J4077" t="inlineStr">
        <is>
          <t>Sara Rossi</t>
        </is>
      </c>
      <c r="K4077" s="70" t="n">
        <v>2662</v>
      </c>
      <c r="L4077" s="71" t="n">
        <v>419.22</v>
      </c>
      <c r="M4077" s="71" t="n">
        <v>1115963.64</v>
      </c>
      <c r="N4077" s="71" t="n">
        <v>167394.55</v>
      </c>
      <c r="O4077" s="71" t="n">
        <v>948569.09</v>
      </c>
      <c r="P4077" s="71" t="n">
        <v>206163.26</v>
      </c>
      <c r="Q4077" s="71" t="n">
        <v>742405.83</v>
      </c>
      <c r="R4077" t="inlineStr">
        <is>
          <t>Cardiology</t>
        </is>
      </c>
      <c r="S4077" s="70" t="n">
        <v>1822</v>
      </c>
      <c r="T4077" s="71" t="n">
        <v>235855.45</v>
      </c>
      <c r="U4077" t="inlineStr">
        <is>
          <t>High</t>
        </is>
      </c>
      <c r="V4077">
        <f>IF(AND(OR(Dashboard!$C$6="All",E4077=Dashboard!$C$6),OR(Dashboard!$F$6="All",G4077=Dashboard!$F$6),OR(Dashboard!$I$6="All",H4077=Dashboard!$I$6)),1,0)</f>
        <v/>
      </c>
    </row>
    <row r="4078">
      <c r="A4078" t="inlineStr">
        <is>
          <t>PF104069</t>
        </is>
      </c>
      <c r="B4078" s="68" t="n">
        <v>46146</v>
      </c>
      <c r="C4078" s="69" t="n">
        <v>2026</v>
      </c>
      <c r="D4078" t="inlineStr">
        <is>
          <t>May</t>
        </is>
      </c>
      <c r="E4078" t="inlineStr">
        <is>
          <t>Europe</t>
        </is>
      </c>
      <c r="F4078" t="inlineStr">
        <is>
          <t>Spain</t>
        </is>
      </c>
      <c r="G4078" t="inlineStr">
        <is>
          <t>Prevnar 20</t>
        </is>
      </c>
      <c r="H4078" t="inlineStr">
        <is>
          <t>Government / tender</t>
        </is>
      </c>
      <c r="I4078" t="inlineStr">
        <is>
          <t>Private insurer</t>
        </is>
      </c>
      <c r="J4078" t="inlineStr">
        <is>
          <t>Yuki Sato</t>
        </is>
      </c>
      <c r="K4078" s="70" t="n">
        <v>2100</v>
      </c>
      <c r="L4078" s="71" t="n">
        <v>229.79</v>
      </c>
      <c r="M4078" s="71" t="n">
        <v>482559</v>
      </c>
      <c r="N4078" s="71" t="n">
        <v>48255.9</v>
      </c>
      <c r="O4078" s="71" t="n">
        <v>434303.1</v>
      </c>
      <c r="P4078" s="71" t="n">
        <v>139227.47</v>
      </c>
      <c r="Q4078" s="71" t="n">
        <v>295075.63</v>
      </c>
      <c r="R4078" t="inlineStr">
        <is>
          <t>Vaccines</t>
        </is>
      </c>
      <c r="S4078" s="70" t="n">
        <v>1708</v>
      </c>
      <c r="T4078" s="71" t="n">
        <v>84533.92999999999</v>
      </c>
      <c r="U4078" t="inlineStr">
        <is>
          <t>Low</t>
        </is>
      </c>
      <c r="V4078">
        <f>IF(AND(OR(Dashboard!$C$6="All",E4078=Dashboard!$C$6),OR(Dashboard!$F$6="All",G4078=Dashboard!$F$6),OR(Dashboard!$I$6="All",H4078=Dashboard!$I$6)),1,0)</f>
        <v/>
      </c>
    </row>
    <row r="4079">
      <c r="A4079" t="inlineStr">
        <is>
          <t>PF104070</t>
        </is>
      </c>
      <c r="B4079" s="68" t="n">
        <v>46147</v>
      </c>
      <c r="C4079" s="69" t="n">
        <v>2026</v>
      </c>
      <c r="D4079" t="inlineStr">
        <is>
          <t>May</t>
        </is>
      </c>
      <c r="E4079" t="inlineStr">
        <is>
          <t>United States</t>
        </is>
      </c>
      <c r="F4079" t="inlineStr">
        <is>
          <t>USA</t>
        </is>
      </c>
      <c r="G4079" t="inlineStr">
        <is>
          <t>Comirnaty</t>
        </is>
      </c>
      <c r="H4079" t="inlineStr">
        <is>
          <t>Hospital</t>
        </is>
      </c>
      <c r="I4079" t="inlineStr">
        <is>
          <t>Public payer</t>
        </is>
      </c>
      <c r="J4079" t="inlineStr">
        <is>
          <t>Kofi Mensah</t>
        </is>
      </c>
      <c r="K4079" s="70" t="n">
        <v>2124</v>
      </c>
      <c r="L4079" s="71" t="n">
        <v>153.8</v>
      </c>
      <c r="M4079" s="71" t="n">
        <v>326671.2</v>
      </c>
      <c r="N4079" s="71" t="n">
        <v>114334.92</v>
      </c>
      <c r="O4079" s="71" t="n">
        <v>212336.28</v>
      </c>
      <c r="P4079" s="71" t="n">
        <v>79954</v>
      </c>
      <c r="Q4079" s="71" t="n">
        <v>132382.28</v>
      </c>
      <c r="R4079" t="inlineStr">
        <is>
          <t>Vaccines</t>
        </is>
      </c>
      <c r="S4079" s="70" t="n">
        <v>1467</v>
      </c>
      <c r="T4079" s="71" t="n">
        <v>51064.13</v>
      </c>
      <c r="U4079" t="inlineStr">
        <is>
          <t>Low</t>
        </is>
      </c>
      <c r="V4079">
        <f>IF(AND(OR(Dashboard!$C$6="All",E4079=Dashboard!$C$6),OR(Dashboard!$F$6="All",G4079=Dashboard!$F$6),OR(Dashboard!$I$6="All",H4079=Dashboard!$I$6)),1,0)</f>
        <v/>
      </c>
    </row>
    <row r="4080">
      <c r="A4080" t="inlineStr">
        <is>
          <t>PF104071</t>
        </is>
      </c>
      <c r="B4080" s="68" t="n">
        <v>46147</v>
      </c>
      <c r="C4080" s="69" t="n">
        <v>2026</v>
      </c>
      <c r="D4080" t="inlineStr">
        <is>
          <t>May</t>
        </is>
      </c>
      <c r="E4080" t="inlineStr">
        <is>
          <t>United States</t>
        </is>
      </c>
      <c r="F4080" t="inlineStr">
        <is>
          <t>USA</t>
        </is>
      </c>
      <c r="G4080" t="inlineStr">
        <is>
          <t>Eliquis</t>
        </is>
      </c>
      <c r="H4080" t="inlineStr">
        <is>
          <t>Hospital</t>
        </is>
      </c>
      <c r="I4080" t="inlineStr">
        <is>
          <t>Self-pay</t>
        </is>
      </c>
      <c r="J4080" t="inlineStr">
        <is>
          <t>Wei Chen</t>
        </is>
      </c>
      <c r="K4080" s="70" t="n">
        <v>662</v>
      </c>
      <c r="L4080" s="71" t="n">
        <v>734.61</v>
      </c>
      <c r="M4080" s="71" t="n">
        <v>486311.82</v>
      </c>
      <c r="N4080" s="71" t="n">
        <v>72946.77</v>
      </c>
      <c r="O4080" s="71" t="n">
        <v>413365.05</v>
      </c>
      <c r="P4080" s="71" t="n">
        <v>48059.66</v>
      </c>
      <c r="Q4080" s="71" t="n">
        <v>365305.39</v>
      </c>
      <c r="R4080" t="inlineStr">
        <is>
          <t>Cardiology</t>
        </is>
      </c>
      <c r="S4080" s="70" t="n">
        <v>502</v>
      </c>
      <c r="T4080" s="71" t="n">
        <v>91152.92999999999</v>
      </c>
      <c r="U4080" t="inlineStr">
        <is>
          <t>High</t>
        </is>
      </c>
      <c r="V4080">
        <f>IF(AND(OR(Dashboard!$C$6="All",E4080=Dashboard!$C$6),OR(Dashboard!$F$6="All",G4080=Dashboard!$F$6),OR(Dashboard!$I$6="All",H4080=Dashboard!$I$6)),1,0)</f>
        <v/>
      </c>
    </row>
    <row r="4081">
      <c r="A4081" t="inlineStr">
        <is>
          <t>PF104072</t>
        </is>
      </c>
      <c r="B4081" s="68" t="n">
        <v>46147</v>
      </c>
      <c r="C4081" s="69" t="n">
        <v>2026</v>
      </c>
      <c r="D4081" t="inlineStr">
        <is>
          <t>May</t>
        </is>
      </c>
      <c r="E4081" t="inlineStr">
        <is>
          <t>United States</t>
        </is>
      </c>
      <c r="F4081" t="inlineStr">
        <is>
          <t>USA</t>
        </is>
      </c>
      <c r="G4081" t="inlineStr">
        <is>
          <t>Xeljanz</t>
        </is>
      </c>
      <c r="H4081" t="inlineStr">
        <is>
          <t>Government / tender</t>
        </is>
      </c>
      <c r="I4081" t="inlineStr">
        <is>
          <t>Public payer</t>
        </is>
      </c>
      <c r="J4081" t="inlineStr">
        <is>
          <t>Ruhi Shaikh</t>
        </is>
      </c>
      <c r="K4081" s="70" t="n">
        <v>1033</v>
      </c>
      <c r="L4081" s="71" t="n">
        <v>2311.67</v>
      </c>
      <c r="M4081" s="71" t="n">
        <v>2387955.11</v>
      </c>
      <c r="N4081" s="71" t="n">
        <v>477591.02</v>
      </c>
      <c r="O4081" s="71" t="n">
        <v>1910364.09</v>
      </c>
      <c r="P4081" s="71" t="n">
        <v>261094.11</v>
      </c>
      <c r="Q4081" s="71" t="n">
        <v>1649269.98</v>
      </c>
      <c r="R4081" t="inlineStr">
        <is>
          <t>Inflammation</t>
        </is>
      </c>
      <c r="S4081" s="70" t="n">
        <v>716</v>
      </c>
      <c r="T4081" s="71" t="n">
        <v>364171.18</v>
      </c>
      <c r="U4081" t="inlineStr">
        <is>
          <t>High</t>
        </is>
      </c>
      <c r="V4081">
        <f>IF(AND(OR(Dashboard!$C$6="All",E4081=Dashboard!$C$6),OR(Dashboard!$F$6="All",G4081=Dashboard!$F$6),OR(Dashboard!$I$6="All",H4081=Dashboard!$I$6)),1,0)</f>
        <v/>
      </c>
    </row>
    <row r="4082">
      <c r="A4082" t="inlineStr">
        <is>
          <t>PF104073</t>
        </is>
      </c>
      <c r="B4082" s="68" t="n">
        <v>46147</v>
      </c>
      <c r="C4082" s="69" t="n">
        <v>2026</v>
      </c>
      <c r="D4082" t="inlineStr">
        <is>
          <t>May</t>
        </is>
      </c>
      <c r="E4082" t="inlineStr">
        <is>
          <t>United States</t>
        </is>
      </c>
      <c r="F4082" t="inlineStr">
        <is>
          <t>USA</t>
        </is>
      </c>
      <c r="G4082" t="inlineStr">
        <is>
          <t>Prevnar 20</t>
        </is>
      </c>
      <c r="H4082" t="inlineStr">
        <is>
          <t>Hospital</t>
        </is>
      </c>
      <c r="I4082" t="inlineStr">
        <is>
          <t>Private insurer</t>
        </is>
      </c>
      <c r="J4082" t="inlineStr">
        <is>
          <t>Amir Khan</t>
        </is>
      </c>
      <c r="K4082" s="70" t="n">
        <v>2729</v>
      </c>
      <c r="L4082" s="71" t="n">
        <v>403.47</v>
      </c>
      <c r="M4082" s="71" t="n">
        <v>1101069.63</v>
      </c>
      <c r="N4082" s="71" t="n">
        <v>330320.89</v>
      </c>
      <c r="O4082" s="71" t="n">
        <v>770748.74</v>
      </c>
      <c r="P4082" s="71" t="n">
        <v>189543.15</v>
      </c>
      <c r="Q4082" s="71" t="n">
        <v>581205.59</v>
      </c>
      <c r="R4082" t="inlineStr">
        <is>
          <t>Vaccines</t>
        </is>
      </c>
      <c r="S4082" s="70" t="n">
        <v>2042</v>
      </c>
      <c r="T4082" s="71" t="n">
        <v>138243.91</v>
      </c>
      <c r="U4082" t="inlineStr">
        <is>
          <t>Low</t>
        </is>
      </c>
      <c r="V4082">
        <f>IF(AND(OR(Dashboard!$C$6="All",E4082=Dashboard!$C$6),OR(Dashboard!$F$6="All",G4082=Dashboard!$F$6),OR(Dashboard!$I$6="All",H4082=Dashboard!$I$6)),1,0)</f>
        <v/>
      </c>
    </row>
    <row r="4083">
      <c r="A4083" t="inlineStr">
        <is>
          <t>PF104074</t>
        </is>
      </c>
      <c r="B4083" s="68" t="n">
        <v>46147</v>
      </c>
      <c r="C4083" s="69" t="n">
        <v>2026</v>
      </c>
      <c r="D4083" t="inlineStr">
        <is>
          <t>May</t>
        </is>
      </c>
      <c r="E4083" t="inlineStr">
        <is>
          <t>International developed</t>
        </is>
      </c>
      <c r="F4083" t="inlineStr">
        <is>
          <t>Australia</t>
        </is>
      </c>
      <c r="G4083" t="inlineStr">
        <is>
          <t>Vyndaqel</t>
        </is>
      </c>
      <c r="H4083" t="inlineStr">
        <is>
          <t>Retail pharmacy</t>
        </is>
      </c>
      <c r="I4083" t="inlineStr">
        <is>
          <t>Private insurer</t>
        </is>
      </c>
      <c r="J4083" t="inlineStr">
        <is>
          <t>Zoya Ahmed</t>
        </is>
      </c>
      <c r="K4083" s="70" t="n">
        <v>3040</v>
      </c>
      <c r="L4083" s="71" t="n">
        <v>5846.22</v>
      </c>
      <c r="M4083" s="71" t="n">
        <v>17772508.8</v>
      </c>
      <c r="N4083" s="71" t="n">
        <v>4443127.2</v>
      </c>
      <c r="O4083" s="71" t="n">
        <v>13329381.6</v>
      </c>
      <c r="P4083" s="71" t="n">
        <v>1928056.89</v>
      </c>
      <c r="Q4083" s="71" t="n">
        <v>11401324.71</v>
      </c>
      <c r="R4083" t="inlineStr">
        <is>
          <t>Rare disease</t>
        </is>
      </c>
      <c r="S4083" s="70" t="n">
        <v>2645</v>
      </c>
      <c r="T4083" s="71" t="n">
        <v>1969022.22</v>
      </c>
      <c r="U4083" t="inlineStr">
        <is>
          <t>Medium</t>
        </is>
      </c>
      <c r="V4083">
        <f>IF(AND(OR(Dashboard!$C$6="All",E4083=Dashboard!$C$6),OR(Dashboard!$F$6="All",G4083=Dashboard!$F$6),OR(Dashboard!$I$6="All",H4083=Dashboard!$I$6)),1,0)</f>
        <v/>
      </c>
    </row>
    <row r="4084">
      <c r="A4084" t="inlineStr">
        <is>
          <t>PF104075</t>
        </is>
      </c>
      <c r="B4084" s="68" t="n">
        <v>46147</v>
      </c>
      <c r="C4084" s="69" t="n">
        <v>2026</v>
      </c>
      <c r="D4084" t="inlineStr">
        <is>
          <t>May</t>
        </is>
      </c>
      <c r="E4084" t="inlineStr">
        <is>
          <t>Europe</t>
        </is>
      </c>
      <c r="F4084" t="inlineStr">
        <is>
          <t>Spain</t>
        </is>
      </c>
      <c r="G4084" t="inlineStr">
        <is>
          <t>Paxlovid</t>
        </is>
      </c>
      <c r="H4084" t="inlineStr">
        <is>
          <t>Retail pharmacy</t>
        </is>
      </c>
      <c r="I4084" t="inlineStr">
        <is>
          <t>Private insurer</t>
        </is>
      </c>
      <c r="J4084" t="inlineStr">
        <is>
          <t>Aisha Bello</t>
        </is>
      </c>
      <c r="K4084" s="70" t="n">
        <v>1352</v>
      </c>
      <c r="L4084" s="71" t="n">
        <v>1006.85</v>
      </c>
      <c r="M4084" s="71" t="n">
        <v>1361261.2</v>
      </c>
      <c r="N4084" s="71" t="n">
        <v>136126.12</v>
      </c>
      <c r="O4084" s="71" t="n">
        <v>1225135.08</v>
      </c>
      <c r="P4084" s="71" t="n">
        <v>379231.23</v>
      </c>
      <c r="Q4084" s="71" t="n">
        <v>845903.85</v>
      </c>
      <c r="R4084" t="inlineStr">
        <is>
          <t>Antiviral</t>
        </is>
      </c>
      <c r="S4084" s="70" t="n">
        <v>1205</v>
      </c>
      <c r="T4084" s="71" t="n">
        <v>246397.56</v>
      </c>
      <c r="U4084" t="inlineStr">
        <is>
          <t>Low</t>
        </is>
      </c>
      <c r="V4084">
        <f>IF(AND(OR(Dashboard!$C$6="All",E4084=Dashboard!$C$6),OR(Dashboard!$F$6="All",G4084=Dashboard!$F$6),OR(Dashboard!$I$6="All",H4084=Dashboard!$I$6)),1,0)</f>
        <v/>
      </c>
    </row>
    <row r="4085">
      <c r="A4085" t="inlineStr">
        <is>
          <t>PF104076</t>
        </is>
      </c>
      <c r="B4085" s="68" t="n">
        <v>46147</v>
      </c>
      <c r="C4085" s="69" t="n">
        <v>2026</v>
      </c>
      <c r="D4085" t="inlineStr">
        <is>
          <t>May</t>
        </is>
      </c>
      <c r="E4085" t="inlineStr">
        <is>
          <t>United States</t>
        </is>
      </c>
      <c r="F4085" t="inlineStr">
        <is>
          <t>USA</t>
        </is>
      </c>
      <c r="G4085" t="inlineStr">
        <is>
          <t>Xeljanz</t>
        </is>
      </c>
      <c r="H4085" t="inlineStr">
        <is>
          <t>Retail pharmacy</t>
        </is>
      </c>
      <c r="I4085" t="inlineStr">
        <is>
          <t>Private insurer</t>
        </is>
      </c>
      <c r="J4085" t="inlineStr">
        <is>
          <t>Sophie Müller</t>
        </is>
      </c>
      <c r="K4085" s="70" t="n">
        <v>1953</v>
      </c>
      <c r="L4085" s="71" t="n">
        <v>2077.86</v>
      </c>
      <c r="M4085" s="71" t="n">
        <v>4058060.58</v>
      </c>
      <c r="N4085" s="71" t="n">
        <v>608709.09</v>
      </c>
      <c r="O4085" s="71" t="n">
        <v>3449351.49</v>
      </c>
      <c r="P4085" s="71" t="n">
        <v>480237.43</v>
      </c>
      <c r="Q4085" s="71" t="n">
        <v>2969114.06</v>
      </c>
      <c r="R4085" t="inlineStr">
        <is>
          <t>Inflammation</t>
        </is>
      </c>
      <c r="S4085" s="70" t="n">
        <v>1786</v>
      </c>
      <c r="T4085" s="71" t="n">
        <v>670313.76</v>
      </c>
      <c r="U4085" t="inlineStr">
        <is>
          <t>High</t>
        </is>
      </c>
      <c r="V4085">
        <f>IF(AND(OR(Dashboard!$C$6="All",E4085=Dashboard!$C$6),OR(Dashboard!$F$6="All",G4085=Dashboard!$F$6),OR(Dashboard!$I$6="All",H4085=Dashboard!$I$6)),1,0)</f>
        <v/>
      </c>
    </row>
    <row r="4086">
      <c r="A4086" t="inlineStr">
        <is>
          <t>PF104077</t>
        </is>
      </c>
      <c r="B4086" s="68" t="n">
        <v>46147</v>
      </c>
      <c r="C4086" s="69" t="n">
        <v>2026</v>
      </c>
      <c r="D4086" t="inlineStr">
        <is>
          <t>May</t>
        </is>
      </c>
      <c r="E4086" t="inlineStr">
        <is>
          <t>Emerging markets</t>
        </is>
      </c>
      <c r="F4086" t="inlineStr">
        <is>
          <t>China</t>
        </is>
      </c>
      <c r="G4086" t="inlineStr">
        <is>
          <t>Prevnar 20</t>
        </is>
      </c>
      <c r="H4086" t="inlineStr">
        <is>
          <t>Government / tender</t>
        </is>
      </c>
      <c r="I4086" t="inlineStr">
        <is>
          <t>Public payer</t>
        </is>
      </c>
      <c r="J4086" t="inlineStr">
        <is>
          <t>Emma Clarke</t>
        </is>
      </c>
      <c r="K4086" s="70" t="n">
        <v>753</v>
      </c>
      <c r="L4086" s="71" t="n">
        <v>217.92</v>
      </c>
      <c r="M4086" s="71" t="n">
        <v>164093.76</v>
      </c>
      <c r="N4086" s="71" t="n">
        <v>16409.38</v>
      </c>
      <c r="O4086" s="71" t="n">
        <v>147684.38</v>
      </c>
      <c r="P4086" s="71" t="n">
        <v>53647.22</v>
      </c>
      <c r="Q4086" s="71" t="n">
        <v>94037.16</v>
      </c>
      <c r="R4086" t="inlineStr">
        <is>
          <t>Vaccines</t>
        </is>
      </c>
      <c r="S4086" s="70" t="n">
        <v>689</v>
      </c>
      <c r="T4086" s="71" t="n">
        <v>19425.13</v>
      </c>
      <c r="U4086" t="inlineStr">
        <is>
          <t>Low</t>
        </is>
      </c>
      <c r="V4086">
        <f>IF(AND(OR(Dashboard!$C$6="All",E4086=Dashboard!$C$6),OR(Dashboard!$F$6="All",G4086=Dashboard!$F$6),OR(Dashboard!$I$6="All",H4086=Dashboard!$I$6)),1,0)</f>
        <v/>
      </c>
    </row>
    <row r="4087">
      <c r="A4087" t="inlineStr">
        <is>
          <t>PF104078</t>
        </is>
      </c>
      <c r="B4087" s="68" t="n">
        <v>46147</v>
      </c>
      <c r="C4087" s="69" t="n">
        <v>2026</v>
      </c>
      <c r="D4087" t="inlineStr">
        <is>
          <t>May</t>
        </is>
      </c>
      <c r="E4087" t="inlineStr">
        <is>
          <t>Europe</t>
        </is>
      </c>
      <c r="F4087" t="inlineStr">
        <is>
          <t>Italy</t>
        </is>
      </c>
      <c r="G4087" t="inlineStr">
        <is>
          <t>Paxlovid</t>
        </is>
      </c>
      <c r="H4087" t="inlineStr">
        <is>
          <t>Government / tender</t>
        </is>
      </c>
      <c r="I4087" t="inlineStr">
        <is>
          <t>Private insurer</t>
        </is>
      </c>
      <c r="J4087" t="inlineStr">
        <is>
          <t>Noah Smith</t>
        </is>
      </c>
      <c r="K4087" s="70" t="n">
        <v>864</v>
      </c>
      <c r="L4087" s="71" t="n">
        <v>954.02</v>
      </c>
      <c r="M4087" s="71" t="n">
        <v>824273.28</v>
      </c>
      <c r="N4087" s="71" t="n">
        <v>82427.33</v>
      </c>
      <c r="O4087" s="71" t="n">
        <v>741845.95</v>
      </c>
      <c r="P4087" s="71" t="n">
        <v>241862.54</v>
      </c>
      <c r="Q4087" s="71" t="n">
        <v>499983.41</v>
      </c>
      <c r="R4087" t="inlineStr">
        <is>
          <t>Antiviral</t>
        </is>
      </c>
      <c r="S4087" s="70" t="n">
        <v>590</v>
      </c>
      <c r="T4087" s="71" t="n">
        <v>176675.51</v>
      </c>
      <c r="U4087" t="inlineStr">
        <is>
          <t>Low</t>
        </is>
      </c>
      <c r="V4087">
        <f>IF(AND(OR(Dashboard!$C$6="All",E4087=Dashboard!$C$6),OR(Dashboard!$F$6="All",G4087=Dashboard!$F$6),OR(Dashboard!$I$6="All",H4087=Dashboard!$I$6)),1,0)</f>
        <v/>
      </c>
    </row>
    <row r="4088">
      <c r="A4088" t="inlineStr">
        <is>
          <t>PF104079</t>
        </is>
      </c>
      <c r="B4088" s="68" t="n">
        <v>46147</v>
      </c>
      <c r="C4088" s="69" t="n">
        <v>2026</v>
      </c>
      <c r="D4088" t="inlineStr">
        <is>
          <t>May</t>
        </is>
      </c>
      <c r="E4088" t="inlineStr">
        <is>
          <t>Europe</t>
        </is>
      </c>
      <c r="F4088" t="inlineStr">
        <is>
          <t>UK</t>
        </is>
      </c>
      <c r="G4088" t="inlineStr">
        <is>
          <t>Eliquis</t>
        </is>
      </c>
      <c r="H4088" t="inlineStr">
        <is>
          <t>Retail pharmacy</t>
        </is>
      </c>
      <c r="I4088" t="inlineStr">
        <is>
          <t>Private insurer</t>
        </is>
      </c>
      <c r="J4088" t="inlineStr">
        <is>
          <t>Fatima Al-Saud</t>
        </is>
      </c>
      <c r="K4088" s="70" t="n">
        <v>2165</v>
      </c>
      <c r="L4088" s="71" t="n">
        <v>442.62</v>
      </c>
      <c r="M4088" s="71" t="n">
        <v>958272.3</v>
      </c>
      <c r="N4088" s="71" t="n">
        <v>191654.46</v>
      </c>
      <c r="O4088" s="71" t="n">
        <v>766617.84</v>
      </c>
      <c r="P4088" s="71" t="n">
        <v>163508.19</v>
      </c>
      <c r="Q4088" s="71" t="n">
        <v>603109.65</v>
      </c>
      <c r="R4088" t="inlineStr">
        <is>
          <t>Cardiology</t>
        </is>
      </c>
      <c r="S4088" s="70" t="n">
        <v>1439</v>
      </c>
      <c r="T4088" s="71" t="n">
        <v>116568.29</v>
      </c>
      <c r="U4088" t="inlineStr">
        <is>
          <t>High</t>
        </is>
      </c>
      <c r="V4088">
        <f>IF(AND(OR(Dashboard!$C$6="All",E4088=Dashboard!$C$6),OR(Dashboard!$F$6="All",G4088=Dashboard!$F$6),OR(Dashboard!$I$6="All",H4088=Dashboard!$I$6)),1,0)</f>
        <v/>
      </c>
    </row>
    <row r="4089">
      <c r="A4089" t="inlineStr">
        <is>
          <t>PF104080</t>
        </is>
      </c>
      <c r="B4089" s="68" t="n">
        <v>46147</v>
      </c>
      <c r="C4089" s="69" t="n">
        <v>2026</v>
      </c>
      <c r="D4089" t="inlineStr">
        <is>
          <t>May</t>
        </is>
      </c>
      <c r="E4089" t="inlineStr">
        <is>
          <t>Europe</t>
        </is>
      </c>
      <c r="F4089" t="inlineStr">
        <is>
          <t>Germany</t>
        </is>
      </c>
      <c r="G4089" t="inlineStr">
        <is>
          <t>Prevnar 20</t>
        </is>
      </c>
      <c r="H4089" t="inlineStr">
        <is>
          <t>Retail pharmacy</t>
        </is>
      </c>
      <c r="I4089" t="inlineStr">
        <is>
          <t>Private insurer</t>
        </is>
      </c>
      <c r="J4089" t="inlineStr">
        <is>
          <t>Fatima Al-Saud</t>
        </is>
      </c>
      <c r="K4089" s="70" t="n">
        <v>783</v>
      </c>
      <c r="L4089" s="71" t="n">
        <v>254.65</v>
      </c>
      <c r="M4089" s="71" t="n">
        <v>199390.95</v>
      </c>
      <c r="N4089" s="71" t="n">
        <v>29908.64</v>
      </c>
      <c r="O4089" s="71" t="n">
        <v>169482.31</v>
      </c>
      <c r="P4089" s="71" t="n">
        <v>52363.21</v>
      </c>
      <c r="Q4089" s="71" t="n">
        <v>117119.1</v>
      </c>
      <c r="R4089" t="inlineStr">
        <is>
          <t>Vaccines</t>
        </is>
      </c>
      <c r="S4089" s="70" t="n">
        <v>614</v>
      </c>
      <c r="T4089" s="71" t="n">
        <v>35146.77</v>
      </c>
      <c r="U4089" t="inlineStr">
        <is>
          <t>Low</t>
        </is>
      </c>
      <c r="V4089">
        <f>IF(AND(OR(Dashboard!$C$6="All",E4089=Dashboard!$C$6),OR(Dashboard!$F$6="All",G4089=Dashboard!$F$6),OR(Dashboard!$I$6="All",H4089=Dashboard!$I$6)),1,0)</f>
        <v/>
      </c>
    </row>
    <row r="4090">
      <c r="A4090" t="inlineStr">
        <is>
          <t>PF104081</t>
        </is>
      </c>
      <c r="B4090" s="68" t="n">
        <v>46147</v>
      </c>
      <c r="C4090" s="69" t="n">
        <v>2026</v>
      </c>
      <c r="D4090" t="inlineStr">
        <is>
          <t>May</t>
        </is>
      </c>
      <c r="E4090" t="inlineStr">
        <is>
          <t>United States</t>
        </is>
      </c>
      <c r="F4090" t="inlineStr">
        <is>
          <t>USA</t>
        </is>
      </c>
      <c r="G4090" t="inlineStr">
        <is>
          <t>Abrysvo</t>
        </is>
      </c>
      <c r="H4090" t="inlineStr">
        <is>
          <t>Hospital</t>
        </is>
      </c>
      <c r="I4090" t="inlineStr">
        <is>
          <t>Private insurer</t>
        </is>
      </c>
      <c r="J4090" t="inlineStr">
        <is>
          <t>Ravindra Patil</t>
        </is>
      </c>
      <c r="K4090" s="70" t="n">
        <v>1787</v>
      </c>
      <c r="L4090" s="71" t="n">
        <v>539.53</v>
      </c>
      <c r="M4090" s="71" t="n">
        <v>964140.11</v>
      </c>
      <c r="N4090" s="71" t="n">
        <v>289242.03</v>
      </c>
      <c r="O4090" s="71" t="n">
        <v>674898.08</v>
      </c>
      <c r="P4090" s="71" t="n">
        <v>145912.77</v>
      </c>
      <c r="Q4090" s="71" t="n">
        <v>528985.3100000001</v>
      </c>
      <c r="R4090" t="inlineStr">
        <is>
          <t>Vaccines</t>
        </is>
      </c>
      <c r="S4090" s="70" t="n">
        <v>1200</v>
      </c>
      <c r="T4090" s="71" t="n">
        <v>125880.02</v>
      </c>
      <c r="U4090" t="inlineStr">
        <is>
          <t>Low</t>
        </is>
      </c>
      <c r="V4090">
        <f>IF(AND(OR(Dashboard!$C$6="All",E4090=Dashboard!$C$6),OR(Dashboard!$F$6="All",G4090=Dashboard!$F$6),OR(Dashboard!$I$6="All",H4090=Dashboard!$I$6)),1,0)</f>
        <v/>
      </c>
    </row>
    <row r="4091">
      <c r="A4091" t="inlineStr">
        <is>
          <t>PF104082</t>
        </is>
      </c>
      <c r="B4091" s="68" t="n">
        <v>46148</v>
      </c>
      <c r="C4091" s="69" t="n">
        <v>2026</v>
      </c>
      <c r="D4091" t="inlineStr">
        <is>
          <t>May</t>
        </is>
      </c>
      <c r="E4091" t="inlineStr">
        <is>
          <t>United States</t>
        </is>
      </c>
      <c r="F4091" t="inlineStr">
        <is>
          <t>USA</t>
        </is>
      </c>
      <c r="G4091" t="inlineStr">
        <is>
          <t>Comirnaty</t>
        </is>
      </c>
      <c r="H4091" t="inlineStr">
        <is>
          <t>Hospital</t>
        </is>
      </c>
      <c r="I4091" t="inlineStr">
        <is>
          <t>Private insurer</t>
        </is>
      </c>
      <c r="J4091" t="inlineStr">
        <is>
          <t>Priya Nair</t>
        </is>
      </c>
      <c r="K4091" s="70" t="n">
        <v>1779</v>
      </c>
      <c r="L4091" s="71" t="n">
        <v>154.86</v>
      </c>
      <c r="M4091" s="71" t="n">
        <v>275495.94</v>
      </c>
      <c r="N4091" s="71" t="n">
        <v>82648.78</v>
      </c>
      <c r="O4091" s="71" t="n">
        <v>192847.16</v>
      </c>
      <c r="P4091" s="71" t="n">
        <v>70500.87</v>
      </c>
      <c r="Q4091" s="71" t="n">
        <v>122346.29</v>
      </c>
      <c r="R4091" t="inlineStr">
        <is>
          <t>Vaccines</t>
        </is>
      </c>
      <c r="S4091" s="70" t="n">
        <v>1764</v>
      </c>
      <c r="T4091" s="71" t="n">
        <v>52975.68</v>
      </c>
      <c r="U4091" t="inlineStr">
        <is>
          <t>Low</t>
        </is>
      </c>
      <c r="V4091">
        <f>IF(AND(OR(Dashboard!$C$6="All",E4091=Dashboard!$C$6),OR(Dashboard!$F$6="All",G4091=Dashboard!$F$6),OR(Dashboard!$I$6="All",H4091=Dashboard!$I$6)),1,0)</f>
        <v/>
      </c>
    </row>
    <row r="4092">
      <c r="A4092" t="inlineStr">
        <is>
          <t>PF104083</t>
        </is>
      </c>
      <c r="B4092" s="68" t="n">
        <v>46148</v>
      </c>
      <c r="C4092" s="69" t="n">
        <v>2026</v>
      </c>
      <c r="D4092" t="inlineStr">
        <is>
          <t>May</t>
        </is>
      </c>
      <c r="E4092" t="inlineStr">
        <is>
          <t>Europe</t>
        </is>
      </c>
      <c r="F4092" t="inlineStr">
        <is>
          <t>France</t>
        </is>
      </c>
      <c r="G4092" t="inlineStr">
        <is>
          <t>Comirnaty</t>
        </is>
      </c>
      <c r="H4092" t="inlineStr">
        <is>
          <t>Government / tender</t>
        </is>
      </c>
      <c r="I4092" t="inlineStr">
        <is>
          <t>Private insurer</t>
        </is>
      </c>
      <c r="J4092" t="inlineStr">
        <is>
          <t>Sophie Müller</t>
        </is>
      </c>
      <c r="K4092" s="70" t="n">
        <v>916</v>
      </c>
      <c r="L4092" s="71" t="n">
        <v>96.95999999999999</v>
      </c>
      <c r="M4092" s="71" t="n">
        <v>88815.36</v>
      </c>
      <c r="N4092" s="71" t="n">
        <v>8881.540000000001</v>
      </c>
      <c r="O4092" s="71" t="n">
        <v>79933.82000000001</v>
      </c>
      <c r="P4092" s="71" t="n">
        <v>34617.98</v>
      </c>
      <c r="Q4092" s="71" t="n">
        <v>45315.84</v>
      </c>
      <c r="R4092" t="inlineStr">
        <is>
          <t>Vaccines</t>
        </is>
      </c>
      <c r="S4092" s="70" t="n">
        <v>600</v>
      </c>
      <c r="T4092" s="71" t="n">
        <v>19580.68</v>
      </c>
      <c r="U4092" t="inlineStr">
        <is>
          <t>Low</t>
        </is>
      </c>
      <c r="V4092">
        <f>IF(AND(OR(Dashboard!$C$6="All",E4092=Dashboard!$C$6),OR(Dashboard!$F$6="All",G4092=Dashboard!$F$6),OR(Dashboard!$I$6="All",H4092=Dashboard!$I$6)),1,0)</f>
        <v/>
      </c>
    </row>
    <row r="4093">
      <c r="A4093" t="inlineStr">
        <is>
          <t>PF104084</t>
        </is>
      </c>
      <c r="B4093" s="68" t="n">
        <v>46148</v>
      </c>
      <c r="C4093" s="69" t="n">
        <v>2026</v>
      </c>
      <c r="D4093" t="inlineStr">
        <is>
          <t>May</t>
        </is>
      </c>
      <c r="E4093" t="inlineStr">
        <is>
          <t>United States</t>
        </is>
      </c>
      <c r="F4093" t="inlineStr">
        <is>
          <t>USA</t>
        </is>
      </c>
      <c r="G4093" t="inlineStr">
        <is>
          <t>Ibrance</t>
        </is>
      </c>
      <c r="H4093" t="inlineStr">
        <is>
          <t>Hospital</t>
        </is>
      </c>
      <c r="I4093" t="inlineStr">
        <is>
          <t>Private insurer</t>
        </is>
      </c>
      <c r="J4093" t="inlineStr">
        <is>
          <t>Olivia Brown</t>
        </is>
      </c>
      <c r="K4093" s="70" t="n">
        <v>1320</v>
      </c>
      <c r="L4093" s="71" t="n">
        <v>4344.03</v>
      </c>
      <c r="M4093" s="71" t="n">
        <v>5734119.6</v>
      </c>
      <c r="N4093" s="71" t="n">
        <v>1146823.92</v>
      </c>
      <c r="O4093" s="71" t="n">
        <v>4587295.68</v>
      </c>
      <c r="P4093" s="71" t="n">
        <v>553013.24</v>
      </c>
      <c r="Q4093" s="71" t="n">
        <v>4034282.44</v>
      </c>
      <c r="R4093" t="inlineStr">
        <is>
          <t>Oncology</t>
        </is>
      </c>
      <c r="S4093" s="70" t="n">
        <v>1128</v>
      </c>
      <c r="T4093" s="71" t="n">
        <v>913836.49</v>
      </c>
      <c r="U4093" t="inlineStr">
        <is>
          <t>High</t>
        </is>
      </c>
      <c r="V4093">
        <f>IF(AND(OR(Dashboard!$C$6="All",E4093=Dashboard!$C$6),OR(Dashboard!$F$6="All",G4093=Dashboard!$F$6),OR(Dashboard!$I$6="All",H4093=Dashboard!$I$6)),1,0)</f>
        <v/>
      </c>
    </row>
    <row r="4094">
      <c r="A4094" t="inlineStr">
        <is>
          <t>PF104085</t>
        </is>
      </c>
      <c r="B4094" s="68" t="n">
        <v>46148</v>
      </c>
      <c r="C4094" s="69" t="n">
        <v>2026</v>
      </c>
      <c r="D4094" t="inlineStr">
        <is>
          <t>May</t>
        </is>
      </c>
      <c r="E4094" t="inlineStr">
        <is>
          <t>Emerging markets</t>
        </is>
      </c>
      <c r="F4094" t="inlineStr">
        <is>
          <t>Brazil</t>
        </is>
      </c>
      <c r="G4094" t="inlineStr">
        <is>
          <t>Vyndaqel</t>
        </is>
      </c>
      <c r="H4094" t="inlineStr">
        <is>
          <t>Retail pharmacy</t>
        </is>
      </c>
      <c r="I4094" t="inlineStr">
        <is>
          <t>Private insurer</t>
        </is>
      </c>
      <c r="J4094" t="inlineStr">
        <is>
          <t>Mei Lin</t>
        </is>
      </c>
      <c r="K4094" s="70" t="n">
        <v>895</v>
      </c>
      <c r="L4094" s="71" t="n">
        <v>6132.82</v>
      </c>
      <c r="M4094" s="71" t="n">
        <v>5488873.9</v>
      </c>
      <c r="N4094" s="71" t="n">
        <v>823331.09</v>
      </c>
      <c r="O4094" s="71" t="n">
        <v>4665542.81</v>
      </c>
      <c r="P4094" s="71" t="n">
        <v>542740.72</v>
      </c>
      <c r="Q4094" s="71" t="n">
        <v>4122802.09</v>
      </c>
      <c r="R4094" t="inlineStr">
        <is>
          <t>Rare disease</t>
        </is>
      </c>
      <c r="S4094" s="70" t="n">
        <v>818</v>
      </c>
      <c r="T4094" s="71" t="n">
        <v>778055.61</v>
      </c>
      <c r="U4094" t="inlineStr">
        <is>
          <t>Medium</t>
        </is>
      </c>
      <c r="V4094">
        <f>IF(AND(OR(Dashboard!$C$6="All",E4094=Dashboard!$C$6),OR(Dashboard!$F$6="All",G4094=Dashboard!$F$6),OR(Dashboard!$I$6="All",H4094=Dashboard!$I$6)),1,0)</f>
        <v/>
      </c>
    </row>
    <row r="4095">
      <c r="A4095" t="inlineStr">
        <is>
          <t>PF104086</t>
        </is>
      </c>
      <c r="B4095" s="68" t="n">
        <v>46148</v>
      </c>
      <c r="C4095" s="69" t="n">
        <v>2026</v>
      </c>
      <c r="D4095" t="inlineStr">
        <is>
          <t>May</t>
        </is>
      </c>
      <c r="E4095" t="inlineStr">
        <is>
          <t>International developed</t>
        </is>
      </c>
      <c r="F4095" t="inlineStr">
        <is>
          <t>Canada</t>
        </is>
      </c>
      <c r="G4095" t="inlineStr">
        <is>
          <t>Ibrance</t>
        </is>
      </c>
      <c r="H4095" t="inlineStr">
        <is>
          <t>Government / tender</t>
        </is>
      </c>
      <c r="I4095" t="inlineStr">
        <is>
          <t>Public payer</t>
        </is>
      </c>
      <c r="J4095" t="inlineStr">
        <is>
          <t>Mei Lin</t>
        </is>
      </c>
      <c r="K4095" s="70" t="n">
        <v>2043</v>
      </c>
      <c r="L4095" s="71" t="n">
        <v>2664.19</v>
      </c>
      <c r="M4095" s="71" t="n">
        <v>5442940.17</v>
      </c>
      <c r="N4095" s="71" t="n">
        <v>1360735.04</v>
      </c>
      <c r="O4095" s="71" t="n">
        <v>4082205.13</v>
      </c>
      <c r="P4095" s="71" t="n">
        <v>910651.4300000001</v>
      </c>
      <c r="Q4095" s="71" t="n">
        <v>3171553.7</v>
      </c>
      <c r="R4095" t="inlineStr">
        <is>
          <t>Oncology</t>
        </is>
      </c>
      <c r="S4095" s="70" t="n">
        <v>1312</v>
      </c>
      <c r="T4095" s="71" t="n">
        <v>821863.4399999999</v>
      </c>
      <c r="U4095" t="inlineStr">
        <is>
          <t>High</t>
        </is>
      </c>
      <c r="V4095">
        <f>IF(AND(OR(Dashboard!$C$6="All",E4095=Dashboard!$C$6),OR(Dashboard!$F$6="All",G4095=Dashboard!$F$6),OR(Dashboard!$I$6="All",H4095=Dashboard!$I$6)),1,0)</f>
        <v/>
      </c>
    </row>
    <row r="4096">
      <c r="A4096" t="inlineStr">
        <is>
          <t>PF104087</t>
        </is>
      </c>
      <c r="B4096" s="68" t="n">
        <v>46148</v>
      </c>
      <c r="C4096" s="69" t="n">
        <v>2026</v>
      </c>
      <c r="D4096" t="inlineStr">
        <is>
          <t>May</t>
        </is>
      </c>
      <c r="E4096" t="inlineStr">
        <is>
          <t>United States</t>
        </is>
      </c>
      <c r="F4096" t="inlineStr">
        <is>
          <t>USA</t>
        </is>
      </c>
      <c r="G4096" t="inlineStr">
        <is>
          <t>Xeljanz</t>
        </is>
      </c>
      <c r="H4096" t="inlineStr">
        <is>
          <t>Retail pharmacy</t>
        </is>
      </c>
      <c r="I4096" t="inlineStr">
        <is>
          <t>Private insurer</t>
        </is>
      </c>
      <c r="J4096" t="inlineStr">
        <is>
          <t>Yuki Sato</t>
        </is>
      </c>
      <c r="K4096" s="70" t="n">
        <v>1060</v>
      </c>
      <c r="L4096" s="71" t="n">
        <v>2362.34</v>
      </c>
      <c r="M4096" s="71" t="n">
        <v>2504080.4</v>
      </c>
      <c r="N4096" s="71" t="n">
        <v>751224.12</v>
      </c>
      <c r="O4096" s="71" t="n">
        <v>1752856.28</v>
      </c>
      <c r="P4096" s="71" t="n">
        <v>257988.27</v>
      </c>
      <c r="Q4096" s="71" t="n">
        <v>1494868.01</v>
      </c>
      <c r="R4096" t="inlineStr">
        <is>
          <t>Inflammation</t>
        </is>
      </c>
      <c r="S4096" s="70" t="n">
        <v>974</v>
      </c>
      <c r="T4096" s="71" t="n">
        <v>365486.4</v>
      </c>
      <c r="U4096" t="inlineStr">
        <is>
          <t>High</t>
        </is>
      </c>
      <c r="V4096">
        <f>IF(AND(OR(Dashboard!$C$6="All",E4096=Dashboard!$C$6),OR(Dashboard!$F$6="All",G4096=Dashboard!$F$6),OR(Dashboard!$I$6="All",H4096=Dashboard!$I$6)),1,0)</f>
        <v/>
      </c>
    </row>
    <row r="4097">
      <c r="A4097" t="inlineStr">
        <is>
          <t>PF104088</t>
        </is>
      </c>
      <c r="B4097" s="68" t="n">
        <v>46148</v>
      </c>
      <c r="C4097" s="69" t="n">
        <v>2026</v>
      </c>
      <c r="D4097" t="inlineStr">
        <is>
          <t>May</t>
        </is>
      </c>
      <c r="E4097" t="inlineStr">
        <is>
          <t>Europe</t>
        </is>
      </c>
      <c r="F4097" t="inlineStr">
        <is>
          <t>UK</t>
        </is>
      </c>
      <c r="G4097" t="inlineStr">
        <is>
          <t>Ibrance</t>
        </is>
      </c>
      <c r="H4097" t="inlineStr">
        <is>
          <t>Hospital</t>
        </is>
      </c>
      <c r="I4097" t="inlineStr">
        <is>
          <t>Public payer</t>
        </is>
      </c>
      <c r="J4097" t="inlineStr">
        <is>
          <t>Ana Costa</t>
        </is>
      </c>
      <c r="K4097" s="70" t="n">
        <v>2055</v>
      </c>
      <c r="L4097" s="71" t="n">
        <v>2838.81</v>
      </c>
      <c r="M4097" s="71" t="n">
        <v>5833754.55</v>
      </c>
      <c r="N4097" s="71" t="n">
        <v>1166750.91</v>
      </c>
      <c r="O4097" s="71" t="n">
        <v>4667003.64</v>
      </c>
      <c r="P4097" s="71" t="n">
        <v>868537.95</v>
      </c>
      <c r="Q4097" s="71" t="n">
        <v>3798465.69</v>
      </c>
      <c r="R4097" t="inlineStr">
        <is>
          <t>Oncology</t>
        </is>
      </c>
      <c r="S4097" s="70" t="n">
        <v>1932</v>
      </c>
      <c r="T4097" s="71" t="n">
        <v>944314.01</v>
      </c>
      <c r="U4097" t="inlineStr">
        <is>
          <t>High</t>
        </is>
      </c>
      <c r="V4097">
        <f>IF(AND(OR(Dashboard!$C$6="All",E4097=Dashboard!$C$6),OR(Dashboard!$F$6="All",G4097=Dashboard!$F$6),OR(Dashboard!$I$6="All",H4097=Dashboard!$I$6)),1,0)</f>
        <v/>
      </c>
    </row>
    <row r="4098">
      <c r="A4098" t="inlineStr">
        <is>
          <t>PF104089</t>
        </is>
      </c>
      <c r="B4098" s="68" t="n">
        <v>46148</v>
      </c>
      <c r="C4098" s="69" t="n">
        <v>2026</v>
      </c>
      <c r="D4098" t="inlineStr">
        <is>
          <t>May</t>
        </is>
      </c>
      <c r="E4098" t="inlineStr">
        <is>
          <t>Emerging markets</t>
        </is>
      </c>
      <c r="F4098" t="inlineStr">
        <is>
          <t>China</t>
        </is>
      </c>
      <c r="G4098" t="inlineStr">
        <is>
          <t>Prevnar 20</t>
        </is>
      </c>
      <c r="H4098" t="inlineStr">
        <is>
          <t>Hospital</t>
        </is>
      </c>
      <c r="I4098" t="inlineStr">
        <is>
          <t>Private insurer</t>
        </is>
      </c>
      <c r="J4098" t="inlineStr">
        <is>
          <t>Hiroshi Tanaka</t>
        </is>
      </c>
      <c r="K4098" s="70" t="n">
        <v>2934</v>
      </c>
      <c r="L4098" s="71" t="n">
        <v>243.16</v>
      </c>
      <c r="M4098" s="71" t="n">
        <v>713431.4399999999</v>
      </c>
      <c r="N4098" s="71" t="n">
        <v>107014.72</v>
      </c>
      <c r="O4098" s="71" t="n">
        <v>606416.72</v>
      </c>
      <c r="P4098" s="71" t="n">
        <v>202501.08</v>
      </c>
      <c r="Q4098" s="71" t="n">
        <v>403915.64</v>
      </c>
      <c r="R4098" t="inlineStr">
        <is>
          <t>Vaccines</t>
        </is>
      </c>
      <c r="S4098" s="70" t="n">
        <v>2150</v>
      </c>
      <c r="T4098" s="71" t="n">
        <v>141302.63</v>
      </c>
      <c r="U4098" t="inlineStr">
        <is>
          <t>Low</t>
        </is>
      </c>
      <c r="V4098">
        <f>IF(AND(OR(Dashboard!$C$6="All",E4098=Dashboard!$C$6),OR(Dashboard!$F$6="All",G4098=Dashboard!$F$6),OR(Dashboard!$I$6="All",H4098=Dashboard!$I$6)),1,0)</f>
        <v/>
      </c>
    </row>
    <row r="4099">
      <c r="A4099" t="inlineStr">
        <is>
          <t>PF104090</t>
        </is>
      </c>
      <c r="B4099" s="68" t="n">
        <v>46149</v>
      </c>
      <c r="C4099" s="69" t="n">
        <v>2026</v>
      </c>
      <c r="D4099" t="inlineStr">
        <is>
          <t>May</t>
        </is>
      </c>
      <c r="E4099" t="inlineStr">
        <is>
          <t>United States</t>
        </is>
      </c>
      <c r="F4099" t="inlineStr">
        <is>
          <t>USA</t>
        </is>
      </c>
      <c r="G4099" t="inlineStr">
        <is>
          <t>Comirnaty</t>
        </is>
      </c>
      <c r="H4099" t="inlineStr">
        <is>
          <t>Hospital</t>
        </is>
      </c>
      <c r="I4099" t="inlineStr">
        <is>
          <t>Private insurer</t>
        </is>
      </c>
      <c r="J4099" t="inlineStr">
        <is>
          <t>Ravindra Patil</t>
        </is>
      </c>
      <c r="K4099" s="70" t="n">
        <v>480</v>
      </c>
      <c r="L4099" s="71" t="n">
        <v>141.07</v>
      </c>
      <c r="M4099" s="71" t="n">
        <v>67713.60000000001</v>
      </c>
      <c r="N4099" s="71" t="n">
        <v>20314.08</v>
      </c>
      <c r="O4099" s="71" t="n">
        <v>47399.52</v>
      </c>
      <c r="P4099" s="71" t="n">
        <v>18004.4</v>
      </c>
      <c r="Q4099" s="71" t="n">
        <v>29395.12</v>
      </c>
      <c r="R4099" t="inlineStr">
        <is>
          <t>Vaccines</t>
        </is>
      </c>
      <c r="S4099" s="70" t="n">
        <v>315</v>
      </c>
      <c r="T4099" s="71" t="n">
        <v>12826.5</v>
      </c>
      <c r="U4099" t="inlineStr">
        <is>
          <t>Low</t>
        </is>
      </c>
      <c r="V4099">
        <f>IF(AND(OR(Dashboard!$C$6="All",E4099=Dashboard!$C$6),OR(Dashboard!$F$6="All",G4099=Dashboard!$F$6),OR(Dashboard!$I$6="All",H4099=Dashboard!$I$6)),1,0)</f>
        <v/>
      </c>
    </row>
    <row r="4100">
      <c r="A4100" t="inlineStr">
        <is>
          <t>PF104091</t>
        </is>
      </c>
      <c r="B4100" s="68" t="n">
        <v>46149</v>
      </c>
      <c r="C4100" s="69" t="n">
        <v>2026</v>
      </c>
      <c r="D4100" t="inlineStr">
        <is>
          <t>May</t>
        </is>
      </c>
      <c r="E4100" t="inlineStr">
        <is>
          <t>Europe</t>
        </is>
      </c>
      <c r="F4100" t="inlineStr">
        <is>
          <t>France</t>
        </is>
      </c>
      <c r="G4100" t="inlineStr">
        <is>
          <t>Eliquis</t>
        </is>
      </c>
      <c r="H4100" t="inlineStr">
        <is>
          <t>Hospital</t>
        </is>
      </c>
      <c r="I4100" t="inlineStr">
        <is>
          <t>Public payer</t>
        </is>
      </c>
      <c r="J4100" t="inlineStr">
        <is>
          <t>Carlos Silva</t>
        </is>
      </c>
      <c r="K4100" s="70" t="n">
        <v>3078</v>
      </c>
      <c r="L4100" s="71" t="n">
        <v>461.48</v>
      </c>
      <c r="M4100" s="71" t="n">
        <v>1420435.44</v>
      </c>
      <c r="N4100" s="71" t="n">
        <v>213065.32</v>
      </c>
      <c r="O4100" s="71" t="n">
        <v>1207370.12</v>
      </c>
      <c r="P4100" s="71" t="n">
        <v>234536.44</v>
      </c>
      <c r="Q4100" s="71" t="n">
        <v>972833.6800000001</v>
      </c>
      <c r="R4100" t="inlineStr">
        <is>
          <t>Cardiology</t>
        </is>
      </c>
      <c r="S4100" s="70" t="n">
        <v>2403</v>
      </c>
      <c r="T4100" s="71" t="n">
        <v>191853.76</v>
      </c>
      <c r="U4100" t="inlineStr">
        <is>
          <t>High</t>
        </is>
      </c>
      <c r="V4100">
        <f>IF(AND(OR(Dashboard!$C$6="All",E4100=Dashboard!$C$6),OR(Dashboard!$F$6="All",G4100=Dashboard!$F$6),OR(Dashboard!$I$6="All",H4100=Dashboard!$I$6)),1,0)</f>
        <v/>
      </c>
    </row>
    <row r="4101">
      <c r="A4101" t="inlineStr">
        <is>
          <t>PF104092</t>
        </is>
      </c>
      <c r="B4101" s="68" t="n">
        <v>46149</v>
      </c>
      <c r="C4101" s="69" t="n">
        <v>2026</v>
      </c>
      <c r="D4101" t="inlineStr">
        <is>
          <t>May</t>
        </is>
      </c>
      <c r="E4101" t="inlineStr">
        <is>
          <t>United States</t>
        </is>
      </c>
      <c r="F4101" t="inlineStr">
        <is>
          <t>USA</t>
        </is>
      </c>
      <c r="G4101" t="inlineStr">
        <is>
          <t>Ibrance</t>
        </is>
      </c>
      <c r="H4101" t="inlineStr">
        <is>
          <t>Retail pharmacy</t>
        </is>
      </c>
      <c r="I4101" t="inlineStr">
        <is>
          <t>Public payer</t>
        </is>
      </c>
      <c r="J4101" t="inlineStr">
        <is>
          <t>Noah Smith</t>
        </is>
      </c>
      <c r="K4101" s="70" t="n">
        <v>61</v>
      </c>
      <c r="L4101" s="71" t="n">
        <v>4773.69</v>
      </c>
      <c r="M4101" s="71" t="n">
        <v>291195.09</v>
      </c>
      <c r="N4101" s="71" t="n">
        <v>72798.77</v>
      </c>
      <c r="O4101" s="71" t="n">
        <v>218396.32</v>
      </c>
      <c r="P4101" s="71" t="n">
        <v>27521.34</v>
      </c>
      <c r="Q4101" s="71" t="n">
        <v>190874.98</v>
      </c>
      <c r="R4101" t="inlineStr">
        <is>
          <t>Oncology</t>
        </is>
      </c>
      <c r="S4101" s="70" t="n">
        <v>61</v>
      </c>
      <c r="T4101" s="71" t="n">
        <v>58629.49</v>
      </c>
      <c r="U4101" t="inlineStr">
        <is>
          <t>High</t>
        </is>
      </c>
      <c r="V4101">
        <f>IF(AND(OR(Dashboard!$C$6="All",E4101=Dashboard!$C$6),OR(Dashboard!$F$6="All",G4101=Dashboard!$F$6),OR(Dashboard!$I$6="All",H4101=Dashboard!$I$6)),1,0)</f>
        <v/>
      </c>
    </row>
    <row r="4102">
      <c r="A4102" t="inlineStr">
        <is>
          <t>PF104093</t>
        </is>
      </c>
      <c r="B4102" s="68" t="n">
        <v>46149</v>
      </c>
      <c r="C4102" s="69" t="n">
        <v>2026</v>
      </c>
      <c r="D4102" t="inlineStr">
        <is>
          <t>May</t>
        </is>
      </c>
      <c r="E4102" t="inlineStr">
        <is>
          <t>International developed</t>
        </is>
      </c>
      <c r="F4102" t="inlineStr">
        <is>
          <t>Japan</t>
        </is>
      </c>
      <c r="G4102" t="inlineStr">
        <is>
          <t>Eliquis</t>
        </is>
      </c>
      <c r="H4102" t="inlineStr">
        <is>
          <t>Retail pharmacy</t>
        </is>
      </c>
      <c r="I4102" t="inlineStr">
        <is>
          <t>Public payer</t>
        </is>
      </c>
      <c r="J4102" t="inlineStr">
        <is>
          <t>Ruhi Shaikh</t>
        </is>
      </c>
      <c r="K4102" s="70" t="n">
        <v>2645</v>
      </c>
      <c r="L4102" s="71" t="n">
        <v>449.18</v>
      </c>
      <c r="M4102" s="71" t="n">
        <v>1188081.1</v>
      </c>
      <c r="N4102" s="71" t="n">
        <v>59404.06</v>
      </c>
      <c r="O4102" s="71" t="n">
        <v>1128677.04</v>
      </c>
      <c r="P4102" s="71" t="n">
        <v>193771.96</v>
      </c>
      <c r="Q4102" s="71" t="n">
        <v>934905.08</v>
      </c>
      <c r="R4102" t="inlineStr">
        <is>
          <t>Cardiology</t>
        </is>
      </c>
      <c r="S4102" s="70" t="n">
        <v>1686</v>
      </c>
      <c r="T4102" s="71" t="n">
        <v>211266.58</v>
      </c>
      <c r="U4102" t="inlineStr">
        <is>
          <t>High</t>
        </is>
      </c>
      <c r="V4102">
        <f>IF(AND(OR(Dashboard!$C$6="All",E4102=Dashboard!$C$6),OR(Dashboard!$F$6="All",G4102=Dashboard!$F$6),OR(Dashboard!$I$6="All",H4102=Dashboard!$I$6)),1,0)</f>
        <v/>
      </c>
    </row>
    <row r="4103">
      <c r="A4103" t="inlineStr">
        <is>
          <t>PF104094</t>
        </is>
      </c>
      <c r="B4103" s="68" t="n">
        <v>46149</v>
      </c>
      <c r="C4103" s="69" t="n">
        <v>2026</v>
      </c>
      <c r="D4103" t="inlineStr">
        <is>
          <t>May</t>
        </is>
      </c>
      <c r="E4103" t="inlineStr">
        <is>
          <t>Emerging markets</t>
        </is>
      </c>
      <c r="F4103" t="inlineStr">
        <is>
          <t>Brazil</t>
        </is>
      </c>
      <c r="G4103" t="inlineStr">
        <is>
          <t>Ibrance</t>
        </is>
      </c>
      <c r="H4103" t="inlineStr">
        <is>
          <t>Hospital</t>
        </is>
      </c>
      <c r="I4103" t="inlineStr">
        <is>
          <t>Self-pay</t>
        </is>
      </c>
      <c r="J4103" t="inlineStr">
        <is>
          <t>Ravindra Patil</t>
        </is>
      </c>
      <c r="K4103" s="70" t="n">
        <v>1866</v>
      </c>
      <c r="L4103" s="71" t="n">
        <v>2802.47</v>
      </c>
      <c r="M4103" s="71" t="n">
        <v>5229409.02</v>
      </c>
      <c r="N4103" s="71" t="n">
        <v>1307352.25</v>
      </c>
      <c r="O4103" s="71" t="n">
        <v>3922056.77</v>
      </c>
      <c r="P4103" s="71" t="n">
        <v>804737.74</v>
      </c>
      <c r="Q4103" s="71" t="n">
        <v>3117319.03</v>
      </c>
      <c r="R4103" t="inlineStr">
        <is>
          <t>Oncology</t>
        </is>
      </c>
      <c r="S4103" s="70" t="n">
        <v>1707</v>
      </c>
      <c r="T4103" s="71" t="n">
        <v>656240.15</v>
      </c>
      <c r="U4103" t="inlineStr">
        <is>
          <t>High</t>
        </is>
      </c>
      <c r="V4103">
        <f>IF(AND(OR(Dashboard!$C$6="All",E4103=Dashboard!$C$6),OR(Dashboard!$F$6="All",G4103=Dashboard!$F$6),OR(Dashboard!$I$6="All",H4103=Dashboard!$I$6)),1,0)</f>
        <v/>
      </c>
    </row>
    <row r="4104">
      <c r="A4104" t="inlineStr">
        <is>
          <t>PF104095</t>
        </is>
      </c>
      <c r="B4104" s="68" t="n">
        <v>46149</v>
      </c>
      <c r="C4104" s="69" t="n">
        <v>2026</v>
      </c>
      <c r="D4104" t="inlineStr">
        <is>
          <t>May</t>
        </is>
      </c>
      <c r="E4104" t="inlineStr">
        <is>
          <t>Emerging markets</t>
        </is>
      </c>
      <c r="F4104" t="inlineStr">
        <is>
          <t>Brazil</t>
        </is>
      </c>
      <c r="G4104" t="inlineStr">
        <is>
          <t>Ibrance</t>
        </is>
      </c>
      <c r="H4104" t="inlineStr">
        <is>
          <t>Hospital</t>
        </is>
      </c>
      <c r="I4104" t="inlineStr">
        <is>
          <t>Private insurer</t>
        </is>
      </c>
      <c r="J4104" t="inlineStr">
        <is>
          <t>Kofi Mensah</t>
        </is>
      </c>
      <c r="K4104" s="70" t="n">
        <v>84</v>
      </c>
      <c r="L4104" s="71" t="n">
        <v>2679.75</v>
      </c>
      <c r="M4104" s="71" t="n">
        <v>225099</v>
      </c>
      <c r="N4104" s="71" t="n">
        <v>45019.8</v>
      </c>
      <c r="O4104" s="71" t="n">
        <v>180079.2</v>
      </c>
      <c r="P4104" s="71" t="n">
        <v>35213.11</v>
      </c>
      <c r="Q4104" s="71" t="n">
        <v>144866.09</v>
      </c>
      <c r="R4104" t="inlineStr">
        <is>
          <t>Oncology</t>
        </is>
      </c>
      <c r="S4104" s="70" t="n">
        <v>54</v>
      </c>
      <c r="T4104" s="71" t="n">
        <v>46371.89</v>
      </c>
      <c r="U4104" t="inlineStr">
        <is>
          <t>High</t>
        </is>
      </c>
      <c r="V4104">
        <f>IF(AND(OR(Dashboard!$C$6="All",E4104=Dashboard!$C$6),OR(Dashboard!$F$6="All",G4104=Dashboard!$F$6),OR(Dashboard!$I$6="All",H4104=Dashboard!$I$6)),1,0)</f>
        <v/>
      </c>
    </row>
    <row r="4105">
      <c r="A4105" t="inlineStr">
        <is>
          <t>PF104096</t>
        </is>
      </c>
      <c r="B4105" s="68" t="n">
        <v>46149</v>
      </c>
      <c r="C4105" s="69" t="n">
        <v>2026</v>
      </c>
      <c r="D4105" t="inlineStr">
        <is>
          <t>May</t>
        </is>
      </c>
      <c r="E4105" t="inlineStr">
        <is>
          <t>United States</t>
        </is>
      </c>
      <c r="F4105" t="inlineStr">
        <is>
          <t>USA</t>
        </is>
      </c>
      <c r="G4105" t="inlineStr">
        <is>
          <t>Eliquis</t>
        </is>
      </c>
      <c r="H4105" t="inlineStr">
        <is>
          <t>Hospital</t>
        </is>
      </c>
      <c r="I4105" t="inlineStr">
        <is>
          <t>Private insurer</t>
        </is>
      </c>
      <c r="J4105" t="inlineStr">
        <is>
          <t>Aisha Bello</t>
        </is>
      </c>
      <c r="K4105" s="70" t="n">
        <v>2087</v>
      </c>
      <c r="L4105" s="71" t="n">
        <v>674.9</v>
      </c>
      <c r="M4105" s="71" t="n">
        <v>1408516.3</v>
      </c>
      <c r="N4105" s="71" t="n">
        <v>281703.26</v>
      </c>
      <c r="O4105" s="71" t="n">
        <v>1126813.04</v>
      </c>
      <c r="P4105" s="71" t="n">
        <v>158939.13</v>
      </c>
      <c r="Q4105" s="71" t="n">
        <v>967873.91</v>
      </c>
      <c r="R4105" t="inlineStr">
        <is>
          <t>Cardiology</t>
        </is>
      </c>
      <c r="S4105" s="70" t="n">
        <v>1596</v>
      </c>
      <c r="T4105" s="71" t="n">
        <v>291587.76</v>
      </c>
      <c r="U4105" t="inlineStr">
        <is>
          <t>High</t>
        </is>
      </c>
      <c r="V4105">
        <f>IF(AND(OR(Dashboard!$C$6="All",E4105=Dashboard!$C$6),OR(Dashboard!$F$6="All",G4105=Dashboard!$F$6),OR(Dashboard!$I$6="All",H4105=Dashboard!$I$6)),1,0)</f>
        <v/>
      </c>
    </row>
    <row r="4106">
      <c r="A4106" t="inlineStr">
        <is>
          <t>PF104097</t>
        </is>
      </c>
      <c r="B4106" s="68" t="n">
        <v>46149</v>
      </c>
      <c r="C4106" s="69" t="n">
        <v>2026</v>
      </c>
      <c r="D4106" t="inlineStr">
        <is>
          <t>May</t>
        </is>
      </c>
      <c r="E4106" t="inlineStr">
        <is>
          <t>International developed</t>
        </is>
      </c>
      <c r="F4106" t="inlineStr">
        <is>
          <t>Australia</t>
        </is>
      </c>
      <c r="G4106" t="inlineStr">
        <is>
          <t>Xeljanz</t>
        </is>
      </c>
      <c r="H4106" t="inlineStr">
        <is>
          <t>Retail pharmacy</t>
        </is>
      </c>
      <c r="I4106" t="inlineStr">
        <is>
          <t>Public payer</t>
        </is>
      </c>
      <c r="J4106" t="inlineStr">
        <is>
          <t>Omar Haddad</t>
        </is>
      </c>
      <c r="K4106" s="70" t="n">
        <v>1494</v>
      </c>
      <c r="L4106" s="71" t="n">
        <v>1463.96</v>
      </c>
      <c r="M4106" s="71" t="n">
        <v>2187156.24</v>
      </c>
      <c r="N4106" s="71" t="n">
        <v>328073.44</v>
      </c>
      <c r="O4106" s="71" t="n">
        <v>1859082.8</v>
      </c>
      <c r="P4106" s="71" t="n">
        <v>365941.02</v>
      </c>
      <c r="Q4106" s="71" t="n">
        <v>1493141.78</v>
      </c>
      <c r="R4106" t="inlineStr">
        <is>
          <t>Inflammation</t>
        </is>
      </c>
      <c r="S4106" s="70" t="n">
        <v>1192</v>
      </c>
      <c r="T4106" s="71" t="n">
        <v>488854.8</v>
      </c>
      <c r="U4106" t="inlineStr">
        <is>
          <t>High</t>
        </is>
      </c>
      <c r="V4106">
        <f>IF(AND(OR(Dashboard!$C$6="All",E4106=Dashboard!$C$6),OR(Dashboard!$F$6="All",G4106=Dashboard!$F$6),OR(Dashboard!$I$6="All",H4106=Dashboard!$I$6)),1,0)</f>
        <v/>
      </c>
    </row>
    <row r="4107">
      <c r="A4107" t="inlineStr">
        <is>
          <t>PF104098</t>
        </is>
      </c>
      <c r="B4107" s="68" t="n">
        <v>46150</v>
      </c>
      <c r="C4107" s="69" t="n">
        <v>2026</v>
      </c>
      <c r="D4107" t="inlineStr">
        <is>
          <t>May</t>
        </is>
      </c>
      <c r="E4107" t="inlineStr">
        <is>
          <t>United States</t>
        </is>
      </c>
      <c r="F4107" t="inlineStr">
        <is>
          <t>USA</t>
        </is>
      </c>
      <c r="G4107" t="inlineStr">
        <is>
          <t>Prevnar 20</t>
        </is>
      </c>
      <c r="H4107" t="inlineStr">
        <is>
          <t>Hospital</t>
        </is>
      </c>
      <c r="I4107" t="inlineStr">
        <is>
          <t>Self-pay</t>
        </is>
      </c>
      <c r="J4107" t="inlineStr">
        <is>
          <t>Arjun Mehta</t>
        </is>
      </c>
      <c r="K4107" s="70" t="n">
        <v>651</v>
      </c>
      <c r="L4107" s="71" t="n">
        <v>396.47</v>
      </c>
      <c r="M4107" s="71" t="n">
        <v>258101.97</v>
      </c>
      <c r="N4107" s="71" t="n">
        <v>90335.69</v>
      </c>
      <c r="O4107" s="71" t="n">
        <v>167766.28</v>
      </c>
      <c r="P4107" s="71" t="n">
        <v>43791.74</v>
      </c>
      <c r="Q4107" s="71" t="n">
        <v>123974.54</v>
      </c>
      <c r="R4107" t="inlineStr">
        <is>
          <t>Vaccines</t>
        </is>
      </c>
      <c r="S4107" s="70" t="n">
        <v>612</v>
      </c>
      <c r="T4107" s="71" t="n">
        <v>41963</v>
      </c>
      <c r="U4107" t="inlineStr">
        <is>
          <t>Low</t>
        </is>
      </c>
      <c r="V4107">
        <f>IF(AND(OR(Dashboard!$C$6="All",E4107=Dashboard!$C$6),OR(Dashboard!$F$6="All",G4107=Dashboard!$F$6),OR(Dashboard!$I$6="All",H4107=Dashboard!$I$6)),1,0)</f>
        <v/>
      </c>
    </row>
    <row r="4108">
      <c r="A4108" t="inlineStr">
        <is>
          <t>PF104099</t>
        </is>
      </c>
      <c r="B4108" s="68" t="n">
        <v>46150</v>
      </c>
      <c r="C4108" s="69" t="n">
        <v>2026</v>
      </c>
      <c r="D4108" t="inlineStr">
        <is>
          <t>May</t>
        </is>
      </c>
      <c r="E4108" t="inlineStr">
        <is>
          <t>United States</t>
        </is>
      </c>
      <c r="F4108" t="inlineStr">
        <is>
          <t>USA</t>
        </is>
      </c>
      <c r="G4108" t="inlineStr">
        <is>
          <t>Paxlovid</t>
        </is>
      </c>
      <c r="H4108" t="inlineStr">
        <is>
          <t>Hospital</t>
        </is>
      </c>
      <c r="I4108" t="inlineStr">
        <is>
          <t>Public payer</t>
        </is>
      </c>
      <c r="J4108" t="inlineStr">
        <is>
          <t>Zoya Ahmed</t>
        </is>
      </c>
      <c r="K4108" s="70" t="n">
        <v>2244</v>
      </c>
      <c r="L4108" s="71" t="n">
        <v>1569.17</v>
      </c>
      <c r="M4108" s="71" t="n">
        <v>3521217.48</v>
      </c>
      <c r="N4108" s="71" t="n">
        <v>704243.5</v>
      </c>
      <c r="O4108" s="71" t="n">
        <v>2816973.98</v>
      </c>
      <c r="P4108" s="71" t="n">
        <v>606284.71</v>
      </c>
      <c r="Q4108" s="71" t="n">
        <v>2210689.27</v>
      </c>
      <c r="R4108" t="inlineStr">
        <is>
          <t>Antiviral</t>
        </is>
      </c>
      <c r="S4108" s="70" t="n">
        <v>1797</v>
      </c>
      <c r="T4108" s="71" t="n">
        <v>724761.52</v>
      </c>
      <c r="U4108" t="inlineStr">
        <is>
          <t>Low</t>
        </is>
      </c>
      <c r="V4108">
        <f>IF(AND(OR(Dashboard!$C$6="All",E4108=Dashboard!$C$6),OR(Dashboard!$F$6="All",G4108=Dashboard!$F$6),OR(Dashboard!$I$6="All",H4108=Dashboard!$I$6)),1,0)</f>
        <v/>
      </c>
    </row>
    <row r="4109">
      <c r="A4109" t="inlineStr">
        <is>
          <t>PF104100</t>
        </is>
      </c>
      <c r="B4109" s="68" t="n">
        <v>46150</v>
      </c>
      <c r="C4109" s="69" t="n">
        <v>2026</v>
      </c>
      <c r="D4109" t="inlineStr">
        <is>
          <t>May</t>
        </is>
      </c>
      <c r="E4109" t="inlineStr">
        <is>
          <t>United States</t>
        </is>
      </c>
      <c r="F4109" t="inlineStr">
        <is>
          <t>USA</t>
        </is>
      </c>
      <c r="G4109" t="inlineStr">
        <is>
          <t>Abrysvo</t>
        </is>
      </c>
      <c r="H4109" t="inlineStr">
        <is>
          <t>Retail pharmacy</t>
        </is>
      </c>
      <c r="I4109" t="inlineStr">
        <is>
          <t>Private insurer</t>
        </is>
      </c>
      <c r="J4109" t="inlineStr">
        <is>
          <t>Amir Khan</t>
        </is>
      </c>
      <c r="K4109" s="70" t="n">
        <v>3170</v>
      </c>
      <c r="L4109" s="71" t="n">
        <v>470.32</v>
      </c>
      <c r="M4109" s="71" t="n">
        <v>1490914.4</v>
      </c>
      <c r="N4109" s="71" t="n">
        <v>223637.16</v>
      </c>
      <c r="O4109" s="71" t="n">
        <v>1267277.24</v>
      </c>
      <c r="P4109" s="71" t="n">
        <v>271012</v>
      </c>
      <c r="Q4109" s="71" t="n">
        <v>996265.24</v>
      </c>
      <c r="R4109" t="inlineStr">
        <is>
          <t>Vaccines</t>
        </is>
      </c>
      <c r="S4109" s="70" t="n">
        <v>2575</v>
      </c>
      <c r="T4109" s="71" t="n">
        <v>220902.04</v>
      </c>
      <c r="U4109" t="inlineStr">
        <is>
          <t>Low</t>
        </is>
      </c>
      <c r="V4109">
        <f>IF(AND(OR(Dashboard!$C$6="All",E4109=Dashboard!$C$6),OR(Dashboard!$F$6="All",G4109=Dashboard!$F$6),OR(Dashboard!$I$6="All",H4109=Dashboard!$I$6)),1,0)</f>
        <v/>
      </c>
    </row>
    <row r="4110">
      <c r="A4110" t="inlineStr">
        <is>
          <t>PF104101</t>
        </is>
      </c>
      <c r="B4110" s="68" t="n">
        <v>46150</v>
      </c>
      <c r="C4110" s="69" t="n">
        <v>2026</v>
      </c>
      <c r="D4110" t="inlineStr">
        <is>
          <t>May</t>
        </is>
      </c>
      <c r="E4110" t="inlineStr">
        <is>
          <t>Europe</t>
        </is>
      </c>
      <c r="F4110" t="inlineStr">
        <is>
          <t>Italy</t>
        </is>
      </c>
      <c r="G4110" t="inlineStr">
        <is>
          <t>Prevnar 20</t>
        </is>
      </c>
      <c r="H4110" t="inlineStr">
        <is>
          <t>Hospital</t>
        </is>
      </c>
      <c r="I4110" t="inlineStr">
        <is>
          <t>Public payer</t>
        </is>
      </c>
      <c r="J4110" t="inlineStr">
        <is>
          <t>Yuki Sato</t>
        </is>
      </c>
      <c r="K4110" s="70" t="n">
        <v>1829</v>
      </c>
      <c r="L4110" s="71" t="n">
        <v>242.72</v>
      </c>
      <c r="M4110" s="71" t="n">
        <v>443934.88</v>
      </c>
      <c r="N4110" s="71" t="n">
        <v>22196.74</v>
      </c>
      <c r="O4110" s="71" t="n">
        <v>421738.14</v>
      </c>
      <c r="P4110" s="71" t="n">
        <v>123811.85</v>
      </c>
      <c r="Q4110" s="71" t="n">
        <v>297926.29</v>
      </c>
      <c r="R4110" t="inlineStr">
        <is>
          <t>Vaccines</t>
        </is>
      </c>
      <c r="S4110" s="70" t="n">
        <v>1808</v>
      </c>
      <c r="T4110" s="71" t="n">
        <v>80503.46000000001</v>
      </c>
      <c r="U4110" t="inlineStr">
        <is>
          <t>Low</t>
        </is>
      </c>
      <c r="V4110">
        <f>IF(AND(OR(Dashboard!$C$6="All",E4110=Dashboard!$C$6),OR(Dashboard!$F$6="All",G4110=Dashboard!$F$6),OR(Dashboard!$I$6="All",H4110=Dashboard!$I$6)),1,0)</f>
        <v/>
      </c>
    </row>
    <row r="4111">
      <c r="A4111" t="inlineStr">
        <is>
          <t>PF104102</t>
        </is>
      </c>
      <c r="B4111" s="68" t="n">
        <v>46150</v>
      </c>
      <c r="C4111" s="69" t="n">
        <v>2026</v>
      </c>
      <c r="D4111" t="inlineStr">
        <is>
          <t>May</t>
        </is>
      </c>
      <c r="E4111" t="inlineStr">
        <is>
          <t>Emerging markets</t>
        </is>
      </c>
      <c r="F4111" t="inlineStr">
        <is>
          <t>Brazil</t>
        </is>
      </c>
      <c r="G4111" t="inlineStr">
        <is>
          <t>Vyndaqel</t>
        </is>
      </c>
      <c r="H4111" t="inlineStr">
        <is>
          <t>Retail pharmacy</t>
        </is>
      </c>
      <c r="I4111" t="inlineStr">
        <is>
          <t>Private insurer</t>
        </is>
      </c>
      <c r="J4111" t="inlineStr">
        <is>
          <t>Arjun Mehta</t>
        </is>
      </c>
      <c r="K4111" s="70" t="n">
        <v>1197</v>
      </c>
      <c r="L4111" s="71" t="n">
        <v>6122.89</v>
      </c>
      <c r="M4111" s="71" t="n">
        <v>7329099.33</v>
      </c>
      <c r="N4111" s="71" t="n">
        <v>1832274.83</v>
      </c>
      <c r="O4111" s="71" t="n">
        <v>5496824.5</v>
      </c>
      <c r="P4111" s="71" t="n">
        <v>722465.11</v>
      </c>
      <c r="Q4111" s="71" t="n">
        <v>4774359.39</v>
      </c>
      <c r="R4111" t="inlineStr">
        <is>
          <t>Rare disease</t>
        </is>
      </c>
      <c r="S4111" s="70" t="n">
        <v>1031</v>
      </c>
      <c r="T4111" s="71" t="n">
        <v>1025624.39</v>
      </c>
      <c r="U4111" t="inlineStr">
        <is>
          <t>Medium</t>
        </is>
      </c>
      <c r="V4111">
        <f>IF(AND(OR(Dashboard!$C$6="All",E4111=Dashboard!$C$6),OR(Dashboard!$F$6="All",G4111=Dashboard!$F$6),OR(Dashboard!$I$6="All",H4111=Dashboard!$I$6)),1,0)</f>
        <v/>
      </c>
    </row>
    <row r="4112">
      <c r="A4112" t="inlineStr">
        <is>
          <t>PF104103</t>
        </is>
      </c>
      <c r="B4112" s="68" t="n">
        <v>46150</v>
      </c>
      <c r="C4112" s="69" t="n">
        <v>2026</v>
      </c>
      <c r="D4112" t="inlineStr">
        <is>
          <t>May</t>
        </is>
      </c>
      <c r="E4112" t="inlineStr">
        <is>
          <t>Emerging markets</t>
        </is>
      </c>
      <c r="F4112" t="inlineStr">
        <is>
          <t>China</t>
        </is>
      </c>
      <c r="G4112" t="inlineStr">
        <is>
          <t>Paxlovid</t>
        </is>
      </c>
      <c r="H4112" t="inlineStr">
        <is>
          <t>Retail pharmacy</t>
        </is>
      </c>
      <c r="I4112" t="inlineStr">
        <is>
          <t>Public payer</t>
        </is>
      </c>
      <c r="J4112" t="inlineStr">
        <is>
          <t>Ravindra Patil</t>
        </is>
      </c>
      <c r="K4112" s="70" t="n">
        <v>812</v>
      </c>
      <c r="L4112" s="71" t="n">
        <v>914.49</v>
      </c>
      <c r="M4112" s="71" t="n">
        <v>742565.88</v>
      </c>
      <c r="N4112" s="71" t="n">
        <v>111384.88</v>
      </c>
      <c r="O4112" s="71" t="n">
        <v>631181</v>
      </c>
      <c r="P4112" s="71" t="n">
        <v>229781.51</v>
      </c>
      <c r="Q4112" s="71" t="n">
        <v>401399.49</v>
      </c>
      <c r="R4112" t="inlineStr">
        <is>
          <t>Antiviral</t>
        </is>
      </c>
      <c r="S4112" s="70" t="n">
        <v>534</v>
      </c>
      <c r="T4112" s="71" t="n">
        <v>159915.63</v>
      </c>
      <c r="U4112" t="inlineStr">
        <is>
          <t>Low</t>
        </is>
      </c>
      <c r="V4112">
        <f>IF(AND(OR(Dashboard!$C$6="All",E4112=Dashboard!$C$6),OR(Dashboard!$F$6="All",G4112=Dashboard!$F$6),OR(Dashboard!$I$6="All",H4112=Dashboard!$I$6)),1,0)</f>
        <v/>
      </c>
    </row>
    <row r="4113">
      <c r="A4113" t="inlineStr">
        <is>
          <t>PF104104</t>
        </is>
      </c>
      <c r="B4113" s="68" t="n">
        <v>46150</v>
      </c>
      <c r="C4113" s="69" t="n">
        <v>2026</v>
      </c>
      <c r="D4113" t="inlineStr">
        <is>
          <t>May</t>
        </is>
      </c>
      <c r="E4113" t="inlineStr">
        <is>
          <t>Europe</t>
        </is>
      </c>
      <c r="F4113" t="inlineStr">
        <is>
          <t>UK</t>
        </is>
      </c>
      <c r="G4113" t="inlineStr">
        <is>
          <t>Vyndaqel</t>
        </is>
      </c>
      <c r="H4113" t="inlineStr">
        <is>
          <t>Retail pharmacy</t>
        </is>
      </c>
      <c r="I4113" t="inlineStr">
        <is>
          <t>Private insurer</t>
        </is>
      </c>
      <c r="J4113" t="inlineStr">
        <is>
          <t>Carlos Silva</t>
        </is>
      </c>
      <c r="K4113" s="70" t="n">
        <v>2126</v>
      </c>
      <c r="L4113" s="71" t="n">
        <v>5283.14</v>
      </c>
      <c r="M4113" s="71" t="n">
        <v>11231955.64</v>
      </c>
      <c r="N4113" s="71" t="n">
        <v>1123195.56</v>
      </c>
      <c r="O4113" s="71" t="n">
        <v>10108760.08</v>
      </c>
      <c r="P4113" s="71" t="n">
        <v>1369528.99</v>
      </c>
      <c r="Q4113" s="71" t="n">
        <v>8739231.09</v>
      </c>
      <c r="R4113" t="inlineStr">
        <is>
          <t>Rare disease</t>
        </is>
      </c>
      <c r="S4113" s="70" t="n">
        <v>2017</v>
      </c>
      <c r="T4113" s="71" t="n">
        <v>1800193.76</v>
      </c>
      <c r="U4113" t="inlineStr">
        <is>
          <t>Medium</t>
        </is>
      </c>
      <c r="V4113">
        <f>IF(AND(OR(Dashboard!$C$6="All",E4113=Dashboard!$C$6),OR(Dashboard!$F$6="All",G4113=Dashboard!$F$6),OR(Dashboard!$I$6="All",H4113=Dashboard!$I$6)),1,0)</f>
        <v/>
      </c>
    </row>
    <row r="4114">
      <c r="A4114" t="inlineStr">
        <is>
          <t>PF104105</t>
        </is>
      </c>
      <c r="B4114" s="68" t="n">
        <v>46150</v>
      </c>
      <c r="C4114" s="69" t="n">
        <v>2026</v>
      </c>
      <c r="D4114" t="inlineStr">
        <is>
          <t>May</t>
        </is>
      </c>
      <c r="E4114" t="inlineStr">
        <is>
          <t>United States</t>
        </is>
      </c>
      <c r="F4114" t="inlineStr">
        <is>
          <t>USA</t>
        </is>
      </c>
      <c r="G4114" t="inlineStr">
        <is>
          <t>Paxlovid</t>
        </is>
      </c>
      <c r="H4114" t="inlineStr">
        <is>
          <t>Retail pharmacy</t>
        </is>
      </c>
      <c r="I4114" t="inlineStr">
        <is>
          <t>Private insurer</t>
        </is>
      </c>
      <c r="J4114" t="inlineStr">
        <is>
          <t>Olivia Brown</t>
        </is>
      </c>
      <c r="K4114" s="70" t="n">
        <v>2346</v>
      </c>
      <c r="L4114" s="71" t="n">
        <v>1548.16</v>
      </c>
      <c r="M4114" s="71" t="n">
        <v>3631983.36</v>
      </c>
      <c r="N4114" s="71" t="n">
        <v>907995.84</v>
      </c>
      <c r="O4114" s="71" t="n">
        <v>2723987.52</v>
      </c>
      <c r="P4114" s="71" t="n">
        <v>648170.13</v>
      </c>
      <c r="Q4114" s="71" t="n">
        <v>2075817.39</v>
      </c>
      <c r="R4114" t="inlineStr">
        <is>
          <t>Antiviral</t>
        </is>
      </c>
      <c r="S4114" s="70" t="n">
        <v>1931</v>
      </c>
      <c r="T4114" s="71" t="n">
        <v>545784.22</v>
      </c>
      <c r="U4114" t="inlineStr">
        <is>
          <t>Low</t>
        </is>
      </c>
      <c r="V4114">
        <f>IF(AND(OR(Dashboard!$C$6="All",E4114=Dashboard!$C$6),OR(Dashboard!$F$6="All",G4114=Dashboard!$F$6),OR(Dashboard!$I$6="All",H4114=Dashboard!$I$6)),1,0)</f>
        <v/>
      </c>
    </row>
    <row r="4115">
      <c r="A4115" t="inlineStr">
        <is>
          <t>PF104106</t>
        </is>
      </c>
      <c r="B4115" s="68" t="n">
        <v>46150</v>
      </c>
      <c r="C4115" s="69" t="n">
        <v>2026</v>
      </c>
      <c r="D4115" t="inlineStr">
        <is>
          <t>May</t>
        </is>
      </c>
      <c r="E4115" t="inlineStr">
        <is>
          <t>United States</t>
        </is>
      </c>
      <c r="F4115" t="inlineStr">
        <is>
          <t>USA</t>
        </is>
      </c>
      <c r="G4115" t="inlineStr">
        <is>
          <t>Paxlovid</t>
        </is>
      </c>
      <c r="H4115" t="inlineStr">
        <is>
          <t>Government / tender</t>
        </is>
      </c>
      <c r="I4115" t="inlineStr">
        <is>
          <t>Private insurer</t>
        </is>
      </c>
      <c r="J4115" t="inlineStr">
        <is>
          <t>Hiroshi Tanaka</t>
        </is>
      </c>
      <c r="K4115" s="70" t="n">
        <v>176</v>
      </c>
      <c r="L4115" s="71" t="n">
        <v>1587.4</v>
      </c>
      <c r="M4115" s="71" t="n">
        <v>279382.4</v>
      </c>
      <c r="N4115" s="71" t="n">
        <v>41907.36</v>
      </c>
      <c r="O4115" s="71" t="n">
        <v>237475.04</v>
      </c>
      <c r="P4115" s="71" t="n">
        <v>50315.36</v>
      </c>
      <c r="Q4115" s="71" t="n">
        <v>187159.68</v>
      </c>
      <c r="R4115" t="inlineStr">
        <is>
          <t>Antiviral</t>
        </is>
      </c>
      <c r="S4115" s="70" t="n">
        <v>153</v>
      </c>
      <c r="T4115" s="71" t="n">
        <v>72303.55</v>
      </c>
      <c r="U4115" t="inlineStr">
        <is>
          <t>Low</t>
        </is>
      </c>
      <c r="V4115">
        <f>IF(AND(OR(Dashboard!$C$6="All",E4115=Dashboard!$C$6),OR(Dashboard!$F$6="All",G4115=Dashboard!$F$6),OR(Dashboard!$I$6="All",H4115=Dashboard!$I$6)),1,0)</f>
        <v/>
      </c>
    </row>
    <row r="4116">
      <c r="A4116" t="inlineStr">
        <is>
          <t>PF104107</t>
        </is>
      </c>
      <c r="B4116" s="68" t="n">
        <v>46151</v>
      </c>
      <c r="C4116" s="69" t="n">
        <v>2026</v>
      </c>
      <c r="D4116" t="inlineStr">
        <is>
          <t>May</t>
        </is>
      </c>
      <c r="E4116" t="inlineStr">
        <is>
          <t>United States</t>
        </is>
      </c>
      <c r="F4116" t="inlineStr">
        <is>
          <t>USA</t>
        </is>
      </c>
      <c r="G4116" t="inlineStr">
        <is>
          <t>Abrysvo</t>
        </is>
      </c>
      <c r="H4116" t="inlineStr">
        <is>
          <t>Hospital</t>
        </is>
      </c>
      <c r="I4116" t="inlineStr">
        <is>
          <t>Private insurer</t>
        </is>
      </c>
      <c r="J4116" t="inlineStr">
        <is>
          <t>Amir Khan</t>
        </is>
      </c>
      <c r="K4116" s="70" t="n">
        <v>2998</v>
      </c>
      <c r="L4116" s="71" t="n">
        <v>546.85</v>
      </c>
      <c r="M4116" s="71" t="n">
        <v>1639456.3</v>
      </c>
      <c r="N4116" s="71" t="n">
        <v>245918.45</v>
      </c>
      <c r="O4116" s="71" t="n">
        <v>1393537.85</v>
      </c>
      <c r="P4116" s="71" t="n">
        <v>248658.74</v>
      </c>
      <c r="Q4116" s="71" t="n">
        <v>1144879.11</v>
      </c>
      <c r="R4116" t="inlineStr">
        <is>
          <t>Vaccines</t>
        </is>
      </c>
      <c r="S4116" s="70" t="n">
        <v>1903</v>
      </c>
      <c r="T4116" s="71" t="n">
        <v>201680.66</v>
      </c>
      <c r="U4116" t="inlineStr">
        <is>
          <t>Low</t>
        </is>
      </c>
      <c r="V4116">
        <f>IF(AND(OR(Dashboard!$C$6="All",E4116=Dashboard!$C$6),OR(Dashboard!$F$6="All",G4116=Dashboard!$F$6),OR(Dashboard!$I$6="All",H4116=Dashboard!$I$6)),1,0)</f>
        <v/>
      </c>
    </row>
    <row r="4117">
      <c r="A4117" t="inlineStr">
        <is>
          <t>PF104108</t>
        </is>
      </c>
      <c r="B4117" s="68" t="n">
        <v>46151</v>
      </c>
      <c r="C4117" s="69" t="n">
        <v>2026</v>
      </c>
      <c r="D4117" t="inlineStr">
        <is>
          <t>May</t>
        </is>
      </c>
      <c r="E4117" t="inlineStr">
        <is>
          <t>United States</t>
        </is>
      </c>
      <c r="F4117" t="inlineStr">
        <is>
          <t>USA</t>
        </is>
      </c>
      <c r="G4117" t="inlineStr">
        <is>
          <t>Vyndaqel</t>
        </is>
      </c>
      <c r="H4117" t="inlineStr">
        <is>
          <t>Retail pharmacy</t>
        </is>
      </c>
      <c r="I4117" t="inlineStr">
        <is>
          <t>Self-pay</t>
        </is>
      </c>
      <c r="J4117" t="inlineStr">
        <is>
          <t>Olivia Brown</t>
        </is>
      </c>
      <c r="K4117" s="70" t="n">
        <v>1858</v>
      </c>
      <c r="L4117" s="71" t="n">
        <v>9163.879999999999</v>
      </c>
      <c r="M4117" s="71" t="n">
        <v>17026489.04</v>
      </c>
      <c r="N4117" s="71" t="n">
        <v>2553973.36</v>
      </c>
      <c r="O4117" s="71" t="n">
        <v>14472515.68</v>
      </c>
      <c r="P4117" s="71" t="n">
        <v>1125306.66</v>
      </c>
      <c r="Q4117" s="71" t="n">
        <v>13347209.02</v>
      </c>
      <c r="R4117" t="inlineStr">
        <is>
          <t>Rare disease</t>
        </is>
      </c>
      <c r="S4117" s="70" t="n">
        <v>1577</v>
      </c>
      <c r="T4117" s="71" t="n">
        <v>2599274.99</v>
      </c>
      <c r="U4117" t="inlineStr">
        <is>
          <t>Medium</t>
        </is>
      </c>
      <c r="V4117">
        <f>IF(AND(OR(Dashboard!$C$6="All",E4117=Dashboard!$C$6),OR(Dashboard!$F$6="All",G4117=Dashboard!$F$6),OR(Dashboard!$I$6="All",H4117=Dashboard!$I$6)),1,0)</f>
        <v/>
      </c>
    </row>
    <row r="4118">
      <c r="A4118" t="inlineStr">
        <is>
          <t>PF104109</t>
        </is>
      </c>
      <c r="B4118" s="68" t="n">
        <v>46151</v>
      </c>
      <c r="C4118" s="69" t="n">
        <v>2026</v>
      </c>
      <c r="D4118" t="inlineStr">
        <is>
          <t>May</t>
        </is>
      </c>
      <c r="E4118" t="inlineStr">
        <is>
          <t>United States</t>
        </is>
      </c>
      <c r="F4118" t="inlineStr">
        <is>
          <t>USA</t>
        </is>
      </c>
      <c r="G4118" t="inlineStr">
        <is>
          <t>Eliquis</t>
        </is>
      </c>
      <c r="H4118" t="inlineStr">
        <is>
          <t>Government / tender</t>
        </is>
      </c>
      <c r="I4118" t="inlineStr">
        <is>
          <t>Public payer</t>
        </is>
      </c>
      <c r="J4118" t="inlineStr">
        <is>
          <t>Sophie Müller</t>
        </is>
      </c>
      <c r="K4118" s="70" t="n">
        <v>2008</v>
      </c>
      <c r="L4118" s="71" t="n">
        <v>757.3200000000001</v>
      </c>
      <c r="M4118" s="71" t="n">
        <v>1520698.56</v>
      </c>
      <c r="N4118" s="71" t="n">
        <v>304139.71</v>
      </c>
      <c r="O4118" s="71" t="n">
        <v>1216558.85</v>
      </c>
      <c r="P4118" s="71" t="n">
        <v>150306.22</v>
      </c>
      <c r="Q4118" s="71" t="n">
        <v>1066252.63</v>
      </c>
      <c r="R4118" t="inlineStr">
        <is>
          <t>Cardiology</t>
        </is>
      </c>
      <c r="S4118" s="70" t="n">
        <v>1312</v>
      </c>
      <c r="T4118" s="71" t="n">
        <v>227354.39</v>
      </c>
      <c r="U4118" t="inlineStr">
        <is>
          <t>High</t>
        </is>
      </c>
      <c r="V4118">
        <f>IF(AND(OR(Dashboard!$C$6="All",E4118=Dashboard!$C$6),OR(Dashboard!$F$6="All",G4118=Dashboard!$F$6),OR(Dashboard!$I$6="All",H4118=Dashboard!$I$6)),1,0)</f>
        <v/>
      </c>
    </row>
    <row r="4119">
      <c r="A4119" t="inlineStr">
        <is>
          <t>PF104110</t>
        </is>
      </c>
      <c r="B4119" s="68" t="n">
        <v>46151</v>
      </c>
      <c r="C4119" s="69" t="n">
        <v>2026</v>
      </c>
      <c r="D4119" t="inlineStr">
        <is>
          <t>May</t>
        </is>
      </c>
      <c r="E4119" t="inlineStr">
        <is>
          <t>Europe</t>
        </is>
      </c>
      <c r="F4119" t="inlineStr">
        <is>
          <t>France</t>
        </is>
      </c>
      <c r="G4119" t="inlineStr">
        <is>
          <t>Eliquis</t>
        </is>
      </c>
      <c r="H4119" t="inlineStr">
        <is>
          <t>Retail pharmacy</t>
        </is>
      </c>
      <c r="I4119" t="inlineStr">
        <is>
          <t>Private insurer</t>
        </is>
      </c>
      <c r="J4119" t="inlineStr">
        <is>
          <t>Sophie Müller</t>
        </is>
      </c>
      <c r="K4119" s="70" t="n">
        <v>2138</v>
      </c>
      <c r="L4119" s="71" t="n">
        <v>394.48</v>
      </c>
      <c r="M4119" s="71" t="n">
        <v>843398.24</v>
      </c>
      <c r="N4119" s="71" t="n">
        <v>42169.91</v>
      </c>
      <c r="O4119" s="71" t="n">
        <v>801228.33</v>
      </c>
      <c r="P4119" s="71" t="n">
        <v>155699.03</v>
      </c>
      <c r="Q4119" s="71" t="n">
        <v>645529.3</v>
      </c>
      <c r="R4119" t="inlineStr">
        <is>
          <t>Cardiology</t>
        </is>
      </c>
      <c r="S4119" s="70" t="n">
        <v>1471</v>
      </c>
      <c r="T4119" s="71" t="n">
        <v>154399.74</v>
      </c>
      <c r="U4119" t="inlineStr">
        <is>
          <t>High</t>
        </is>
      </c>
      <c r="V4119">
        <f>IF(AND(OR(Dashboard!$C$6="All",E4119=Dashboard!$C$6),OR(Dashboard!$F$6="All",G4119=Dashboard!$F$6),OR(Dashboard!$I$6="All",H4119=Dashboard!$I$6)),1,0)</f>
        <v/>
      </c>
    </row>
    <row r="4120">
      <c r="A4120" t="inlineStr">
        <is>
          <t>PF104111</t>
        </is>
      </c>
      <c r="B4120" s="68" t="n">
        <v>46151</v>
      </c>
      <c r="C4120" s="69" t="n">
        <v>2026</v>
      </c>
      <c r="D4120" t="inlineStr">
        <is>
          <t>May</t>
        </is>
      </c>
      <c r="E4120" t="inlineStr">
        <is>
          <t>International developed</t>
        </is>
      </c>
      <c r="F4120" t="inlineStr">
        <is>
          <t>Japan</t>
        </is>
      </c>
      <c r="G4120" t="inlineStr">
        <is>
          <t>Xeljanz</t>
        </is>
      </c>
      <c r="H4120" t="inlineStr">
        <is>
          <t>Retail pharmacy</t>
        </is>
      </c>
      <c r="I4120" t="inlineStr">
        <is>
          <t>Private insurer</t>
        </is>
      </c>
      <c r="J4120" t="inlineStr">
        <is>
          <t>Ana Costa</t>
        </is>
      </c>
      <c r="K4120" s="70" t="n">
        <v>2549</v>
      </c>
      <c r="L4120" s="71" t="n">
        <v>1242.44</v>
      </c>
      <c r="M4120" s="71" t="n">
        <v>3166979.56</v>
      </c>
      <c r="N4120" s="71" t="n">
        <v>158348.98</v>
      </c>
      <c r="O4120" s="71" t="n">
        <v>3008630.58</v>
      </c>
      <c r="P4120" s="71" t="n">
        <v>648052.52</v>
      </c>
      <c r="Q4120" s="71" t="n">
        <v>2360578.06</v>
      </c>
      <c r="R4120" t="inlineStr">
        <is>
          <t>Inflammation</t>
        </is>
      </c>
      <c r="S4120" s="70" t="n">
        <v>1788</v>
      </c>
      <c r="T4120" s="71" t="n">
        <v>658839.54</v>
      </c>
      <c r="U4120" t="inlineStr">
        <is>
          <t>High</t>
        </is>
      </c>
      <c r="V4120">
        <f>IF(AND(OR(Dashboard!$C$6="All",E4120=Dashboard!$C$6),OR(Dashboard!$F$6="All",G4120=Dashboard!$F$6),OR(Dashboard!$I$6="All",H4120=Dashboard!$I$6)),1,0)</f>
        <v/>
      </c>
    </row>
    <row r="4121">
      <c r="A4121" t="inlineStr">
        <is>
          <t>PF104112</t>
        </is>
      </c>
      <c r="B4121" s="68" t="n">
        <v>46151</v>
      </c>
      <c r="C4121" s="69" t="n">
        <v>2026</v>
      </c>
      <c r="D4121" t="inlineStr">
        <is>
          <t>May</t>
        </is>
      </c>
      <c r="E4121" t="inlineStr">
        <is>
          <t>United States</t>
        </is>
      </c>
      <c r="F4121" t="inlineStr">
        <is>
          <t>USA</t>
        </is>
      </c>
      <c r="G4121" t="inlineStr">
        <is>
          <t>Vyndaqel</t>
        </is>
      </c>
      <c r="H4121" t="inlineStr">
        <is>
          <t>Retail pharmacy</t>
        </is>
      </c>
      <c r="I4121" t="inlineStr">
        <is>
          <t>Public payer</t>
        </is>
      </c>
      <c r="J4121" t="inlineStr">
        <is>
          <t>Ana Costa</t>
        </is>
      </c>
      <c r="K4121" s="70" t="n">
        <v>1634</v>
      </c>
      <c r="L4121" s="71" t="n">
        <v>9267.43</v>
      </c>
      <c r="M4121" s="71" t="n">
        <v>15142980.62</v>
      </c>
      <c r="N4121" s="71" t="n">
        <v>4542894.19</v>
      </c>
      <c r="O4121" s="71" t="n">
        <v>10600086.43</v>
      </c>
      <c r="P4121" s="71" t="n">
        <v>988071.0699999999</v>
      </c>
      <c r="Q4121" s="71" t="n">
        <v>9612015.359999999</v>
      </c>
      <c r="R4121" t="inlineStr">
        <is>
          <t>Rare disease</t>
        </is>
      </c>
      <c r="S4121" s="70" t="n">
        <v>1104</v>
      </c>
      <c r="T4121" s="71" t="n">
        <v>2278479.83</v>
      </c>
      <c r="U4121" t="inlineStr">
        <is>
          <t>Medium</t>
        </is>
      </c>
      <c r="V4121">
        <f>IF(AND(OR(Dashboard!$C$6="All",E4121=Dashboard!$C$6),OR(Dashboard!$F$6="All",G4121=Dashboard!$F$6),OR(Dashboard!$I$6="All",H4121=Dashboard!$I$6)),1,0)</f>
        <v/>
      </c>
    </row>
    <row r="4122">
      <c r="A4122" t="inlineStr">
        <is>
          <t>PF104113</t>
        </is>
      </c>
      <c r="B4122" s="68" t="n">
        <v>46151</v>
      </c>
      <c r="C4122" s="69" t="n">
        <v>2026</v>
      </c>
      <c r="D4122" t="inlineStr">
        <is>
          <t>May</t>
        </is>
      </c>
      <c r="E4122" t="inlineStr">
        <is>
          <t>United States</t>
        </is>
      </c>
      <c r="F4122" t="inlineStr">
        <is>
          <t>USA</t>
        </is>
      </c>
      <c r="G4122" t="inlineStr">
        <is>
          <t>Eliquis</t>
        </is>
      </c>
      <c r="H4122" t="inlineStr">
        <is>
          <t>Hospital</t>
        </is>
      </c>
      <c r="I4122" t="inlineStr">
        <is>
          <t>Private insurer</t>
        </is>
      </c>
      <c r="J4122" t="inlineStr">
        <is>
          <t>Emma Clarke</t>
        </is>
      </c>
      <c r="K4122" s="70" t="n">
        <v>2815</v>
      </c>
      <c r="L4122" s="71" t="n">
        <v>650.02</v>
      </c>
      <c r="M4122" s="71" t="n">
        <v>1829806.3</v>
      </c>
      <c r="N4122" s="71" t="n">
        <v>457451.58</v>
      </c>
      <c r="O4122" s="71" t="n">
        <v>1372354.72</v>
      </c>
      <c r="P4122" s="71" t="n">
        <v>207779.72</v>
      </c>
      <c r="Q4122" s="71" t="n">
        <v>1164575</v>
      </c>
      <c r="R4122" t="inlineStr">
        <is>
          <t>Cardiology</t>
        </is>
      </c>
      <c r="S4122" s="70" t="n">
        <v>1986</v>
      </c>
      <c r="T4122" s="71" t="n">
        <v>328417.64</v>
      </c>
      <c r="U4122" t="inlineStr">
        <is>
          <t>High</t>
        </is>
      </c>
      <c r="V4122">
        <f>IF(AND(OR(Dashboard!$C$6="All",E4122=Dashboard!$C$6),OR(Dashboard!$F$6="All",G4122=Dashboard!$F$6),OR(Dashboard!$I$6="All",H4122=Dashboard!$I$6)),1,0)</f>
        <v/>
      </c>
    </row>
    <row r="4123">
      <c r="A4123" t="inlineStr">
        <is>
          <t>PF104114</t>
        </is>
      </c>
      <c r="B4123" s="68" t="n">
        <v>46151</v>
      </c>
      <c r="C4123" s="69" t="n">
        <v>2026</v>
      </c>
      <c r="D4123" t="inlineStr">
        <is>
          <t>May</t>
        </is>
      </c>
      <c r="E4123" t="inlineStr">
        <is>
          <t>United States</t>
        </is>
      </c>
      <c r="F4123" t="inlineStr">
        <is>
          <t>USA</t>
        </is>
      </c>
      <c r="G4123" t="inlineStr">
        <is>
          <t>Eliquis</t>
        </is>
      </c>
      <c r="H4123" t="inlineStr">
        <is>
          <t>Retail pharmacy</t>
        </is>
      </c>
      <c r="I4123" t="inlineStr">
        <is>
          <t>Public payer</t>
        </is>
      </c>
      <c r="J4123" t="inlineStr">
        <is>
          <t>Noah Smith</t>
        </is>
      </c>
      <c r="K4123" s="70" t="n">
        <v>1929</v>
      </c>
      <c r="L4123" s="71" t="n">
        <v>749.09</v>
      </c>
      <c r="M4123" s="71" t="n">
        <v>1444994.61</v>
      </c>
      <c r="N4123" s="71" t="n">
        <v>361248.65</v>
      </c>
      <c r="O4123" s="71" t="n">
        <v>1083745.96</v>
      </c>
      <c r="P4123" s="71" t="n">
        <v>143448.09</v>
      </c>
      <c r="Q4123" s="71" t="n">
        <v>940297.87</v>
      </c>
      <c r="R4123" t="inlineStr">
        <is>
          <t>Cardiology</t>
        </is>
      </c>
      <c r="S4123" s="70" t="n">
        <v>1762</v>
      </c>
      <c r="T4123" s="71" t="n">
        <v>262352.66</v>
      </c>
      <c r="U4123" t="inlineStr">
        <is>
          <t>High</t>
        </is>
      </c>
      <c r="V4123">
        <f>IF(AND(OR(Dashboard!$C$6="All",E4123=Dashboard!$C$6),OR(Dashboard!$F$6="All",G4123=Dashboard!$F$6),OR(Dashboard!$I$6="All",H4123=Dashboard!$I$6)),1,0)</f>
        <v/>
      </c>
    </row>
    <row r="4124">
      <c r="A4124" t="inlineStr">
        <is>
          <t>PF104115</t>
        </is>
      </c>
      <c r="B4124" s="68" t="n">
        <v>46151</v>
      </c>
      <c r="C4124" s="69" t="n">
        <v>2026</v>
      </c>
      <c r="D4124" t="inlineStr">
        <is>
          <t>May</t>
        </is>
      </c>
      <c r="E4124" t="inlineStr">
        <is>
          <t>Emerging markets</t>
        </is>
      </c>
      <c r="F4124" t="inlineStr">
        <is>
          <t>India</t>
        </is>
      </c>
      <c r="G4124" t="inlineStr">
        <is>
          <t>Xeljanz</t>
        </is>
      </c>
      <c r="H4124" t="inlineStr">
        <is>
          <t>Retail pharmacy</t>
        </is>
      </c>
      <c r="I4124" t="inlineStr">
        <is>
          <t>Self-pay</t>
        </is>
      </c>
      <c r="J4124" t="inlineStr">
        <is>
          <t>Fatima Al-Saud</t>
        </is>
      </c>
      <c r="K4124" s="70" t="n">
        <v>2705</v>
      </c>
      <c r="L4124" s="71" t="n">
        <v>1291.55</v>
      </c>
      <c r="M4124" s="71" t="n">
        <v>3493642.75</v>
      </c>
      <c r="N4124" s="71" t="n">
        <v>873410.6899999999</v>
      </c>
      <c r="O4124" s="71" t="n">
        <v>2620232.06</v>
      </c>
      <c r="P4124" s="71" t="n">
        <v>697678.15</v>
      </c>
      <c r="Q4124" s="71" t="n">
        <v>1922553.91</v>
      </c>
      <c r="R4124" t="inlineStr">
        <is>
          <t>Inflammation</t>
        </is>
      </c>
      <c r="S4124" s="70" t="n">
        <v>1773</v>
      </c>
      <c r="T4124" s="71" t="n">
        <v>440927.68</v>
      </c>
      <c r="U4124" t="inlineStr">
        <is>
          <t>High</t>
        </is>
      </c>
      <c r="V4124">
        <f>IF(AND(OR(Dashboard!$C$6="All",E4124=Dashboard!$C$6),OR(Dashboard!$F$6="All",G4124=Dashboard!$F$6),OR(Dashboard!$I$6="All",H4124=Dashboard!$I$6)),1,0)</f>
        <v/>
      </c>
    </row>
    <row r="4125">
      <c r="A4125" t="inlineStr">
        <is>
          <t>PF104116</t>
        </is>
      </c>
      <c r="B4125" s="68" t="n">
        <v>46151</v>
      </c>
      <c r="C4125" s="69" t="n">
        <v>2026</v>
      </c>
      <c r="D4125" t="inlineStr">
        <is>
          <t>May</t>
        </is>
      </c>
      <c r="E4125" t="inlineStr">
        <is>
          <t>United States</t>
        </is>
      </c>
      <c r="F4125" t="inlineStr">
        <is>
          <t>USA</t>
        </is>
      </c>
      <c r="G4125" t="inlineStr">
        <is>
          <t>Vyndaqel</t>
        </is>
      </c>
      <c r="H4125" t="inlineStr">
        <is>
          <t>Retail pharmacy</t>
        </is>
      </c>
      <c r="I4125" t="inlineStr">
        <is>
          <t>Private insurer</t>
        </is>
      </c>
      <c r="J4125" t="inlineStr">
        <is>
          <t>Wei Chen</t>
        </is>
      </c>
      <c r="K4125" s="70" t="n">
        <v>2666</v>
      </c>
      <c r="L4125" s="71" t="n">
        <v>9794.16</v>
      </c>
      <c r="M4125" s="71" t="n">
        <v>26111230.56</v>
      </c>
      <c r="N4125" s="71" t="n">
        <v>9138930.699999999</v>
      </c>
      <c r="O4125" s="71" t="n">
        <v>16972299.86</v>
      </c>
      <c r="P4125" s="71" t="n">
        <v>1666046.92</v>
      </c>
      <c r="Q4125" s="71" t="n">
        <v>15306252.94</v>
      </c>
      <c r="R4125" t="inlineStr">
        <is>
          <t>Rare disease</t>
        </is>
      </c>
      <c r="S4125" s="70" t="n">
        <v>2096</v>
      </c>
      <c r="T4125" s="71" t="n">
        <v>4984935.22</v>
      </c>
      <c r="U4125" t="inlineStr">
        <is>
          <t>Medium</t>
        </is>
      </c>
      <c r="V4125">
        <f>IF(AND(OR(Dashboard!$C$6="All",E4125=Dashboard!$C$6),OR(Dashboard!$F$6="All",G4125=Dashboard!$F$6),OR(Dashboard!$I$6="All",H4125=Dashboard!$I$6)),1,0)</f>
        <v/>
      </c>
    </row>
    <row r="4126">
      <c r="A4126" t="inlineStr">
        <is>
          <t>PF104117</t>
        </is>
      </c>
      <c r="B4126" s="68" t="n">
        <v>46152</v>
      </c>
      <c r="C4126" s="69" t="n">
        <v>2026</v>
      </c>
      <c r="D4126" t="inlineStr">
        <is>
          <t>May</t>
        </is>
      </c>
      <c r="E4126" t="inlineStr">
        <is>
          <t>Europe</t>
        </is>
      </c>
      <c r="F4126" t="inlineStr">
        <is>
          <t>Germany</t>
        </is>
      </c>
      <c r="G4126" t="inlineStr">
        <is>
          <t>Ibrance</t>
        </is>
      </c>
      <c r="H4126" t="inlineStr">
        <is>
          <t>Hospital</t>
        </is>
      </c>
      <c r="I4126" t="inlineStr">
        <is>
          <t>Private insurer</t>
        </is>
      </c>
      <c r="J4126" t="inlineStr">
        <is>
          <t>Carlos Silva</t>
        </is>
      </c>
      <c r="K4126" s="70" t="n">
        <v>2854</v>
      </c>
      <c r="L4126" s="71" t="n">
        <v>3047.56</v>
      </c>
      <c r="M4126" s="71" t="n">
        <v>8697736.24</v>
      </c>
      <c r="N4126" s="71" t="n">
        <v>1739547.25</v>
      </c>
      <c r="O4126" s="71" t="n">
        <v>6958188.99</v>
      </c>
      <c r="P4126" s="71" t="n">
        <v>1221116.24</v>
      </c>
      <c r="Q4126" s="71" t="n">
        <v>5737072.75</v>
      </c>
      <c r="R4126" t="inlineStr">
        <is>
          <t>Oncology</t>
        </is>
      </c>
      <c r="S4126" s="70" t="n">
        <v>1946</v>
      </c>
      <c r="T4126" s="71" t="n">
        <v>1601534.79</v>
      </c>
      <c r="U4126" t="inlineStr">
        <is>
          <t>High</t>
        </is>
      </c>
      <c r="V4126">
        <f>IF(AND(OR(Dashboard!$C$6="All",E4126=Dashboard!$C$6),OR(Dashboard!$F$6="All",G4126=Dashboard!$F$6),OR(Dashboard!$I$6="All",H4126=Dashboard!$I$6)),1,0)</f>
        <v/>
      </c>
    </row>
    <row r="4127">
      <c r="A4127" t="inlineStr">
        <is>
          <t>PF104118</t>
        </is>
      </c>
      <c r="B4127" s="68" t="n">
        <v>46152</v>
      </c>
      <c r="C4127" s="69" t="n">
        <v>2026</v>
      </c>
      <c r="D4127" t="inlineStr">
        <is>
          <t>May</t>
        </is>
      </c>
      <c r="E4127" t="inlineStr">
        <is>
          <t>Europe</t>
        </is>
      </c>
      <c r="F4127" t="inlineStr">
        <is>
          <t>UK</t>
        </is>
      </c>
      <c r="G4127" t="inlineStr">
        <is>
          <t>Vyndaqel</t>
        </is>
      </c>
      <c r="H4127" t="inlineStr">
        <is>
          <t>Hospital</t>
        </is>
      </c>
      <c r="I4127" t="inlineStr">
        <is>
          <t>Private insurer</t>
        </is>
      </c>
      <c r="J4127" t="inlineStr">
        <is>
          <t>Ana Costa</t>
        </is>
      </c>
      <c r="K4127" s="70" t="n">
        <v>2666</v>
      </c>
      <c r="L4127" s="71" t="n">
        <v>5208.14</v>
      </c>
      <c r="M4127" s="71" t="n">
        <v>13884901.24</v>
      </c>
      <c r="N4127" s="71" t="n">
        <v>1388490.12</v>
      </c>
      <c r="O4127" s="71" t="n">
        <v>12496411.12</v>
      </c>
      <c r="P4127" s="71" t="n">
        <v>1662500.91</v>
      </c>
      <c r="Q4127" s="71" t="n">
        <v>10833910.21</v>
      </c>
      <c r="R4127" t="inlineStr">
        <is>
          <t>Rare disease</t>
        </is>
      </c>
      <c r="S4127" s="70" t="n">
        <v>1667</v>
      </c>
      <c r="T4127" s="71" t="n">
        <v>2146380.21</v>
      </c>
      <c r="U4127" t="inlineStr">
        <is>
          <t>Medium</t>
        </is>
      </c>
      <c r="V4127">
        <f>IF(AND(OR(Dashboard!$C$6="All",E4127=Dashboard!$C$6),OR(Dashboard!$F$6="All",G4127=Dashboard!$F$6),OR(Dashboard!$I$6="All",H4127=Dashboard!$I$6)),1,0)</f>
        <v/>
      </c>
    </row>
    <row r="4128">
      <c r="A4128" t="inlineStr">
        <is>
          <t>PF104119</t>
        </is>
      </c>
      <c r="B4128" s="68" t="n">
        <v>46152</v>
      </c>
      <c r="C4128" s="69" t="n">
        <v>2026</v>
      </c>
      <c r="D4128" t="inlineStr">
        <is>
          <t>May</t>
        </is>
      </c>
      <c r="E4128" t="inlineStr">
        <is>
          <t>International developed</t>
        </is>
      </c>
      <c r="F4128" t="inlineStr">
        <is>
          <t>Canada</t>
        </is>
      </c>
      <c r="G4128" t="inlineStr">
        <is>
          <t>Paxlovid</t>
        </is>
      </c>
      <c r="H4128" t="inlineStr">
        <is>
          <t>Government / tender</t>
        </is>
      </c>
      <c r="I4128" t="inlineStr">
        <is>
          <t>Public payer</t>
        </is>
      </c>
      <c r="J4128" t="inlineStr">
        <is>
          <t>Aisha Bello</t>
        </is>
      </c>
      <c r="K4128" s="70" t="n">
        <v>589</v>
      </c>
      <c r="L4128" s="71" t="n">
        <v>915.51</v>
      </c>
      <c r="M4128" s="71" t="n">
        <v>539235.39</v>
      </c>
      <c r="N4128" s="71" t="n">
        <v>80885.31</v>
      </c>
      <c r="O4128" s="71" t="n">
        <v>458350.08</v>
      </c>
      <c r="P4128" s="71" t="n">
        <v>158534.09</v>
      </c>
      <c r="Q4128" s="71" t="n">
        <v>299815.99</v>
      </c>
      <c r="R4128" t="inlineStr">
        <is>
          <t>Antiviral</t>
        </is>
      </c>
      <c r="S4128" s="70" t="n">
        <v>487</v>
      </c>
      <c r="T4128" s="71" t="n">
        <v>103615.81</v>
      </c>
      <c r="U4128" t="inlineStr">
        <is>
          <t>Low</t>
        </is>
      </c>
      <c r="V4128">
        <f>IF(AND(OR(Dashboard!$C$6="All",E4128=Dashboard!$C$6),OR(Dashboard!$F$6="All",G4128=Dashboard!$F$6),OR(Dashboard!$I$6="All",H4128=Dashboard!$I$6)),1,0)</f>
        <v/>
      </c>
    </row>
    <row r="4129">
      <c r="A4129" t="inlineStr">
        <is>
          <t>PF104120</t>
        </is>
      </c>
      <c r="B4129" s="68" t="n">
        <v>46152</v>
      </c>
      <c r="C4129" s="69" t="n">
        <v>2026</v>
      </c>
      <c r="D4129" t="inlineStr">
        <is>
          <t>May</t>
        </is>
      </c>
      <c r="E4129" t="inlineStr">
        <is>
          <t>Emerging markets</t>
        </is>
      </c>
      <c r="F4129" t="inlineStr">
        <is>
          <t>India</t>
        </is>
      </c>
      <c r="G4129" t="inlineStr">
        <is>
          <t>Xeljanz</t>
        </is>
      </c>
      <c r="H4129" t="inlineStr">
        <is>
          <t>Retail pharmacy</t>
        </is>
      </c>
      <c r="I4129" t="inlineStr">
        <is>
          <t>Self-pay</t>
        </is>
      </c>
      <c r="J4129" t="inlineStr">
        <is>
          <t>Omar Haddad</t>
        </is>
      </c>
      <c r="K4129" s="70" t="n">
        <v>567</v>
      </c>
      <c r="L4129" s="71" t="n">
        <v>1366.77</v>
      </c>
      <c r="M4129" s="71" t="n">
        <v>774958.59</v>
      </c>
      <c r="N4129" s="71" t="n">
        <v>154991.72</v>
      </c>
      <c r="O4129" s="71" t="n">
        <v>619966.87</v>
      </c>
      <c r="P4129" s="71" t="n">
        <v>139021.13</v>
      </c>
      <c r="Q4129" s="71" t="n">
        <v>480945.74</v>
      </c>
      <c r="R4129" t="inlineStr">
        <is>
          <t>Inflammation</t>
        </is>
      </c>
      <c r="S4129" s="70" t="n">
        <v>382</v>
      </c>
      <c r="T4129" s="71" t="n">
        <v>170948.7</v>
      </c>
      <c r="U4129" t="inlineStr">
        <is>
          <t>High</t>
        </is>
      </c>
      <c r="V4129">
        <f>IF(AND(OR(Dashboard!$C$6="All",E4129=Dashboard!$C$6),OR(Dashboard!$F$6="All",G4129=Dashboard!$F$6),OR(Dashboard!$I$6="All",H4129=Dashboard!$I$6)),1,0)</f>
        <v/>
      </c>
    </row>
    <row r="4130">
      <c r="A4130" t="inlineStr">
        <is>
          <t>PF104121</t>
        </is>
      </c>
      <c r="B4130" s="68" t="n">
        <v>46153</v>
      </c>
      <c r="C4130" s="69" t="n">
        <v>2026</v>
      </c>
      <c r="D4130" t="inlineStr">
        <is>
          <t>May</t>
        </is>
      </c>
      <c r="E4130" t="inlineStr">
        <is>
          <t>International developed</t>
        </is>
      </c>
      <c r="F4130" t="inlineStr">
        <is>
          <t>Japan</t>
        </is>
      </c>
      <c r="G4130" t="inlineStr">
        <is>
          <t>Eliquis</t>
        </is>
      </c>
      <c r="H4130" t="inlineStr">
        <is>
          <t>Retail pharmacy</t>
        </is>
      </c>
      <c r="I4130" t="inlineStr">
        <is>
          <t>Public payer</t>
        </is>
      </c>
      <c r="J4130" t="inlineStr">
        <is>
          <t>Emma Clarke</t>
        </is>
      </c>
      <c r="K4130" s="70" t="n">
        <v>1324</v>
      </c>
      <c r="L4130" s="71" t="n">
        <v>410.84</v>
      </c>
      <c r="M4130" s="71" t="n">
        <v>543952.16</v>
      </c>
      <c r="N4130" s="71" t="n">
        <v>81592.82000000001</v>
      </c>
      <c r="O4130" s="71" t="n">
        <v>462359.34</v>
      </c>
      <c r="P4130" s="71" t="n">
        <v>99886.17999999999</v>
      </c>
      <c r="Q4130" s="71" t="n">
        <v>362473.16</v>
      </c>
      <c r="R4130" t="inlineStr">
        <is>
          <t>Cardiology</t>
        </is>
      </c>
      <c r="S4130" s="70" t="n">
        <v>980</v>
      </c>
      <c r="T4130" s="71" t="n">
        <v>70169.85000000001</v>
      </c>
      <c r="U4130" t="inlineStr">
        <is>
          <t>High</t>
        </is>
      </c>
      <c r="V4130">
        <f>IF(AND(OR(Dashboard!$C$6="All",E4130=Dashboard!$C$6),OR(Dashboard!$F$6="All",G4130=Dashboard!$F$6),OR(Dashboard!$I$6="All",H4130=Dashboard!$I$6)),1,0)</f>
        <v/>
      </c>
    </row>
    <row r="4131">
      <c r="A4131" t="inlineStr">
        <is>
          <t>PF104122</t>
        </is>
      </c>
      <c r="B4131" s="68" t="n">
        <v>46153</v>
      </c>
      <c r="C4131" s="69" t="n">
        <v>2026</v>
      </c>
      <c r="D4131" t="inlineStr">
        <is>
          <t>May</t>
        </is>
      </c>
      <c r="E4131" t="inlineStr">
        <is>
          <t>Emerging markets</t>
        </is>
      </c>
      <c r="F4131" t="inlineStr">
        <is>
          <t>Brazil</t>
        </is>
      </c>
      <c r="G4131" t="inlineStr">
        <is>
          <t>Ibrance</t>
        </is>
      </c>
      <c r="H4131" t="inlineStr">
        <is>
          <t>Government / tender</t>
        </is>
      </c>
      <c r="I4131" t="inlineStr">
        <is>
          <t>Private insurer</t>
        </is>
      </c>
      <c r="J4131" t="inlineStr">
        <is>
          <t>Amir Khan</t>
        </is>
      </c>
      <c r="K4131" s="70" t="n">
        <v>2685</v>
      </c>
      <c r="L4131" s="71" t="n">
        <v>2592.42</v>
      </c>
      <c r="M4131" s="71" t="n">
        <v>6960647.7</v>
      </c>
      <c r="N4131" s="71" t="n">
        <v>348032.39</v>
      </c>
      <c r="O4131" s="71" t="n">
        <v>6612615.31</v>
      </c>
      <c r="P4131" s="71" t="n">
        <v>1132927.12</v>
      </c>
      <c r="Q4131" s="71" t="n">
        <v>5479688.19</v>
      </c>
      <c r="R4131" t="inlineStr">
        <is>
          <t>Oncology</t>
        </is>
      </c>
      <c r="S4131" s="70" t="n">
        <v>2430</v>
      </c>
      <c r="T4131" s="71" t="n">
        <v>1406506.66</v>
      </c>
      <c r="U4131" t="inlineStr">
        <is>
          <t>High</t>
        </is>
      </c>
      <c r="V4131">
        <f>IF(AND(OR(Dashboard!$C$6="All",E4131=Dashboard!$C$6),OR(Dashboard!$F$6="All",G4131=Dashboard!$F$6),OR(Dashboard!$I$6="All",H4131=Dashboard!$I$6)),1,0)</f>
        <v/>
      </c>
    </row>
    <row r="4132">
      <c r="A4132" t="inlineStr">
        <is>
          <t>PF104123</t>
        </is>
      </c>
      <c r="B4132" s="68" t="n">
        <v>46153</v>
      </c>
      <c r="C4132" s="69" t="n">
        <v>2026</v>
      </c>
      <c r="D4132" t="inlineStr">
        <is>
          <t>May</t>
        </is>
      </c>
      <c r="E4132" t="inlineStr">
        <is>
          <t>Emerging markets</t>
        </is>
      </c>
      <c r="F4132" t="inlineStr">
        <is>
          <t>China</t>
        </is>
      </c>
      <c r="G4132" t="inlineStr">
        <is>
          <t>Ibrance</t>
        </is>
      </c>
      <c r="H4132" t="inlineStr">
        <is>
          <t>Hospital</t>
        </is>
      </c>
      <c r="I4132" t="inlineStr">
        <is>
          <t>Private insurer</t>
        </is>
      </c>
      <c r="J4132" t="inlineStr">
        <is>
          <t>Aisha Bello</t>
        </is>
      </c>
      <c r="K4132" s="70" t="n">
        <v>2797</v>
      </c>
      <c r="L4132" s="71" t="n">
        <v>3036.43</v>
      </c>
      <c r="M4132" s="71" t="n">
        <v>8492894.710000001</v>
      </c>
      <c r="N4132" s="71" t="n">
        <v>849289.47</v>
      </c>
      <c r="O4132" s="71" t="n">
        <v>7643605.24</v>
      </c>
      <c r="P4132" s="71" t="n">
        <v>1228453.73</v>
      </c>
      <c r="Q4132" s="71" t="n">
        <v>6415151.51</v>
      </c>
      <c r="R4132" t="inlineStr">
        <is>
          <t>Oncology</t>
        </is>
      </c>
      <c r="S4132" s="70" t="n">
        <v>1988</v>
      </c>
      <c r="T4132" s="71" t="n">
        <v>1613701.11</v>
      </c>
      <c r="U4132" t="inlineStr">
        <is>
          <t>High</t>
        </is>
      </c>
      <c r="V4132">
        <f>IF(AND(OR(Dashboard!$C$6="All",E4132=Dashboard!$C$6),OR(Dashboard!$F$6="All",G4132=Dashboard!$F$6),OR(Dashboard!$I$6="All",H4132=Dashboard!$I$6)),1,0)</f>
        <v/>
      </c>
    </row>
    <row r="4133">
      <c r="A4133" t="inlineStr">
        <is>
          <t>PF104124</t>
        </is>
      </c>
      <c r="B4133" s="68" t="n">
        <v>46153</v>
      </c>
      <c r="C4133" s="69" t="n">
        <v>2026</v>
      </c>
      <c r="D4133" t="inlineStr">
        <is>
          <t>May</t>
        </is>
      </c>
      <c r="E4133" t="inlineStr">
        <is>
          <t>United States</t>
        </is>
      </c>
      <c r="F4133" t="inlineStr">
        <is>
          <t>USA</t>
        </is>
      </c>
      <c r="G4133" t="inlineStr">
        <is>
          <t>Ibrance</t>
        </is>
      </c>
      <c r="H4133" t="inlineStr">
        <is>
          <t>Retail pharmacy</t>
        </is>
      </c>
      <c r="I4133" t="inlineStr">
        <is>
          <t>Private insurer</t>
        </is>
      </c>
      <c r="J4133" t="inlineStr">
        <is>
          <t>Amir Khan</t>
        </is>
      </c>
      <c r="K4133" s="70" t="n">
        <v>2229</v>
      </c>
      <c r="L4133" s="71" t="n">
        <v>4862.74</v>
      </c>
      <c r="M4133" s="71" t="n">
        <v>10839047.46</v>
      </c>
      <c r="N4133" s="71" t="n">
        <v>3793666.61</v>
      </c>
      <c r="O4133" s="71" t="n">
        <v>7045380.85</v>
      </c>
      <c r="P4133" s="71" t="n">
        <v>986643.29</v>
      </c>
      <c r="Q4133" s="71" t="n">
        <v>6058737.56</v>
      </c>
      <c r="R4133" t="inlineStr">
        <is>
          <t>Oncology</t>
        </is>
      </c>
      <c r="S4133" s="70" t="n">
        <v>2126</v>
      </c>
      <c r="T4133" s="71" t="n">
        <v>1663260.55</v>
      </c>
      <c r="U4133" t="inlineStr">
        <is>
          <t>High</t>
        </is>
      </c>
      <c r="V4133">
        <f>IF(AND(OR(Dashboard!$C$6="All",E4133=Dashboard!$C$6),OR(Dashboard!$F$6="All",G4133=Dashboard!$F$6),OR(Dashboard!$I$6="All",H4133=Dashboard!$I$6)),1,0)</f>
        <v/>
      </c>
    </row>
    <row r="4134">
      <c r="A4134" t="inlineStr">
        <is>
          <t>PF104125</t>
        </is>
      </c>
      <c r="B4134" s="68" t="n">
        <v>46153</v>
      </c>
      <c r="C4134" s="69" t="n">
        <v>2026</v>
      </c>
      <c r="D4134" t="inlineStr">
        <is>
          <t>May</t>
        </is>
      </c>
      <c r="E4134" t="inlineStr">
        <is>
          <t>Emerging markets</t>
        </is>
      </c>
      <c r="F4134" t="inlineStr">
        <is>
          <t>India</t>
        </is>
      </c>
      <c r="G4134" t="inlineStr">
        <is>
          <t>Eliquis</t>
        </is>
      </c>
      <c r="H4134" t="inlineStr">
        <is>
          <t>Hospital</t>
        </is>
      </c>
      <c r="I4134" t="inlineStr">
        <is>
          <t>Private insurer</t>
        </is>
      </c>
      <c r="J4134" t="inlineStr">
        <is>
          <t>Noah Smith</t>
        </is>
      </c>
      <c r="K4134" s="70" t="n">
        <v>382</v>
      </c>
      <c r="L4134" s="71" t="n">
        <v>389.49</v>
      </c>
      <c r="M4134" s="71" t="n">
        <v>148785.18</v>
      </c>
      <c r="N4134" s="71" t="n">
        <v>7439.26</v>
      </c>
      <c r="O4134" s="71" t="n">
        <v>141345.92</v>
      </c>
      <c r="P4134" s="71" t="n">
        <v>28930.15</v>
      </c>
      <c r="Q4134" s="71" t="n">
        <v>112415.77</v>
      </c>
      <c r="R4134" t="inlineStr">
        <is>
          <t>Cardiology</t>
        </is>
      </c>
      <c r="S4134" s="70" t="n">
        <v>315</v>
      </c>
      <c r="T4134" s="71" t="n">
        <v>20025.18</v>
      </c>
      <c r="U4134" t="inlineStr">
        <is>
          <t>High</t>
        </is>
      </c>
      <c r="V4134">
        <f>IF(AND(OR(Dashboard!$C$6="All",E4134=Dashboard!$C$6),OR(Dashboard!$F$6="All",G4134=Dashboard!$F$6),OR(Dashboard!$I$6="All",H4134=Dashboard!$I$6)),1,0)</f>
        <v/>
      </c>
    </row>
    <row r="4135">
      <c r="A4135" t="inlineStr">
        <is>
          <t>PF104126</t>
        </is>
      </c>
      <c r="B4135" s="68" t="n">
        <v>46154</v>
      </c>
      <c r="C4135" s="69" t="n">
        <v>2026</v>
      </c>
      <c r="D4135" t="inlineStr">
        <is>
          <t>May</t>
        </is>
      </c>
      <c r="E4135" t="inlineStr">
        <is>
          <t>United States</t>
        </is>
      </c>
      <c r="F4135" t="inlineStr">
        <is>
          <t>USA</t>
        </is>
      </c>
      <c r="G4135" t="inlineStr">
        <is>
          <t>Abrysvo</t>
        </is>
      </c>
      <c r="H4135" t="inlineStr">
        <is>
          <t>Retail pharmacy</t>
        </is>
      </c>
      <c r="I4135" t="inlineStr">
        <is>
          <t>Private insurer</t>
        </is>
      </c>
      <c r="J4135" t="inlineStr">
        <is>
          <t>Wei Chen</t>
        </is>
      </c>
      <c r="K4135" s="70" t="n">
        <v>469</v>
      </c>
      <c r="L4135" s="71" t="n">
        <v>522.22</v>
      </c>
      <c r="M4135" s="71" t="n">
        <v>244921.18</v>
      </c>
      <c r="N4135" s="71" t="n">
        <v>48984.24</v>
      </c>
      <c r="O4135" s="71" t="n">
        <v>195936.94</v>
      </c>
      <c r="P4135" s="71" t="n">
        <v>40936.16</v>
      </c>
      <c r="Q4135" s="71" t="n">
        <v>155000.78</v>
      </c>
      <c r="R4135" t="inlineStr">
        <is>
          <t>Vaccines</t>
        </is>
      </c>
      <c r="S4135" s="70" t="n">
        <v>354</v>
      </c>
      <c r="T4135" s="71" t="n">
        <v>40772.59</v>
      </c>
      <c r="U4135" t="inlineStr">
        <is>
          <t>Low</t>
        </is>
      </c>
      <c r="V4135">
        <f>IF(AND(OR(Dashboard!$C$6="All",E4135=Dashboard!$C$6),OR(Dashboard!$F$6="All",G4135=Dashboard!$F$6),OR(Dashboard!$I$6="All",H4135=Dashboard!$I$6)),1,0)</f>
        <v/>
      </c>
    </row>
    <row r="4136">
      <c r="A4136" t="inlineStr">
        <is>
          <t>PF104127</t>
        </is>
      </c>
      <c r="B4136" s="68" t="n">
        <v>46154</v>
      </c>
      <c r="C4136" s="69" t="n">
        <v>2026</v>
      </c>
      <c r="D4136" t="inlineStr">
        <is>
          <t>May</t>
        </is>
      </c>
      <c r="E4136" t="inlineStr">
        <is>
          <t>United States</t>
        </is>
      </c>
      <c r="F4136" t="inlineStr">
        <is>
          <t>USA</t>
        </is>
      </c>
      <c r="G4136" t="inlineStr">
        <is>
          <t>Abrysvo</t>
        </is>
      </c>
      <c r="H4136" t="inlineStr">
        <is>
          <t>Retail pharmacy</t>
        </is>
      </c>
      <c r="I4136" t="inlineStr">
        <is>
          <t>Public payer</t>
        </is>
      </c>
      <c r="J4136" t="inlineStr">
        <is>
          <t>Olivia Brown</t>
        </is>
      </c>
      <c r="K4136" s="70" t="n">
        <v>2882</v>
      </c>
      <c r="L4136" s="71" t="n">
        <v>551.41</v>
      </c>
      <c r="M4136" s="71" t="n">
        <v>1589163.62</v>
      </c>
      <c r="N4136" s="71" t="n">
        <v>238374.54</v>
      </c>
      <c r="O4136" s="71" t="n">
        <v>1350789.08</v>
      </c>
      <c r="P4136" s="71" t="n">
        <v>233207.57</v>
      </c>
      <c r="Q4136" s="71" t="n">
        <v>1117581.51</v>
      </c>
      <c r="R4136" t="inlineStr">
        <is>
          <t>Vaccines</t>
        </is>
      </c>
      <c r="S4136" s="70" t="n">
        <v>1856</v>
      </c>
      <c r="T4136" s="71" t="n">
        <v>172567.47</v>
      </c>
      <c r="U4136" t="inlineStr">
        <is>
          <t>Low</t>
        </is>
      </c>
      <c r="V4136">
        <f>IF(AND(OR(Dashboard!$C$6="All",E4136=Dashboard!$C$6),OR(Dashboard!$F$6="All",G4136=Dashboard!$F$6),OR(Dashboard!$I$6="All",H4136=Dashboard!$I$6)),1,0)</f>
        <v/>
      </c>
    </row>
    <row r="4137">
      <c r="A4137" t="inlineStr">
        <is>
          <t>PF104128</t>
        </is>
      </c>
      <c r="B4137" s="68" t="n">
        <v>46154</v>
      </c>
      <c r="C4137" s="69" t="n">
        <v>2026</v>
      </c>
      <c r="D4137" t="inlineStr">
        <is>
          <t>May</t>
        </is>
      </c>
      <c r="E4137" t="inlineStr">
        <is>
          <t>United States</t>
        </is>
      </c>
      <c r="F4137" t="inlineStr">
        <is>
          <t>USA</t>
        </is>
      </c>
      <c r="G4137" t="inlineStr">
        <is>
          <t>Abrysvo</t>
        </is>
      </c>
      <c r="H4137" t="inlineStr">
        <is>
          <t>Hospital</t>
        </is>
      </c>
      <c r="I4137" t="inlineStr">
        <is>
          <t>Public payer</t>
        </is>
      </c>
      <c r="J4137" t="inlineStr">
        <is>
          <t>Emma Clarke</t>
        </is>
      </c>
      <c r="K4137" s="70" t="n">
        <v>1236</v>
      </c>
      <c r="L4137" s="71" t="n">
        <v>542.47</v>
      </c>
      <c r="M4137" s="71" t="n">
        <v>670492.92</v>
      </c>
      <c r="N4137" s="71" t="n">
        <v>100573.94</v>
      </c>
      <c r="O4137" s="71" t="n">
        <v>569918.98</v>
      </c>
      <c r="P4137" s="71" t="n">
        <v>106107.72</v>
      </c>
      <c r="Q4137" s="71" t="n">
        <v>463811.26</v>
      </c>
      <c r="R4137" t="inlineStr">
        <is>
          <t>Vaccines</t>
        </is>
      </c>
      <c r="S4137" s="70" t="n">
        <v>1089</v>
      </c>
      <c r="T4137" s="71" t="n">
        <v>85710.52</v>
      </c>
      <c r="U4137" t="inlineStr">
        <is>
          <t>Low</t>
        </is>
      </c>
      <c r="V4137">
        <f>IF(AND(OR(Dashboard!$C$6="All",E4137=Dashboard!$C$6),OR(Dashboard!$F$6="All",G4137=Dashboard!$F$6),OR(Dashboard!$I$6="All",H4137=Dashboard!$I$6)),1,0)</f>
        <v/>
      </c>
    </row>
    <row r="4138">
      <c r="A4138" t="inlineStr">
        <is>
          <t>PF104129</t>
        </is>
      </c>
      <c r="B4138" s="68" t="n">
        <v>46154</v>
      </c>
      <c r="C4138" s="69" t="n">
        <v>2026</v>
      </c>
      <c r="D4138" t="inlineStr">
        <is>
          <t>May</t>
        </is>
      </c>
      <c r="E4138" t="inlineStr">
        <is>
          <t>United States</t>
        </is>
      </c>
      <c r="F4138" t="inlineStr">
        <is>
          <t>USA</t>
        </is>
      </c>
      <c r="G4138" t="inlineStr">
        <is>
          <t>Vyndaqel</t>
        </is>
      </c>
      <c r="H4138" t="inlineStr">
        <is>
          <t>Retail pharmacy</t>
        </is>
      </c>
      <c r="I4138" t="inlineStr">
        <is>
          <t>Public payer</t>
        </is>
      </c>
      <c r="J4138" t="inlineStr">
        <is>
          <t>Zoya Ahmed</t>
        </is>
      </c>
      <c r="K4138" s="70" t="n">
        <v>1060</v>
      </c>
      <c r="L4138" s="71" t="n">
        <v>8695.41</v>
      </c>
      <c r="M4138" s="71" t="n">
        <v>9217134.6</v>
      </c>
      <c r="N4138" s="71" t="n">
        <v>2304283.65</v>
      </c>
      <c r="O4138" s="71" t="n">
        <v>6912850.95</v>
      </c>
      <c r="P4138" s="71" t="n">
        <v>636092.97</v>
      </c>
      <c r="Q4138" s="71" t="n">
        <v>6276757.98</v>
      </c>
      <c r="R4138" t="inlineStr">
        <is>
          <t>Rare disease</t>
        </is>
      </c>
      <c r="S4138" s="70" t="n">
        <v>714</v>
      </c>
      <c r="T4138" s="71" t="n">
        <v>1153015.44</v>
      </c>
      <c r="U4138" t="inlineStr">
        <is>
          <t>Medium</t>
        </is>
      </c>
      <c r="V4138">
        <f>IF(AND(OR(Dashboard!$C$6="All",E4138=Dashboard!$C$6),OR(Dashboard!$F$6="All",G4138=Dashboard!$F$6),OR(Dashboard!$I$6="All",H4138=Dashboard!$I$6)),1,0)</f>
        <v/>
      </c>
    </row>
    <row r="4139">
      <c r="A4139" t="inlineStr">
        <is>
          <t>PF104130</t>
        </is>
      </c>
      <c r="B4139" s="68" t="n">
        <v>46154</v>
      </c>
      <c r="C4139" s="69" t="n">
        <v>2026</v>
      </c>
      <c r="D4139" t="inlineStr">
        <is>
          <t>May</t>
        </is>
      </c>
      <c r="E4139" t="inlineStr">
        <is>
          <t>Europe</t>
        </is>
      </c>
      <c r="F4139" t="inlineStr">
        <is>
          <t>Spain</t>
        </is>
      </c>
      <c r="G4139" t="inlineStr">
        <is>
          <t>Abrysvo</t>
        </is>
      </c>
      <c r="H4139" t="inlineStr">
        <is>
          <t>Retail pharmacy</t>
        </is>
      </c>
      <c r="I4139" t="inlineStr">
        <is>
          <t>Private insurer</t>
        </is>
      </c>
      <c r="J4139" t="inlineStr">
        <is>
          <t>Emma Clarke</t>
        </is>
      </c>
      <c r="K4139" s="70" t="n">
        <v>2120</v>
      </c>
      <c r="L4139" s="71" t="n">
        <v>346.88</v>
      </c>
      <c r="M4139" s="71" t="n">
        <v>735385.6</v>
      </c>
      <c r="N4139" s="71" t="n">
        <v>110307.84</v>
      </c>
      <c r="O4139" s="71" t="n">
        <v>625077.76</v>
      </c>
      <c r="P4139" s="71" t="n">
        <v>184428.28</v>
      </c>
      <c r="Q4139" s="71" t="n">
        <v>440649.48</v>
      </c>
      <c r="R4139" t="inlineStr">
        <is>
          <t>Vaccines</t>
        </is>
      </c>
      <c r="S4139" s="70" t="n">
        <v>1728</v>
      </c>
      <c r="T4139" s="71" t="n">
        <v>137857.34</v>
      </c>
      <c r="U4139" t="inlineStr">
        <is>
          <t>Low</t>
        </is>
      </c>
      <c r="V4139">
        <f>IF(AND(OR(Dashboard!$C$6="All",E4139=Dashboard!$C$6),OR(Dashboard!$F$6="All",G4139=Dashboard!$F$6),OR(Dashboard!$I$6="All",H4139=Dashboard!$I$6)),1,0)</f>
        <v/>
      </c>
    </row>
    <row r="4140">
      <c r="A4140" t="inlineStr">
        <is>
          <t>PF104131</t>
        </is>
      </c>
      <c r="B4140" s="68" t="n">
        <v>46154</v>
      </c>
      <c r="C4140" s="69" t="n">
        <v>2026</v>
      </c>
      <c r="D4140" t="inlineStr">
        <is>
          <t>May</t>
        </is>
      </c>
      <c r="E4140" t="inlineStr">
        <is>
          <t>Europe</t>
        </is>
      </c>
      <c r="F4140" t="inlineStr">
        <is>
          <t>France</t>
        </is>
      </c>
      <c r="G4140" t="inlineStr">
        <is>
          <t>Ibrance</t>
        </is>
      </c>
      <c r="H4140" t="inlineStr">
        <is>
          <t>Retail pharmacy</t>
        </is>
      </c>
      <c r="I4140" t="inlineStr">
        <is>
          <t>Private insurer</t>
        </is>
      </c>
      <c r="J4140" t="inlineStr">
        <is>
          <t>Wei Chen</t>
        </is>
      </c>
      <c r="K4140" s="70" t="n">
        <v>2187</v>
      </c>
      <c r="L4140" s="71" t="n">
        <v>3094.88</v>
      </c>
      <c r="M4140" s="71" t="n">
        <v>6768502.56</v>
      </c>
      <c r="N4140" s="71" t="n">
        <v>676850.26</v>
      </c>
      <c r="O4140" s="71" t="n">
        <v>6091652.3</v>
      </c>
      <c r="P4140" s="71" t="n">
        <v>982062.74</v>
      </c>
      <c r="Q4140" s="71" t="n">
        <v>5109589.56</v>
      </c>
      <c r="R4140" t="inlineStr">
        <is>
          <t>Oncology</t>
        </is>
      </c>
      <c r="S4140" s="70" t="n">
        <v>1718</v>
      </c>
      <c r="T4140" s="71" t="n">
        <v>854445.36</v>
      </c>
      <c r="U4140" t="inlineStr">
        <is>
          <t>High</t>
        </is>
      </c>
      <c r="V4140">
        <f>IF(AND(OR(Dashboard!$C$6="All",E4140=Dashboard!$C$6),OR(Dashboard!$F$6="All",G4140=Dashboard!$F$6),OR(Dashboard!$I$6="All",H4140=Dashboard!$I$6)),1,0)</f>
        <v/>
      </c>
    </row>
    <row r="4141">
      <c r="A4141" t="inlineStr">
        <is>
          <t>PF104132</t>
        </is>
      </c>
      <c r="B4141" s="68" t="n">
        <v>46154</v>
      </c>
      <c r="C4141" s="69" t="n">
        <v>2026</v>
      </c>
      <c r="D4141" t="inlineStr">
        <is>
          <t>May</t>
        </is>
      </c>
      <c r="E4141" t="inlineStr">
        <is>
          <t>Europe</t>
        </is>
      </c>
      <c r="F4141" t="inlineStr">
        <is>
          <t>Germany</t>
        </is>
      </c>
      <c r="G4141" t="inlineStr">
        <is>
          <t>Abrysvo</t>
        </is>
      </c>
      <c r="H4141" t="inlineStr">
        <is>
          <t>Retail pharmacy</t>
        </is>
      </c>
      <c r="I4141" t="inlineStr">
        <is>
          <t>Private insurer</t>
        </is>
      </c>
      <c r="J4141" t="inlineStr">
        <is>
          <t>Sara Rossi</t>
        </is>
      </c>
      <c r="K4141" s="70" t="n">
        <v>3032</v>
      </c>
      <c r="L4141" s="71" t="n">
        <v>290.84</v>
      </c>
      <c r="M4141" s="71" t="n">
        <v>881826.88</v>
      </c>
      <c r="N4141" s="71" t="n">
        <v>88182.69</v>
      </c>
      <c r="O4141" s="71" t="n">
        <v>793644.1899999999</v>
      </c>
      <c r="P4141" s="71" t="n">
        <v>262432.81</v>
      </c>
      <c r="Q4141" s="71" t="n">
        <v>531211.38</v>
      </c>
      <c r="R4141" t="inlineStr">
        <is>
          <t>Vaccines</t>
        </is>
      </c>
      <c r="S4141" s="70" t="n">
        <v>2489</v>
      </c>
      <c r="T4141" s="71" t="n">
        <v>163748.34</v>
      </c>
      <c r="U4141" t="inlineStr">
        <is>
          <t>Low</t>
        </is>
      </c>
      <c r="V4141">
        <f>IF(AND(OR(Dashboard!$C$6="All",E4141=Dashboard!$C$6),OR(Dashboard!$F$6="All",G4141=Dashboard!$F$6),OR(Dashboard!$I$6="All",H4141=Dashboard!$I$6)),1,0)</f>
        <v/>
      </c>
    </row>
    <row r="4142">
      <c r="A4142" t="inlineStr">
        <is>
          <t>PF104133</t>
        </is>
      </c>
      <c r="B4142" s="68" t="n">
        <v>46154</v>
      </c>
      <c r="C4142" s="69" t="n">
        <v>2026</v>
      </c>
      <c r="D4142" t="inlineStr">
        <is>
          <t>May</t>
        </is>
      </c>
      <c r="E4142" t="inlineStr">
        <is>
          <t>Europe</t>
        </is>
      </c>
      <c r="F4142" t="inlineStr">
        <is>
          <t>Italy</t>
        </is>
      </c>
      <c r="G4142" t="inlineStr">
        <is>
          <t>Vyndaqel</t>
        </is>
      </c>
      <c r="H4142" t="inlineStr">
        <is>
          <t>Retail pharmacy</t>
        </is>
      </c>
      <c r="I4142" t="inlineStr">
        <is>
          <t>Self-pay</t>
        </is>
      </c>
      <c r="J4142" t="inlineStr">
        <is>
          <t>Lucas Martin</t>
        </is>
      </c>
      <c r="K4142" s="70" t="n">
        <v>1169</v>
      </c>
      <c r="L4142" s="71" t="n">
        <v>6114.56</v>
      </c>
      <c r="M4142" s="71" t="n">
        <v>7147920.64</v>
      </c>
      <c r="N4142" s="71" t="n">
        <v>1429584.13</v>
      </c>
      <c r="O4142" s="71" t="n">
        <v>5718336.51</v>
      </c>
      <c r="P4142" s="71" t="n">
        <v>748823.34</v>
      </c>
      <c r="Q4142" s="71" t="n">
        <v>4969513.17</v>
      </c>
      <c r="R4142" t="inlineStr">
        <is>
          <t>Rare disease</t>
        </is>
      </c>
      <c r="S4142" s="70" t="n">
        <v>962</v>
      </c>
      <c r="T4142" s="71" t="n">
        <v>847180.77</v>
      </c>
      <c r="U4142" t="inlineStr">
        <is>
          <t>Medium</t>
        </is>
      </c>
      <c r="V4142">
        <f>IF(AND(OR(Dashboard!$C$6="All",E4142=Dashboard!$C$6),OR(Dashboard!$F$6="All",G4142=Dashboard!$F$6),OR(Dashboard!$I$6="All",H4142=Dashboard!$I$6)),1,0)</f>
        <v/>
      </c>
    </row>
    <row r="4143">
      <c r="A4143" t="inlineStr">
        <is>
          <t>PF104134</t>
        </is>
      </c>
      <c r="B4143" s="68" t="n">
        <v>46154</v>
      </c>
      <c r="C4143" s="69" t="n">
        <v>2026</v>
      </c>
      <c r="D4143" t="inlineStr">
        <is>
          <t>May</t>
        </is>
      </c>
      <c r="E4143" t="inlineStr">
        <is>
          <t>Europe</t>
        </is>
      </c>
      <c r="F4143" t="inlineStr">
        <is>
          <t>Germany</t>
        </is>
      </c>
      <c r="G4143" t="inlineStr">
        <is>
          <t>Comirnaty</t>
        </is>
      </c>
      <c r="H4143" t="inlineStr">
        <is>
          <t>Retail pharmacy</t>
        </is>
      </c>
      <c r="I4143" t="inlineStr">
        <is>
          <t>Private insurer</t>
        </is>
      </c>
      <c r="J4143" t="inlineStr">
        <is>
          <t>Noah Smith</t>
        </is>
      </c>
      <c r="K4143" s="70" t="n">
        <v>1618</v>
      </c>
      <c r="L4143" s="71" t="n">
        <v>88.55</v>
      </c>
      <c r="M4143" s="71" t="n">
        <v>143273.9</v>
      </c>
      <c r="N4143" s="71" t="n">
        <v>35818.47</v>
      </c>
      <c r="O4143" s="71" t="n">
        <v>107455.43</v>
      </c>
      <c r="P4143" s="71" t="n">
        <v>62438.13</v>
      </c>
      <c r="Q4143" s="71" t="n">
        <v>45017.3</v>
      </c>
      <c r="R4143" t="inlineStr">
        <is>
          <t>Vaccines</t>
        </is>
      </c>
      <c r="S4143" s="70" t="n">
        <v>1172</v>
      </c>
      <c r="T4143" s="71" t="n">
        <v>35980.64</v>
      </c>
      <c r="U4143" t="inlineStr">
        <is>
          <t>Low</t>
        </is>
      </c>
      <c r="V4143">
        <f>IF(AND(OR(Dashboard!$C$6="All",E4143=Dashboard!$C$6),OR(Dashboard!$F$6="All",G4143=Dashboard!$F$6),OR(Dashboard!$I$6="All",H4143=Dashboard!$I$6)),1,0)</f>
        <v/>
      </c>
    </row>
    <row r="4144">
      <c r="A4144" t="inlineStr">
        <is>
          <t>PF104135</t>
        </is>
      </c>
      <c r="B4144" s="68" t="n">
        <v>46154</v>
      </c>
      <c r="C4144" s="69" t="n">
        <v>2026</v>
      </c>
      <c r="D4144" t="inlineStr">
        <is>
          <t>May</t>
        </is>
      </c>
      <c r="E4144" t="inlineStr">
        <is>
          <t>United States</t>
        </is>
      </c>
      <c r="F4144" t="inlineStr">
        <is>
          <t>USA</t>
        </is>
      </c>
      <c r="G4144" t="inlineStr">
        <is>
          <t>Vyndaqel</t>
        </is>
      </c>
      <c r="H4144" t="inlineStr">
        <is>
          <t>Hospital</t>
        </is>
      </c>
      <c r="I4144" t="inlineStr">
        <is>
          <t>Public payer</t>
        </is>
      </c>
      <c r="J4144" t="inlineStr">
        <is>
          <t>Amir Khan</t>
        </is>
      </c>
      <c r="K4144" s="70" t="n">
        <v>1624</v>
      </c>
      <c r="L4144" s="71" t="n">
        <v>9014.959999999999</v>
      </c>
      <c r="M4144" s="71" t="n">
        <v>14640295.04</v>
      </c>
      <c r="N4144" s="71" t="n">
        <v>3660073.76</v>
      </c>
      <c r="O4144" s="71" t="n">
        <v>10980221.28</v>
      </c>
      <c r="P4144" s="71" t="n">
        <v>994657.85</v>
      </c>
      <c r="Q4144" s="71" t="n">
        <v>9985563.43</v>
      </c>
      <c r="R4144" t="inlineStr">
        <is>
          <t>Rare disease</t>
        </is>
      </c>
      <c r="S4144" s="70" t="n">
        <v>1516</v>
      </c>
      <c r="T4144" s="71" t="n">
        <v>2891647.25</v>
      </c>
      <c r="U4144" t="inlineStr">
        <is>
          <t>Medium</t>
        </is>
      </c>
      <c r="V4144">
        <f>IF(AND(OR(Dashboard!$C$6="All",E4144=Dashboard!$C$6),OR(Dashboard!$F$6="All",G4144=Dashboard!$F$6),OR(Dashboard!$I$6="All",H4144=Dashboard!$I$6)),1,0)</f>
        <v/>
      </c>
    </row>
    <row r="4145">
      <c r="A4145" t="inlineStr">
        <is>
          <t>PF104136</t>
        </is>
      </c>
      <c r="B4145" s="68" t="n">
        <v>46154</v>
      </c>
      <c r="C4145" s="69" t="n">
        <v>2026</v>
      </c>
      <c r="D4145" t="inlineStr">
        <is>
          <t>May</t>
        </is>
      </c>
      <c r="E4145" t="inlineStr">
        <is>
          <t>Europe</t>
        </is>
      </c>
      <c r="F4145" t="inlineStr">
        <is>
          <t>Germany</t>
        </is>
      </c>
      <c r="G4145" t="inlineStr">
        <is>
          <t>Xeljanz</t>
        </is>
      </c>
      <c r="H4145" t="inlineStr">
        <is>
          <t>Hospital</t>
        </is>
      </c>
      <c r="I4145" t="inlineStr">
        <is>
          <t>Private insurer</t>
        </is>
      </c>
      <c r="J4145" t="inlineStr">
        <is>
          <t>Fatima Al-Saud</t>
        </is>
      </c>
      <c r="K4145" s="70" t="n">
        <v>444</v>
      </c>
      <c r="L4145" s="71" t="n">
        <v>1317.09</v>
      </c>
      <c r="M4145" s="71" t="n">
        <v>584787.96</v>
      </c>
      <c r="N4145" s="71" t="n">
        <v>29239.4</v>
      </c>
      <c r="O4145" s="71" t="n">
        <v>555548.5600000001</v>
      </c>
      <c r="P4145" s="71" t="n">
        <v>108311.46</v>
      </c>
      <c r="Q4145" s="71" t="n">
        <v>447237.1</v>
      </c>
      <c r="R4145" t="inlineStr">
        <is>
          <t>Inflammation</t>
        </is>
      </c>
      <c r="S4145" s="70" t="n">
        <v>290</v>
      </c>
      <c r="T4145" s="71" t="n">
        <v>121720.97</v>
      </c>
      <c r="U4145" t="inlineStr">
        <is>
          <t>High</t>
        </is>
      </c>
      <c r="V4145">
        <f>IF(AND(OR(Dashboard!$C$6="All",E4145=Dashboard!$C$6),OR(Dashboard!$F$6="All",G4145=Dashboard!$F$6),OR(Dashboard!$I$6="All",H4145=Dashboard!$I$6)),1,0)</f>
        <v/>
      </c>
    </row>
    <row r="4146">
      <c r="A4146" t="inlineStr">
        <is>
          <t>PF104137</t>
        </is>
      </c>
      <c r="B4146" s="68" t="n">
        <v>46155</v>
      </c>
      <c r="C4146" s="69" t="n">
        <v>2026</v>
      </c>
      <c r="D4146" t="inlineStr">
        <is>
          <t>May</t>
        </is>
      </c>
      <c r="E4146" t="inlineStr">
        <is>
          <t>Europe</t>
        </is>
      </c>
      <c r="F4146" t="inlineStr">
        <is>
          <t>Germany</t>
        </is>
      </c>
      <c r="G4146" t="inlineStr">
        <is>
          <t>Xeljanz</t>
        </is>
      </c>
      <c r="H4146" t="inlineStr">
        <is>
          <t>Retail pharmacy</t>
        </is>
      </c>
      <c r="I4146" t="inlineStr">
        <is>
          <t>Private insurer</t>
        </is>
      </c>
      <c r="J4146" t="inlineStr">
        <is>
          <t>Noah Smith</t>
        </is>
      </c>
      <c r="K4146" s="70" t="n">
        <v>849</v>
      </c>
      <c r="L4146" s="71" t="n">
        <v>1432.34</v>
      </c>
      <c r="M4146" s="71" t="n">
        <v>1216056.66</v>
      </c>
      <c r="N4146" s="71" t="n">
        <v>304014.16</v>
      </c>
      <c r="O4146" s="71" t="n">
        <v>912042.5</v>
      </c>
      <c r="P4146" s="71" t="n">
        <v>221335.01</v>
      </c>
      <c r="Q4146" s="71" t="n">
        <v>690707.49</v>
      </c>
      <c r="R4146" t="inlineStr">
        <is>
          <t>Inflammation</t>
        </is>
      </c>
      <c r="S4146" s="70" t="n">
        <v>791</v>
      </c>
      <c r="T4146" s="71" t="n">
        <v>170729.68</v>
      </c>
      <c r="U4146" t="inlineStr">
        <is>
          <t>High</t>
        </is>
      </c>
      <c r="V4146">
        <f>IF(AND(OR(Dashboard!$C$6="All",E4146=Dashboard!$C$6),OR(Dashboard!$F$6="All",G4146=Dashboard!$F$6),OR(Dashboard!$I$6="All",H4146=Dashboard!$I$6)),1,0)</f>
        <v/>
      </c>
    </row>
    <row r="4147">
      <c r="A4147" t="inlineStr">
        <is>
          <t>PF104138</t>
        </is>
      </c>
      <c r="B4147" s="68" t="n">
        <v>46155</v>
      </c>
      <c r="C4147" s="69" t="n">
        <v>2026</v>
      </c>
      <c r="D4147" t="inlineStr">
        <is>
          <t>May</t>
        </is>
      </c>
      <c r="E4147" t="inlineStr">
        <is>
          <t>International developed</t>
        </is>
      </c>
      <c r="F4147" t="inlineStr">
        <is>
          <t>Japan</t>
        </is>
      </c>
      <c r="G4147" t="inlineStr">
        <is>
          <t>Prevnar 20</t>
        </is>
      </c>
      <c r="H4147" t="inlineStr">
        <is>
          <t>Retail pharmacy</t>
        </is>
      </c>
      <c r="I4147" t="inlineStr">
        <is>
          <t>Self-pay</t>
        </is>
      </c>
      <c r="J4147" t="inlineStr">
        <is>
          <t>Carlos Silva</t>
        </is>
      </c>
      <c r="K4147" s="70" t="n">
        <v>2747</v>
      </c>
      <c r="L4147" s="71" t="n">
        <v>241.02</v>
      </c>
      <c r="M4147" s="71" t="n">
        <v>662081.9399999999</v>
      </c>
      <c r="N4147" s="71" t="n">
        <v>66208.19</v>
      </c>
      <c r="O4147" s="71" t="n">
        <v>595873.75</v>
      </c>
      <c r="P4147" s="71" t="n">
        <v>182542.5</v>
      </c>
      <c r="Q4147" s="71" t="n">
        <v>413331.25</v>
      </c>
      <c r="R4147" t="inlineStr">
        <is>
          <t>Vaccines</t>
        </is>
      </c>
      <c r="S4147" s="70" t="n">
        <v>2283</v>
      </c>
      <c r="T4147" s="71" t="n">
        <v>86763.14999999999</v>
      </c>
      <c r="U4147" t="inlineStr">
        <is>
          <t>Low</t>
        </is>
      </c>
      <c r="V4147">
        <f>IF(AND(OR(Dashboard!$C$6="All",E4147=Dashboard!$C$6),OR(Dashboard!$F$6="All",G4147=Dashboard!$F$6),OR(Dashboard!$I$6="All",H4147=Dashboard!$I$6)),1,0)</f>
        <v/>
      </c>
    </row>
    <row r="4148">
      <c r="A4148" t="inlineStr">
        <is>
          <t>PF104139</t>
        </is>
      </c>
      <c r="B4148" s="68" t="n">
        <v>46155</v>
      </c>
      <c r="C4148" s="69" t="n">
        <v>2026</v>
      </c>
      <c r="D4148" t="inlineStr">
        <is>
          <t>May</t>
        </is>
      </c>
      <c r="E4148" t="inlineStr">
        <is>
          <t>United States</t>
        </is>
      </c>
      <c r="F4148" t="inlineStr">
        <is>
          <t>USA</t>
        </is>
      </c>
      <c r="G4148" t="inlineStr">
        <is>
          <t>Prevnar 20</t>
        </is>
      </c>
      <c r="H4148" t="inlineStr">
        <is>
          <t>Retail pharmacy</t>
        </is>
      </c>
      <c r="I4148" t="inlineStr">
        <is>
          <t>Self-pay</t>
        </is>
      </c>
      <c r="J4148" t="inlineStr">
        <is>
          <t>Sophie Müller</t>
        </is>
      </c>
      <c r="K4148" s="70" t="n">
        <v>2471</v>
      </c>
      <c r="L4148" s="71" t="n">
        <v>354.53</v>
      </c>
      <c r="M4148" s="71" t="n">
        <v>876043.63</v>
      </c>
      <c r="N4148" s="71" t="n">
        <v>175208.73</v>
      </c>
      <c r="O4148" s="71" t="n">
        <v>700834.9</v>
      </c>
      <c r="P4148" s="71" t="n">
        <v>165039.87</v>
      </c>
      <c r="Q4148" s="71" t="n">
        <v>535795.03</v>
      </c>
      <c r="R4148" t="inlineStr">
        <is>
          <t>Vaccines</t>
        </is>
      </c>
      <c r="S4148" s="70" t="n">
        <v>1629</v>
      </c>
      <c r="T4148" s="71" t="n">
        <v>103114.45</v>
      </c>
      <c r="U4148" t="inlineStr">
        <is>
          <t>Low</t>
        </is>
      </c>
      <c r="V4148">
        <f>IF(AND(OR(Dashboard!$C$6="All",E4148=Dashboard!$C$6),OR(Dashboard!$F$6="All",G4148=Dashboard!$F$6),OR(Dashboard!$I$6="All",H4148=Dashboard!$I$6)),1,0)</f>
        <v/>
      </c>
    </row>
    <row r="4149">
      <c r="A4149" t="inlineStr">
        <is>
          <t>PF104140</t>
        </is>
      </c>
      <c r="B4149" s="68" t="n">
        <v>46155</v>
      </c>
      <c r="C4149" s="69" t="n">
        <v>2026</v>
      </c>
      <c r="D4149" t="inlineStr">
        <is>
          <t>May</t>
        </is>
      </c>
      <c r="E4149" t="inlineStr">
        <is>
          <t>Emerging markets</t>
        </is>
      </c>
      <c r="F4149" t="inlineStr">
        <is>
          <t>India</t>
        </is>
      </c>
      <c r="G4149" t="inlineStr">
        <is>
          <t>Abrysvo</t>
        </is>
      </c>
      <c r="H4149" t="inlineStr">
        <is>
          <t>Retail pharmacy</t>
        </is>
      </c>
      <c r="I4149" t="inlineStr">
        <is>
          <t>Private insurer</t>
        </is>
      </c>
      <c r="J4149" t="inlineStr">
        <is>
          <t>Ruhi Shaikh</t>
        </is>
      </c>
      <c r="K4149" s="70" t="n">
        <v>1252</v>
      </c>
      <c r="L4149" s="71" t="n">
        <v>348.91</v>
      </c>
      <c r="M4149" s="71" t="n">
        <v>436835.32</v>
      </c>
      <c r="N4149" s="71" t="n">
        <v>43683.53</v>
      </c>
      <c r="O4149" s="71" t="n">
        <v>393151.79</v>
      </c>
      <c r="P4149" s="71" t="n">
        <v>101797.98</v>
      </c>
      <c r="Q4149" s="71" t="n">
        <v>291353.81</v>
      </c>
      <c r="R4149" t="inlineStr">
        <is>
          <t>Vaccines</t>
        </is>
      </c>
      <c r="S4149" s="70" t="n">
        <v>1105</v>
      </c>
      <c r="T4149" s="71" t="n">
        <v>72098.58</v>
      </c>
      <c r="U4149" t="inlineStr">
        <is>
          <t>Low</t>
        </is>
      </c>
      <c r="V4149">
        <f>IF(AND(OR(Dashboard!$C$6="All",E4149=Dashboard!$C$6),OR(Dashboard!$F$6="All",G4149=Dashboard!$F$6),OR(Dashboard!$I$6="All",H4149=Dashboard!$I$6)),1,0)</f>
        <v/>
      </c>
    </row>
    <row r="4150">
      <c r="A4150" t="inlineStr">
        <is>
          <t>PF104141</t>
        </is>
      </c>
      <c r="B4150" s="68" t="n">
        <v>46155</v>
      </c>
      <c r="C4150" s="69" t="n">
        <v>2026</v>
      </c>
      <c r="D4150" t="inlineStr">
        <is>
          <t>May</t>
        </is>
      </c>
      <c r="E4150" t="inlineStr">
        <is>
          <t>Emerging markets</t>
        </is>
      </c>
      <c r="F4150" t="inlineStr">
        <is>
          <t>Mexico</t>
        </is>
      </c>
      <c r="G4150" t="inlineStr">
        <is>
          <t>Abrysvo</t>
        </is>
      </c>
      <c r="H4150" t="inlineStr">
        <is>
          <t>Retail pharmacy</t>
        </is>
      </c>
      <c r="I4150" t="inlineStr">
        <is>
          <t>Private insurer</t>
        </is>
      </c>
      <c r="J4150" t="inlineStr">
        <is>
          <t>Amir Khan</t>
        </is>
      </c>
      <c r="K4150" s="70" t="n">
        <v>3389</v>
      </c>
      <c r="L4150" s="71" t="n">
        <v>335.3</v>
      </c>
      <c r="M4150" s="71" t="n">
        <v>1136331.7</v>
      </c>
      <c r="N4150" s="71" t="n">
        <v>170449.75</v>
      </c>
      <c r="O4150" s="71" t="n">
        <v>965881.95</v>
      </c>
      <c r="P4150" s="71" t="n">
        <v>283081.54</v>
      </c>
      <c r="Q4150" s="71" t="n">
        <v>682800.41</v>
      </c>
      <c r="R4150" t="inlineStr">
        <is>
          <t>Vaccines</t>
        </is>
      </c>
      <c r="S4150" s="70" t="n">
        <v>2718</v>
      </c>
      <c r="T4150" s="71" t="n">
        <v>213761.45</v>
      </c>
      <c r="U4150" t="inlineStr">
        <is>
          <t>Low</t>
        </is>
      </c>
      <c r="V4150">
        <f>IF(AND(OR(Dashboard!$C$6="All",E4150=Dashboard!$C$6),OR(Dashboard!$F$6="All",G4150=Dashboard!$F$6),OR(Dashboard!$I$6="All",H4150=Dashboard!$I$6)),1,0)</f>
        <v/>
      </c>
    </row>
    <row r="4151">
      <c r="A4151" t="inlineStr">
        <is>
          <t>PF104142</t>
        </is>
      </c>
      <c r="B4151" s="68" t="n">
        <v>46155</v>
      </c>
      <c r="C4151" s="69" t="n">
        <v>2026</v>
      </c>
      <c r="D4151" t="inlineStr">
        <is>
          <t>May</t>
        </is>
      </c>
      <c r="E4151" t="inlineStr">
        <is>
          <t>International developed</t>
        </is>
      </c>
      <c r="F4151" t="inlineStr">
        <is>
          <t>Canada</t>
        </is>
      </c>
      <c r="G4151" t="inlineStr">
        <is>
          <t>Ibrance</t>
        </is>
      </c>
      <c r="H4151" t="inlineStr">
        <is>
          <t>Retail pharmacy</t>
        </is>
      </c>
      <c r="I4151" t="inlineStr">
        <is>
          <t>Public payer</t>
        </is>
      </c>
      <c r="J4151" t="inlineStr">
        <is>
          <t>Noah Smith</t>
        </is>
      </c>
      <c r="K4151" s="70" t="n">
        <v>1780</v>
      </c>
      <c r="L4151" s="71" t="n">
        <v>3099.28</v>
      </c>
      <c r="M4151" s="71" t="n">
        <v>5516718.4</v>
      </c>
      <c r="N4151" s="71" t="n">
        <v>1103343.68</v>
      </c>
      <c r="O4151" s="71" t="n">
        <v>4413374.72</v>
      </c>
      <c r="P4151" s="71" t="n">
        <v>744579.91</v>
      </c>
      <c r="Q4151" s="71" t="n">
        <v>3668794.81</v>
      </c>
      <c r="R4151" t="inlineStr">
        <is>
          <t>Oncology</t>
        </is>
      </c>
      <c r="S4151" s="70" t="n">
        <v>1459</v>
      </c>
      <c r="T4151" s="71" t="n">
        <v>896717.04</v>
      </c>
      <c r="U4151" t="inlineStr">
        <is>
          <t>High</t>
        </is>
      </c>
      <c r="V4151">
        <f>IF(AND(OR(Dashboard!$C$6="All",E4151=Dashboard!$C$6),OR(Dashboard!$F$6="All",G4151=Dashboard!$F$6),OR(Dashboard!$I$6="All",H4151=Dashboard!$I$6)),1,0)</f>
        <v/>
      </c>
    </row>
    <row r="4152">
      <c r="A4152" t="inlineStr">
        <is>
          <t>PF104143</t>
        </is>
      </c>
      <c r="B4152" s="68" t="n">
        <v>46155</v>
      </c>
      <c r="C4152" s="69" t="n">
        <v>2026</v>
      </c>
      <c r="D4152" t="inlineStr">
        <is>
          <t>May</t>
        </is>
      </c>
      <c r="E4152" t="inlineStr">
        <is>
          <t>International developed</t>
        </is>
      </c>
      <c r="F4152" t="inlineStr">
        <is>
          <t>Japan</t>
        </is>
      </c>
      <c r="G4152" t="inlineStr">
        <is>
          <t>Prevnar 20</t>
        </is>
      </c>
      <c r="H4152" t="inlineStr">
        <is>
          <t>Retail pharmacy</t>
        </is>
      </c>
      <c r="I4152" t="inlineStr">
        <is>
          <t>Public payer</t>
        </is>
      </c>
      <c r="J4152" t="inlineStr">
        <is>
          <t>Olivia Brown</t>
        </is>
      </c>
      <c r="K4152" s="70" t="n">
        <v>415</v>
      </c>
      <c r="L4152" s="71" t="n">
        <v>239.45</v>
      </c>
      <c r="M4152" s="71" t="n">
        <v>99371.75</v>
      </c>
      <c r="N4152" s="71" t="n">
        <v>14905.76</v>
      </c>
      <c r="O4152" s="71" t="n">
        <v>84465.99000000001</v>
      </c>
      <c r="P4152" s="71" t="n">
        <v>28929.83</v>
      </c>
      <c r="Q4152" s="71" t="n">
        <v>55536.16</v>
      </c>
      <c r="R4152" t="inlineStr">
        <is>
          <t>Vaccines</t>
        </is>
      </c>
      <c r="S4152" s="70" t="n">
        <v>345</v>
      </c>
      <c r="T4152" s="71" t="n">
        <v>21362.66</v>
      </c>
      <c r="U4152" t="inlineStr">
        <is>
          <t>Low</t>
        </is>
      </c>
      <c r="V4152">
        <f>IF(AND(OR(Dashboard!$C$6="All",E4152=Dashboard!$C$6),OR(Dashboard!$F$6="All",G4152=Dashboard!$F$6),OR(Dashboard!$I$6="All",H4152=Dashboard!$I$6)),1,0)</f>
        <v/>
      </c>
    </row>
    <row r="4153">
      <c r="A4153" t="inlineStr">
        <is>
          <t>PF104144</t>
        </is>
      </c>
      <c r="B4153" s="68" t="n">
        <v>46155</v>
      </c>
      <c r="C4153" s="69" t="n">
        <v>2026</v>
      </c>
      <c r="D4153" t="inlineStr">
        <is>
          <t>May</t>
        </is>
      </c>
      <c r="E4153" t="inlineStr">
        <is>
          <t>United States</t>
        </is>
      </c>
      <c r="F4153" t="inlineStr">
        <is>
          <t>USA</t>
        </is>
      </c>
      <c r="G4153" t="inlineStr">
        <is>
          <t>Ibrance</t>
        </is>
      </c>
      <c r="H4153" t="inlineStr">
        <is>
          <t>Government / tender</t>
        </is>
      </c>
      <c r="I4153" t="inlineStr">
        <is>
          <t>Public payer</t>
        </is>
      </c>
      <c r="J4153" t="inlineStr">
        <is>
          <t>Sara Rossi</t>
        </is>
      </c>
      <c r="K4153" s="70" t="n">
        <v>679</v>
      </c>
      <c r="L4153" s="71" t="n">
        <v>4467.99</v>
      </c>
      <c r="M4153" s="71" t="n">
        <v>3033765.21</v>
      </c>
      <c r="N4153" s="71" t="n">
        <v>910129.5600000001</v>
      </c>
      <c r="O4153" s="71" t="n">
        <v>2123635.65</v>
      </c>
      <c r="P4153" s="71" t="n">
        <v>291218.4</v>
      </c>
      <c r="Q4153" s="71" t="n">
        <v>1832417.25</v>
      </c>
      <c r="R4153" t="inlineStr">
        <is>
          <t>Oncology</t>
        </is>
      </c>
      <c r="S4153" s="70" t="n">
        <v>554</v>
      </c>
      <c r="T4153" s="71" t="n">
        <v>647518.7</v>
      </c>
      <c r="U4153" t="inlineStr">
        <is>
          <t>High</t>
        </is>
      </c>
      <c r="V4153">
        <f>IF(AND(OR(Dashboard!$C$6="All",E4153=Dashboard!$C$6),OR(Dashboard!$F$6="All",G4153=Dashboard!$F$6),OR(Dashboard!$I$6="All",H4153=Dashboard!$I$6)),1,0)</f>
        <v/>
      </c>
    </row>
    <row r="4154">
      <c r="A4154" t="inlineStr">
        <is>
          <t>PF104145</t>
        </is>
      </c>
      <c r="B4154" s="68" t="n">
        <v>46155</v>
      </c>
      <c r="C4154" s="69" t="n">
        <v>2026</v>
      </c>
      <c r="D4154" t="inlineStr">
        <is>
          <t>May</t>
        </is>
      </c>
      <c r="E4154" t="inlineStr">
        <is>
          <t>United States</t>
        </is>
      </c>
      <c r="F4154" t="inlineStr">
        <is>
          <t>USA</t>
        </is>
      </c>
      <c r="G4154" t="inlineStr">
        <is>
          <t>Ibrance</t>
        </is>
      </c>
      <c r="H4154" t="inlineStr">
        <is>
          <t>Hospital</t>
        </is>
      </c>
      <c r="I4154" t="inlineStr">
        <is>
          <t>Private insurer</t>
        </is>
      </c>
      <c r="J4154" t="inlineStr">
        <is>
          <t>Olivia Brown</t>
        </is>
      </c>
      <c r="K4154" s="70" t="n">
        <v>2459</v>
      </c>
      <c r="L4154" s="71" t="n">
        <v>4421.87</v>
      </c>
      <c r="M4154" s="71" t="n">
        <v>10873378.33</v>
      </c>
      <c r="N4154" s="71" t="n">
        <v>3262013.5</v>
      </c>
      <c r="O4154" s="71" t="n">
        <v>7611364.83</v>
      </c>
      <c r="P4154" s="71" t="n">
        <v>1033825.17</v>
      </c>
      <c r="Q4154" s="71" t="n">
        <v>6577539.66</v>
      </c>
      <c r="R4154" t="inlineStr">
        <is>
          <t>Oncology</t>
        </is>
      </c>
      <c r="S4154" s="70" t="n">
        <v>2119</v>
      </c>
      <c r="T4154" s="71" t="n">
        <v>1978099.92</v>
      </c>
      <c r="U4154" t="inlineStr">
        <is>
          <t>High</t>
        </is>
      </c>
      <c r="V4154">
        <f>IF(AND(OR(Dashboard!$C$6="All",E4154=Dashboard!$C$6),OR(Dashboard!$F$6="All",G4154=Dashboard!$F$6),OR(Dashboard!$I$6="All",H4154=Dashboard!$I$6)),1,0)</f>
        <v/>
      </c>
    </row>
    <row r="4155">
      <c r="A4155" t="inlineStr">
        <is>
          <t>PF104146</t>
        </is>
      </c>
      <c r="B4155" s="68" t="n">
        <v>46155</v>
      </c>
      <c r="C4155" s="69" t="n">
        <v>2026</v>
      </c>
      <c r="D4155" t="inlineStr">
        <is>
          <t>May</t>
        </is>
      </c>
      <c r="E4155" t="inlineStr">
        <is>
          <t>United States</t>
        </is>
      </c>
      <c r="F4155" t="inlineStr">
        <is>
          <t>USA</t>
        </is>
      </c>
      <c r="G4155" t="inlineStr">
        <is>
          <t>Eliquis</t>
        </is>
      </c>
      <c r="H4155" t="inlineStr">
        <is>
          <t>Retail pharmacy</t>
        </is>
      </c>
      <c r="I4155" t="inlineStr">
        <is>
          <t>Public payer</t>
        </is>
      </c>
      <c r="J4155" t="inlineStr">
        <is>
          <t>Wei Chen</t>
        </is>
      </c>
      <c r="K4155" s="70" t="n">
        <v>656</v>
      </c>
      <c r="L4155" s="71" t="n">
        <v>758.2</v>
      </c>
      <c r="M4155" s="71" t="n">
        <v>497379.2</v>
      </c>
      <c r="N4155" s="71" t="n">
        <v>174082.72</v>
      </c>
      <c r="O4155" s="71" t="n">
        <v>323296.48</v>
      </c>
      <c r="P4155" s="71" t="n">
        <v>47970.88</v>
      </c>
      <c r="Q4155" s="71" t="n">
        <v>275325.6</v>
      </c>
      <c r="R4155" t="inlineStr">
        <is>
          <t>Cardiology</t>
        </is>
      </c>
      <c r="S4155" s="70" t="n">
        <v>533</v>
      </c>
      <c r="T4155" s="71" t="n">
        <v>95112.59</v>
      </c>
      <c r="U4155" t="inlineStr">
        <is>
          <t>High</t>
        </is>
      </c>
      <c r="V4155">
        <f>IF(AND(OR(Dashboard!$C$6="All",E4155=Dashboard!$C$6),OR(Dashboard!$F$6="All",G4155=Dashboard!$F$6),OR(Dashboard!$I$6="All",H4155=Dashboard!$I$6)),1,0)</f>
        <v/>
      </c>
    </row>
    <row r="4156">
      <c r="A4156" t="inlineStr">
        <is>
          <t>PF104147</t>
        </is>
      </c>
      <c r="B4156" s="68" t="n">
        <v>46156</v>
      </c>
      <c r="C4156" s="69" t="n">
        <v>2026</v>
      </c>
      <c r="D4156" t="inlineStr">
        <is>
          <t>May</t>
        </is>
      </c>
      <c r="E4156" t="inlineStr">
        <is>
          <t>United States</t>
        </is>
      </c>
      <c r="F4156" t="inlineStr">
        <is>
          <t>USA</t>
        </is>
      </c>
      <c r="G4156" t="inlineStr">
        <is>
          <t>Paxlovid</t>
        </is>
      </c>
      <c r="H4156" t="inlineStr">
        <is>
          <t>Government / tender</t>
        </is>
      </c>
      <c r="I4156" t="inlineStr">
        <is>
          <t>Private insurer</t>
        </is>
      </c>
      <c r="J4156" t="inlineStr">
        <is>
          <t>Ruhi Shaikh</t>
        </is>
      </c>
      <c r="K4156" s="70" t="n">
        <v>2308</v>
      </c>
      <c r="L4156" s="71" t="n">
        <v>1437.16</v>
      </c>
      <c r="M4156" s="71" t="n">
        <v>3316965.28</v>
      </c>
      <c r="N4156" s="71" t="n">
        <v>829241.3199999999</v>
      </c>
      <c r="O4156" s="71" t="n">
        <v>2487723.96</v>
      </c>
      <c r="P4156" s="71" t="n">
        <v>613491.46</v>
      </c>
      <c r="Q4156" s="71" t="n">
        <v>1874232.5</v>
      </c>
      <c r="R4156" t="inlineStr">
        <is>
          <t>Antiviral</t>
        </is>
      </c>
      <c r="S4156" s="70" t="n">
        <v>1879</v>
      </c>
      <c r="T4156" s="71" t="n">
        <v>747684.64</v>
      </c>
      <c r="U4156" t="inlineStr">
        <is>
          <t>Low</t>
        </is>
      </c>
      <c r="V4156">
        <f>IF(AND(OR(Dashboard!$C$6="All",E4156=Dashboard!$C$6),OR(Dashboard!$F$6="All",G4156=Dashboard!$F$6),OR(Dashboard!$I$6="All",H4156=Dashboard!$I$6)),1,0)</f>
        <v/>
      </c>
    </row>
    <row r="4157">
      <c r="A4157" t="inlineStr">
        <is>
          <t>PF104148</t>
        </is>
      </c>
      <c r="B4157" s="68" t="n">
        <v>46156</v>
      </c>
      <c r="C4157" s="69" t="n">
        <v>2026</v>
      </c>
      <c r="D4157" t="inlineStr">
        <is>
          <t>May</t>
        </is>
      </c>
      <c r="E4157" t="inlineStr">
        <is>
          <t>United States</t>
        </is>
      </c>
      <c r="F4157" t="inlineStr">
        <is>
          <t>USA</t>
        </is>
      </c>
      <c r="G4157" t="inlineStr">
        <is>
          <t>Eliquis</t>
        </is>
      </c>
      <c r="H4157" t="inlineStr">
        <is>
          <t>Hospital</t>
        </is>
      </c>
      <c r="I4157" t="inlineStr">
        <is>
          <t>Public payer</t>
        </is>
      </c>
      <c r="J4157" t="inlineStr">
        <is>
          <t>Amir Khan</t>
        </is>
      </c>
      <c r="K4157" s="70" t="n">
        <v>1089</v>
      </c>
      <c r="L4157" s="71" t="n">
        <v>671.05</v>
      </c>
      <c r="M4157" s="71" t="n">
        <v>730773.45</v>
      </c>
      <c r="N4157" s="71" t="n">
        <v>146154.69</v>
      </c>
      <c r="O4157" s="71" t="n">
        <v>584618.76</v>
      </c>
      <c r="P4157" s="71" t="n">
        <v>83930.39</v>
      </c>
      <c r="Q4157" s="71" t="n">
        <v>500688.37</v>
      </c>
      <c r="R4157" t="inlineStr">
        <is>
          <t>Cardiology</t>
        </is>
      </c>
      <c r="S4157" s="70" t="n">
        <v>796</v>
      </c>
      <c r="T4157" s="71" t="n">
        <v>121579.92</v>
      </c>
      <c r="U4157" t="inlineStr">
        <is>
          <t>High</t>
        </is>
      </c>
      <c r="V4157">
        <f>IF(AND(OR(Dashboard!$C$6="All",E4157=Dashboard!$C$6),OR(Dashboard!$F$6="All",G4157=Dashboard!$F$6),OR(Dashboard!$I$6="All",H4157=Dashboard!$I$6)),1,0)</f>
        <v/>
      </c>
    </row>
    <row r="4158">
      <c r="A4158" t="inlineStr">
        <is>
          <t>PF104149</t>
        </is>
      </c>
      <c r="B4158" s="68" t="n">
        <v>46156</v>
      </c>
      <c r="C4158" s="69" t="n">
        <v>2026</v>
      </c>
      <c r="D4158" t="inlineStr">
        <is>
          <t>May</t>
        </is>
      </c>
      <c r="E4158" t="inlineStr">
        <is>
          <t>United States</t>
        </is>
      </c>
      <c r="F4158" t="inlineStr">
        <is>
          <t>USA</t>
        </is>
      </c>
      <c r="G4158" t="inlineStr">
        <is>
          <t>Ibrance</t>
        </is>
      </c>
      <c r="H4158" t="inlineStr">
        <is>
          <t>Retail pharmacy</t>
        </is>
      </c>
      <c r="I4158" t="inlineStr">
        <is>
          <t>Public payer</t>
        </is>
      </c>
      <c r="J4158" t="inlineStr">
        <is>
          <t>Priya Nair</t>
        </is>
      </c>
      <c r="K4158" s="70" t="n">
        <v>1382</v>
      </c>
      <c r="L4158" s="71" t="n">
        <v>4794.9</v>
      </c>
      <c r="M4158" s="71" t="n">
        <v>6626551.8</v>
      </c>
      <c r="N4158" s="71" t="n">
        <v>1987965.54</v>
      </c>
      <c r="O4158" s="71" t="n">
        <v>4638586.26</v>
      </c>
      <c r="P4158" s="71" t="n">
        <v>624532.26</v>
      </c>
      <c r="Q4158" s="71" t="n">
        <v>4014054</v>
      </c>
      <c r="R4158" t="inlineStr">
        <is>
          <t>Oncology</t>
        </is>
      </c>
      <c r="S4158" s="70" t="n">
        <v>914</v>
      </c>
      <c r="T4158" s="71" t="n">
        <v>1408844.59</v>
      </c>
      <c r="U4158" t="inlineStr">
        <is>
          <t>High</t>
        </is>
      </c>
      <c r="V4158">
        <f>IF(AND(OR(Dashboard!$C$6="All",E4158=Dashboard!$C$6),OR(Dashboard!$F$6="All",G4158=Dashboard!$F$6),OR(Dashboard!$I$6="All",H4158=Dashboard!$I$6)),1,0)</f>
        <v/>
      </c>
    </row>
    <row r="4159">
      <c r="A4159" t="inlineStr">
        <is>
          <t>PF104150</t>
        </is>
      </c>
      <c r="B4159" s="68" t="n">
        <v>46156</v>
      </c>
      <c r="C4159" s="69" t="n">
        <v>2026</v>
      </c>
      <c r="D4159" t="inlineStr">
        <is>
          <t>May</t>
        </is>
      </c>
      <c r="E4159" t="inlineStr">
        <is>
          <t>United States</t>
        </is>
      </c>
      <c r="F4159" t="inlineStr">
        <is>
          <t>USA</t>
        </is>
      </c>
      <c r="G4159" t="inlineStr">
        <is>
          <t>Abrysvo</t>
        </is>
      </c>
      <c r="H4159" t="inlineStr">
        <is>
          <t>Hospital</t>
        </is>
      </c>
      <c r="I4159" t="inlineStr">
        <is>
          <t>Private insurer</t>
        </is>
      </c>
      <c r="J4159" t="inlineStr">
        <is>
          <t>Omar Haddad</t>
        </is>
      </c>
      <c r="K4159" s="70" t="n">
        <v>2065</v>
      </c>
      <c r="L4159" s="71" t="n">
        <v>507.97</v>
      </c>
      <c r="M4159" s="71" t="n">
        <v>1048958.05</v>
      </c>
      <c r="N4159" s="71" t="n">
        <v>262239.51</v>
      </c>
      <c r="O4159" s="71" t="n">
        <v>786718.54</v>
      </c>
      <c r="P4159" s="71" t="n">
        <v>168968.72</v>
      </c>
      <c r="Q4159" s="71" t="n">
        <v>617749.8199999999</v>
      </c>
      <c r="R4159" t="inlineStr">
        <is>
          <t>Vaccines</t>
        </is>
      </c>
      <c r="S4159" s="70" t="n">
        <v>1351</v>
      </c>
      <c r="T4159" s="71" t="n">
        <v>128701.6</v>
      </c>
      <c r="U4159" t="inlineStr">
        <is>
          <t>Low</t>
        </is>
      </c>
      <c r="V4159">
        <f>IF(AND(OR(Dashboard!$C$6="All",E4159=Dashboard!$C$6),OR(Dashboard!$F$6="All",G4159=Dashboard!$F$6),OR(Dashboard!$I$6="All",H4159=Dashboard!$I$6)),1,0)</f>
        <v/>
      </c>
    </row>
    <row r="4160">
      <c r="A4160" t="inlineStr">
        <is>
          <t>PF104151</t>
        </is>
      </c>
      <c r="B4160" s="68" t="n">
        <v>46156</v>
      </c>
      <c r="C4160" s="69" t="n">
        <v>2026</v>
      </c>
      <c r="D4160" t="inlineStr">
        <is>
          <t>May</t>
        </is>
      </c>
      <c r="E4160" t="inlineStr">
        <is>
          <t>Europe</t>
        </is>
      </c>
      <c r="F4160" t="inlineStr">
        <is>
          <t>Spain</t>
        </is>
      </c>
      <c r="G4160" t="inlineStr">
        <is>
          <t>Eliquis</t>
        </is>
      </c>
      <c r="H4160" t="inlineStr">
        <is>
          <t>Government / tender</t>
        </is>
      </c>
      <c r="I4160" t="inlineStr">
        <is>
          <t>Self-pay</t>
        </is>
      </c>
      <c r="J4160" t="inlineStr">
        <is>
          <t>Priya Nair</t>
        </is>
      </c>
      <c r="K4160" s="70" t="n">
        <v>2212</v>
      </c>
      <c r="L4160" s="71" t="n">
        <v>433.26</v>
      </c>
      <c r="M4160" s="71" t="n">
        <v>958371.12</v>
      </c>
      <c r="N4160" s="71" t="n">
        <v>143755.67</v>
      </c>
      <c r="O4160" s="71" t="n">
        <v>814615.45</v>
      </c>
      <c r="P4160" s="71" t="n">
        <v>165443.13</v>
      </c>
      <c r="Q4160" s="71" t="n">
        <v>649172.3199999999</v>
      </c>
      <c r="R4160" t="inlineStr">
        <is>
          <t>Cardiology</t>
        </is>
      </c>
      <c r="S4160" s="70" t="n">
        <v>1735</v>
      </c>
      <c r="T4160" s="71" t="n">
        <v>132929.68</v>
      </c>
      <c r="U4160" t="inlineStr">
        <is>
          <t>High</t>
        </is>
      </c>
      <c r="V4160">
        <f>IF(AND(OR(Dashboard!$C$6="All",E4160=Dashboard!$C$6),OR(Dashboard!$F$6="All",G4160=Dashboard!$F$6),OR(Dashboard!$I$6="All",H4160=Dashboard!$I$6)),1,0)</f>
        <v/>
      </c>
    </row>
    <row r="4161">
      <c r="A4161" t="inlineStr">
        <is>
          <t>PF104152</t>
        </is>
      </c>
      <c r="B4161" s="68" t="n">
        <v>46156</v>
      </c>
      <c r="C4161" s="69" t="n">
        <v>2026</v>
      </c>
      <c r="D4161" t="inlineStr">
        <is>
          <t>May</t>
        </is>
      </c>
      <c r="E4161" t="inlineStr">
        <is>
          <t>Europe</t>
        </is>
      </c>
      <c r="F4161" t="inlineStr">
        <is>
          <t>Spain</t>
        </is>
      </c>
      <c r="G4161" t="inlineStr">
        <is>
          <t>Comirnaty</t>
        </is>
      </c>
      <c r="H4161" t="inlineStr">
        <is>
          <t>Retail pharmacy</t>
        </is>
      </c>
      <c r="I4161" t="inlineStr">
        <is>
          <t>Self-pay</t>
        </is>
      </c>
      <c r="J4161" t="inlineStr">
        <is>
          <t>Liam O'Brien</t>
        </is>
      </c>
      <c r="K4161" s="70" t="n">
        <v>749</v>
      </c>
      <c r="L4161" s="71" t="n">
        <v>86.06999999999999</v>
      </c>
      <c r="M4161" s="71" t="n">
        <v>64466.43</v>
      </c>
      <c r="N4161" s="71" t="n">
        <v>6446.64</v>
      </c>
      <c r="O4161" s="71" t="n">
        <v>58019.79</v>
      </c>
      <c r="P4161" s="71" t="n">
        <v>28566.02</v>
      </c>
      <c r="Q4161" s="71" t="n">
        <v>29453.77</v>
      </c>
      <c r="R4161" t="inlineStr">
        <is>
          <t>Vaccines</t>
        </is>
      </c>
      <c r="S4161" s="70" t="n">
        <v>718</v>
      </c>
      <c r="T4161" s="71" t="n">
        <v>15271.55</v>
      </c>
      <c r="U4161" t="inlineStr">
        <is>
          <t>Low</t>
        </is>
      </c>
      <c r="V4161">
        <f>IF(AND(OR(Dashboard!$C$6="All",E4161=Dashboard!$C$6),OR(Dashboard!$F$6="All",G4161=Dashboard!$F$6),OR(Dashboard!$I$6="All",H4161=Dashboard!$I$6)),1,0)</f>
        <v/>
      </c>
    </row>
    <row r="4162">
      <c r="A4162" t="inlineStr">
        <is>
          <t>PF104153</t>
        </is>
      </c>
      <c r="B4162" s="68" t="n">
        <v>46156</v>
      </c>
      <c r="C4162" s="69" t="n">
        <v>2026</v>
      </c>
      <c r="D4162" t="inlineStr">
        <is>
          <t>May</t>
        </is>
      </c>
      <c r="E4162" t="inlineStr">
        <is>
          <t>Emerging markets</t>
        </is>
      </c>
      <c r="F4162" t="inlineStr">
        <is>
          <t>India</t>
        </is>
      </c>
      <c r="G4162" t="inlineStr">
        <is>
          <t>Prevnar 20</t>
        </is>
      </c>
      <c r="H4162" t="inlineStr">
        <is>
          <t>Hospital</t>
        </is>
      </c>
      <c r="I4162" t="inlineStr">
        <is>
          <t>Public payer</t>
        </is>
      </c>
      <c r="J4162" t="inlineStr">
        <is>
          <t>Ana Costa</t>
        </is>
      </c>
      <c r="K4162" s="70" t="n">
        <v>2323</v>
      </c>
      <c r="L4162" s="71" t="n">
        <v>252.41</v>
      </c>
      <c r="M4162" s="71" t="n">
        <v>586348.4300000001</v>
      </c>
      <c r="N4162" s="71" t="n">
        <v>117269.69</v>
      </c>
      <c r="O4162" s="71" t="n">
        <v>469078.74</v>
      </c>
      <c r="P4162" s="71" t="n">
        <v>159536.44</v>
      </c>
      <c r="Q4162" s="71" t="n">
        <v>309542.3</v>
      </c>
      <c r="R4162" t="inlineStr">
        <is>
          <t>Vaccines</t>
        </is>
      </c>
      <c r="S4162" s="70" t="n">
        <v>1730</v>
      </c>
      <c r="T4162" s="71" t="n">
        <v>95476.96000000001</v>
      </c>
      <c r="U4162" t="inlineStr">
        <is>
          <t>Low</t>
        </is>
      </c>
      <c r="V4162">
        <f>IF(AND(OR(Dashboard!$C$6="All",E4162=Dashboard!$C$6),OR(Dashboard!$F$6="All",G4162=Dashboard!$F$6),OR(Dashboard!$I$6="All",H4162=Dashboard!$I$6)),1,0)</f>
        <v/>
      </c>
    </row>
    <row r="4163">
      <c r="A4163" t="inlineStr">
        <is>
          <t>PF104154</t>
        </is>
      </c>
      <c r="B4163" s="68" t="n">
        <v>46156</v>
      </c>
      <c r="C4163" s="69" t="n">
        <v>2026</v>
      </c>
      <c r="D4163" t="inlineStr">
        <is>
          <t>May</t>
        </is>
      </c>
      <c r="E4163" t="inlineStr">
        <is>
          <t>United States</t>
        </is>
      </c>
      <c r="F4163" t="inlineStr">
        <is>
          <t>USA</t>
        </is>
      </c>
      <c r="G4163" t="inlineStr">
        <is>
          <t>Paxlovid</t>
        </is>
      </c>
      <c r="H4163" t="inlineStr">
        <is>
          <t>Retail pharmacy</t>
        </is>
      </c>
      <c r="I4163" t="inlineStr">
        <is>
          <t>Self-pay</t>
        </is>
      </c>
      <c r="J4163" t="inlineStr">
        <is>
          <t>Omar Haddad</t>
        </is>
      </c>
      <c r="K4163" s="70" t="n">
        <v>2259</v>
      </c>
      <c r="L4163" s="71" t="n">
        <v>1553.75</v>
      </c>
      <c r="M4163" s="71" t="n">
        <v>3509921.25</v>
      </c>
      <c r="N4163" s="71" t="n">
        <v>877480.3100000001</v>
      </c>
      <c r="O4163" s="71" t="n">
        <v>2632440.94</v>
      </c>
      <c r="P4163" s="71" t="n">
        <v>623934.64</v>
      </c>
      <c r="Q4163" s="71" t="n">
        <v>2008506.3</v>
      </c>
      <c r="R4163" t="inlineStr">
        <is>
          <t>Antiviral</t>
        </is>
      </c>
      <c r="S4163" s="70" t="n">
        <v>1963</v>
      </c>
      <c r="T4163" s="71" t="n">
        <v>850226.4300000001</v>
      </c>
      <c r="U4163" t="inlineStr">
        <is>
          <t>Low</t>
        </is>
      </c>
      <c r="V4163">
        <f>IF(AND(OR(Dashboard!$C$6="All",E4163=Dashboard!$C$6),OR(Dashboard!$F$6="All",G4163=Dashboard!$F$6),OR(Dashboard!$I$6="All",H4163=Dashboard!$I$6)),1,0)</f>
        <v/>
      </c>
    </row>
    <row r="4164">
      <c r="A4164" t="inlineStr">
        <is>
          <t>PF104155</t>
        </is>
      </c>
      <c r="B4164" s="68" t="n">
        <v>46156</v>
      </c>
      <c r="C4164" s="69" t="n">
        <v>2026</v>
      </c>
      <c r="D4164" t="inlineStr">
        <is>
          <t>May</t>
        </is>
      </c>
      <c r="E4164" t="inlineStr">
        <is>
          <t>Emerging markets</t>
        </is>
      </c>
      <c r="F4164" t="inlineStr">
        <is>
          <t>Brazil</t>
        </is>
      </c>
      <c r="G4164" t="inlineStr">
        <is>
          <t>Vyndaqel</t>
        </is>
      </c>
      <c r="H4164" t="inlineStr">
        <is>
          <t>Government / tender</t>
        </is>
      </c>
      <c r="I4164" t="inlineStr">
        <is>
          <t>Public payer</t>
        </is>
      </c>
      <c r="J4164" t="inlineStr">
        <is>
          <t>Fatima Al-Saud</t>
        </is>
      </c>
      <c r="K4164" s="70" t="n">
        <v>2873</v>
      </c>
      <c r="L4164" s="71" t="n">
        <v>5591.36</v>
      </c>
      <c r="M4164" s="71" t="n">
        <v>16063977.28</v>
      </c>
      <c r="N4164" s="71" t="n">
        <v>3212795.46</v>
      </c>
      <c r="O4164" s="71" t="n">
        <v>12851181.82</v>
      </c>
      <c r="P4164" s="71" t="n">
        <v>1860068.64</v>
      </c>
      <c r="Q4164" s="71" t="n">
        <v>10991113.18</v>
      </c>
      <c r="R4164" t="inlineStr">
        <is>
          <t>Rare disease</t>
        </is>
      </c>
      <c r="S4164" s="70" t="n">
        <v>2664</v>
      </c>
      <c r="T4164" s="71" t="n">
        <v>2589523.11</v>
      </c>
      <c r="U4164" t="inlineStr">
        <is>
          <t>Medium</t>
        </is>
      </c>
      <c r="V4164">
        <f>IF(AND(OR(Dashboard!$C$6="All",E4164=Dashboard!$C$6),OR(Dashboard!$F$6="All",G4164=Dashboard!$F$6),OR(Dashboard!$I$6="All",H4164=Dashboard!$I$6)),1,0)</f>
        <v/>
      </c>
    </row>
    <row r="4165">
      <c r="A4165" t="inlineStr">
        <is>
          <t>PF104156</t>
        </is>
      </c>
      <c r="B4165" s="68" t="n">
        <v>46157</v>
      </c>
      <c r="C4165" s="69" t="n">
        <v>2026</v>
      </c>
      <c r="D4165" t="inlineStr">
        <is>
          <t>May</t>
        </is>
      </c>
      <c r="E4165" t="inlineStr">
        <is>
          <t>United States</t>
        </is>
      </c>
      <c r="F4165" t="inlineStr">
        <is>
          <t>USA</t>
        </is>
      </c>
      <c r="G4165" t="inlineStr">
        <is>
          <t>Prevnar 20</t>
        </is>
      </c>
      <c r="H4165" t="inlineStr">
        <is>
          <t>Hospital</t>
        </is>
      </c>
      <c r="I4165" t="inlineStr">
        <is>
          <t>Public payer</t>
        </is>
      </c>
      <c r="J4165" t="inlineStr">
        <is>
          <t>Wei Chen</t>
        </is>
      </c>
      <c r="K4165" s="70" t="n">
        <v>1467</v>
      </c>
      <c r="L4165" s="71" t="n">
        <v>386.79</v>
      </c>
      <c r="M4165" s="71" t="n">
        <v>567420.9300000001</v>
      </c>
      <c r="N4165" s="71" t="n">
        <v>198597.33</v>
      </c>
      <c r="O4165" s="71" t="n">
        <v>368823.6</v>
      </c>
      <c r="P4165" s="71" t="n">
        <v>98913.06</v>
      </c>
      <c r="Q4165" s="71" t="n">
        <v>269910.54</v>
      </c>
      <c r="R4165" t="inlineStr">
        <is>
          <t>Vaccines</t>
        </is>
      </c>
      <c r="S4165" s="70" t="n">
        <v>926</v>
      </c>
      <c r="T4165" s="71" t="n">
        <v>90701.00999999999</v>
      </c>
      <c r="U4165" t="inlineStr">
        <is>
          <t>Low</t>
        </is>
      </c>
      <c r="V4165">
        <f>IF(AND(OR(Dashboard!$C$6="All",E4165=Dashboard!$C$6),OR(Dashboard!$F$6="All",G4165=Dashboard!$F$6),OR(Dashboard!$I$6="All",H4165=Dashboard!$I$6)),1,0)</f>
        <v/>
      </c>
    </row>
    <row r="4166">
      <c r="A4166" t="inlineStr">
        <is>
          <t>PF104157</t>
        </is>
      </c>
      <c r="B4166" s="68" t="n">
        <v>46157</v>
      </c>
      <c r="C4166" s="69" t="n">
        <v>2026</v>
      </c>
      <c r="D4166" t="inlineStr">
        <is>
          <t>May</t>
        </is>
      </c>
      <c r="E4166" t="inlineStr">
        <is>
          <t>United States</t>
        </is>
      </c>
      <c r="F4166" t="inlineStr">
        <is>
          <t>USA</t>
        </is>
      </c>
      <c r="G4166" t="inlineStr">
        <is>
          <t>Comirnaty</t>
        </is>
      </c>
      <c r="H4166" t="inlineStr">
        <is>
          <t>Retail pharmacy</t>
        </is>
      </c>
      <c r="I4166" t="inlineStr">
        <is>
          <t>Private insurer</t>
        </is>
      </c>
      <c r="J4166" t="inlineStr">
        <is>
          <t>Liam O'Brien</t>
        </is>
      </c>
      <c r="K4166" s="70" t="n">
        <v>1357</v>
      </c>
      <c r="L4166" s="71" t="n">
        <v>137.19</v>
      </c>
      <c r="M4166" s="71" t="n">
        <v>186166.83</v>
      </c>
      <c r="N4166" s="71" t="n">
        <v>65158.39</v>
      </c>
      <c r="O4166" s="71" t="n">
        <v>121008.44</v>
      </c>
      <c r="P4166" s="71" t="n">
        <v>52737.57</v>
      </c>
      <c r="Q4166" s="71" t="n">
        <v>68270.87</v>
      </c>
      <c r="R4166" t="inlineStr">
        <is>
          <t>Vaccines</t>
        </is>
      </c>
      <c r="S4166" s="70" t="n">
        <v>1334</v>
      </c>
      <c r="T4166" s="71" t="n">
        <v>34292.91</v>
      </c>
      <c r="U4166" t="inlineStr">
        <is>
          <t>Low</t>
        </is>
      </c>
      <c r="V4166">
        <f>IF(AND(OR(Dashboard!$C$6="All",E4166=Dashboard!$C$6),OR(Dashboard!$F$6="All",G4166=Dashboard!$F$6),OR(Dashboard!$I$6="All",H4166=Dashboard!$I$6)),1,0)</f>
        <v/>
      </c>
    </row>
    <row r="4167">
      <c r="A4167" t="inlineStr">
        <is>
          <t>PF104158</t>
        </is>
      </c>
      <c r="B4167" s="68" t="n">
        <v>46158</v>
      </c>
      <c r="C4167" s="69" t="n">
        <v>2026</v>
      </c>
      <c r="D4167" t="inlineStr">
        <is>
          <t>May</t>
        </is>
      </c>
      <c r="E4167" t="inlineStr">
        <is>
          <t>International developed</t>
        </is>
      </c>
      <c r="F4167" t="inlineStr">
        <is>
          <t>Australia</t>
        </is>
      </c>
      <c r="G4167" t="inlineStr">
        <is>
          <t>Prevnar 20</t>
        </is>
      </c>
      <c r="H4167" t="inlineStr">
        <is>
          <t>Retail pharmacy</t>
        </is>
      </c>
      <c r="I4167" t="inlineStr">
        <is>
          <t>Private insurer</t>
        </is>
      </c>
      <c r="J4167" t="inlineStr">
        <is>
          <t>Emma Clarke</t>
        </is>
      </c>
      <c r="K4167" s="70" t="n">
        <v>111</v>
      </c>
      <c r="L4167" s="71" t="n">
        <v>240.19</v>
      </c>
      <c r="M4167" s="71" t="n">
        <v>26661.09</v>
      </c>
      <c r="N4167" s="71" t="n">
        <v>3999.16</v>
      </c>
      <c r="O4167" s="71" t="n">
        <v>22661.93</v>
      </c>
      <c r="P4167" s="71" t="n">
        <v>7524.81</v>
      </c>
      <c r="Q4167" s="71" t="n">
        <v>15137.12</v>
      </c>
      <c r="R4167" t="inlineStr">
        <is>
          <t>Vaccines</t>
        </is>
      </c>
      <c r="S4167" s="70" t="n">
        <v>75</v>
      </c>
      <c r="T4167" s="71" t="n">
        <v>5625.97</v>
      </c>
      <c r="U4167" t="inlineStr">
        <is>
          <t>Low</t>
        </is>
      </c>
      <c r="V4167">
        <f>IF(AND(OR(Dashboard!$C$6="All",E4167=Dashboard!$C$6),OR(Dashboard!$F$6="All",G4167=Dashboard!$F$6),OR(Dashboard!$I$6="All",H4167=Dashboard!$I$6)),1,0)</f>
        <v/>
      </c>
    </row>
    <row r="4168">
      <c r="A4168" t="inlineStr">
        <is>
          <t>PF104159</t>
        </is>
      </c>
      <c r="B4168" s="68" t="n">
        <v>46158</v>
      </c>
      <c r="C4168" s="69" t="n">
        <v>2026</v>
      </c>
      <c r="D4168" t="inlineStr">
        <is>
          <t>May</t>
        </is>
      </c>
      <c r="E4168" t="inlineStr">
        <is>
          <t>Emerging markets</t>
        </is>
      </c>
      <c r="F4168" t="inlineStr">
        <is>
          <t>Brazil</t>
        </is>
      </c>
      <c r="G4168" t="inlineStr">
        <is>
          <t>Abrysvo</t>
        </is>
      </c>
      <c r="H4168" t="inlineStr">
        <is>
          <t>Retail pharmacy</t>
        </is>
      </c>
      <c r="I4168" t="inlineStr">
        <is>
          <t>Self-pay</t>
        </is>
      </c>
      <c r="J4168" t="inlineStr">
        <is>
          <t>Mei Lin</t>
        </is>
      </c>
      <c r="K4168" s="70" t="n">
        <v>1307</v>
      </c>
      <c r="L4168" s="71" t="n">
        <v>344.99</v>
      </c>
      <c r="M4168" s="71" t="n">
        <v>450901.93</v>
      </c>
      <c r="N4168" s="71" t="n">
        <v>67635.28999999999</v>
      </c>
      <c r="O4168" s="71" t="n">
        <v>383266.64</v>
      </c>
      <c r="P4168" s="71" t="n">
        <v>113504.46</v>
      </c>
      <c r="Q4168" s="71" t="n">
        <v>269762.18</v>
      </c>
      <c r="R4168" t="inlineStr">
        <is>
          <t>Vaccines</t>
        </is>
      </c>
      <c r="S4168" s="70" t="n">
        <v>991</v>
      </c>
      <c r="T4168" s="71" t="n">
        <v>64929.23</v>
      </c>
      <c r="U4168" t="inlineStr">
        <is>
          <t>Low</t>
        </is>
      </c>
      <c r="V4168">
        <f>IF(AND(OR(Dashboard!$C$6="All",E4168=Dashboard!$C$6),OR(Dashboard!$F$6="All",G4168=Dashboard!$F$6),OR(Dashboard!$I$6="All",H4168=Dashboard!$I$6)),1,0)</f>
        <v/>
      </c>
    </row>
    <row r="4169">
      <c r="A4169" t="inlineStr">
        <is>
          <t>PF104160</t>
        </is>
      </c>
      <c r="B4169" s="68" t="n">
        <v>46158</v>
      </c>
      <c r="C4169" s="69" t="n">
        <v>2026</v>
      </c>
      <c r="D4169" t="inlineStr">
        <is>
          <t>May</t>
        </is>
      </c>
      <c r="E4169" t="inlineStr">
        <is>
          <t>United States</t>
        </is>
      </c>
      <c r="F4169" t="inlineStr">
        <is>
          <t>USA</t>
        </is>
      </c>
      <c r="G4169" t="inlineStr">
        <is>
          <t>Vyndaqel</t>
        </is>
      </c>
      <c r="H4169" t="inlineStr">
        <is>
          <t>Hospital</t>
        </is>
      </c>
      <c r="I4169" t="inlineStr">
        <is>
          <t>Public payer</t>
        </is>
      </c>
      <c r="J4169" t="inlineStr">
        <is>
          <t>Ruhi Shaikh</t>
        </is>
      </c>
      <c r="K4169" s="70" t="n">
        <v>2475</v>
      </c>
      <c r="L4169" s="71" t="n">
        <v>9115.940000000001</v>
      </c>
      <c r="M4169" s="71" t="n">
        <v>22561951.5</v>
      </c>
      <c r="N4169" s="71" t="n">
        <v>6768585.45</v>
      </c>
      <c r="O4169" s="71" t="n">
        <v>15793366.05</v>
      </c>
      <c r="P4169" s="71" t="n">
        <v>1495140.85</v>
      </c>
      <c r="Q4169" s="71" t="n">
        <v>14298225.2</v>
      </c>
      <c r="R4169" t="inlineStr">
        <is>
          <t>Rare disease</t>
        </is>
      </c>
      <c r="S4169" s="70" t="n">
        <v>2348</v>
      </c>
      <c r="T4169" s="71" t="n">
        <v>4047334.05</v>
      </c>
      <c r="U4169" t="inlineStr">
        <is>
          <t>Medium</t>
        </is>
      </c>
      <c r="V4169">
        <f>IF(AND(OR(Dashboard!$C$6="All",E4169=Dashboard!$C$6),OR(Dashboard!$F$6="All",G4169=Dashboard!$F$6),OR(Dashboard!$I$6="All",H4169=Dashboard!$I$6)),1,0)</f>
        <v/>
      </c>
    </row>
    <row r="4170">
      <c r="A4170" t="inlineStr">
        <is>
          <t>PF104161</t>
        </is>
      </c>
      <c r="B4170" s="68" t="n">
        <v>46158</v>
      </c>
      <c r="C4170" s="69" t="n">
        <v>2026</v>
      </c>
      <c r="D4170" t="inlineStr">
        <is>
          <t>May</t>
        </is>
      </c>
      <c r="E4170" t="inlineStr">
        <is>
          <t>United States</t>
        </is>
      </c>
      <c r="F4170" t="inlineStr">
        <is>
          <t>USA</t>
        </is>
      </c>
      <c r="G4170" t="inlineStr">
        <is>
          <t>Ibrance</t>
        </is>
      </c>
      <c r="H4170" t="inlineStr">
        <is>
          <t>Retail pharmacy</t>
        </is>
      </c>
      <c r="I4170" t="inlineStr">
        <is>
          <t>Public payer</t>
        </is>
      </c>
      <c r="J4170" t="inlineStr">
        <is>
          <t>Wei Chen</t>
        </is>
      </c>
      <c r="K4170" s="70" t="n">
        <v>903</v>
      </c>
      <c r="L4170" s="71" t="n">
        <v>4856.55</v>
      </c>
      <c r="M4170" s="71" t="n">
        <v>4385464.65</v>
      </c>
      <c r="N4170" s="71" t="n">
        <v>1315639.4</v>
      </c>
      <c r="O4170" s="71" t="n">
        <v>3069825.25</v>
      </c>
      <c r="P4170" s="71" t="n">
        <v>394014.33</v>
      </c>
      <c r="Q4170" s="71" t="n">
        <v>2675810.92</v>
      </c>
      <c r="R4170" t="inlineStr">
        <is>
          <t>Oncology</t>
        </is>
      </c>
      <c r="S4170" s="70" t="n">
        <v>575</v>
      </c>
      <c r="T4170" s="71" t="n">
        <v>813371.65</v>
      </c>
      <c r="U4170" t="inlineStr">
        <is>
          <t>High</t>
        </is>
      </c>
      <c r="V4170">
        <f>IF(AND(OR(Dashboard!$C$6="All",E4170=Dashboard!$C$6),OR(Dashboard!$F$6="All",G4170=Dashboard!$F$6),OR(Dashboard!$I$6="All",H4170=Dashboard!$I$6)),1,0)</f>
        <v/>
      </c>
    </row>
    <row r="4171">
      <c r="A4171" t="inlineStr">
        <is>
          <t>PF104162</t>
        </is>
      </c>
      <c r="B4171" s="68" t="n">
        <v>46158</v>
      </c>
      <c r="C4171" s="69" t="n">
        <v>2026</v>
      </c>
      <c r="D4171" t="inlineStr">
        <is>
          <t>May</t>
        </is>
      </c>
      <c r="E4171" t="inlineStr">
        <is>
          <t>Europe</t>
        </is>
      </c>
      <c r="F4171" t="inlineStr">
        <is>
          <t>Spain</t>
        </is>
      </c>
      <c r="G4171" t="inlineStr">
        <is>
          <t>Xeljanz</t>
        </is>
      </c>
      <c r="H4171" t="inlineStr">
        <is>
          <t>Hospital</t>
        </is>
      </c>
      <c r="I4171" t="inlineStr">
        <is>
          <t>Private insurer</t>
        </is>
      </c>
      <c r="J4171" t="inlineStr">
        <is>
          <t>Omar Haddad</t>
        </is>
      </c>
      <c r="K4171" s="70" t="n">
        <v>332</v>
      </c>
      <c r="L4171" s="71" t="n">
        <v>1344.56</v>
      </c>
      <c r="M4171" s="71" t="n">
        <v>446393.92</v>
      </c>
      <c r="N4171" s="71" t="n">
        <v>22319.7</v>
      </c>
      <c r="O4171" s="71" t="n">
        <v>424074.22</v>
      </c>
      <c r="P4171" s="71" t="n">
        <v>82417.64</v>
      </c>
      <c r="Q4171" s="71" t="n">
        <v>341656.58</v>
      </c>
      <c r="R4171" t="inlineStr">
        <is>
          <t>Inflammation</t>
        </is>
      </c>
      <c r="S4171" s="70" t="n">
        <v>242</v>
      </c>
      <c r="T4171" s="71" t="n">
        <v>70225.81</v>
      </c>
      <c r="U4171" t="inlineStr">
        <is>
          <t>High</t>
        </is>
      </c>
      <c r="V4171">
        <f>IF(AND(OR(Dashboard!$C$6="All",E4171=Dashboard!$C$6),OR(Dashboard!$F$6="All",G4171=Dashboard!$F$6),OR(Dashboard!$I$6="All",H4171=Dashboard!$I$6)),1,0)</f>
        <v/>
      </c>
    </row>
    <row r="4172">
      <c r="A4172" t="inlineStr">
        <is>
          <t>PF104163</t>
        </is>
      </c>
      <c r="B4172" s="68" t="n">
        <v>46158</v>
      </c>
      <c r="C4172" s="69" t="n">
        <v>2026</v>
      </c>
      <c r="D4172" t="inlineStr">
        <is>
          <t>May</t>
        </is>
      </c>
      <c r="E4172" t="inlineStr">
        <is>
          <t>Europe</t>
        </is>
      </c>
      <c r="F4172" t="inlineStr">
        <is>
          <t>Italy</t>
        </is>
      </c>
      <c r="G4172" t="inlineStr">
        <is>
          <t>Vyndaqel</t>
        </is>
      </c>
      <c r="H4172" t="inlineStr">
        <is>
          <t>Hospital</t>
        </is>
      </c>
      <c r="I4172" t="inlineStr">
        <is>
          <t>Public payer</t>
        </is>
      </c>
      <c r="J4172" t="inlineStr">
        <is>
          <t>Sara Rossi</t>
        </is>
      </c>
      <c r="K4172" s="70" t="n">
        <v>1149</v>
      </c>
      <c r="L4172" s="71" t="n">
        <v>5498.4</v>
      </c>
      <c r="M4172" s="71" t="n">
        <v>6317661.6</v>
      </c>
      <c r="N4172" s="71" t="n">
        <v>315883.08</v>
      </c>
      <c r="O4172" s="71" t="n">
        <v>6001778.52</v>
      </c>
      <c r="P4172" s="71" t="n">
        <v>704757.9</v>
      </c>
      <c r="Q4172" s="71" t="n">
        <v>5297020.62</v>
      </c>
      <c r="R4172" t="inlineStr">
        <is>
          <t>Rare disease</t>
        </is>
      </c>
      <c r="S4172" s="70" t="n">
        <v>1122</v>
      </c>
      <c r="T4172" s="71" t="n">
        <v>948731.9399999999</v>
      </c>
      <c r="U4172" t="inlineStr">
        <is>
          <t>Medium</t>
        </is>
      </c>
      <c r="V4172">
        <f>IF(AND(OR(Dashboard!$C$6="All",E4172=Dashboard!$C$6),OR(Dashboard!$F$6="All",G4172=Dashboard!$F$6),OR(Dashboard!$I$6="All",H4172=Dashboard!$I$6)),1,0)</f>
        <v/>
      </c>
    </row>
    <row r="4173">
      <c r="A4173" t="inlineStr">
        <is>
          <t>PF104164</t>
        </is>
      </c>
      <c r="B4173" s="68" t="n">
        <v>46158</v>
      </c>
      <c r="C4173" s="69" t="n">
        <v>2026</v>
      </c>
      <c r="D4173" t="inlineStr">
        <is>
          <t>May</t>
        </is>
      </c>
      <c r="E4173" t="inlineStr">
        <is>
          <t>United States</t>
        </is>
      </c>
      <c r="F4173" t="inlineStr">
        <is>
          <t>USA</t>
        </is>
      </c>
      <c r="G4173" t="inlineStr">
        <is>
          <t>Abrysvo</t>
        </is>
      </c>
      <c r="H4173" t="inlineStr">
        <is>
          <t>Retail pharmacy</t>
        </is>
      </c>
      <c r="I4173" t="inlineStr">
        <is>
          <t>Private insurer</t>
        </is>
      </c>
      <c r="J4173" t="inlineStr">
        <is>
          <t>Emma Clarke</t>
        </is>
      </c>
      <c r="K4173" s="70" t="n">
        <v>306</v>
      </c>
      <c r="L4173" s="71" t="n">
        <v>500.37</v>
      </c>
      <c r="M4173" s="71" t="n">
        <v>153113.22</v>
      </c>
      <c r="N4173" s="71" t="n">
        <v>22966.98</v>
      </c>
      <c r="O4173" s="71" t="n">
        <v>130146.24</v>
      </c>
      <c r="P4173" s="71" t="n">
        <v>25103.34</v>
      </c>
      <c r="Q4173" s="71" t="n">
        <v>105042.9</v>
      </c>
      <c r="R4173" t="inlineStr">
        <is>
          <t>Vaccines</t>
        </is>
      </c>
      <c r="S4173" s="70" t="n">
        <v>264</v>
      </c>
      <c r="T4173" s="71" t="n">
        <v>28154.42</v>
      </c>
      <c r="U4173" t="inlineStr">
        <is>
          <t>Low</t>
        </is>
      </c>
      <c r="V4173">
        <f>IF(AND(OR(Dashboard!$C$6="All",E4173=Dashboard!$C$6),OR(Dashboard!$F$6="All",G4173=Dashboard!$F$6),OR(Dashboard!$I$6="All",H4173=Dashboard!$I$6)),1,0)</f>
        <v/>
      </c>
    </row>
    <row r="4174">
      <c r="A4174" t="inlineStr">
        <is>
          <t>PF104165</t>
        </is>
      </c>
      <c r="B4174" s="68" t="n">
        <v>46158</v>
      </c>
      <c r="C4174" s="69" t="n">
        <v>2026</v>
      </c>
      <c r="D4174" t="inlineStr">
        <is>
          <t>May</t>
        </is>
      </c>
      <c r="E4174" t="inlineStr">
        <is>
          <t>International developed</t>
        </is>
      </c>
      <c r="F4174" t="inlineStr">
        <is>
          <t>Australia</t>
        </is>
      </c>
      <c r="G4174" t="inlineStr">
        <is>
          <t>Ibrance</t>
        </is>
      </c>
      <c r="H4174" t="inlineStr">
        <is>
          <t>Government / tender</t>
        </is>
      </c>
      <c r="I4174" t="inlineStr">
        <is>
          <t>Public payer</t>
        </is>
      </c>
      <c r="J4174" t="inlineStr">
        <is>
          <t>Arjun Mehta</t>
        </is>
      </c>
      <c r="K4174" s="70" t="n">
        <v>1174</v>
      </c>
      <c r="L4174" s="71" t="n">
        <v>2878.77</v>
      </c>
      <c r="M4174" s="71" t="n">
        <v>3379675.98</v>
      </c>
      <c r="N4174" s="71" t="n">
        <v>337967.6</v>
      </c>
      <c r="O4174" s="71" t="n">
        <v>3041708.38</v>
      </c>
      <c r="P4174" s="71" t="n">
        <v>495279.31</v>
      </c>
      <c r="Q4174" s="71" t="n">
        <v>2546429.07</v>
      </c>
      <c r="R4174" t="inlineStr">
        <is>
          <t>Oncology</t>
        </is>
      </c>
      <c r="S4174" s="70" t="n">
        <v>854</v>
      </c>
      <c r="T4174" s="71" t="n">
        <v>677083.78</v>
      </c>
      <c r="U4174" t="inlineStr">
        <is>
          <t>High</t>
        </is>
      </c>
      <c r="V4174">
        <f>IF(AND(OR(Dashboard!$C$6="All",E4174=Dashboard!$C$6),OR(Dashboard!$F$6="All",G4174=Dashboard!$F$6),OR(Dashboard!$I$6="All",H4174=Dashboard!$I$6)),1,0)</f>
        <v/>
      </c>
    </row>
    <row r="4175">
      <c r="A4175" t="inlineStr">
        <is>
          <t>PF104166</t>
        </is>
      </c>
      <c r="B4175" s="68" t="n">
        <v>46158</v>
      </c>
      <c r="C4175" s="69" t="n">
        <v>2026</v>
      </c>
      <c r="D4175" t="inlineStr">
        <is>
          <t>May</t>
        </is>
      </c>
      <c r="E4175" t="inlineStr">
        <is>
          <t>Emerging markets</t>
        </is>
      </c>
      <c r="F4175" t="inlineStr">
        <is>
          <t>Brazil</t>
        </is>
      </c>
      <c r="G4175" t="inlineStr">
        <is>
          <t>Comirnaty</t>
        </is>
      </c>
      <c r="H4175" t="inlineStr">
        <is>
          <t>Government / tender</t>
        </is>
      </c>
      <c r="I4175" t="inlineStr">
        <is>
          <t>Private insurer</t>
        </is>
      </c>
      <c r="J4175" t="inlineStr">
        <is>
          <t>Kofi Mensah</t>
        </is>
      </c>
      <c r="K4175" s="70" t="n">
        <v>88</v>
      </c>
      <c r="L4175" s="71" t="n">
        <v>81.11</v>
      </c>
      <c r="M4175" s="71" t="n">
        <v>7137.68</v>
      </c>
      <c r="N4175" s="71" t="n">
        <v>713.77</v>
      </c>
      <c r="O4175" s="71" t="n">
        <v>6423.91</v>
      </c>
      <c r="P4175" s="71" t="n">
        <v>3442.75</v>
      </c>
      <c r="Q4175" s="71" t="n">
        <v>2981.16</v>
      </c>
      <c r="R4175" t="inlineStr">
        <is>
          <t>Vaccines</t>
        </is>
      </c>
      <c r="S4175" s="70" t="n">
        <v>64</v>
      </c>
      <c r="T4175" s="71" t="n">
        <v>1297.4</v>
      </c>
      <c r="U4175" t="inlineStr">
        <is>
          <t>Low</t>
        </is>
      </c>
      <c r="V4175">
        <f>IF(AND(OR(Dashboard!$C$6="All",E4175=Dashboard!$C$6),OR(Dashboard!$F$6="All",G4175=Dashboard!$F$6),OR(Dashboard!$I$6="All",H4175=Dashboard!$I$6)),1,0)</f>
        <v/>
      </c>
    </row>
    <row r="4176">
      <c r="A4176" t="inlineStr">
        <is>
          <t>PF104167</t>
        </is>
      </c>
      <c r="B4176" s="68" t="n">
        <v>46158</v>
      </c>
      <c r="C4176" s="69" t="n">
        <v>2026</v>
      </c>
      <c r="D4176" t="inlineStr">
        <is>
          <t>May</t>
        </is>
      </c>
      <c r="E4176" t="inlineStr">
        <is>
          <t>Europe</t>
        </is>
      </c>
      <c r="F4176" t="inlineStr">
        <is>
          <t>Spain</t>
        </is>
      </c>
      <c r="G4176" t="inlineStr">
        <is>
          <t>Paxlovid</t>
        </is>
      </c>
      <c r="H4176" t="inlineStr">
        <is>
          <t>Retail pharmacy</t>
        </is>
      </c>
      <c r="I4176" t="inlineStr">
        <is>
          <t>Private insurer</t>
        </is>
      </c>
      <c r="J4176" t="inlineStr">
        <is>
          <t>Sara Rossi</t>
        </is>
      </c>
      <c r="K4176" s="70" t="n">
        <v>92</v>
      </c>
      <c r="L4176" s="71" t="n">
        <v>1005.6</v>
      </c>
      <c r="M4176" s="71" t="n">
        <v>92515.2</v>
      </c>
      <c r="N4176" s="71" t="n">
        <v>9251.52</v>
      </c>
      <c r="O4176" s="71" t="n">
        <v>83263.67999999999</v>
      </c>
      <c r="P4176" s="71" t="n">
        <v>25387.98</v>
      </c>
      <c r="Q4176" s="71" t="n">
        <v>57875.7</v>
      </c>
      <c r="R4176" t="inlineStr">
        <is>
          <t>Antiviral</t>
        </is>
      </c>
      <c r="S4176" s="70" t="n">
        <v>59</v>
      </c>
      <c r="T4176" s="71" t="n">
        <v>22895.18</v>
      </c>
      <c r="U4176" t="inlineStr">
        <is>
          <t>Low</t>
        </is>
      </c>
      <c r="V4176">
        <f>IF(AND(OR(Dashboard!$C$6="All",E4176=Dashboard!$C$6),OR(Dashboard!$F$6="All",G4176=Dashboard!$F$6),OR(Dashboard!$I$6="All",H4176=Dashboard!$I$6)),1,0)</f>
        <v/>
      </c>
    </row>
    <row r="4177">
      <c r="A4177" t="inlineStr">
        <is>
          <t>PF104168</t>
        </is>
      </c>
      <c r="B4177" s="68" t="n">
        <v>46158</v>
      </c>
      <c r="C4177" s="69" t="n">
        <v>2026</v>
      </c>
      <c r="D4177" t="inlineStr">
        <is>
          <t>May</t>
        </is>
      </c>
      <c r="E4177" t="inlineStr">
        <is>
          <t>United States</t>
        </is>
      </c>
      <c r="F4177" t="inlineStr">
        <is>
          <t>USA</t>
        </is>
      </c>
      <c r="G4177" t="inlineStr">
        <is>
          <t>Ibrance</t>
        </is>
      </c>
      <c r="H4177" t="inlineStr">
        <is>
          <t>Retail pharmacy</t>
        </is>
      </c>
      <c r="I4177" t="inlineStr">
        <is>
          <t>Private insurer</t>
        </is>
      </c>
      <c r="J4177" t="inlineStr">
        <is>
          <t>Wei Chen</t>
        </is>
      </c>
      <c r="K4177" s="70" t="n">
        <v>1958</v>
      </c>
      <c r="L4177" s="71" t="n">
        <v>4735.56</v>
      </c>
      <c r="M4177" s="71" t="n">
        <v>9272226.48</v>
      </c>
      <c r="N4177" s="71" t="n">
        <v>2318056.62</v>
      </c>
      <c r="O4177" s="71" t="n">
        <v>6954169.86</v>
      </c>
      <c r="P4177" s="71" t="n">
        <v>829344.2</v>
      </c>
      <c r="Q4177" s="71" t="n">
        <v>6124825.66</v>
      </c>
      <c r="R4177" t="inlineStr">
        <is>
          <t>Oncology</t>
        </is>
      </c>
      <c r="S4177" s="70" t="n">
        <v>1379</v>
      </c>
      <c r="T4177" s="71" t="n">
        <v>1966356.31</v>
      </c>
      <c r="U4177" t="inlineStr">
        <is>
          <t>High</t>
        </is>
      </c>
      <c r="V4177">
        <f>IF(AND(OR(Dashboard!$C$6="All",E4177=Dashboard!$C$6),OR(Dashboard!$F$6="All",G4177=Dashboard!$F$6),OR(Dashboard!$I$6="All",H4177=Dashboard!$I$6)),1,0)</f>
        <v/>
      </c>
    </row>
    <row r="4178">
      <c r="A4178" t="inlineStr">
        <is>
          <t>PF104169</t>
        </is>
      </c>
      <c r="B4178" s="68" t="n">
        <v>46158</v>
      </c>
      <c r="C4178" s="69" t="n">
        <v>2026</v>
      </c>
      <c r="D4178" t="inlineStr">
        <is>
          <t>May</t>
        </is>
      </c>
      <c r="E4178" t="inlineStr">
        <is>
          <t>Europe</t>
        </is>
      </c>
      <c r="F4178" t="inlineStr">
        <is>
          <t>Italy</t>
        </is>
      </c>
      <c r="G4178" t="inlineStr">
        <is>
          <t>Eliquis</t>
        </is>
      </c>
      <c r="H4178" t="inlineStr">
        <is>
          <t>Retail pharmacy</t>
        </is>
      </c>
      <c r="I4178" t="inlineStr">
        <is>
          <t>Private insurer</t>
        </is>
      </c>
      <c r="J4178" t="inlineStr">
        <is>
          <t>Priya Nair</t>
        </is>
      </c>
      <c r="K4178" s="70" t="n">
        <v>1279</v>
      </c>
      <c r="L4178" s="71" t="n">
        <v>467.39</v>
      </c>
      <c r="M4178" s="71" t="n">
        <v>597791.8100000001</v>
      </c>
      <c r="N4178" s="71" t="n">
        <v>89668.77</v>
      </c>
      <c r="O4178" s="71" t="n">
        <v>508123.04</v>
      </c>
      <c r="P4178" s="71" t="n">
        <v>96474.60000000001</v>
      </c>
      <c r="Q4178" s="71" t="n">
        <v>411648.44</v>
      </c>
      <c r="R4178" t="inlineStr">
        <is>
          <t>Cardiology</t>
        </is>
      </c>
      <c r="S4178" s="70" t="n">
        <v>969</v>
      </c>
      <c r="T4178" s="71" t="n">
        <v>92592.48</v>
      </c>
      <c r="U4178" t="inlineStr">
        <is>
          <t>High</t>
        </is>
      </c>
      <c r="V4178">
        <f>IF(AND(OR(Dashboard!$C$6="All",E4178=Dashboard!$C$6),OR(Dashboard!$F$6="All",G4178=Dashboard!$F$6),OR(Dashboard!$I$6="All",H4178=Dashboard!$I$6)),1,0)</f>
        <v/>
      </c>
    </row>
    <row r="4179">
      <c r="A4179" t="inlineStr">
        <is>
          <t>PF104170</t>
        </is>
      </c>
      <c r="B4179" s="68" t="n">
        <v>46158</v>
      </c>
      <c r="C4179" s="69" t="n">
        <v>2026</v>
      </c>
      <c r="D4179" t="inlineStr">
        <is>
          <t>May</t>
        </is>
      </c>
      <c r="E4179" t="inlineStr">
        <is>
          <t>International developed</t>
        </is>
      </c>
      <c r="F4179" t="inlineStr">
        <is>
          <t>Canada</t>
        </is>
      </c>
      <c r="G4179" t="inlineStr">
        <is>
          <t>Paxlovid</t>
        </is>
      </c>
      <c r="H4179" t="inlineStr">
        <is>
          <t>Retail pharmacy</t>
        </is>
      </c>
      <c r="I4179" t="inlineStr">
        <is>
          <t>Private insurer</t>
        </is>
      </c>
      <c r="J4179" t="inlineStr">
        <is>
          <t>Sophie Müller</t>
        </is>
      </c>
      <c r="K4179" s="70" t="n">
        <v>1041</v>
      </c>
      <c r="L4179" s="71" t="n">
        <v>984.4299999999999</v>
      </c>
      <c r="M4179" s="71" t="n">
        <v>1024791.63</v>
      </c>
      <c r="N4179" s="71" t="n">
        <v>51239.58</v>
      </c>
      <c r="O4179" s="71" t="n">
        <v>973552.05</v>
      </c>
      <c r="P4179" s="71" t="n">
        <v>290341.8</v>
      </c>
      <c r="Q4179" s="71" t="n">
        <v>683210.25</v>
      </c>
      <c r="R4179" t="inlineStr">
        <is>
          <t>Antiviral</t>
        </is>
      </c>
      <c r="S4179" s="70" t="n">
        <v>731</v>
      </c>
      <c r="T4179" s="71" t="n">
        <v>265843.49</v>
      </c>
      <c r="U4179" t="inlineStr">
        <is>
          <t>Low</t>
        </is>
      </c>
      <c r="V4179">
        <f>IF(AND(OR(Dashboard!$C$6="All",E4179=Dashboard!$C$6),OR(Dashboard!$F$6="All",G4179=Dashboard!$F$6),OR(Dashboard!$I$6="All",H4179=Dashboard!$I$6)),1,0)</f>
        <v/>
      </c>
    </row>
    <row r="4180">
      <c r="A4180" t="inlineStr">
        <is>
          <t>PF104171</t>
        </is>
      </c>
      <c r="B4180" s="68" t="n">
        <v>46158</v>
      </c>
      <c r="C4180" s="69" t="n">
        <v>2026</v>
      </c>
      <c r="D4180" t="inlineStr">
        <is>
          <t>May</t>
        </is>
      </c>
      <c r="E4180" t="inlineStr">
        <is>
          <t>Emerging markets</t>
        </is>
      </c>
      <c r="F4180" t="inlineStr">
        <is>
          <t>Brazil</t>
        </is>
      </c>
      <c r="G4180" t="inlineStr">
        <is>
          <t>Abrysvo</t>
        </is>
      </c>
      <c r="H4180" t="inlineStr">
        <is>
          <t>Hospital</t>
        </is>
      </c>
      <c r="I4180" t="inlineStr">
        <is>
          <t>Public payer</t>
        </is>
      </c>
      <c r="J4180" t="inlineStr">
        <is>
          <t>Zoya Ahmed</t>
        </is>
      </c>
      <c r="K4180" s="70" t="n">
        <v>2466</v>
      </c>
      <c r="L4180" s="71" t="n">
        <v>330.74</v>
      </c>
      <c r="M4180" s="71" t="n">
        <v>815604.84</v>
      </c>
      <c r="N4180" s="71" t="n">
        <v>163120.97</v>
      </c>
      <c r="O4180" s="71" t="n">
        <v>652483.87</v>
      </c>
      <c r="P4180" s="71" t="n">
        <v>213962.12</v>
      </c>
      <c r="Q4180" s="71" t="n">
        <v>438521.75</v>
      </c>
      <c r="R4180" t="inlineStr">
        <is>
          <t>Vaccines</t>
        </is>
      </c>
      <c r="S4180" s="70" t="n">
        <v>1734</v>
      </c>
      <c r="T4180" s="71" t="n">
        <v>108324.69</v>
      </c>
      <c r="U4180" t="inlineStr">
        <is>
          <t>Low</t>
        </is>
      </c>
      <c r="V4180">
        <f>IF(AND(OR(Dashboard!$C$6="All",E4180=Dashboard!$C$6),OR(Dashboard!$F$6="All",G4180=Dashboard!$F$6),OR(Dashboard!$I$6="All",H4180=Dashboard!$I$6)),1,0)</f>
        <v/>
      </c>
    </row>
    <row r="4181">
      <c r="A4181" t="inlineStr">
        <is>
          <t>PF104172</t>
        </is>
      </c>
      <c r="B4181" s="68" t="n">
        <v>46159</v>
      </c>
      <c r="C4181" s="69" t="n">
        <v>2026</v>
      </c>
      <c r="D4181" t="inlineStr">
        <is>
          <t>May</t>
        </is>
      </c>
      <c r="E4181" t="inlineStr">
        <is>
          <t>United States</t>
        </is>
      </c>
      <c r="F4181" t="inlineStr">
        <is>
          <t>USA</t>
        </is>
      </c>
      <c r="G4181" t="inlineStr">
        <is>
          <t>Vyndaqel</t>
        </is>
      </c>
      <c r="H4181" t="inlineStr">
        <is>
          <t>Retail pharmacy</t>
        </is>
      </c>
      <c r="I4181" t="inlineStr">
        <is>
          <t>Private insurer</t>
        </is>
      </c>
      <c r="J4181" t="inlineStr">
        <is>
          <t>Hiroshi Tanaka</t>
        </is>
      </c>
      <c r="K4181" s="70" t="n">
        <v>2462</v>
      </c>
      <c r="L4181" s="71" t="n">
        <v>9572.51</v>
      </c>
      <c r="M4181" s="71" t="n">
        <v>23567519.62</v>
      </c>
      <c r="N4181" s="71" t="n">
        <v>7070255.89</v>
      </c>
      <c r="O4181" s="71" t="n">
        <v>16497263.73</v>
      </c>
      <c r="P4181" s="71" t="n">
        <v>1542857.74</v>
      </c>
      <c r="Q4181" s="71" t="n">
        <v>14954405.99</v>
      </c>
      <c r="R4181" t="inlineStr">
        <is>
          <t>Rare disease</t>
        </is>
      </c>
      <c r="S4181" s="70" t="n">
        <v>1712</v>
      </c>
      <c r="T4181" s="71" t="n">
        <v>2656875.96</v>
      </c>
      <c r="U4181" t="inlineStr">
        <is>
          <t>Medium</t>
        </is>
      </c>
      <c r="V4181">
        <f>IF(AND(OR(Dashboard!$C$6="All",E4181=Dashboard!$C$6),OR(Dashboard!$F$6="All",G4181=Dashboard!$F$6),OR(Dashboard!$I$6="All",H4181=Dashboard!$I$6)),1,0)</f>
        <v/>
      </c>
    </row>
    <row r="4182">
      <c r="A4182" t="inlineStr">
        <is>
          <t>PF104173</t>
        </is>
      </c>
      <c r="B4182" s="68" t="n">
        <v>46159</v>
      </c>
      <c r="C4182" s="69" t="n">
        <v>2026</v>
      </c>
      <c r="D4182" t="inlineStr">
        <is>
          <t>May</t>
        </is>
      </c>
      <c r="E4182" t="inlineStr">
        <is>
          <t>United States</t>
        </is>
      </c>
      <c r="F4182" t="inlineStr">
        <is>
          <t>USA</t>
        </is>
      </c>
      <c r="G4182" t="inlineStr">
        <is>
          <t>Abrysvo</t>
        </is>
      </c>
      <c r="H4182" t="inlineStr">
        <is>
          <t>Retail pharmacy</t>
        </is>
      </c>
      <c r="I4182" t="inlineStr">
        <is>
          <t>Private insurer</t>
        </is>
      </c>
      <c r="J4182" t="inlineStr">
        <is>
          <t>Kofi Mensah</t>
        </is>
      </c>
      <c r="K4182" s="70" t="n">
        <v>1824</v>
      </c>
      <c r="L4182" s="71" t="n">
        <v>542.91</v>
      </c>
      <c r="M4182" s="71" t="n">
        <v>990267.84</v>
      </c>
      <c r="N4182" s="71" t="n">
        <v>346593.74</v>
      </c>
      <c r="O4182" s="71" t="n">
        <v>643674.1</v>
      </c>
      <c r="P4182" s="71" t="n">
        <v>158043.73</v>
      </c>
      <c r="Q4182" s="71" t="n">
        <v>485630.37</v>
      </c>
      <c r="R4182" t="inlineStr">
        <is>
          <t>Vaccines</t>
        </is>
      </c>
      <c r="S4182" s="70" t="n">
        <v>1680</v>
      </c>
      <c r="T4182" s="71" t="n">
        <v>176279.41</v>
      </c>
      <c r="U4182" t="inlineStr">
        <is>
          <t>Low</t>
        </is>
      </c>
      <c r="V4182">
        <f>IF(AND(OR(Dashboard!$C$6="All",E4182=Dashboard!$C$6),OR(Dashboard!$F$6="All",G4182=Dashboard!$F$6),OR(Dashboard!$I$6="All",H4182=Dashboard!$I$6)),1,0)</f>
        <v/>
      </c>
    </row>
    <row r="4183">
      <c r="A4183" t="inlineStr">
        <is>
          <t>PF104174</t>
        </is>
      </c>
      <c r="B4183" s="68" t="n">
        <v>46159</v>
      </c>
      <c r="C4183" s="69" t="n">
        <v>2026</v>
      </c>
      <c r="D4183" t="inlineStr">
        <is>
          <t>May</t>
        </is>
      </c>
      <c r="E4183" t="inlineStr">
        <is>
          <t>International developed</t>
        </is>
      </c>
      <c r="F4183" t="inlineStr">
        <is>
          <t>Canada</t>
        </is>
      </c>
      <c r="G4183" t="inlineStr">
        <is>
          <t>Eliquis</t>
        </is>
      </c>
      <c r="H4183" t="inlineStr">
        <is>
          <t>Retail pharmacy</t>
        </is>
      </c>
      <c r="I4183" t="inlineStr">
        <is>
          <t>Private insurer</t>
        </is>
      </c>
      <c r="J4183" t="inlineStr">
        <is>
          <t>Aisha Bello</t>
        </is>
      </c>
      <c r="K4183" s="70" t="n">
        <v>1710</v>
      </c>
      <c r="L4183" s="71" t="n">
        <v>467.07</v>
      </c>
      <c r="M4183" s="71" t="n">
        <v>798689.7</v>
      </c>
      <c r="N4183" s="71" t="n">
        <v>39934.49</v>
      </c>
      <c r="O4183" s="71" t="n">
        <v>758755.21</v>
      </c>
      <c r="P4183" s="71" t="n">
        <v>125243.55</v>
      </c>
      <c r="Q4183" s="71" t="n">
        <v>633511.66</v>
      </c>
      <c r="R4183" t="inlineStr">
        <is>
          <t>Cardiology</t>
        </is>
      </c>
      <c r="S4183" s="70" t="n">
        <v>1326</v>
      </c>
      <c r="T4183" s="71" t="n">
        <v>147369.59</v>
      </c>
      <c r="U4183" t="inlineStr">
        <is>
          <t>High</t>
        </is>
      </c>
      <c r="V4183">
        <f>IF(AND(OR(Dashboard!$C$6="All",E4183=Dashboard!$C$6),OR(Dashboard!$F$6="All",G4183=Dashboard!$F$6),OR(Dashboard!$I$6="All",H4183=Dashboard!$I$6)),1,0)</f>
        <v/>
      </c>
    </row>
    <row r="4184">
      <c r="A4184" t="inlineStr">
        <is>
          <t>PF104175</t>
        </is>
      </c>
      <c r="B4184" s="68" t="n">
        <v>46159</v>
      </c>
      <c r="C4184" s="69" t="n">
        <v>2026</v>
      </c>
      <c r="D4184" t="inlineStr">
        <is>
          <t>May</t>
        </is>
      </c>
      <c r="E4184" t="inlineStr">
        <is>
          <t>Emerging markets</t>
        </is>
      </c>
      <c r="F4184" t="inlineStr">
        <is>
          <t>Brazil</t>
        </is>
      </c>
      <c r="G4184" t="inlineStr">
        <is>
          <t>Prevnar 20</t>
        </is>
      </c>
      <c r="H4184" t="inlineStr">
        <is>
          <t>Retail pharmacy</t>
        </is>
      </c>
      <c r="I4184" t="inlineStr">
        <is>
          <t>Public payer</t>
        </is>
      </c>
      <c r="J4184" t="inlineStr">
        <is>
          <t>Omar Haddad</t>
        </is>
      </c>
      <c r="K4184" s="70" t="n">
        <v>1835</v>
      </c>
      <c r="L4184" s="71" t="n">
        <v>228.22</v>
      </c>
      <c r="M4184" s="71" t="n">
        <v>418783.7</v>
      </c>
      <c r="N4184" s="71" t="n">
        <v>83756.74000000001</v>
      </c>
      <c r="O4184" s="71" t="n">
        <v>335026.96</v>
      </c>
      <c r="P4184" s="71" t="n">
        <v>126848.33</v>
      </c>
      <c r="Q4184" s="71" t="n">
        <v>208178.63</v>
      </c>
      <c r="R4184" t="inlineStr">
        <is>
          <t>Vaccines</t>
        </is>
      </c>
      <c r="S4184" s="70" t="n">
        <v>1637</v>
      </c>
      <c r="T4184" s="71" t="n">
        <v>50803.55</v>
      </c>
      <c r="U4184" t="inlineStr">
        <is>
          <t>Low</t>
        </is>
      </c>
      <c r="V4184">
        <f>IF(AND(OR(Dashboard!$C$6="All",E4184=Dashboard!$C$6),OR(Dashboard!$F$6="All",G4184=Dashboard!$F$6),OR(Dashboard!$I$6="All",H4184=Dashboard!$I$6)),1,0)</f>
        <v/>
      </c>
    </row>
    <row r="4185">
      <c r="A4185" t="inlineStr">
        <is>
          <t>PF104176</t>
        </is>
      </c>
      <c r="B4185" s="68" t="n">
        <v>46159</v>
      </c>
      <c r="C4185" s="69" t="n">
        <v>2026</v>
      </c>
      <c r="D4185" t="inlineStr">
        <is>
          <t>May</t>
        </is>
      </c>
      <c r="E4185" t="inlineStr">
        <is>
          <t>Europe</t>
        </is>
      </c>
      <c r="F4185" t="inlineStr">
        <is>
          <t>Italy</t>
        </is>
      </c>
      <c r="G4185" t="inlineStr">
        <is>
          <t>Vyndaqel</t>
        </is>
      </c>
      <c r="H4185" t="inlineStr">
        <is>
          <t>Retail pharmacy</t>
        </is>
      </c>
      <c r="I4185" t="inlineStr">
        <is>
          <t>Self-pay</t>
        </is>
      </c>
      <c r="J4185" t="inlineStr">
        <is>
          <t>Amir Khan</t>
        </is>
      </c>
      <c r="K4185" s="70" t="n">
        <v>1766</v>
      </c>
      <c r="L4185" s="71" t="n">
        <v>5517.83</v>
      </c>
      <c r="M4185" s="71" t="n">
        <v>9744487.779999999</v>
      </c>
      <c r="N4185" s="71" t="n">
        <v>974448.78</v>
      </c>
      <c r="O4185" s="71" t="n">
        <v>8770039</v>
      </c>
      <c r="P4185" s="71" t="n">
        <v>1114670.93</v>
      </c>
      <c r="Q4185" s="71" t="n">
        <v>7655368.07</v>
      </c>
      <c r="R4185" t="inlineStr">
        <is>
          <t>Rare disease</t>
        </is>
      </c>
      <c r="S4185" s="70" t="n">
        <v>1183</v>
      </c>
      <c r="T4185" s="71" t="n">
        <v>1823496.29</v>
      </c>
      <c r="U4185" t="inlineStr">
        <is>
          <t>Medium</t>
        </is>
      </c>
      <c r="V4185">
        <f>IF(AND(OR(Dashboard!$C$6="All",E4185=Dashboard!$C$6),OR(Dashboard!$F$6="All",G4185=Dashboard!$F$6),OR(Dashboard!$I$6="All",H4185=Dashboard!$I$6)),1,0)</f>
        <v/>
      </c>
    </row>
    <row r="4186">
      <c r="A4186" t="inlineStr">
        <is>
          <t>PF104177</t>
        </is>
      </c>
      <c r="B4186" s="68" t="n">
        <v>46159</v>
      </c>
      <c r="C4186" s="69" t="n">
        <v>2026</v>
      </c>
      <c r="D4186" t="inlineStr">
        <is>
          <t>May</t>
        </is>
      </c>
      <c r="E4186" t="inlineStr">
        <is>
          <t>United States</t>
        </is>
      </c>
      <c r="F4186" t="inlineStr">
        <is>
          <t>USA</t>
        </is>
      </c>
      <c r="G4186" t="inlineStr">
        <is>
          <t>Xeljanz</t>
        </is>
      </c>
      <c r="H4186" t="inlineStr">
        <is>
          <t>Retail pharmacy</t>
        </is>
      </c>
      <c r="I4186" t="inlineStr">
        <is>
          <t>Private insurer</t>
        </is>
      </c>
      <c r="J4186" t="inlineStr">
        <is>
          <t>Emma Clarke</t>
        </is>
      </c>
      <c r="K4186" s="70" t="n">
        <v>1367</v>
      </c>
      <c r="L4186" s="71" t="n">
        <v>1981.43</v>
      </c>
      <c r="M4186" s="71" t="n">
        <v>2708614.81</v>
      </c>
      <c r="N4186" s="71" t="n">
        <v>406292.22</v>
      </c>
      <c r="O4186" s="71" t="n">
        <v>2302322.59</v>
      </c>
      <c r="P4186" s="71" t="n">
        <v>334346.88</v>
      </c>
      <c r="Q4186" s="71" t="n">
        <v>1967975.71</v>
      </c>
      <c r="R4186" t="inlineStr">
        <is>
          <t>Inflammation</t>
        </is>
      </c>
      <c r="S4186" s="70" t="n">
        <v>1318</v>
      </c>
      <c r="T4186" s="71" t="n">
        <v>442858.85</v>
      </c>
      <c r="U4186" t="inlineStr">
        <is>
          <t>High</t>
        </is>
      </c>
      <c r="V4186">
        <f>IF(AND(OR(Dashboard!$C$6="All",E4186=Dashboard!$C$6),OR(Dashboard!$F$6="All",G4186=Dashboard!$F$6),OR(Dashboard!$I$6="All",H4186=Dashboard!$I$6)),1,0)</f>
        <v/>
      </c>
    </row>
    <row r="4187">
      <c r="A4187" t="inlineStr">
        <is>
          <t>PF104178</t>
        </is>
      </c>
      <c r="B4187" s="68" t="n">
        <v>46160</v>
      </c>
      <c r="C4187" s="69" t="n">
        <v>2026</v>
      </c>
      <c r="D4187" t="inlineStr">
        <is>
          <t>May</t>
        </is>
      </c>
      <c r="E4187" t="inlineStr">
        <is>
          <t>United States</t>
        </is>
      </c>
      <c r="F4187" t="inlineStr">
        <is>
          <t>USA</t>
        </is>
      </c>
      <c r="G4187" t="inlineStr">
        <is>
          <t>Ibrance</t>
        </is>
      </c>
      <c r="H4187" t="inlineStr">
        <is>
          <t>Retail pharmacy</t>
        </is>
      </c>
      <c r="I4187" t="inlineStr">
        <is>
          <t>Public payer</t>
        </is>
      </c>
      <c r="J4187" t="inlineStr">
        <is>
          <t>Olivia Brown</t>
        </is>
      </c>
      <c r="K4187" s="70" t="n">
        <v>1816</v>
      </c>
      <c r="L4187" s="71" t="n">
        <v>4096.75</v>
      </c>
      <c r="M4187" s="71" t="n">
        <v>7439698</v>
      </c>
      <c r="N4187" s="71" t="n">
        <v>1115954.7</v>
      </c>
      <c r="O4187" s="71" t="n">
        <v>6323743.3</v>
      </c>
      <c r="P4187" s="71" t="n">
        <v>784751.6800000001</v>
      </c>
      <c r="Q4187" s="71" t="n">
        <v>5538991.62</v>
      </c>
      <c r="R4187" t="inlineStr">
        <is>
          <t>Oncology</t>
        </is>
      </c>
      <c r="S4187" s="70" t="n">
        <v>1488</v>
      </c>
      <c r="T4187" s="71" t="n">
        <v>1346534.66</v>
      </c>
      <c r="U4187" t="inlineStr">
        <is>
          <t>High</t>
        </is>
      </c>
      <c r="V4187">
        <f>IF(AND(OR(Dashboard!$C$6="All",E4187=Dashboard!$C$6),OR(Dashboard!$F$6="All",G4187=Dashboard!$F$6),OR(Dashboard!$I$6="All",H4187=Dashboard!$I$6)),1,0)</f>
        <v/>
      </c>
    </row>
    <row r="4188">
      <c r="A4188" t="inlineStr">
        <is>
          <t>PF104179</t>
        </is>
      </c>
      <c r="B4188" s="68" t="n">
        <v>46160</v>
      </c>
      <c r="C4188" s="69" t="n">
        <v>2026</v>
      </c>
      <c r="D4188" t="inlineStr">
        <is>
          <t>May</t>
        </is>
      </c>
      <c r="E4188" t="inlineStr">
        <is>
          <t>United States</t>
        </is>
      </c>
      <c r="F4188" t="inlineStr">
        <is>
          <t>USA</t>
        </is>
      </c>
      <c r="G4188" t="inlineStr">
        <is>
          <t>Comirnaty</t>
        </is>
      </c>
      <c r="H4188" t="inlineStr">
        <is>
          <t>Retail pharmacy</t>
        </is>
      </c>
      <c r="I4188" t="inlineStr">
        <is>
          <t>Public payer</t>
        </is>
      </c>
      <c r="J4188" t="inlineStr">
        <is>
          <t>Carlos Silva</t>
        </is>
      </c>
      <c r="K4188" s="70" t="n">
        <v>474</v>
      </c>
      <c r="L4188" s="71" t="n">
        <v>149.96</v>
      </c>
      <c r="M4188" s="71" t="n">
        <v>71081.03999999999</v>
      </c>
      <c r="N4188" s="71" t="n">
        <v>21324.31</v>
      </c>
      <c r="O4188" s="71" t="n">
        <v>49756.73</v>
      </c>
      <c r="P4188" s="71" t="n">
        <v>18505.13</v>
      </c>
      <c r="Q4188" s="71" t="n">
        <v>31251.6</v>
      </c>
      <c r="R4188" t="inlineStr">
        <is>
          <t>Vaccines</t>
        </is>
      </c>
      <c r="S4188" s="70" t="n">
        <v>316</v>
      </c>
      <c r="T4188" s="71" t="n">
        <v>17977.13</v>
      </c>
      <c r="U4188" t="inlineStr">
        <is>
          <t>Low</t>
        </is>
      </c>
      <c r="V4188">
        <f>IF(AND(OR(Dashboard!$C$6="All",E4188=Dashboard!$C$6),OR(Dashboard!$F$6="All",G4188=Dashboard!$F$6),OR(Dashboard!$I$6="All",H4188=Dashboard!$I$6)),1,0)</f>
        <v/>
      </c>
    </row>
    <row r="4189">
      <c r="A4189" t="inlineStr">
        <is>
          <t>PF104180</t>
        </is>
      </c>
      <c r="B4189" s="68" t="n">
        <v>46160</v>
      </c>
      <c r="C4189" s="69" t="n">
        <v>2026</v>
      </c>
      <c r="D4189" t="inlineStr">
        <is>
          <t>May</t>
        </is>
      </c>
      <c r="E4189" t="inlineStr">
        <is>
          <t>Emerging markets</t>
        </is>
      </c>
      <c r="F4189" t="inlineStr">
        <is>
          <t>India</t>
        </is>
      </c>
      <c r="G4189" t="inlineStr">
        <is>
          <t>Prevnar 20</t>
        </is>
      </c>
      <c r="H4189" t="inlineStr">
        <is>
          <t>Retail pharmacy</t>
        </is>
      </c>
      <c r="I4189" t="inlineStr">
        <is>
          <t>Public payer</t>
        </is>
      </c>
      <c r="J4189" t="inlineStr">
        <is>
          <t>Aisha Bello</t>
        </is>
      </c>
      <c r="K4189" s="70" t="n">
        <v>1060</v>
      </c>
      <c r="L4189" s="71" t="n">
        <v>216.04</v>
      </c>
      <c r="M4189" s="71" t="n">
        <v>229002.4</v>
      </c>
      <c r="N4189" s="71" t="n">
        <v>22900.24</v>
      </c>
      <c r="O4189" s="71" t="n">
        <v>206102.16</v>
      </c>
      <c r="P4189" s="71" t="n">
        <v>73323.83</v>
      </c>
      <c r="Q4189" s="71" t="n">
        <v>132778.33</v>
      </c>
      <c r="R4189" t="inlineStr">
        <is>
          <t>Vaccines</t>
        </is>
      </c>
      <c r="S4189" s="70" t="n">
        <v>687</v>
      </c>
      <c r="T4189" s="71" t="n">
        <v>29915.69</v>
      </c>
      <c r="U4189" t="inlineStr">
        <is>
          <t>Low</t>
        </is>
      </c>
      <c r="V4189">
        <f>IF(AND(OR(Dashboard!$C$6="All",E4189=Dashboard!$C$6),OR(Dashboard!$F$6="All",G4189=Dashboard!$F$6),OR(Dashboard!$I$6="All",H4189=Dashboard!$I$6)),1,0)</f>
        <v/>
      </c>
    </row>
    <row r="4190">
      <c r="A4190" t="inlineStr">
        <is>
          <t>PF104181</t>
        </is>
      </c>
      <c r="B4190" s="68" t="n">
        <v>46160</v>
      </c>
      <c r="C4190" s="69" t="n">
        <v>2026</v>
      </c>
      <c r="D4190" t="inlineStr">
        <is>
          <t>May</t>
        </is>
      </c>
      <c r="E4190" t="inlineStr">
        <is>
          <t>United States</t>
        </is>
      </c>
      <c r="F4190" t="inlineStr">
        <is>
          <t>USA</t>
        </is>
      </c>
      <c r="G4190" t="inlineStr">
        <is>
          <t>Eliquis</t>
        </is>
      </c>
      <c r="H4190" t="inlineStr">
        <is>
          <t>Government / tender</t>
        </is>
      </c>
      <c r="I4190" t="inlineStr">
        <is>
          <t>Public payer</t>
        </is>
      </c>
      <c r="J4190" t="inlineStr">
        <is>
          <t>Priya Nair</t>
        </is>
      </c>
      <c r="K4190" s="70" t="n">
        <v>322</v>
      </c>
      <c r="L4190" s="71" t="n">
        <v>717.35</v>
      </c>
      <c r="M4190" s="71" t="n">
        <v>230986.7</v>
      </c>
      <c r="N4190" s="71" t="n">
        <v>57746.68</v>
      </c>
      <c r="O4190" s="71" t="n">
        <v>173240.02</v>
      </c>
      <c r="P4190" s="71" t="n">
        <v>25045.22</v>
      </c>
      <c r="Q4190" s="71" t="n">
        <v>148194.8</v>
      </c>
      <c r="R4190" t="inlineStr">
        <is>
          <t>Cardiology</t>
        </is>
      </c>
      <c r="S4190" s="70" t="n">
        <v>211</v>
      </c>
      <c r="T4190" s="71" t="n">
        <v>42590.01</v>
      </c>
      <c r="U4190" t="inlineStr">
        <is>
          <t>High</t>
        </is>
      </c>
      <c r="V4190">
        <f>IF(AND(OR(Dashboard!$C$6="All",E4190=Dashboard!$C$6),OR(Dashboard!$F$6="All",G4190=Dashboard!$F$6),OR(Dashboard!$I$6="All",H4190=Dashboard!$I$6)),1,0)</f>
        <v/>
      </c>
    </row>
    <row r="4191">
      <c r="A4191" t="inlineStr">
        <is>
          <t>PF104182</t>
        </is>
      </c>
      <c r="B4191" s="68" t="n">
        <v>46160</v>
      </c>
      <c r="C4191" s="69" t="n">
        <v>2026</v>
      </c>
      <c r="D4191" t="inlineStr">
        <is>
          <t>May</t>
        </is>
      </c>
      <c r="E4191" t="inlineStr">
        <is>
          <t>United States</t>
        </is>
      </c>
      <c r="F4191" t="inlineStr">
        <is>
          <t>USA</t>
        </is>
      </c>
      <c r="G4191" t="inlineStr">
        <is>
          <t>Prevnar 20</t>
        </is>
      </c>
      <c r="H4191" t="inlineStr">
        <is>
          <t>Retail pharmacy</t>
        </is>
      </c>
      <c r="I4191" t="inlineStr">
        <is>
          <t>Public payer</t>
        </is>
      </c>
      <c r="J4191" t="inlineStr">
        <is>
          <t>Yuki Sato</t>
        </is>
      </c>
      <c r="K4191" s="70" t="n">
        <v>974</v>
      </c>
      <c r="L4191" s="71" t="n">
        <v>351.77</v>
      </c>
      <c r="M4191" s="71" t="n">
        <v>342623.98</v>
      </c>
      <c r="N4191" s="71" t="n">
        <v>68524.8</v>
      </c>
      <c r="O4191" s="71" t="n">
        <v>274099.18</v>
      </c>
      <c r="P4191" s="71" t="n">
        <v>65301.22</v>
      </c>
      <c r="Q4191" s="71" t="n">
        <v>208797.96</v>
      </c>
      <c r="R4191" t="inlineStr">
        <is>
          <t>Vaccines</t>
        </is>
      </c>
      <c r="S4191" s="70" t="n">
        <v>610</v>
      </c>
      <c r="T4191" s="71" t="n">
        <v>66835.49000000001</v>
      </c>
      <c r="U4191" t="inlineStr">
        <is>
          <t>Low</t>
        </is>
      </c>
      <c r="V4191">
        <f>IF(AND(OR(Dashboard!$C$6="All",E4191=Dashboard!$C$6),OR(Dashboard!$F$6="All",G4191=Dashboard!$F$6),OR(Dashboard!$I$6="All",H4191=Dashboard!$I$6)),1,0)</f>
        <v/>
      </c>
    </row>
    <row r="4192">
      <c r="A4192" t="inlineStr">
        <is>
          <t>PF104183</t>
        </is>
      </c>
      <c r="B4192" s="68" t="n">
        <v>46160</v>
      </c>
      <c r="C4192" s="69" t="n">
        <v>2026</v>
      </c>
      <c r="D4192" t="inlineStr">
        <is>
          <t>May</t>
        </is>
      </c>
      <c r="E4192" t="inlineStr">
        <is>
          <t>Emerging markets</t>
        </is>
      </c>
      <c r="F4192" t="inlineStr">
        <is>
          <t>China</t>
        </is>
      </c>
      <c r="G4192" t="inlineStr">
        <is>
          <t>Eliquis</t>
        </is>
      </c>
      <c r="H4192" t="inlineStr">
        <is>
          <t>Hospital</t>
        </is>
      </c>
      <c r="I4192" t="inlineStr">
        <is>
          <t>Public payer</t>
        </is>
      </c>
      <c r="J4192" t="inlineStr">
        <is>
          <t>Wei Chen</t>
        </is>
      </c>
      <c r="K4192" s="70" t="n">
        <v>2738</v>
      </c>
      <c r="L4192" s="71" t="n">
        <v>399.06</v>
      </c>
      <c r="M4192" s="71" t="n">
        <v>1092626.28</v>
      </c>
      <c r="N4192" s="71" t="n">
        <v>54631.31</v>
      </c>
      <c r="O4192" s="71" t="n">
        <v>1037994.97</v>
      </c>
      <c r="P4192" s="71" t="n">
        <v>199777.06</v>
      </c>
      <c r="Q4192" s="71" t="n">
        <v>838217.91</v>
      </c>
      <c r="R4192" t="inlineStr">
        <is>
          <t>Cardiology</t>
        </is>
      </c>
      <c r="S4192" s="70" t="n">
        <v>2413</v>
      </c>
      <c r="T4192" s="71" t="n">
        <v>128205.43</v>
      </c>
      <c r="U4192" t="inlineStr">
        <is>
          <t>High</t>
        </is>
      </c>
      <c r="V4192">
        <f>IF(AND(OR(Dashboard!$C$6="All",E4192=Dashboard!$C$6),OR(Dashboard!$F$6="All",G4192=Dashboard!$F$6),OR(Dashboard!$I$6="All",H4192=Dashboard!$I$6)),1,0)</f>
        <v/>
      </c>
    </row>
    <row r="4193">
      <c r="A4193" t="inlineStr">
        <is>
          <t>PF104184</t>
        </is>
      </c>
      <c r="B4193" s="68" t="n">
        <v>46160</v>
      </c>
      <c r="C4193" s="69" t="n">
        <v>2026</v>
      </c>
      <c r="D4193" t="inlineStr">
        <is>
          <t>May</t>
        </is>
      </c>
      <c r="E4193" t="inlineStr">
        <is>
          <t>United States</t>
        </is>
      </c>
      <c r="F4193" t="inlineStr">
        <is>
          <t>USA</t>
        </is>
      </c>
      <c r="G4193" t="inlineStr">
        <is>
          <t>Comirnaty</t>
        </is>
      </c>
      <c r="H4193" t="inlineStr">
        <is>
          <t>Hospital</t>
        </is>
      </c>
      <c r="I4193" t="inlineStr">
        <is>
          <t>Public payer</t>
        </is>
      </c>
      <c r="J4193" t="inlineStr">
        <is>
          <t>Carlos Silva</t>
        </is>
      </c>
      <c r="K4193" s="70" t="n">
        <v>1736</v>
      </c>
      <c r="L4193" s="71" t="n">
        <v>150.04</v>
      </c>
      <c r="M4193" s="71" t="n">
        <v>260469.44</v>
      </c>
      <c r="N4193" s="71" t="n">
        <v>52093.89</v>
      </c>
      <c r="O4193" s="71" t="n">
        <v>208375.55</v>
      </c>
      <c r="P4193" s="71" t="n">
        <v>68054.53</v>
      </c>
      <c r="Q4193" s="71" t="n">
        <v>140321.02</v>
      </c>
      <c r="R4193" t="inlineStr">
        <is>
          <t>Vaccines</t>
        </is>
      </c>
      <c r="S4193" s="70" t="n">
        <v>1218</v>
      </c>
      <c r="T4193" s="71" t="n">
        <v>40040.74</v>
      </c>
      <c r="U4193" t="inlineStr">
        <is>
          <t>Low</t>
        </is>
      </c>
      <c r="V4193">
        <f>IF(AND(OR(Dashboard!$C$6="All",E4193=Dashboard!$C$6),OR(Dashboard!$F$6="All",G4193=Dashboard!$F$6),OR(Dashboard!$I$6="All",H4193=Dashboard!$I$6)),1,0)</f>
        <v/>
      </c>
    </row>
    <row r="4194">
      <c r="A4194" t="inlineStr">
        <is>
          <t>PF104185</t>
        </is>
      </c>
      <c r="B4194" s="68" t="n">
        <v>46160</v>
      </c>
      <c r="C4194" s="69" t="n">
        <v>2026</v>
      </c>
      <c r="D4194" t="inlineStr">
        <is>
          <t>May</t>
        </is>
      </c>
      <c r="E4194" t="inlineStr">
        <is>
          <t>Europe</t>
        </is>
      </c>
      <c r="F4194" t="inlineStr">
        <is>
          <t>Germany</t>
        </is>
      </c>
      <c r="G4194" t="inlineStr">
        <is>
          <t>Eliquis</t>
        </is>
      </c>
      <c r="H4194" t="inlineStr">
        <is>
          <t>Retail pharmacy</t>
        </is>
      </c>
      <c r="I4194" t="inlineStr">
        <is>
          <t>Public payer</t>
        </is>
      </c>
      <c r="J4194" t="inlineStr">
        <is>
          <t>Omar Haddad</t>
        </is>
      </c>
      <c r="K4194" s="70" t="n">
        <v>1219</v>
      </c>
      <c r="L4194" s="71" t="n">
        <v>398.5</v>
      </c>
      <c r="M4194" s="71" t="n">
        <v>485771.5</v>
      </c>
      <c r="N4194" s="71" t="n">
        <v>121442.88</v>
      </c>
      <c r="O4194" s="71" t="n">
        <v>364328.62</v>
      </c>
      <c r="P4194" s="71" t="n">
        <v>95063.64999999999</v>
      </c>
      <c r="Q4194" s="71" t="n">
        <v>269264.97</v>
      </c>
      <c r="R4194" t="inlineStr">
        <is>
          <t>Cardiology</t>
        </is>
      </c>
      <c r="S4194" s="70" t="n">
        <v>1151</v>
      </c>
      <c r="T4194" s="71" t="n">
        <v>93817.83</v>
      </c>
      <c r="U4194" t="inlineStr">
        <is>
          <t>High</t>
        </is>
      </c>
      <c r="V4194">
        <f>IF(AND(OR(Dashboard!$C$6="All",E4194=Dashboard!$C$6),OR(Dashboard!$F$6="All",G4194=Dashboard!$F$6),OR(Dashboard!$I$6="All",H4194=Dashboard!$I$6)),1,0)</f>
        <v/>
      </c>
    </row>
    <row r="4195">
      <c r="A4195" t="inlineStr">
        <is>
          <t>PF104186</t>
        </is>
      </c>
      <c r="B4195" s="68" t="n">
        <v>46160</v>
      </c>
      <c r="C4195" s="69" t="n">
        <v>2026</v>
      </c>
      <c r="D4195" t="inlineStr">
        <is>
          <t>May</t>
        </is>
      </c>
      <c r="E4195" t="inlineStr">
        <is>
          <t>United States</t>
        </is>
      </c>
      <c r="F4195" t="inlineStr">
        <is>
          <t>USA</t>
        </is>
      </c>
      <c r="G4195" t="inlineStr">
        <is>
          <t>Abrysvo</t>
        </is>
      </c>
      <c r="H4195" t="inlineStr">
        <is>
          <t>Hospital</t>
        </is>
      </c>
      <c r="I4195" t="inlineStr">
        <is>
          <t>Public payer</t>
        </is>
      </c>
      <c r="J4195" t="inlineStr">
        <is>
          <t>Sophie Müller</t>
        </is>
      </c>
      <c r="K4195" s="70" t="n">
        <v>2129</v>
      </c>
      <c r="L4195" s="71" t="n">
        <v>523.99</v>
      </c>
      <c r="M4195" s="71" t="n">
        <v>1115574.71</v>
      </c>
      <c r="N4195" s="71" t="n">
        <v>390451.15</v>
      </c>
      <c r="O4195" s="71" t="n">
        <v>725123.5600000001</v>
      </c>
      <c r="P4195" s="71" t="n">
        <v>172403.73</v>
      </c>
      <c r="Q4195" s="71" t="n">
        <v>552719.83</v>
      </c>
      <c r="R4195" t="inlineStr">
        <is>
          <t>Vaccines</t>
        </is>
      </c>
      <c r="S4195" s="70" t="n">
        <v>2058</v>
      </c>
      <c r="T4195" s="71" t="n">
        <v>162805.9</v>
      </c>
      <c r="U4195" t="inlineStr">
        <is>
          <t>Low</t>
        </is>
      </c>
      <c r="V4195">
        <f>IF(AND(OR(Dashboard!$C$6="All",E4195=Dashboard!$C$6),OR(Dashboard!$F$6="All",G4195=Dashboard!$F$6),OR(Dashboard!$I$6="All",H4195=Dashboard!$I$6)),1,0)</f>
        <v/>
      </c>
    </row>
    <row r="4196">
      <c r="A4196" t="inlineStr">
        <is>
          <t>PF104187</t>
        </is>
      </c>
      <c r="B4196" s="68" t="n">
        <v>46161</v>
      </c>
      <c r="C4196" s="69" t="n">
        <v>2026</v>
      </c>
      <c r="D4196" t="inlineStr">
        <is>
          <t>May</t>
        </is>
      </c>
      <c r="E4196" t="inlineStr">
        <is>
          <t>United States</t>
        </is>
      </c>
      <c r="F4196" t="inlineStr">
        <is>
          <t>USA</t>
        </is>
      </c>
      <c r="G4196" t="inlineStr">
        <is>
          <t>Paxlovid</t>
        </is>
      </c>
      <c r="H4196" t="inlineStr">
        <is>
          <t>Government / tender</t>
        </is>
      </c>
      <c r="I4196" t="inlineStr">
        <is>
          <t>Private insurer</t>
        </is>
      </c>
      <c r="J4196" t="inlineStr">
        <is>
          <t>Sara Rossi</t>
        </is>
      </c>
      <c r="K4196" s="70" t="n">
        <v>1925</v>
      </c>
      <c r="L4196" s="71" t="n">
        <v>1539.12</v>
      </c>
      <c r="M4196" s="71" t="n">
        <v>2962806</v>
      </c>
      <c r="N4196" s="71" t="n">
        <v>740701.5</v>
      </c>
      <c r="O4196" s="71" t="n">
        <v>2222104.5</v>
      </c>
      <c r="P4196" s="71" t="n">
        <v>526380.53</v>
      </c>
      <c r="Q4196" s="71" t="n">
        <v>1695723.97</v>
      </c>
      <c r="R4196" t="inlineStr">
        <is>
          <t>Antiviral</t>
        </is>
      </c>
      <c r="S4196" s="70" t="n">
        <v>1293</v>
      </c>
      <c r="T4196" s="71" t="n">
        <v>542849.21</v>
      </c>
      <c r="U4196" t="inlineStr">
        <is>
          <t>Low</t>
        </is>
      </c>
      <c r="V4196">
        <f>IF(AND(OR(Dashboard!$C$6="All",E4196=Dashboard!$C$6),OR(Dashboard!$F$6="All",G4196=Dashboard!$F$6),OR(Dashboard!$I$6="All",H4196=Dashboard!$I$6)),1,0)</f>
        <v/>
      </c>
    </row>
    <row r="4197">
      <c r="A4197" t="inlineStr">
        <is>
          <t>PF104188</t>
        </is>
      </c>
      <c r="B4197" s="68" t="n">
        <v>46161</v>
      </c>
      <c r="C4197" s="69" t="n">
        <v>2026</v>
      </c>
      <c r="D4197" t="inlineStr">
        <is>
          <t>May</t>
        </is>
      </c>
      <c r="E4197" t="inlineStr">
        <is>
          <t>Emerging markets</t>
        </is>
      </c>
      <c r="F4197" t="inlineStr">
        <is>
          <t>Mexico</t>
        </is>
      </c>
      <c r="G4197" t="inlineStr">
        <is>
          <t>Vyndaqel</t>
        </is>
      </c>
      <c r="H4197" t="inlineStr">
        <is>
          <t>Retail pharmacy</t>
        </is>
      </c>
      <c r="I4197" t="inlineStr">
        <is>
          <t>Public payer</t>
        </is>
      </c>
      <c r="J4197" t="inlineStr">
        <is>
          <t>Carlos Silva</t>
        </is>
      </c>
      <c r="K4197" s="70" t="n">
        <v>642</v>
      </c>
      <c r="L4197" s="71" t="n">
        <v>6101.74</v>
      </c>
      <c r="M4197" s="71" t="n">
        <v>3917317.08</v>
      </c>
      <c r="N4197" s="71" t="n">
        <v>391731.71</v>
      </c>
      <c r="O4197" s="71" t="n">
        <v>3525585.37</v>
      </c>
      <c r="P4197" s="71" t="n">
        <v>409762.43</v>
      </c>
      <c r="Q4197" s="71" t="n">
        <v>3115822.94</v>
      </c>
      <c r="R4197" t="inlineStr">
        <is>
          <t>Rare disease</t>
        </is>
      </c>
      <c r="S4197" s="70" t="n">
        <v>555</v>
      </c>
      <c r="T4197" s="71" t="n">
        <v>509002.9</v>
      </c>
      <c r="U4197" t="inlineStr">
        <is>
          <t>Medium</t>
        </is>
      </c>
      <c r="V4197">
        <f>IF(AND(OR(Dashboard!$C$6="All",E4197=Dashboard!$C$6),OR(Dashboard!$F$6="All",G4197=Dashboard!$F$6),OR(Dashboard!$I$6="All",H4197=Dashboard!$I$6)),1,0)</f>
        <v/>
      </c>
    </row>
    <row r="4198">
      <c r="A4198" t="inlineStr">
        <is>
          <t>PF104189</t>
        </is>
      </c>
      <c r="B4198" s="68" t="n">
        <v>46161</v>
      </c>
      <c r="C4198" s="69" t="n">
        <v>2026</v>
      </c>
      <c r="D4198" t="inlineStr">
        <is>
          <t>May</t>
        </is>
      </c>
      <c r="E4198" t="inlineStr">
        <is>
          <t>United States</t>
        </is>
      </c>
      <c r="F4198" t="inlineStr">
        <is>
          <t>USA</t>
        </is>
      </c>
      <c r="G4198" t="inlineStr">
        <is>
          <t>Eliquis</t>
        </is>
      </c>
      <c r="H4198" t="inlineStr">
        <is>
          <t>Retail pharmacy</t>
        </is>
      </c>
      <c r="I4198" t="inlineStr">
        <is>
          <t>Private insurer</t>
        </is>
      </c>
      <c r="J4198" t="inlineStr">
        <is>
          <t>Mei Lin</t>
        </is>
      </c>
      <c r="K4198" s="70" t="n">
        <v>375</v>
      </c>
      <c r="L4198" s="71" t="n">
        <v>674.3</v>
      </c>
      <c r="M4198" s="71" t="n">
        <v>252862.5</v>
      </c>
      <c r="N4198" s="71" t="n">
        <v>88501.88</v>
      </c>
      <c r="O4198" s="71" t="n">
        <v>164360.62</v>
      </c>
      <c r="P4198" s="71" t="n">
        <v>28140.01</v>
      </c>
      <c r="Q4198" s="71" t="n">
        <v>136220.61</v>
      </c>
      <c r="R4198" t="inlineStr">
        <is>
          <t>Cardiology</t>
        </is>
      </c>
      <c r="S4198" s="70" t="n">
        <v>271</v>
      </c>
      <c r="T4198" s="71" t="n">
        <v>53558.59</v>
      </c>
      <c r="U4198" t="inlineStr">
        <is>
          <t>High</t>
        </is>
      </c>
      <c r="V4198">
        <f>IF(AND(OR(Dashboard!$C$6="All",E4198=Dashboard!$C$6),OR(Dashboard!$F$6="All",G4198=Dashboard!$F$6),OR(Dashboard!$I$6="All",H4198=Dashboard!$I$6)),1,0)</f>
        <v/>
      </c>
    </row>
    <row r="4199">
      <c r="A4199" t="inlineStr">
        <is>
          <t>PF104190</t>
        </is>
      </c>
      <c r="B4199" s="68" t="n">
        <v>46161</v>
      </c>
      <c r="C4199" s="69" t="n">
        <v>2026</v>
      </c>
      <c r="D4199" t="inlineStr">
        <is>
          <t>May</t>
        </is>
      </c>
      <c r="E4199" t="inlineStr">
        <is>
          <t>United States</t>
        </is>
      </c>
      <c r="F4199" t="inlineStr">
        <is>
          <t>USA</t>
        </is>
      </c>
      <c r="G4199" t="inlineStr">
        <is>
          <t>Xeljanz</t>
        </is>
      </c>
      <c r="H4199" t="inlineStr">
        <is>
          <t>Retail pharmacy</t>
        </is>
      </c>
      <c r="I4199" t="inlineStr">
        <is>
          <t>Self-pay</t>
        </is>
      </c>
      <c r="J4199" t="inlineStr">
        <is>
          <t>Zoya Ahmed</t>
        </is>
      </c>
      <c r="K4199" s="70" t="n">
        <v>2442</v>
      </c>
      <c r="L4199" s="71" t="n">
        <v>2312.49</v>
      </c>
      <c r="M4199" s="71" t="n">
        <v>5647100.58</v>
      </c>
      <c r="N4199" s="71" t="n">
        <v>1976485.2</v>
      </c>
      <c r="O4199" s="71" t="n">
        <v>3670615.38</v>
      </c>
      <c r="P4199" s="71" t="n">
        <v>610362.77</v>
      </c>
      <c r="Q4199" s="71" t="n">
        <v>3060252.61</v>
      </c>
      <c r="R4199" t="inlineStr">
        <is>
          <t>Inflammation</t>
        </is>
      </c>
      <c r="S4199" s="70" t="n">
        <v>1818</v>
      </c>
      <c r="T4199" s="71" t="n">
        <v>1114761.7</v>
      </c>
      <c r="U4199" t="inlineStr">
        <is>
          <t>High</t>
        </is>
      </c>
      <c r="V4199">
        <f>IF(AND(OR(Dashboard!$C$6="All",E4199=Dashboard!$C$6),OR(Dashboard!$F$6="All",G4199=Dashboard!$F$6),OR(Dashboard!$I$6="All",H4199=Dashboard!$I$6)),1,0)</f>
        <v/>
      </c>
    </row>
    <row r="4200">
      <c r="A4200" t="inlineStr">
        <is>
          <t>PF104191</t>
        </is>
      </c>
      <c r="B4200" s="68" t="n">
        <v>46161</v>
      </c>
      <c r="C4200" s="69" t="n">
        <v>2026</v>
      </c>
      <c r="D4200" t="inlineStr">
        <is>
          <t>May</t>
        </is>
      </c>
      <c r="E4200" t="inlineStr">
        <is>
          <t>International developed</t>
        </is>
      </c>
      <c r="F4200" t="inlineStr">
        <is>
          <t>Canada</t>
        </is>
      </c>
      <c r="G4200" t="inlineStr">
        <is>
          <t>Ibrance</t>
        </is>
      </c>
      <c r="H4200" t="inlineStr">
        <is>
          <t>Hospital</t>
        </is>
      </c>
      <c r="I4200" t="inlineStr">
        <is>
          <t>Public payer</t>
        </is>
      </c>
      <c r="J4200" t="inlineStr">
        <is>
          <t>Carlos Silva</t>
        </is>
      </c>
      <c r="K4200" s="70" t="n">
        <v>2238</v>
      </c>
      <c r="L4200" s="71" t="n">
        <v>2565.1</v>
      </c>
      <c r="M4200" s="71" t="n">
        <v>5740693.8</v>
      </c>
      <c r="N4200" s="71" t="n">
        <v>287034.69</v>
      </c>
      <c r="O4200" s="71" t="n">
        <v>5453659.11</v>
      </c>
      <c r="P4200" s="71" t="n">
        <v>976836.36</v>
      </c>
      <c r="Q4200" s="71" t="n">
        <v>4476822.75</v>
      </c>
      <c r="R4200" t="inlineStr">
        <is>
          <t>Oncology</t>
        </is>
      </c>
      <c r="S4200" s="70" t="n">
        <v>1546</v>
      </c>
      <c r="T4200" s="71" t="n">
        <v>786835.08</v>
      </c>
      <c r="U4200" t="inlineStr">
        <is>
          <t>High</t>
        </is>
      </c>
      <c r="V4200">
        <f>IF(AND(OR(Dashboard!$C$6="All",E4200=Dashboard!$C$6),OR(Dashboard!$F$6="All",G4200=Dashboard!$F$6),OR(Dashboard!$I$6="All",H4200=Dashboard!$I$6)),1,0)</f>
        <v/>
      </c>
    </row>
    <row r="4201">
      <c r="A4201" t="inlineStr">
        <is>
          <t>PF104192</t>
        </is>
      </c>
      <c r="B4201" s="68" t="n">
        <v>46161</v>
      </c>
      <c r="C4201" s="69" t="n">
        <v>2026</v>
      </c>
      <c r="D4201" t="inlineStr">
        <is>
          <t>May</t>
        </is>
      </c>
      <c r="E4201" t="inlineStr">
        <is>
          <t>International developed</t>
        </is>
      </c>
      <c r="F4201" t="inlineStr">
        <is>
          <t>Australia</t>
        </is>
      </c>
      <c r="G4201" t="inlineStr">
        <is>
          <t>Eliquis</t>
        </is>
      </c>
      <c r="H4201" t="inlineStr">
        <is>
          <t>Hospital</t>
        </is>
      </c>
      <c r="I4201" t="inlineStr">
        <is>
          <t>Public payer</t>
        </is>
      </c>
      <c r="J4201" t="inlineStr">
        <is>
          <t>Arjun Mehta</t>
        </is>
      </c>
      <c r="K4201" s="70" t="n">
        <v>1598</v>
      </c>
      <c r="L4201" s="71" t="n">
        <v>406.41</v>
      </c>
      <c r="M4201" s="71" t="n">
        <v>649443.1800000001</v>
      </c>
      <c r="N4201" s="71" t="n">
        <v>32472.16</v>
      </c>
      <c r="O4201" s="71" t="n">
        <v>616971.02</v>
      </c>
      <c r="P4201" s="71" t="n">
        <v>116654.33</v>
      </c>
      <c r="Q4201" s="71" t="n">
        <v>500316.69</v>
      </c>
      <c r="R4201" t="inlineStr">
        <is>
          <t>Cardiology</t>
        </is>
      </c>
      <c r="S4201" s="70" t="n">
        <v>1311</v>
      </c>
      <c r="T4201" s="71" t="n">
        <v>84594.63</v>
      </c>
      <c r="U4201" t="inlineStr">
        <is>
          <t>High</t>
        </is>
      </c>
      <c r="V4201">
        <f>IF(AND(OR(Dashboard!$C$6="All",E4201=Dashboard!$C$6),OR(Dashboard!$F$6="All",G4201=Dashboard!$F$6),OR(Dashboard!$I$6="All",H4201=Dashboard!$I$6)),1,0)</f>
        <v/>
      </c>
    </row>
    <row r="4202">
      <c r="A4202" t="inlineStr">
        <is>
          <t>PF104193</t>
        </is>
      </c>
      <c r="B4202" s="68" t="n">
        <v>46161</v>
      </c>
      <c r="C4202" s="69" t="n">
        <v>2026</v>
      </c>
      <c r="D4202" t="inlineStr">
        <is>
          <t>May</t>
        </is>
      </c>
      <c r="E4202" t="inlineStr">
        <is>
          <t>Europe</t>
        </is>
      </c>
      <c r="F4202" t="inlineStr">
        <is>
          <t>France</t>
        </is>
      </c>
      <c r="G4202" t="inlineStr">
        <is>
          <t>Prevnar 20</t>
        </is>
      </c>
      <c r="H4202" t="inlineStr">
        <is>
          <t>Hospital</t>
        </is>
      </c>
      <c r="I4202" t="inlineStr">
        <is>
          <t>Private insurer</t>
        </is>
      </c>
      <c r="J4202" t="inlineStr">
        <is>
          <t>Fatima Al-Saud</t>
        </is>
      </c>
      <c r="K4202" s="70" t="n">
        <v>2229</v>
      </c>
      <c r="L4202" s="71" t="n">
        <v>222.52</v>
      </c>
      <c r="M4202" s="71" t="n">
        <v>495997.08</v>
      </c>
      <c r="N4202" s="71" t="n">
        <v>99199.42</v>
      </c>
      <c r="O4202" s="71" t="n">
        <v>396797.66</v>
      </c>
      <c r="P4202" s="71" t="n">
        <v>156840.42</v>
      </c>
      <c r="Q4202" s="71" t="n">
        <v>239957.24</v>
      </c>
      <c r="R4202" t="inlineStr">
        <is>
          <t>Vaccines</t>
        </is>
      </c>
      <c r="S4202" s="70" t="n">
        <v>2218</v>
      </c>
      <c r="T4202" s="71" t="n">
        <v>62689.17</v>
      </c>
      <c r="U4202" t="inlineStr">
        <is>
          <t>Low</t>
        </is>
      </c>
      <c r="V4202">
        <f>IF(AND(OR(Dashboard!$C$6="All",E4202=Dashboard!$C$6),OR(Dashboard!$F$6="All",G4202=Dashboard!$F$6),OR(Dashboard!$I$6="All",H4202=Dashboard!$I$6)),1,0)</f>
        <v/>
      </c>
    </row>
    <row r="4203">
      <c r="A4203" t="inlineStr">
        <is>
          <t>PF104194</t>
        </is>
      </c>
      <c r="B4203" s="68" t="n">
        <v>46161</v>
      </c>
      <c r="C4203" s="69" t="n">
        <v>2026</v>
      </c>
      <c r="D4203" t="inlineStr">
        <is>
          <t>May</t>
        </is>
      </c>
      <c r="E4203" t="inlineStr">
        <is>
          <t>United States</t>
        </is>
      </c>
      <c r="F4203" t="inlineStr">
        <is>
          <t>USA</t>
        </is>
      </c>
      <c r="G4203" t="inlineStr">
        <is>
          <t>Paxlovid</t>
        </is>
      </c>
      <c r="H4203" t="inlineStr">
        <is>
          <t>Hospital</t>
        </is>
      </c>
      <c r="I4203" t="inlineStr">
        <is>
          <t>Private insurer</t>
        </is>
      </c>
      <c r="J4203" t="inlineStr">
        <is>
          <t>Omar Haddad</t>
        </is>
      </c>
      <c r="K4203" s="70" t="n">
        <v>2252</v>
      </c>
      <c r="L4203" s="71" t="n">
        <v>1526.39</v>
      </c>
      <c r="M4203" s="71" t="n">
        <v>3437430.28</v>
      </c>
      <c r="N4203" s="71" t="n">
        <v>1203100.6</v>
      </c>
      <c r="O4203" s="71" t="n">
        <v>2234329.68</v>
      </c>
      <c r="P4203" s="71" t="n">
        <v>611082.02</v>
      </c>
      <c r="Q4203" s="71" t="n">
        <v>1623247.66</v>
      </c>
      <c r="R4203" t="inlineStr">
        <is>
          <t>Antiviral</t>
        </is>
      </c>
      <c r="S4203" s="70" t="n">
        <v>1692</v>
      </c>
      <c r="T4203" s="71" t="n">
        <v>612920.36</v>
      </c>
      <c r="U4203" t="inlineStr">
        <is>
          <t>Low</t>
        </is>
      </c>
      <c r="V4203">
        <f>IF(AND(OR(Dashboard!$C$6="All",E4203=Dashboard!$C$6),OR(Dashboard!$F$6="All",G4203=Dashboard!$F$6),OR(Dashboard!$I$6="All",H4203=Dashboard!$I$6)),1,0)</f>
        <v/>
      </c>
    </row>
    <row r="4204">
      <c r="A4204" t="inlineStr">
        <is>
          <t>PF104195</t>
        </is>
      </c>
      <c r="B4204" s="68" t="n">
        <v>46161</v>
      </c>
      <c r="C4204" s="69" t="n">
        <v>2026</v>
      </c>
      <c r="D4204" t="inlineStr">
        <is>
          <t>May</t>
        </is>
      </c>
      <c r="E4204" t="inlineStr">
        <is>
          <t>Europe</t>
        </is>
      </c>
      <c r="F4204" t="inlineStr">
        <is>
          <t>UK</t>
        </is>
      </c>
      <c r="G4204" t="inlineStr">
        <is>
          <t>Comirnaty</t>
        </is>
      </c>
      <c r="H4204" t="inlineStr">
        <is>
          <t>Retail pharmacy</t>
        </is>
      </c>
      <c r="I4204" t="inlineStr">
        <is>
          <t>Private insurer</t>
        </is>
      </c>
      <c r="J4204" t="inlineStr">
        <is>
          <t>Noah Smith</t>
        </is>
      </c>
      <c r="K4204" s="70" t="n">
        <v>71</v>
      </c>
      <c r="L4204" s="71" t="n">
        <v>84.18000000000001</v>
      </c>
      <c r="M4204" s="71" t="n">
        <v>5976.78</v>
      </c>
      <c r="N4204" s="71" t="n">
        <v>1195.36</v>
      </c>
      <c r="O4204" s="71" t="n">
        <v>4781.42</v>
      </c>
      <c r="P4204" s="71" t="n">
        <v>2798.83</v>
      </c>
      <c r="Q4204" s="71" t="n">
        <v>1982.59</v>
      </c>
      <c r="R4204" t="inlineStr">
        <is>
          <t>Vaccines</t>
        </is>
      </c>
      <c r="S4204" s="70" t="n">
        <v>51</v>
      </c>
      <c r="T4204" s="71" t="n">
        <v>1182.29</v>
      </c>
      <c r="U4204" t="inlineStr">
        <is>
          <t>Low</t>
        </is>
      </c>
      <c r="V4204">
        <f>IF(AND(OR(Dashboard!$C$6="All",E4204=Dashboard!$C$6),OR(Dashboard!$F$6="All",G4204=Dashboard!$F$6),OR(Dashboard!$I$6="All",H4204=Dashboard!$I$6)),1,0)</f>
        <v/>
      </c>
    </row>
    <row r="4205">
      <c r="A4205" t="inlineStr">
        <is>
          <t>PF104196</t>
        </is>
      </c>
      <c r="B4205" s="68" t="n">
        <v>46161</v>
      </c>
      <c r="C4205" s="69" t="n">
        <v>2026</v>
      </c>
      <c r="D4205" t="inlineStr">
        <is>
          <t>May</t>
        </is>
      </c>
      <c r="E4205" t="inlineStr">
        <is>
          <t>United States</t>
        </is>
      </c>
      <c r="F4205" t="inlineStr">
        <is>
          <t>USA</t>
        </is>
      </c>
      <c r="G4205" t="inlineStr">
        <is>
          <t>Comirnaty</t>
        </is>
      </c>
      <c r="H4205" t="inlineStr">
        <is>
          <t>Retail pharmacy</t>
        </is>
      </c>
      <c r="I4205" t="inlineStr">
        <is>
          <t>Self-pay</t>
        </is>
      </c>
      <c r="J4205" t="inlineStr">
        <is>
          <t>Lucas Martin</t>
        </is>
      </c>
      <c r="K4205" s="70" t="n">
        <v>2208</v>
      </c>
      <c r="L4205" s="71" t="n">
        <v>146.32</v>
      </c>
      <c r="M4205" s="71" t="n">
        <v>323074.56</v>
      </c>
      <c r="N4205" s="71" t="n">
        <v>96922.37</v>
      </c>
      <c r="O4205" s="71" t="n">
        <v>226152.19</v>
      </c>
      <c r="P4205" s="71" t="n">
        <v>86639.42999999999</v>
      </c>
      <c r="Q4205" s="71" t="n">
        <v>139512.76</v>
      </c>
      <c r="R4205" t="inlineStr">
        <is>
          <t>Vaccines</t>
        </is>
      </c>
      <c r="S4205" s="70" t="n">
        <v>1527</v>
      </c>
      <c r="T4205" s="71" t="n">
        <v>81718.71000000001</v>
      </c>
      <c r="U4205" t="inlineStr">
        <is>
          <t>Low</t>
        </is>
      </c>
      <c r="V4205">
        <f>IF(AND(OR(Dashboard!$C$6="All",E4205=Dashboard!$C$6),OR(Dashboard!$F$6="All",G4205=Dashboard!$F$6),OR(Dashboard!$I$6="All",H4205=Dashboard!$I$6)),1,0)</f>
        <v/>
      </c>
    </row>
    <row r="4206">
      <c r="A4206" t="inlineStr">
        <is>
          <t>PF104197</t>
        </is>
      </c>
      <c r="B4206" s="68" t="n">
        <v>46161</v>
      </c>
      <c r="C4206" s="69" t="n">
        <v>2026</v>
      </c>
      <c r="D4206" t="inlineStr">
        <is>
          <t>May</t>
        </is>
      </c>
      <c r="E4206" t="inlineStr">
        <is>
          <t>Europe</t>
        </is>
      </c>
      <c r="F4206" t="inlineStr">
        <is>
          <t>Germany</t>
        </is>
      </c>
      <c r="G4206" t="inlineStr">
        <is>
          <t>Eliquis</t>
        </is>
      </c>
      <c r="H4206" t="inlineStr">
        <is>
          <t>Hospital</t>
        </is>
      </c>
      <c r="I4206" t="inlineStr">
        <is>
          <t>Self-pay</t>
        </is>
      </c>
      <c r="J4206" t="inlineStr">
        <is>
          <t>Liam O'Brien</t>
        </is>
      </c>
      <c r="K4206" s="70" t="n">
        <v>2404</v>
      </c>
      <c r="L4206" s="71" t="n">
        <v>471.27</v>
      </c>
      <c r="M4206" s="71" t="n">
        <v>1132933.08</v>
      </c>
      <c r="N4206" s="71" t="n">
        <v>283233.27</v>
      </c>
      <c r="O4206" s="71" t="n">
        <v>849699.8100000001</v>
      </c>
      <c r="P4206" s="71" t="n">
        <v>177816.62</v>
      </c>
      <c r="Q4206" s="71" t="n">
        <v>671883.1899999999</v>
      </c>
      <c r="R4206" t="inlineStr">
        <is>
          <t>Cardiology</t>
        </is>
      </c>
      <c r="S4206" s="70" t="n">
        <v>1707</v>
      </c>
      <c r="T4206" s="71" t="n">
        <v>136490.52</v>
      </c>
      <c r="U4206" t="inlineStr">
        <is>
          <t>High</t>
        </is>
      </c>
      <c r="V4206">
        <f>IF(AND(OR(Dashboard!$C$6="All",E4206=Dashboard!$C$6),OR(Dashboard!$F$6="All",G4206=Dashboard!$F$6),OR(Dashboard!$I$6="All",H4206=Dashboard!$I$6)),1,0)</f>
        <v/>
      </c>
    </row>
    <row r="4207">
      <c r="A4207" t="inlineStr">
        <is>
          <t>PF104198</t>
        </is>
      </c>
      <c r="B4207" s="68" t="n">
        <v>46161</v>
      </c>
      <c r="C4207" s="69" t="n">
        <v>2026</v>
      </c>
      <c r="D4207" t="inlineStr">
        <is>
          <t>May</t>
        </is>
      </c>
      <c r="E4207" t="inlineStr">
        <is>
          <t>Emerging markets</t>
        </is>
      </c>
      <c r="F4207" t="inlineStr">
        <is>
          <t>Mexico</t>
        </is>
      </c>
      <c r="G4207" t="inlineStr">
        <is>
          <t>Eliquis</t>
        </is>
      </c>
      <c r="H4207" t="inlineStr">
        <is>
          <t>Retail pharmacy</t>
        </is>
      </c>
      <c r="I4207" t="inlineStr">
        <is>
          <t>Public payer</t>
        </is>
      </c>
      <c r="J4207" t="inlineStr">
        <is>
          <t>Wei Chen</t>
        </is>
      </c>
      <c r="K4207" s="70" t="n">
        <v>57</v>
      </c>
      <c r="L4207" s="71" t="n">
        <v>391.72</v>
      </c>
      <c r="M4207" s="71" t="n">
        <v>22328.04</v>
      </c>
      <c r="N4207" s="71" t="n">
        <v>5582.01</v>
      </c>
      <c r="O4207" s="71" t="n">
        <v>16746.03</v>
      </c>
      <c r="P4207" s="71" t="n">
        <v>4240.28</v>
      </c>
      <c r="Q4207" s="71" t="n">
        <v>12505.75</v>
      </c>
      <c r="R4207" t="inlineStr">
        <is>
          <t>Cardiology</t>
        </is>
      </c>
      <c r="S4207" s="70" t="n">
        <v>56</v>
      </c>
      <c r="T4207" s="71" t="n">
        <v>3546.03</v>
      </c>
      <c r="U4207" t="inlineStr">
        <is>
          <t>High</t>
        </is>
      </c>
      <c r="V4207">
        <f>IF(AND(OR(Dashboard!$C$6="All",E4207=Dashboard!$C$6),OR(Dashboard!$F$6="All",G4207=Dashboard!$F$6),OR(Dashboard!$I$6="All",H4207=Dashboard!$I$6)),1,0)</f>
        <v/>
      </c>
    </row>
    <row r="4208">
      <c r="A4208" t="inlineStr">
        <is>
          <t>PF104199</t>
        </is>
      </c>
      <c r="B4208" s="68" t="n">
        <v>46161</v>
      </c>
      <c r="C4208" s="69" t="n">
        <v>2026</v>
      </c>
      <c r="D4208" t="inlineStr">
        <is>
          <t>May</t>
        </is>
      </c>
      <c r="E4208" t="inlineStr">
        <is>
          <t>Europe</t>
        </is>
      </c>
      <c r="F4208" t="inlineStr">
        <is>
          <t>UK</t>
        </is>
      </c>
      <c r="G4208" t="inlineStr">
        <is>
          <t>Eliquis</t>
        </is>
      </c>
      <c r="H4208" t="inlineStr">
        <is>
          <t>Retail pharmacy</t>
        </is>
      </c>
      <c r="I4208" t="inlineStr">
        <is>
          <t>Public payer</t>
        </is>
      </c>
      <c r="J4208" t="inlineStr">
        <is>
          <t>Yuki Sato</t>
        </is>
      </c>
      <c r="K4208" s="70" t="n">
        <v>2817</v>
      </c>
      <c r="L4208" s="71" t="n">
        <v>403.94</v>
      </c>
      <c r="M4208" s="71" t="n">
        <v>1137898.98</v>
      </c>
      <c r="N4208" s="71" t="n">
        <v>227579.8</v>
      </c>
      <c r="O4208" s="71" t="n">
        <v>910319.1800000001</v>
      </c>
      <c r="P4208" s="71" t="n">
        <v>215486.98</v>
      </c>
      <c r="Q4208" s="71" t="n">
        <v>694832.2</v>
      </c>
      <c r="R4208" t="inlineStr">
        <is>
          <t>Cardiology</t>
        </is>
      </c>
      <c r="S4208" s="70" t="n">
        <v>2653</v>
      </c>
      <c r="T4208" s="71" t="n">
        <v>163591.88</v>
      </c>
      <c r="U4208" t="inlineStr">
        <is>
          <t>High</t>
        </is>
      </c>
      <c r="V4208">
        <f>IF(AND(OR(Dashboard!$C$6="All",E4208=Dashboard!$C$6),OR(Dashboard!$F$6="All",G4208=Dashboard!$F$6),OR(Dashboard!$I$6="All",H4208=Dashboard!$I$6)),1,0)</f>
        <v/>
      </c>
    </row>
    <row r="4209">
      <c r="A4209" t="inlineStr">
        <is>
          <t>PF104200</t>
        </is>
      </c>
      <c r="B4209" s="68" t="n">
        <v>46161</v>
      </c>
      <c r="C4209" s="69" t="n">
        <v>2026</v>
      </c>
      <c r="D4209" t="inlineStr">
        <is>
          <t>May</t>
        </is>
      </c>
      <c r="E4209" t="inlineStr">
        <is>
          <t>Europe</t>
        </is>
      </c>
      <c r="F4209" t="inlineStr">
        <is>
          <t>UK</t>
        </is>
      </c>
      <c r="G4209" t="inlineStr">
        <is>
          <t>Prevnar 20</t>
        </is>
      </c>
      <c r="H4209" t="inlineStr">
        <is>
          <t>Retail pharmacy</t>
        </is>
      </c>
      <c r="I4209" t="inlineStr">
        <is>
          <t>Private insurer</t>
        </is>
      </c>
      <c r="J4209" t="inlineStr">
        <is>
          <t>Lucas Martin</t>
        </is>
      </c>
      <c r="K4209" s="70" t="n">
        <v>2992</v>
      </c>
      <c r="L4209" s="71" t="n">
        <v>231.19</v>
      </c>
      <c r="M4209" s="71" t="n">
        <v>691720.48</v>
      </c>
      <c r="N4209" s="71" t="n">
        <v>103758.07</v>
      </c>
      <c r="O4209" s="71" t="n">
        <v>587962.41</v>
      </c>
      <c r="P4209" s="71" t="n">
        <v>212969.02</v>
      </c>
      <c r="Q4209" s="71" t="n">
        <v>374993.39</v>
      </c>
      <c r="R4209" t="inlineStr">
        <is>
          <t>Vaccines</t>
        </is>
      </c>
      <c r="S4209" s="70" t="n">
        <v>2655</v>
      </c>
      <c r="T4209" s="71" t="n">
        <v>147583.71</v>
      </c>
      <c r="U4209" t="inlineStr">
        <is>
          <t>Low</t>
        </is>
      </c>
      <c r="V4209">
        <f>IF(AND(OR(Dashboard!$C$6="All",E4209=Dashboard!$C$6),OR(Dashboard!$F$6="All",G4209=Dashboard!$F$6),OR(Dashboard!$I$6="All",H4209=Dashboard!$I$6)),1,0)</f>
        <v/>
      </c>
    </row>
    <row r="4210">
      <c r="A4210" t="inlineStr">
        <is>
          <t>PF104201</t>
        </is>
      </c>
      <c r="B4210" s="68" t="n">
        <v>46162</v>
      </c>
      <c r="C4210" s="69" t="n">
        <v>2026</v>
      </c>
      <c r="D4210" t="inlineStr">
        <is>
          <t>May</t>
        </is>
      </c>
      <c r="E4210" t="inlineStr">
        <is>
          <t>Europe</t>
        </is>
      </c>
      <c r="F4210" t="inlineStr">
        <is>
          <t>Spain</t>
        </is>
      </c>
      <c r="G4210" t="inlineStr">
        <is>
          <t>Xeljanz</t>
        </is>
      </c>
      <c r="H4210" t="inlineStr">
        <is>
          <t>Hospital</t>
        </is>
      </c>
      <c r="I4210" t="inlineStr">
        <is>
          <t>Private insurer</t>
        </is>
      </c>
      <c r="J4210" t="inlineStr">
        <is>
          <t>Carlos Silva</t>
        </is>
      </c>
      <c r="K4210" s="70" t="n">
        <v>1616</v>
      </c>
      <c r="L4210" s="71" t="n">
        <v>1327.64</v>
      </c>
      <c r="M4210" s="71" t="n">
        <v>2145466.24</v>
      </c>
      <c r="N4210" s="71" t="n">
        <v>536366.5600000001</v>
      </c>
      <c r="O4210" s="71" t="n">
        <v>1609099.68</v>
      </c>
      <c r="P4210" s="71" t="n">
        <v>422951.53</v>
      </c>
      <c r="Q4210" s="71" t="n">
        <v>1186148.15</v>
      </c>
      <c r="R4210" t="inlineStr">
        <is>
          <t>Inflammation</t>
        </is>
      </c>
      <c r="S4210" s="70" t="n">
        <v>1226</v>
      </c>
      <c r="T4210" s="71" t="n">
        <v>470543.43</v>
      </c>
      <c r="U4210" t="inlineStr">
        <is>
          <t>High</t>
        </is>
      </c>
      <c r="V4210">
        <f>IF(AND(OR(Dashboard!$C$6="All",E4210=Dashboard!$C$6),OR(Dashboard!$F$6="All",G4210=Dashboard!$F$6),OR(Dashboard!$I$6="All",H4210=Dashboard!$I$6)),1,0)</f>
        <v/>
      </c>
    </row>
    <row r="4211">
      <c r="A4211" t="inlineStr">
        <is>
          <t>PF104202</t>
        </is>
      </c>
      <c r="B4211" s="68" t="n">
        <v>46162</v>
      </c>
      <c r="C4211" s="69" t="n">
        <v>2026</v>
      </c>
      <c r="D4211" t="inlineStr">
        <is>
          <t>May</t>
        </is>
      </c>
      <c r="E4211" t="inlineStr">
        <is>
          <t>Europe</t>
        </is>
      </c>
      <c r="F4211" t="inlineStr">
        <is>
          <t>Spain</t>
        </is>
      </c>
      <c r="G4211" t="inlineStr">
        <is>
          <t>Ibrance</t>
        </is>
      </c>
      <c r="H4211" t="inlineStr">
        <is>
          <t>Hospital</t>
        </is>
      </c>
      <c r="I4211" t="inlineStr">
        <is>
          <t>Self-pay</t>
        </is>
      </c>
      <c r="J4211" t="inlineStr">
        <is>
          <t>Zoya Ahmed</t>
        </is>
      </c>
      <c r="K4211" s="70" t="n">
        <v>1180</v>
      </c>
      <c r="L4211" s="71" t="n">
        <v>2794.55</v>
      </c>
      <c r="M4211" s="71" t="n">
        <v>3297569</v>
      </c>
      <c r="N4211" s="71" t="n">
        <v>329756.9</v>
      </c>
      <c r="O4211" s="71" t="n">
        <v>2967812.1</v>
      </c>
      <c r="P4211" s="71" t="n">
        <v>510634.88</v>
      </c>
      <c r="Q4211" s="71" t="n">
        <v>2457177.22</v>
      </c>
      <c r="R4211" t="inlineStr">
        <is>
          <t>Oncology</t>
        </is>
      </c>
      <c r="S4211" s="70" t="n">
        <v>939</v>
      </c>
      <c r="T4211" s="71" t="n">
        <v>586057.85</v>
      </c>
      <c r="U4211" t="inlineStr">
        <is>
          <t>High</t>
        </is>
      </c>
      <c r="V4211">
        <f>IF(AND(OR(Dashboard!$C$6="All",E4211=Dashboard!$C$6),OR(Dashboard!$F$6="All",G4211=Dashboard!$F$6),OR(Dashboard!$I$6="All",H4211=Dashboard!$I$6)),1,0)</f>
        <v/>
      </c>
    </row>
    <row r="4212">
      <c r="A4212" t="inlineStr">
        <is>
          <t>PF104203</t>
        </is>
      </c>
      <c r="B4212" s="68" t="n">
        <v>46162</v>
      </c>
      <c r="C4212" s="69" t="n">
        <v>2026</v>
      </c>
      <c r="D4212" t="inlineStr">
        <is>
          <t>May</t>
        </is>
      </c>
      <c r="E4212" t="inlineStr">
        <is>
          <t>Emerging markets</t>
        </is>
      </c>
      <c r="F4212" t="inlineStr">
        <is>
          <t>India</t>
        </is>
      </c>
      <c r="G4212" t="inlineStr">
        <is>
          <t>Abrysvo</t>
        </is>
      </c>
      <c r="H4212" t="inlineStr">
        <is>
          <t>Hospital</t>
        </is>
      </c>
      <c r="I4212" t="inlineStr">
        <is>
          <t>Private insurer</t>
        </is>
      </c>
      <c r="J4212" t="inlineStr">
        <is>
          <t>Kofi Mensah</t>
        </is>
      </c>
      <c r="K4212" s="70" t="n">
        <v>3100</v>
      </c>
      <c r="L4212" s="71" t="n">
        <v>325.74</v>
      </c>
      <c r="M4212" s="71" t="n">
        <v>1009794</v>
      </c>
      <c r="N4212" s="71" t="n">
        <v>151469.1</v>
      </c>
      <c r="O4212" s="71" t="n">
        <v>858324.9</v>
      </c>
      <c r="P4212" s="71" t="n">
        <v>250981.91</v>
      </c>
      <c r="Q4212" s="71" t="n">
        <v>607342.99</v>
      </c>
      <c r="R4212" t="inlineStr">
        <is>
          <t>Vaccines</t>
        </is>
      </c>
      <c r="S4212" s="70" t="n">
        <v>1994</v>
      </c>
      <c r="T4212" s="71" t="n">
        <v>183485.33</v>
      </c>
      <c r="U4212" t="inlineStr">
        <is>
          <t>Low</t>
        </is>
      </c>
      <c r="V4212">
        <f>IF(AND(OR(Dashboard!$C$6="All",E4212=Dashboard!$C$6),OR(Dashboard!$F$6="All",G4212=Dashboard!$F$6),OR(Dashboard!$I$6="All",H4212=Dashboard!$I$6)),1,0)</f>
        <v/>
      </c>
    </row>
    <row r="4213">
      <c r="A4213" t="inlineStr">
        <is>
          <t>PF104204</t>
        </is>
      </c>
      <c r="B4213" s="68" t="n">
        <v>46162</v>
      </c>
      <c r="C4213" s="69" t="n">
        <v>2026</v>
      </c>
      <c r="D4213" t="inlineStr">
        <is>
          <t>May</t>
        </is>
      </c>
      <c r="E4213" t="inlineStr">
        <is>
          <t>Europe</t>
        </is>
      </c>
      <c r="F4213" t="inlineStr">
        <is>
          <t>France</t>
        </is>
      </c>
      <c r="G4213" t="inlineStr">
        <is>
          <t>Ibrance</t>
        </is>
      </c>
      <c r="H4213" t="inlineStr">
        <is>
          <t>Hospital</t>
        </is>
      </c>
      <c r="I4213" t="inlineStr">
        <is>
          <t>Private insurer</t>
        </is>
      </c>
      <c r="J4213" t="inlineStr">
        <is>
          <t>Olivia Brown</t>
        </is>
      </c>
      <c r="K4213" s="70" t="n">
        <v>2277</v>
      </c>
      <c r="L4213" s="71" t="n">
        <v>2657.52</v>
      </c>
      <c r="M4213" s="71" t="n">
        <v>6051173.04</v>
      </c>
      <c r="N4213" s="71" t="n">
        <v>302558.65</v>
      </c>
      <c r="O4213" s="71" t="n">
        <v>5748614.39</v>
      </c>
      <c r="P4213" s="71" t="n">
        <v>1018850.88</v>
      </c>
      <c r="Q4213" s="71" t="n">
        <v>4729763.51</v>
      </c>
      <c r="R4213" t="inlineStr">
        <is>
          <t>Oncology</t>
        </is>
      </c>
      <c r="S4213" s="70" t="n">
        <v>1524</v>
      </c>
      <c r="T4213" s="71" t="n">
        <v>981789.21</v>
      </c>
      <c r="U4213" t="inlineStr">
        <is>
          <t>High</t>
        </is>
      </c>
      <c r="V4213">
        <f>IF(AND(OR(Dashboard!$C$6="All",E4213=Dashboard!$C$6),OR(Dashboard!$F$6="All",G4213=Dashboard!$F$6),OR(Dashboard!$I$6="All",H4213=Dashboard!$I$6)),1,0)</f>
        <v/>
      </c>
    </row>
    <row r="4214">
      <c r="A4214" t="inlineStr">
        <is>
          <t>PF104205</t>
        </is>
      </c>
      <c r="B4214" s="68" t="n">
        <v>46162</v>
      </c>
      <c r="C4214" s="69" t="n">
        <v>2026</v>
      </c>
      <c r="D4214" t="inlineStr">
        <is>
          <t>May</t>
        </is>
      </c>
      <c r="E4214" t="inlineStr">
        <is>
          <t>Europe</t>
        </is>
      </c>
      <c r="F4214" t="inlineStr">
        <is>
          <t>UK</t>
        </is>
      </c>
      <c r="G4214" t="inlineStr">
        <is>
          <t>Eliquis</t>
        </is>
      </c>
      <c r="H4214" t="inlineStr">
        <is>
          <t>Hospital</t>
        </is>
      </c>
      <c r="I4214" t="inlineStr">
        <is>
          <t>Public payer</t>
        </is>
      </c>
      <c r="J4214" t="inlineStr">
        <is>
          <t>Amir Khan</t>
        </is>
      </c>
      <c r="K4214" s="70" t="n">
        <v>310</v>
      </c>
      <c r="L4214" s="71" t="n">
        <v>405.71</v>
      </c>
      <c r="M4214" s="71" t="n">
        <v>125770.1</v>
      </c>
      <c r="N4214" s="71" t="n">
        <v>31442.53</v>
      </c>
      <c r="O4214" s="71" t="n">
        <v>94327.57000000001</v>
      </c>
      <c r="P4214" s="71" t="n">
        <v>23610.76</v>
      </c>
      <c r="Q4214" s="71" t="n">
        <v>70716.81</v>
      </c>
      <c r="R4214" t="inlineStr">
        <is>
          <t>Cardiology</t>
        </is>
      </c>
      <c r="S4214" s="70" t="n">
        <v>203</v>
      </c>
      <c r="T4214" s="71" t="n">
        <v>23328.7</v>
      </c>
      <c r="U4214" t="inlineStr">
        <is>
          <t>High</t>
        </is>
      </c>
      <c r="V4214">
        <f>IF(AND(OR(Dashboard!$C$6="All",E4214=Dashboard!$C$6),OR(Dashboard!$F$6="All",G4214=Dashboard!$F$6),OR(Dashboard!$I$6="All",H4214=Dashboard!$I$6)),1,0)</f>
        <v/>
      </c>
    </row>
    <row r="4215">
      <c r="A4215" t="inlineStr">
        <is>
          <t>PF104206</t>
        </is>
      </c>
      <c r="B4215" s="68" t="n">
        <v>46162</v>
      </c>
      <c r="C4215" s="69" t="n">
        <v>2026</v>
      </c>
      <c r="D4215" t="inlineStr">
        <is>
          <t>May</t>
        </is>
      </c>
      <c r="E4215" t="inlineStr">
        <is>
          <t>Europe</t>
        </is>
      </c>
      <c r="F4215" t="inlineStr">
        <is>
          <t>Germany</t>
        </is>
      </c>
      <c r="G4215" t="inlineStr">
        <is>
          <t>Comirnaty</t>
        </is>
      </c>
      <c r="H4215" t="inlineStr">
        <is>
          <t>Hospital</t>
        </is>
      </c>
      <c r="I4215" t="inlineStr">
        <is>
          <t>Private insurer</t>
        </is>
      </c>
      <c r="J4215" t="inlineStr">
        <is>
          <t>Yuki Sato</t>
        </is>
      </c>
      <c r="K4215" s="70" t="n">
        <v>1351</v>
      </c>
      <c r="L4215" s="71" t="n">
        <v>97.20999999999999</v>
      </c>
      <c r="M4215" s="71" t="n">
        <v>131330.71</v>
      </c>
      <c r="N4215" s="71" t="n">
        <v>6566.54</v>
      </c>
      <c r="O4215" s="71" t="n">
        <v>124764.17</v>
      </c>
      <c r="P4215" s="71" t="n">
        <v>53561.01</v>
      </c>
      <c r="Q4215" s="71" t="n">
        <v>71203.16</v>
      </c>
      <c r="R4215" t="inlineStr">
        <is>
          <t>Vaccines</t>
        </is>
      </c>
      <c r="S4215" s="70" t="n">
        <v>1219</v>
      </c>
      <c r="T4215" s="71" t="n">
        <v>29963.7</v>
      </c>
      <c r="U4215" t="inlineStr">
        <is>
          <t>Low</t>
        </is>
      </c>
      <c r="V4215">
        <f>IF(AND(OR(Dashboard!$C$6="All",E4215=Dashboard!$C$6),OR(Dashboard!$F$6="All",G4215=Dashboard!$F$6),OR(Dashboard!$I$6="All",H4215=Dashboard!$I$6)),1,0)</f>
        <v/>
      </c>
    </row>
    <row r="4216">
      <c r="A4216" t="inlineStr">
        <is>
          <t>PF104207</t>
        </is>
      </c>
      <c r="B4216" s="68" t="n">
        <v>46163</v>
      </c>
      <c r="C4216" s="69" t="n">
        <v>2026</v>
      </c>
      <c r="D4216" t="inlineStr">
        <is>
          <t>May</t>
        </is>
      </c>
      <c r="E4216" t="inlineStr">
        <is>
          <t>United States</t>
        </is>
      </c>
      <c r="F4216" t="inlineStr">
        <is>
          <t>USA</t>
        </is>
      </c>
      <c r="G4216" t="inlineStr">
        <is>
          <t>Xeljanz</t>
        </is>
      </c>
      <c r="H4216" t="inlineStr">
        <is>
          <t>Hospital</t>
        </is>
      </c>
      <c r="I4216" t="inlineStr">
        <is>
          <t>Public payer</t>
        </is>
      </c>
      <c r="J4216" t="inlineStr">
        <is>
          <t>Carlos Silva</t>
        </is>
      </c>
      <c r="K4216" s="70" t="n">
        <v>2780</v>
      </c>
      <c r="L4216" s="71" t="n">
        <v>2085.46</v>
      </c>
      <c r="M4216" s="71" t="n">
        <v>5797578.8</v>
      </c>
      <c r="N4216" s="71" t="n">
        <v>1739273.64</v>
      </c>
      <c r="O4216" s="71" t="n">
        <v>4058305.16</v>
      </c>
      <c r="P4216" s="71" t="n">
        <v>682730.55</v>
      </c>
      <c r="Q4216" s="71" t="n">
        <v>3375574.61</v>
      </c>
      <c r="R4216" t="inlineStr">
        <is>
          <t>Inflammation</t>
        </is>
      </c>
      <c r="S4216" s="70" t="n">
        <v>2004</v>
      </c>
      <c r="T4216" s="71" t="n">
        <v>1093343.13</v>
      </c>
      <c r="U4216" t="inlineStr">
        <is>
          <t>High</t>
        </is>
      </c>
      <c r="V4216">
        <f>IF(AND(OR(Dashboard!$C$6="All",E4216=Dashboard!$C$6),OR(Dashboard!$F$6="All",G4216=Dashboard!$F$6),OR(Dashboard!$I$6="All",H4216=Dashboard!$I$6)),1,0)</f>
        <v/>
      </c>
    </row>
    <row r="4217">
      <c r="A4217" t="inlineStr">
        <is>
          <t>PF104208</t>
        </is>
      </c>
      <c r="B4217" s="68" t="n">
        <v>46163</v>
      </c>
      <c r="C4217" s="69" t="n">
        <v>2026</v>
      </c>
      <c r="D4217" t="inlineStr">
        <is>
          <t>May</t>
        </is>
      </c>
      <c r="E4217" t="inlineStr">
        <is>
          <t>Emerging markets</t>
        </is>
      </c>
      <c r="F4217" t="inlineStr">
        <is>
          <t>Brazil</t>
        </is>
      </c>
      <c r="G4217" t="inlineStr">
        <is>
          <t>Vyndaqel</t>
        </is>
      </c>
      <c r="H4217" t="inlineStr">
        <is>
          <t>Hospital</t>
        </is>
      </c>
      <c r="I4217" t="inlineStr">
        <is>
          <t>Private insurer</t>
        </is>
      </c>
      <c r="J4217" t="inlineStr">
        <is>
          <t>Arjun Mehta</t>
        </is>
      </c>
      <c r="K4217" s="70" t="n">
        <v>3025</v>
      </c>
      <c r="L4217" s="71" t="n">
        <v>5268.63</v>
      </c>
      <c r="M4217" s="71" t="n">
        <v>15937605.75</v>
      </c>
      <c r="N4217" s="71" t="n">
        <v>796880.29</v>
      </c>
      <c r="O4217" s="71" t="n">
        <v>15140725.46</v>
      </c>
      <c r="P4217" s="71" t="n">
        <v>1852687.29</v>
      </c>
      <c r="Q4217" s="71" t="n">
        <v>13288038.17</v>
      </c>
      <c r="R4217" t="inlineStr">
        <is>
          <t>Rare disease</t>
        </is>
      </c>
      <c r="S4217" s="70" t="n">
        <v>1969</v>
      </c>
      <c r="T4217" s="71" t="n">
        <v>2841497.11</v>
      </c>
      <c r="U4217" t="inlineStr">
        <is>
          <t>Medium</t>
        </is>
      </c>
      <c r="V4217">
        <f>IF(AND(OR(Dashboard!$C$6="All",E4217=Dashboard!$C$6),OR(Dashboard!$F$6="All",G4217=Dashboard!$F$6),OR(Dashboard!$I$6="All",H4217=Dashboard!$I$6)),1,0)</f>
        <v/>
      </c>
    </row>
    <row r="4218">
      <c r="A4218" t="inlineStr">
        <is>
          <t>PF104209</t>
        </is>
      </c>
      <c r="B4218" s="68" t="n">
        <v>46163</v>
      </c>
      <c r="C4218" s="69" t="n">
        <v>2026</v>
      </c>
      <c r="D4218" t="inlineStr">
        <is>
          <t>May</t>
        </is>
      </c>
      <c r="E4218" t="inlineStr">
        <is>
          <t>United States</t>
        </is>
      </c>
      <c r="F4218" t="inlineStr">
        <is>
          <t>USA</t>
        </is>
      </c>
      <c r="G4218" t="inlineStr">
        <is>
          <t>Paxlovid</t>
        </is>
      </c>
      <c r="H4218" t="inlineStr">
        <is>
          <t>Retail pharmacy</t>
        </is>
      </c>
      <c r="I4218" t="inlineStr">
        <is>
          <t>Private insurer</t>
        </is>
      </c>
      <c r="J4218" t="inlineStr">
        <is>
          <t>Arjun Mehta</t>
        </is>
      </c>
      <c r="K4218" s="70" t="n">
        <v>2309</v>
      </c>
      <c r="L4218" s="71" t="n">
        <v>1597.93</v>
      </c>
      <c r="M4218" s="71" t="n">
        <v>3689620.37</v>
      </c>
      <c r="N4218" s="71" t="n">
        <v>1106886.11</v>
      </c>
      <c r="O4218" s="71" t="n">
        <v>2582734.26</v>
      </c>
      <c r="P4218" s="71" t="n">
        <v>628107.59</v>
      </c>
      <c r="Q4218" s="71" t="n">
        <v>1954626.67</v>
      </c>
      <c r="R4218" t="inlineStr">
        <is>
          <t>Antiviral</t>
        </is>
      </c>
      <c r="S4218" s="70" t="n">
        <v>2024</v>
      </c>
      <c r="T4218" s="71" t="n">
        <v>908883.77</v>
      </c>
      <c r="U4218" t="inlineStr">
        <is>
          <t>Low</t>
        </is>
      </c>
      <c r="V4218">
        <f>IF(AND(OR(Dashboard!$C$6="All",E4218=Dashboard!$C$6),OR(Dashboard!$F$6="All",G4218=Dashboard!$F$6),OR(Dashboard!$I$6="All",H4218=Dashboard!$I$6)),1,0)</f>
        <v/>
      </c>
    </row>
    <row r="4219">
      <c r="A4219" t="inlineStr">
        <is>
          <t>PF104210</t>
        </is>
      </c>
      <c r="B4219" s="68" t="n">
        <v>46163</v>
      </c>
      <c r="C4219" s="69" t="n">
        <v>2026</v>
      </c>
      <c r="D4219" t="inlineStr">
        <is>
          <t>May</t>
        </is>
      </c>
      <c r="E4219" t="inlineStr">
        <is>
          <t>Emerging markets</t>
        </is>
      </c>
      <c r="F4219" t="inlineStr">
        <is>
          <t>China</t>
        </is>
      </c>
      <c r="G4219" t="inlineStr">
        <is>
          <t>Eliquis</t>
        </is>
      </c>
      <c r="H4219" t="inlineStr">
        <is>
          <t>Government / tender</t>
        </is>
      </c>
      <c r="I4219" t="inlineStr">
        <is>
          <t>Public payer</t>
        </is>
      </c>
      <c r="J4219" t="inlineStr">
        <is>
          <t>Carlos Silva</t>
        </is>
      </c>
      <c r="K4219" s="70" t="n">
        <v>3042</v>
      </c>
      <c r="L4219" s="71" t="n">
        <v>398.21</v>
      </c>
      <c r="M4219" s="71" t="n">
        <v>1211354.82</v>
      </c>
      <c r="N4219" s="71" t="n">
        <v>60567.74</v>
      </c>
      <c r="O4219" s="71" t="n">
        <v>1150787.08</v>
      </c>
      <c r="P4219" s="71" t="n">
        <v>237375.73</v>
      </c>
      <c r="Q4219" s="71" t="n">
        <v>913411.35</v>
      </c>
      <c r="R4219" t="inlineStr">
        <is>
          <t>Cardiology</t>
        </is>
      </c>
      <c r="S4219" s="70" t="n">
        <v>2012</v>
      </c>
      <c r="T4219" s="71" t="n">
        <v>171805.31</v>
      </c>
      <c r="U4219" t="inlineStr">
        <is>
          <t>High</t>
        </is>
      </c>
      <c r="V4219">
        <f>IF(AND(OR(Dashboard!$C$6="All",E4219=Dashboard!$C$6),OR(Dashboard!$F$6="All",G4219=Dashboard!$F$6),OR(Dashboard!$I$6="All",H4219=Dashboard!$I$6)),1,0)</f>
        <v/>
      </c>
    </row>
    <row r="4220">
      <c r="A4220" t="inlineStr">
        <is>
          <t>PF104211</t>
        </is>
      </c>
      <c r="B4220" s="68" t="n">
        <v>46163</v>
      </c>
      <c r="C4220" s="69" t="n">
        <v>2026</v>
      </c>
      <c r="D4220" t="inlineStr">
        <is>
          <t>May</t>
        </is>
      </c>
      <c r="E4220" t="inlineStr">
        <is>
          <t>United States</t>
        </is>
      </c>
      <c r="F4220" t="inlineStr">
        <is>
          <t>USA</t>
        </is>
      </c>
      <c r="G4220" t="inlineStr">
        <is>
          <t>Ibrance</t>
        </is>
      </c>
      <c r="H4220" t="inlineStr">
        <is>
          <t>Retail pharmacy</t>
        </is>
      </c>
      <c r="I4220" t="inlineStr">
        <is>
          <t>Private insurer</t>
        </is>
      </c>
      <c r="J4220" t="inlineStr">
        <is>
          <t>Yuki Sato</t>
        </is>
      </c>
      <c r="K4220" s="70" t="n">
        <v>1064</v>
      </c>
      <c r="L4220" s="71" t="n">
        <v>4954.74</v>
      </c>
      <c r="M4220" s="71" t="n">
        <v>5271843.36</v>
      </c>
      <c r="N4220" s="71" t="n">
        <v>1845145.18</v>
      </c>
      <c r="O4220" s="71" t="n">
        <v>3426698.18</v>
      </c>
      <c r="P4220" s="71" t="n">
        <v>477972.44</v>
      </c>
      <c r="Q4220" s="71" t="n">
        <v>2948725.74</v>
      </c>
      <c r="R4220" t="inlineStr">
        <is>
          <t>Oncology</t>
        </is>
      </c>
      <c r="S4220" s="70" t="n">
        <v>1056</v>
      </c>
      <c r="T4220" s="71" t="n">
        <v>1118466.62</v>
      </c>
      <c r="U4220" t="inlineStr">
        <is>
          <t>High</t>
        </is>
      </c>
      <c r="V4220">
        <f>IF(AND(OR(Dashboard!$C$6="All",E4220=Dashboard!$C$6),OR(Dashboard!$F$6="All",G4220=Dashboard!$F$6),OR(Dashboard!$I$6="All",H4220=Dashboard!$I$6)),1,0)</f>
        <v/>
      </c>
    </row>
    <row r="4221">
      <c r="A4221" t="inlineStr">
        <is>
          <t>PF104212</t>
        </is>
      </c>
      <c r="B4221" s="68" t="n">
        <v>46163</v>
      </c>
      <c r="C4221" s="69" t="n">
        <v>2026</v>
      </c>
      <c r="D4221" t="inlineStr">
        <is>
          <t>May</t>
        </is>
      </c>
      <c r="E4221" t="inlineStr">
        <is>
          <t>United States</t>
        </is>
      </c>
      <c r="F4221" t="inlineStr">
        <is>
          <t>USA</t>
        </is>
      </c>
      <c r="G4221" t="inlineStr">
        <is>
          <t>Paxlovid</t>
        </is>
      </c>
      <c r="H4221" t="inlineStr">
        <is>
          <t>Government / tender</t>
        </is>
      </c>
      <c r="I4221" t="inlineStr">
        <is>
          <t>Public payer</t>
        </is>
      </c>
      <c r="J4221" t="inlineStr">
        <is>
          <t>Aisha Bello</t>
        </is>
      </c>
      <c r="K4221" s="70" t="n">
        <v>429</v>
      </c>
      <c r="L4221" s="71" t="n">
        <v>1375.63</v>
      </c>
      <c r="M4221" s="71" t="n">
        <v>590145.27</v>
      </c>
      <c r="N4221" s="71" t="n">
        <v>147536.32</v>
      </c>
      <c r="O4221" s="71" t="n">
        <v>442608.95</v>
      </c>
      <c r="P4221" s="71" t="n">
        <v>120523.83</v>
      </c>
      <c r="Q4221" s="71" t="n">
        <v>322085.12</v>
      </c>
      <c r="R4221" t="inlineStr">
        <is>
          <t>Antiviral</t>
        </is>
      </c>
      <c r="S4221" s="70" t="n">
        <v>295</v>
      </c>
      <c r="T4221" s="71" t="n">
        <v>116851.84</v>
      </c>
      <c r="U4221" t="inlineStr">
        <is>
          <t>Low</t>
        </is>
      </c>
      <c r="V4221">
        <f>IF(AND(OR(Dashboard!$C$6="All",E4221=Dashboard!$C$6),OR(Dashboard!$F$6="All",G4221=Dashboard!$F$6),OR(Dashboard!$I$6="All",H4221=Dashboard!$I$6)),1,0)</f>
        <v/>
      </c>
    </row>
    <row r="4222">
      <c r="A4222" t="inlineStr">
        <is>
          <t>PF104213</t>
        </is>
      </c>
      <c r="B4222" s="68" t="n">
        <v>46163</v>
      </c>
      <c r="C4222" s="69" t="n">
        <v>2026</v>
      </c>
      <c r="D4222" t="inlineStr">
        <is>
          <t>May</t>
        </is>
      </c>
      <c r="E4222" t="inlineStr">
        <is>
          <t>United States</t>
        </is>
      </c>
      <c r="F4222" t="inlineStr">
        <is>
          <t>USA</t>
        </is>
      </c>
      <c r="G4222" t="inlineStr">
        <is>
          <t>Paxlovid</t>
        </is>
      </c>
      <c r="H4222" t="inlineStr">
        <is>
          <t>Retail pharmacy</t>
        </is>
      </c>
      <c r="I4222" t="inlineStr">
        <is>
          <t>Self-pay</t>
        </is>
      </c>
      <c r="J4222" t="inlineStr">
        <is>
          <t>Zoya Ahmed</t>
        </is>
      </c>
      <c r="K4222" s="70" t="n">
        <v>2283</v>
      </c>
      <c r="L4222" s="71" t="n">
        <v>1608.24</v>
      </c>
      <c r="M4222" s="71" t="n">
        <v>3671611.92</v>
      </c>
      <c r="N4222" s="71" t="n">
        <v>1285064.17</v>
      </c>
      <c r="O4222" s="71" t="n">
        <v>2386547.75</v>
      </c>
      <c r="P4222" s="71" t="n">
        <v>643463.89</v>
      </c>
      <c r="Q4222" s="71" t="n">
        <v>1743083.86</v>
      </c>
      <c r="R4222" t="inlineStr">
        <is>
          <t>Antiviral</t>
        </is>
      </c>
      <c r="S4222" s="70" t="n">
        <v>2054</v>
      </c>
      <c r="T4222" s="71" t="n">
        <v>776650.1899999999</v>
      </c>
      <c r="U4222" t="inlineStr">
        <is>
          <t>Low</t>
        </is>
      </c>
      <c r="V4222">
        <f>IF(AND(OR(Dashboard!$C$6="All",E4222=Dashboard!$C$6),OR(Dashboard!$F$6="All",G4222=Dashboard!$F$6),OR(Dashboard!$I$6="All",H4222=Dashboard!$I$6)),1,0)</f>
        <v/>
      </c>
    </row>
    <row r="4223">
      <c r="A4223" t="inlineStr">
        <is>
          <t>PF104214</t>
        </is>
      </c>
      <c r="B4223" s="68" t="n">
        <v>46163</v>
      </c>
      <c r="C4223" s="69" t="n">
        <v>2026</v>
      </c>
      <c r="D4223" t="inlineStr">
        <is>
          <t>May</t>
        </is>
      </c>
      <c r="E4223" t="inlineStr">
        <is>
          <t>United States</t>
        </is>
      </c>
      <c r="F4223" t="inlineStr">
        <is>
          <t>USA</t>
        </is>
      </c>
      <c r="G4223" t="inlineStr">
        <is>
          <t>Paxlovid</t>
        </is>
      </c>
      <c r="H4223" t="inlineStr">
        <is>
          <t>Retail pharmacy</t>
        </is>
      </c>
      <c r="I4223" t="inlineStr">
        <is>
          <t>Private insurer</t>
        </is>
      </c>
      <c r="J4223" t="inlineStr">
        <is>
          <t>Sophie Müller</t>
        </is>
      </c>
      <c r="K4223" s="70" t="n">
        <v>2255</v>
      </c>
      <c r="L4223" s="71" t="n">
        <v>1549.45</v>
      </c>
      <c r="M4223" s="71" t="n">
        <v>3494009.75</v>
      </c>
      <c r="N4223" s="71" t="n">
        <v>1048202.93</v>
      </c>
      <c r="O4223" s="71" t="n">
        <v>2445806.82</v>
      </c>
      <c r="P4223" s="71" t="n">
        <v>605954.0600000001</v>
      </c>
      <c r="Q4223" s="71" t="n">
        <v>1839852.76</v>
      </c>
      <c r="R4223" t="inlineStr">
        <is>
          <t>Antiviral</t>
        </is>
      </c>
      <c r="S4223" s="70" t="n">
        <v>2197</v>
      </c>
      <c r="T4223" s="71" t="n">
        <v>820130.5600000001</v>
      </c>
      <c r="U4223" t="inlineStr">
        <is>
          <t>Low</t>
        </is>
      </c>
      <c r="V4223">
        <f>IF(AND(OR(Dashboard!$C$6="All",E4223=Dashboard!$C$6),OR(Dashboard!$F$6="All",G4223=Dashboard!$F$6),OR(Dashboard!$I$6="All",H4223=Dashboard!$I$6)),1,0)</f>
        <v/>
      </c>
    </row>
    <row r="4224">
      <c r="A4224" t="inlineStr">
        <is>
          <t>PF104215</t>
        </is>
      </c>
      <c r="B4224" s="68" t="n">
        <v>46163</v>
      </c>
      <c r="C4224" s="69" t="n">
        <v>2026</v>
      </c>
      <c r="D4224" t="inlineStr">
        <is>
          <t>May</t>
        </is>
      </c>
      <c r="E4224" t="inlineStr">
        <is>
          <t>United States</t>
        </is>
      </c>
      <c r="F4224" t="inlineStr">
        <is>
          <t>USA</t>
        </is>
      </c>
      <c r="G4224" t="inlineStr">
        <is>
          <t>Prevnar 20</t>
        </is>
      </c>
      <c r="H4224" t="inlineStr">
        <is>
          <t>Government / tender</t>
        </is>
      </c>
      <c r="I4224" t="inlineStr">
        <is>
          <t>Public payer</t>
        </is>
      </c>
      <c r="J4224" t="inlineStr">
        <is>
          <t>Lucas Martin</t>
        </is>
      </c>
      <c r="K4224" s="70" t="n">
        <v>2344</v>
      </c>
      <c r="L4224" s="71" t="n">
        <v>365.69</v>
      </c>
      <c r="M4224" s="71" t="n">
        <v>857177.36</v>
      </c>
      <c r="N4224" s="71" t="n">
        <v>214294.34</v>
      </c>
      <c r="O4224" s="71" t="n">
        <v>642883.02</v>
      </c>
      <c r="P4224" s="71" t="n">
        <v>159868.12</v>
      </c>
      <c r="Q4224" s="71" t="n">
        <v>483014.9</v>
      </c>
      <c r="R4224" t="inlineStr">
        <is>
          <t>Vaccines</t>
        </is>
      </c>
      <c r="S4224" s="70" t="n">
        <v>1683</v>
      </c>
      <c r="T4224" s="71" t="n">
        <v>140467.59</v>
      </c>
      <c r="U4224" t="inlineStr">
        <is>
          <t>Low</t>
        </is>
      </c>
      <c r="V4224">
        <f>IF(AND(OR(Dashboard!$C$6="All",E4224=Dashboard!$C$6),OR(Dashboard!$F$6="All",G4224=Dashboard!$F$6),OR(Dashboard!$I$6="All",H4224=Dashboard!$I$6)),1,0)</f>
        <v/>
      </c>
    </row>
    <row r="4225">
      <c r="A4225" t="inlineStr">
        <is>
          <t>PF104216</t>
        </is>
      </c>
      <c r="B4225" s="68" t="n">
        <v>46164</v>
      </c>
      <c r="C4225" s="69" t="n">
        <v>2026</v>
      </c>
      <c r="D4225" t="inlineStr">
        <is>
          <t>May</t>
        </is>
      </c>
      <c r="E4225" t="inlineStr">
        <is>
          <t>Emerging markets</t>
        </is>
      </c>
      <c r="F4225" t="inlineStr">
        <is>
          <t>China</t>
        </is>
      </c>
      <c r="G4225" t="inlineStr">
        <is>
          <t>Paxlovid</t>
        </is>
      </c>
      <c r="H4225" t="inlineStr">
        <is>
          <t>Retail pharmacy</t>
        </is>
      </c>
      <c r="I4225" t="inlineStr">
        <is>
          <t>Private insurer</t>
        </is>
      </c>
      <c r="J4225" t="inlineStr">
        <is>
          <t>Sophie Müller</t>
        </is>
      </c>
      <c r="K4225" s="70" t="n">
        <v>1372</v>
      </c>
      <c r="L4225" s="71" t="n">
        <v>914.0599999999999</v>
      </c>
      <c r="M4225" s="71" t="n">
        <v>1254090.32</v>
      </c>
      <c r="N4225" s="71" t="n">
        <v>188113.55</v>
      </c>
      <c r="O4225" s="71" t="n">
        <v>1065976.77</v>
      </c>
      <c r="P4225" s="71" t="n">
        <v>382051.69</v>
      </c>
      <c r="Q4225" s="71" t="n">
        <v>683925.08</v>
      </c>
      <c r="R4225" t="inlineStr">
        <is>
          <t>Antiviral</t>
        </is>
      </c>
      <c r="S4225" s="70" t="n">
        <v>908</v>
      </c>
      <c r="T4225" s="71" t="n">
        <v>261286.26</v>
      </c>
      <c r="U4225" t="inlineStr">
        <is>
          <t>Low</t>
        </is>
      </c>
      <c r="V4225">
        <f>IF(AND(OR(Dashboard!$C$6="All",E4225=Dashboard!$C$6),OR(Dashboard!$F$6="All",G4225=Dashboard!$F$6),OR(Dashboard!$I$6="All",H4225=Dashboard!$I$6)),1,0)</f>
        <v/>
      </c>
    </row>
    <row r="4226">
      <c r="A4226" t="inlineStr">
        <is>
          <t>PF104217</t>
        </is>
      </c>
      <c r="B4226" s="68" t="n">
        <v>46164</v>
      </c>
      <c r="C4226" s="69" t="n">
        <v>2026</v>
      </c>
      <c r="D4226" t="inlineStr">
        <is>
          <t>May</t>
        </is>
      </c>
      <c r="E4226" t="inlineStr">
        <is>
          <t>International developed</t>
        </is>
      </c>
      <c r="F4226" t="inlineStr">
        <is>
          <t>Canada</t>
        </is>
      </c>
      <c r="G4226" t="inlineStr">
        <is>
          <t>Paxlovid</t>
        </is>
      </c>
      <c r="H4226" t="inlineStr">
        <is>
          <t>Hospital</t>
        </is>
      </c>
      <c r="I4226" t="inlineStr">
        <is>
          <t>Private insurer</t>
        </is>
      </c>
      <c r="J4226" t="inlineStr">
        <is>
          <t>Ravindra Patil</t>
        </is>
      </c>
      <c r="K4226" s="70" t="n">
        <v>1743</v>
      </c>
      <c r="L4226" s="71" t="n">
        <v>837.23</v>
      </c>
      <c r="M4226" s="71" t="n">
        <v>1459291.89</v>
      </c>
      <c r="N4226" s="71" t="n">
        <v>145929.19</v>
      </c>
      <c r="O4226" s="71" t="n">
        <v>1313362.7</v>
      </c>
      <c r="P4226" s="71" t="n">
        <v>494832.64</v>
      </c>
      <c r="Q4226" s="71" t="n">
        <v>818530.0600000001</v>
      </c>
      <c r="R4226" t="inlineStr">
        <is>
          <t>Antiviral</t>
        </is>
      </c>
      <c r="S4226" s="70" t="n">
        <v>1126</v>
      </c>
      <c r="T4226" s="71" t="n">
        <v>214596.79</v>
      </c>
      <c r="U4226" t="inlineStr">
        <is>
          <t>Low</t>
        </is>
      </c>
      <c r="V4226">
        <f>IF(AND(OR(Dashboard!$C$6="All",E4226=Dashboard!$C$6),OR(Dashboard!$F$6="All",G4226=Dashboard!$F$6),OR(Dashboard!$I$6="All",H4226=Dashboard!$I$6)),1,0)</f>
        <v/>
      </c>
    </row>
    <row r="4227">
      <c r="A4227" t="inlineStr">
        <is>
          <t>PF104218</t>
        </is>
      </c>
      <c r="B4227" s="68" t="n">
        <v>46164</v>
      </c>
      <c r="C4227" s="69" t="n">
        <v>2026</v>
      </c>
      <c r="D4227" t="inlineStr">
        <is>
          <t>May</t>
        </is>
      </c>
      <c r="E4227" t="inlineStr">
        <is>
          <t>International developed</t>
        </is>
      </c>
      <c r="F4227" t="inlineStr">
        <is>
          <t>Japan</t>
        </is>
      </c>
      <c r="G4227" t="inlineStr">
        <is>
          <t>Eliquis</t>
        </is>
      </c>
      <c r="H4227" t="inlineStr">
        <is>
          <t>Hospital</t>
        </is>
      </c>
      <c r="I4227" t="inlineStr">
        <is>
          <t>Private insurer</t>
        </is>
      </c>
      <c r="J4227" t="inlineStr">
        <is>
          <t>Amir Khan</t>
        </is>
      </c>
      <c r="K4227" s="70" t="n">
        <v>1451</v>
      </c>
      <c r="L4227" s="71" t="n">
        <v>437.36</v>
      </c>
      <c r="M4227" s="71" t="n">
        <v>634609.36</v>
      </c>
      <c r="N4227" s="71" t="n">
        <v>126921.87</v>
      </c>
      <c r="O4227" s="71" t="n">
        <v>507687.49</v>
      </c>
      <c r="P4227" s="71" t="n">
        <v>110542.66</v>
      </c>
      <c r="Q4227" s="71" t="n">
        <v>397144.83</v>
      </c>
      <c r="R4227" t="inlineStr">
        <is>
          <t>Cardiology</t>
        </is>
      </c>
      <c r="S4227" s="70" t="n">
        <v>1147</v>
      </c>
      <c r="T4227" s="71" t="n">
        <v>85491.67999999999</v>
      </c>
      <c r="U4227" t="inlineStr">
        <is>
          <t>High</t>
        </is>
      </c>
      <c r="V4227">
        <f>IF(AND(OR(Dashboard!$C$6="All",E4227=Dashboard!$C$6),OR(Dashboard!$F$6="All",G4227=Dashboard!$F$6),OR(Dashboard!$I$6="All",H4227=Dashboard!$I$6)),1,0)</f>
        <v/>
      </c>
    </row>
    <row r="4228">
      <c r="A4228" t="inlineStr">
        <is>
          <t>PF104219</t>
        </is>
      </c>
      <c r="B4228" s="68" t="n">
        <v>46164</v>
      </c>
      <c r="C4228" s="69" t="n">
        <v>2026</v>
      </c>
      <c r="D4228" t="inlineStr">
        <is>
          <t>May</t>
        </is>
      </c>
      <c r="E4228" t="inlineStr">
        <is>
          <t>United States</t>
        </is>
      </c>
      <c r="F4228" t="inlineStr">
        <is>
          <t>USA</t>
        </is>
      </c>
      <c r="G4228" t="inlineStr">
        <is>
          <t>Paxlovid</t>
        </is>
      </c>
      <c r="H4228" t="inlineStr">
        <is>
          <t>Hospital</t>
        </is>
      </c>
      <c r="I4228" t="inlineStr">
        <is>
          <t>Private insurer</t>
        </is>
      </c>
      <c r="J4228" t="inlineStr">
        <is>
          <t>Mei Lin</t>
        </is>
      </c>
      <c r="K4228" s="70" t="n">
        <v>1984</v>
      </c>
      <c r="L4228" s="71" t="n">
        <v>1469.49</v>
      </c>
      <c r="M4228" s="71" t="n">
        <v>2915468.16</v>
      </c>
      <c r="N4228" s="71" t="n">
        <v>583093.63</v>
      </c>
      <c r="O4228" s="71" t="n">
        <v>2332374.53</v>
      </c>
      <c r="P4228" s="71" t="n">
        <v>547496.34</v>
      </c>
      <c r="Q4228" s="71" t="n">
        <v>1784878.19</v>
      </c>
      <c r="R4228" t="inlineStr">
        <is>
          <t>Antiviral</t>
        </is>
      </c>
      <c r="S4228" s="70" t="n">
        <v>1319</v>
      </c>
      <c r="T4228" s="71" t="n">
        <v>564394.41</v>
      </c>
      <c r="U4228" t="inlineStr">
        <is>
          <t>Low</t>
        </is>
      </c>
      <c r="V4228">
        <f>IF(AND(OR(Dashboard!$C$6="All",E4228=Dashboard!$C$6),OR(Dashboard!$F$6="All",G4228=Dashboard!$F$6),OR(Dashboard!$I$6="All",H4228=Dashboard!$I$6)),1,0)</f>
        <v/>
      </c>
    </row>
    <row r="4229">
      <c r="A4229" t="inlineStr">
        <is>
          <t>PF104220</t>
        </is>
      </c>
      <c r="B4229" s="68" t="n">
        <v>46165</v>
      </c>
      <c r="C4229" s="69" t="n">
        <v>2026</v>
      </c>
      <c r="D4229" t="inlineStr">
        <is>
          <t>May</t>
        </is>
      </c>
      <c r="E4229" t="inlineStr">
        <is>
          <t>United States</t>
        </is>
      </c>
      <c r="F4229" t="inlineStr">
        <is>
          <t>USA</t>
        </is>
      </c>
      <c r="G4229" t="inlineStr">
        <is>
          <t>Xeljanz</t>
        </is>
      </c>
      <c r="H4229" t="inlineStr">
        <is>
          <t>Retail pharmacy</t>
        </is>
      </c>
      <c r="I4229" t="inlineStr">
        <is>
          <t>Public payer</t>
        </is>
      </c>
      <c r="J4229" t="inlineStr">
        <is>
          <t>Mei Lin</t>
        </is>
      </c>
      <c r="K4229" s="70" t="n">
        <v>2372</v>
      </c>
      <c r="L4229" s="71" t="n">
        <v>2261.48</v>
      </c>
      <c r="M4229" s="71" t="n">
        <v>5364230.56</v>
      </c>
      <c r="N4229" s="71" t="n">
        <v>1609269.17</v>
      </c>
      <c r="O4229" s="71" t="n">
        <v>3754961.39</v>
      </c>
      <c r="P4229" s="71" t="n">
        <v>615372.0600000001</v>
      </c>
      <c r="Q4229" s="71" t="n">
        <v>3139589.33</v>
      </c>
      <c r="R4229" t="inlineStr">
        <is>
          <t>Inflammation</t>
        </is>
      </c>
      <c r="S4229" s="70" t="n">
        <v>2214</v>
      </c>
      <c r="T4229" s="71" t="n">
        <v>974978.21</v>
      </c>
      <c r="U4229" t="inlineStr">
        <is>
          <t>High</t>
        </is>
      </c>
      <c r="V4229">
        <f>IF(AND(OR(Dashboard!$C$6="All",E4229=Dashboard!$C$6),OR(Dashboard!$F$6="All",G4229=Dashboard!$F$6),OR(Dashboard!$I$6="All",H4229=Dashboard!$I$6)),1,0)</f>
        <v/>
      </c>
    </row>
    <row r="4230">
      <c r="A4230" t="inlineStr">
        <is>
          <t>PF104221</t>
        </is>
      </c>
      <c r="B4230" s="68" t="n">
        <v>46165</v>
      </c>
      <c r="C4230" s="69" t="n">
        <v>2026</v>
      </c>
      <c r="D4230" t="inlineStr">
        <is>
          <t>May</t>
        </is>
      </c>
      <c r="E4230" t="inlineStr">
        <is>
          <t>Emerging markets</t>
        </is>
      </c>
      <c r="F4230" t="inlineStr">
        <is>
          <t>Brazil</t>
        </is>
      </c>
      <c r="G4230" t="inlineStr">
        <is>
          <t>Ibrance</t>
        </is>
      </c>
      <c r="H4230" t="inlineStr">
        <is>
          <t>Government / tender</t>
        </is>
      </c>
      <c r="I4230" t="inlineStr">
        <is>
          <t>Self-pay</t>
        </is>
      </c>
      <c r="J4230" t="inlineStr">
        <is>
          <t>Noah Smith</t>
        </is>
      </c>
      <c r="K4230" s="70" t="n">
        <v>928</v>
      </c>
      <c r="L4230" s="71" t="n">
        <v>2788.43</v>
      </c>
      <c r="M4230" s="71" t="n">
        <v>2587663.04</v>
      </c>
      <c r="N4230" s="71" t="n">
        <v>258766.3</v>
      </c>
      <c r="O4230" s="71" t="n">
        <v>2328896.74</v>
      </c>
      <c r="P4230" s="71" t="n">
        <v>402255.07</v>
      </c>
      <c r="Q4230" s="71" t="n">
        <v>1926641.67</v>
      </c>
      <c r="R4230" t="inlineStr">
        <is>
          <t>Oncology</t>
        </is>
      </c>
      <c r="S4230" s="70" t="n">
        <v>626</v>
      </c>
      <c r="T4230" s="71" t="n">
        <v>515771.28</v>
      </c>
      <c r="U4230" t="inlineStr">
        <is>
          <t>High</t>
        </is>
      </c>
      <c r="V4230">
        <f>IF(AND(OR(Dashboard!$C$6="All",E4230=Dashboard!$C$6),OR(Dashboard!$F$6="All",G4230=Dashboard!$F$6),OR(Dashboard!$I$6="All",H4230=Dashboard!$I$6)),1,0)</f>
        <v/>
      </c>
    </row>
    <row r="4231">
      <c r="A4231" t="inlineStr">
        <is>
          <t>PF104222</t>
        </is>
      </c>
      <c r="B4231" s="68" t="n">
        <v>46165</v>
      </c>
      <c r="C4231" s="69" t="n">
        <v>2026</v>
      </c>
      <c r="D4231" t="inlineStr">
        <is>
          <t>May</t>
        </is>
      </c>
      <c r="E4231" t="inlineStr">
        <is>
          <t>International developed</t>
        </is>
      </c>
      <c r="F4231" t="inlineStr">
        <is>
          <t>Australia</t>
        </is>
      </c>
      <c r="G4231" t="inlineStr">
        <is>
          <t>Vyndaqel</t>
        </is>
      </c>
      <c r="H4231" t="inlineStr">
        <is>
          <t>Retail pharmacy</t>
        </is>
      </c>
      <c r="I4231" t="inlineStr">
        <is>
          <t>Private insurer</t>
        </is>
      </c>
      <c r="J4231" t="inlineStr">
        <is>
          <t>Lucas Martin</t>
        </is>
      </c>
      <c r="K4231" s="70" t="n">
        <v>2327</v>
      </c>
      <c r="L4231" s="71" t="n">
        <v>5693.08</v>
      </c>
      <c r="M4231" s="71" t="n">
        <v>13247797.16</v>
      </c>
      <c r="N4231" s="71" t="n">
        <v>1987169.57</v>
      </c>
      <c r="O4231" s="71" t="n">
        <v>11260627.59</v>
      </c>
      <c r="P4231" s="71" t="n">
        <v>1455901.2</v>
      </c>
      <c r="Q4231" s="71" t="n">
        <v>9804726.390000001</v>
      </c>
      <c r="R4231" t="inlineStr">
        <is>
          <t>Rare disease</t>
        </is>
      </c>
      <c r="S4231" s="70" t="n">
        <v>2140</v>
      </c>
      <c r="T4231" s="71" t="n">
        <v>2592409.14</v>
      </c>
      <c r="U4231" t="inlineStr">
        <is>
          <t>Medium</t>
        </is>
      </c>
      <c r="V4231">
        <f>IF(AND(OR(Dashboard!$C$6="All",E4231=Dashboard!$C$6),OR(Dashboard!$F$6="All",G4231=Dashboard!$F$6),OR(Dashboard!$I$6="All",H4231=Dashboard!$I$6)),1,0)</f>
        <v/>
      </c>
    </row>
    <row r="4232">
      <c r="A4232" t="inlineStr">
        <is>
          <t>PF104223</t>
        </is>
      </c>
      <c r="B4232" s="68" t="n">
        <v>46165</v>
      </c>
      <c r="C4232" s="69" t="n">
        <v>2026</v>
      </c>
      <c r="D4232" t="inlineStr">
        <is>
          <t>May</t>
        </is>
      </c>
      <c r="E4232" t="inlineStr">
        <is>
          <t>International developed</t>
        </is>
      </c>
      <c r="F4232" t="inlineStr">
        <is>
          <t>Canada</t>
        </is>
      </c>
      <c r="G4232" t="inlineStr">
        <is>
          <t>Comirnaty</t>
        </is>
      </c>
      <c r="H4232" t="inlineStr">
        <is>
          <t>Retail pharmacy</t>
        </is>
      </c>
      <c r="I4232" t="inlineStr">
        <is>
          <t>Private insurer</t>
        </is>
      </c>
      <c r="J4232" t="inlineStr">
        <is>
          <t>Liam O'Brien</t>
        </is>
      </c>
      <c r="K4232" s="70" t="n">
        <v>2042</v>
      </c>
      <c r="L4232" s="71" t="n">
        <v>95.55</v>
      </c>
      <c r="M4232" s="71" t="n">
        <v>195113.1</v>
      </c>
      <c r="N4232" s="71" t="n">
        <v>19511.31</v>
      </c>
      <c r="O4232" s="71" t="n">
        <v>175601.79</v>
      </c>
      <c r="P4232" s="71" t="n">
        <v>81685.81</v>
      </c>
      <c r="Q4232" s="71" t="n">
        <v>93915.98</v>
      </c>
      <c r="R4232" t="inlineStr">
        <is>
          <t>Vaccines</t>
        </is>
      </c>
      <c r="S4232" s="70" t="n">
        <v>1495</v>
      </c>
      <c r="T4232" s="71" t="n">
        <v>37452.31</v>
      </c>
      <c r="U4232" t="inlineStr">
        <is>
          <t>Low</t>
        </is>
      </c>
      <c r="V4232">
        <f>IF(AND(OR(Dashboard!$C$6="All",E4232=Dashboard!$C$6),OR(Dashboard!$F$6="All",G4232=Dashboard!$F$6),OR(Dashboard!$I$6="All",H4232=Dashboard!$I$6)),1,0)</f>
        <v/>
      </c>
    </row>
    <row r="4233">
      <c r="A4233" t="inlineStr">
        <is>
          <t>PF104224</t>
        </is>
      </c>
      <c r="B4233" s="68" t="n">
        <v>46165</v>
      </c>
      <c r="C4233" s="69" t="n">
        <v>2026</v>
      </c>
      <c r="D4233" t="inlineStr">
        <is>
          <t>May</t>
        </is>
      </c>
      <c r="E4233" t="inlineStr">
        <is>
          <t>Europe</t>
        </is>
      </c>
      <c r="F4233" t="inlineStr">
        <is>
          <t>Italy</t>
        </is>
      </c>
      <c r="G4233" t="inlineStr">
        <is>
          <t>Abrysvo</t>
        </is>
      </c>
      <c r="H4233" t="inlineStr">
        <is>
          <t>Retail pharmacy</t>
        </is>
      </c>
      <c r="I4233" t="inlineStr">
        <is>
          <t>Private insurer</t>
        </is>
      </c>
      <c r="J4233" t="inlineStr">
        <is>
          <t>Lucas Martin</t>
        </is>
      </c>
      <c r="K4233" s="70" t="n">
        <v>2296</v>
      </c>
      <c r="L4233" s="71" t="n">
        <v>327.26</v>
      </c>
      <c r="M4233" s="71" t="n">
        <v>751388.96</v>
      </c>
      <c r="N4233" s="71" t="n">
        <v>112708.34</v>
      </c>
      <c r="O4233" s="71" t="n">
        <v>638680.62</v>
      </c>
      <c r="P4233" s="71" t="n">
        <v>192146.88</v>
      </c>
      <c r="Q4233" s="71" t="n">
        <v>446533.74</v>
      </c>
      <c r="R4233" t="inlineStr">
        <is>
          <t>Vaccines</t>
        </is>
      </c>
      <c r="S4233" s="70" t="n">
        <v>1462</v>
      </c>
      <c r="T4233" s="71" t="n">
        <v>85656.98</v>
      </c>
      <c r="U4233" t="inlineStr">
        <is>
          <t>Low</t>
        </is>
      </c>
      <c r="V4233">
        <f>IF(AND(OR(Dashboard!$C$6="All",E4233=Dashboard!$C$6),OR(Dashboard!$F$6="All",G4233=Dashboard!$F$6),OR(Dashboard!$I$6="All",H4233=Dashboard!$I$6)),1,0)</f>
        <v/>
      </c>
    </row>
    <row r="4234">
      <c r="A4234" t="inlineStr">
        <is>
          <t>PF104225</t>
        </is>
      </c>
      <c r="B4234" s="68" t="n">
        <v>46165</v>
      </c>
      <c r="C4234" s="69" t="n">
        <v>2026</v>
      </c>
      <c r="D4234" t="inlineStr">
        <is>
          <t>May</t>
        </is>
      </c>
      <c r="E4234" t="inlineStr">
        <is>
          <t>International developed</t>
        </is>
      </c>
      <c r="F4234" t="inlineStr">
        <is>
          <t>Australia</t>
        </is>
      </c>
      <c r="G4234" t="inlineStr">
        <is>
          <t>Eliquis</t>
        </is>
      </c>
      <c r="H4234" t="inlineStr">
        <is>
          <t>Hospital</t>
        </is>
      </c>
      <c r="I4234" t="inlineStr">
        <is>
          <t>Public payer</t>
        </is>
      </c>
      <c r="J4234" t="inlineStr">
        <is>
          <t>Fatima Al-Saud</t>
        </is>
      </c>
      <c r="K4234" s="70" t="n">
        <v>56</v>
      </c>
      <c r="L4234" s="71" t="n">
        <v>411.17</v>
      </c>
      <c r="M4234" s="71" t="n">
        <v>23025.52</v>
      </c>
      <c r="N4234" s="71" t="n">
        <v>1151.28</v>
      </c>
      <c r="O4234" s="71" t="n">
        <v>21874.24</v>
      </c>
      <c r="P4234" s="71" t="n">
        <v>4294.37</v>
      </c>
      <c r="Q4234" s="71" t="n">
        <v>17579.87</v>
      </c>
      <c r="R4234" t="inlineStr">
        <is>
          <t>Cardiology</t>
        </is>
      </c>
      <c r="S4234" s="70" t="n">
        <v>45</v>
      </c>
      <c r="T4234" s="71" t="n">
        <v>3386.04</v>
      </c>
      <c r="U4234" t="inlineStr">
        <is>
          <t>High</t>
        </is>
      </c>
      <c r="V4234">
        <f>IF(AND(OR(Dashboard!$C$6="All",E4234=Dashboard!$C$6),OR(Dashboard!$F$6="All",G4234=Dashboard!$F$6),OR(Dashboard!$I$6="All",H4234=Dashboard!$I$6)),1,0)</f>
        <v/>
      </c>
    </row>
    <row r="4235">
      <c r="A4235" t="inlineStr">
        <is>
          <t>PF104226</t>
        </is>
      </c>
      <c r="B4235" s="68" t="n">
        <v>46165</v>
      </c>
      <c r="C4235" s="69" t="n">
        <v>2026</v>
      </c>
      <c r="D4235" t="inlineStr">
        <is>
          <t>May</t>
        </is>
      </c>
      <c r="E4235" t="inlineStr">
        <is>
          <t>Emerging markets</t>
        </is>
      </c>
      <c r="F4235" t="inlineStr">
        <is>
          <t>India</t>
        </is>
      </c>
      <c r="G4235" t="inlineStr">
        <is>
          <t>Abrysvo</t>
        </is>
      </c>
      <c r="H4235" t="inlineStr">
        <is>
          <t>Hospital</t>
        </is>
      </c>
      <c r="I4235" t="inlineStr">
        <is>
          <t>Self-pay</t>
        </is>
      </c>
      <c r="J4235" t="inlineStr">
        <is>
          <t>Ana Costa</t>
        </is>
      </c>
      <c r="K4235" s="70" t="n">
        <v>767</v>
      </c>
      <c r="L4235" s="71" t="n">
        <v>319.58</v>
      </c>
      <c r="M4235" s="71" t="n">
        <v>245117.86</v>
      </c>
      <c r="N4235" s="71" t="n">
        <v>24511.79</v>
      </c>
      <c r="O4235" s="71" t="n">
        <v>220606.07</v>
      </c>
      <c r="P4235" s="71" t="n">
        <v>66352.14999999999</v>
      </c>
      <c r="Q4235" s="71" t="n">
        <v>154253.92</v>
      </c>
      <c r="R4235" t="inlineStr">
        <is>
          <t>Vaccines</t>
        </is>
      </c>
      <c r="S4235" s="70" t="n">
        <v>493</v>
      </c>
      <c r="T4235" s="71" t="n">
        <v>27162.07</v>
      </c>
      <c r="U4235" t="inlineStr">
        <is>
          <t>Low</t>
        </is>
      </c>
      <c r="V4235">
        <f>IF(AND(OR(Dashboard!$C$6="All",E4235=Dashboard!$C$6),OR(Dashboard!$F$6="All",G4235=Dashboard!$F$6),OR(Dashboard!$I$6="All",H4235=Dashboard!$I$6)),1,0)</f>
        <v/>
      </c>
    </row>
    <row r="4236">
      <c r="A4236" t="inlineStr">
        <is>
          <t>PF104227</t>
        </is>
      </c>
      <c r="B4236" s="68" t="n">
        <v>46165</v>
      </c>
      <c r="C4236" s="69" t="n">
        <v>2026</v>
      </c>
      <c r="D4236" t="inlineStr">
        <is>
          <t>May</t>
        </is>
      </c>
      <c r="E4236" t="inlineStr">
        <is>
          <t>Emerging markets</t>
        </is>
      </c>
      <c r="F4236" t="inlineStr">
        <is>
          <t>India</t>
        </is>
      </c>
      <c r="G4236" t="inlineStr">
        <is>
          <t>Xeljanz</t>
        </is>
      </c>
      <c r="H4236" t="inlineStr">
        <is>
          <t>Retail pharmacy</t>
        </is>
      </c>
      <c r="I4236" t="inlineStr">
        <is>
          <t>Private insurer</t>
        </is>
      </c>
      <c r="J4236" t="inlineStr">
        <is>
          <t>Sophie Müller</t>
        </is>
      </c>
      <c r="K4236" s="70" t="n">
        <v>2440</v>
      </c>
      <c r="L4236" s="71" t="n">
        <v>1397.31</v>
      </c>
      <c r="M4236" s="71" t="n">
        <v>3409436.4</v>
      </c>
      <c r="N4236" s="71" t="n">
        <v>170471.82</v>
      </c>
      <c r="O4236" s="71" t="n">
        <v>3238964.58</v>
      </c>
      <c r="P4236" s="71" t="n">
        <v>608606.6800000001</v>
      </c>
      <c r="Q4236" s="71" t="n">
        <v>2630357.9</v>
      </c>
      <c r="R4236" t="inlineStr">
        <is>
          <t>Inflammation</t>
        </is>
      </c>
      <c r="S4236" s="70" t="n">
        <v>1608</v>
      </c>
      <c r="T4236" s="71" t="n">
        <v>659962.1800000001</v>
      </c>
      <c r="U4236" t="inlineStr">
        <is>
          <t>High</t>
        </is>
      </c>
      <c r="V4236">
        <f>IF(AND(OR(Dashboard!$C$6="All",E4236=Dashboard!$C$6),OR(Dashboard!$F$6="All",G4236=Dashboard!$F$6),OR(Dashboard!$I$6="All",H4236=Dashboard!$I$6)),1,0)</f>
        <v/>
      </c>
    </row>
    <row r="4237">
      <c r="A4237" t="inlineStr">
        <is>
          <t>PF104228</t>
        </is>
      </c>
      <c r="B4237" s="68" t="n">
        <v>46165</v>
      </c>
      <c r="C4237" s="69" t="n">
        <v>2026</v>
      </c>
      <c r="D4237" t="inlineStr">
        <is>
          <t>May</t>
        </is>
      </c>
      <c r="E4237" t="inlineStr">
        <is>
          <t>Europe</t>
        </is>
      </c>
      <c r="F4237" t="inlineStr">
        <is>
          <t>Germany</t>
        </is>
      </c>
      <c r="G4237" t="inlineStr">
        <is>
          <t>Paxlovid</t>
        </is>
      </c>
      <c r="H4237" t="inlineStr">
        <is>
          <t>Retail pharmacy</t>
        </is>
      </c>
      <c r="I4237" t="inlineStr">
        <is>
          <t>Public payer</t>
        </is>
      </c>
      <c r="J4237" t="inlineStr">
        <is>
          <t>Lucas Martin</t>
        </is>
      </c>
      <c r="K4237" s="70" t="n">
        <v>1647</v>
      </c>
      <c r="L4237" s="71" t="n">
        <v>897</v>
      </c>
      <c r="M4237" s="71" t="n">
        <v>1477359</v>
      </c>
      <c r="N4237" s="71" t="n">
        <v>369339.75</v>
      </c>
      <c r="O4237" s="71" t="n">
        <v>1108019.25</v>
      </c>
      <c r="P4237" s="71" t="n">
        <v>460963.26</v>
      </c>
      <c r="Q4237" s="71" t="n">
        <v>647055.99</v>
      </c>
      <c r="R4237" t="inlineStr">
        <is>
          <t>Antiviral</t>
        </is>
      </c>
      <c r="S4237" s="70" t="n">
        <v>1079</v>
      </c>
      <c r="T4237" s="71" t="n">
        <v>355550.15</v>
      </c>
      <c r="U4237" t="inlineStr">
        <is>
          <t>Low</t>
        </is>
      </c>
      <c r="V4237">
        <f>IF(AND(OR(Dashboard!$C$6="All",E4237=Dashboard!$C$6),OR(Dashboard!$F$6="All",G4237=Dashboard!$F$6),OR(Dashboard!$I$6="All",H4237=Dashboard!$I$6)),1,0)</f>
        <v/>
      </c>
    </row>
    <row r="4238">
      <c r="A4238" t="inlineStr">
        <is>
          <t>PF104229</t>
        </is>
      </c>
      <c r="B4238" s="68" t="n">
        <v>46165</v>
      </c>
      <c r="C4238" s="69" t="n">
        <v>2026</v>
      </c>
      <c r="D4238" t="inlineStr">
        <is>
          <t>May</t>
        </is>
      </c>
      <c r="E4238" t="inlineStr">
        <is>
          <t>Europe</t>
        </is>
      </c>
      <c r="F4238" t="inlineStr">
        <is>
          <t>France</t>
        </is>
      </c>
      <c r="G4238" t="inlineStr">
        <is>
          <t>Paxlovid</t>
        </is>
      </c>
      <c r="H4238" t="inlineStr">
        <is>
          <t>Hospital</t>
        </is>
      </c>
      <c r="I4238" t="inlineStr">
        <is>
          <t>Private insurer</t>
        </is>
      </c>
      <c r="J4238" t="inlineStr">
        <is>
          <t>Aisha Bello</t>
        </is>
      </c>
      <c r="K4238" s="70" t="n">
        <v>2196</v>
      </c>
      <c r="L4238" s="71" t="n">
        <v>925.22</v>
      </c>
      <c r="M4238" s="71" t="n">
        <v>2031783.12</v>
      </c>
      <c r="N4238" s="71" t="n">
        <v>203178.31</v>
      </c>
      <c r="O4238" s="71" t="n">
        <v>1828604.81</v>
      </c>
      <c r="P4238" s="71" t="n">
        <v>626252.1899999999</v>
      </c>
      <c r="Q4238" s="71" t="n">
        <v>1202352.62</v>
      </c>
      <c r="R4238" t="inlineStr">
        <is>
          <t>Antiviral</t>
        </is>
      </c>
      <c r="S4238" s="70" t="n">
        <v>1543</v>
      </c>
      <c r="T4238" s="71" t="n">
        <v>444552.48</v>
      </c>
      <c r="U4238" t="inlineStr">
        <is>
          <t>Low</t>
        </is>
      </c>
      <c r="V4238">
        <f>IF(AND(OR(Dashboard!$C$6="All",E4238=Dashboard!$C$6),OR(Dashboard!$F$6="All",G4238=Dashboard!$F$6),OR(Dashboard!$I$6="All",H4238=Dashboard!$I$6)),1,0)</f>
        <v/>
      </c>
    </row>
    <row r="4239">
      <c r="A4239" t="inlineStr">
        <is>
          <t>PF104230</t>
        </is>
      </c>
      <c r="B4239" s="68" t="n">
        <v>46165</v>
      </c>
      <c r="C4239" s="69" t="n">
        <v>2026</v>
      </c>
      <c r="D4239" t="inlineStr">
        <is>
          <t>May</t>
        </is>
      </c>
      <c r="E4239" t="inlineStr">
        <is>
          <t>United States</t>
        </is>
      </c>
      <c r="F4239" t="inlineStr">
        <is>
          <t>USA</t>
        </is>
      </c>
      <c r="G4239" t="inlineStr">
        <is>
          <t>Eliquis</t>
        </is>
      </c>
      <c r="H4239" t="inlineStr">
        <is>
          <t>Retail pharmacy</t>
        </is>
      </c>
      <c r="I4239" t="inlineStr">
        <is>
          <t>Private insurer</t>
        </is>
      </c>
      <c r="J4239" t="inlineStr">
        <is>
          <t>Hiroshi Tanaka</t>
        </is>
      </c>
      <c r="K4239" s="70" t="n">
        <v>2436</v>
      </c>
      <c r="L4239" s="71" t="n">
        <v>649.0700000000001</v>
      </c>
      <c r="M4239" s="71" t="n">
        <v>1581134.52</v>
      </c>
      <c r="N4239" s="71" t="n">
        <v>237170.18</v>
      </c>
      <c r="O4239" s="71" t="n">
        <v>1343964.34</v>
      </c>
      <c r="P4239" s="71" t="n">
        <v>186581.38</v>
      </c>
      <c r="Q4239" s="71" t="n">
        <v>1157382.96</v>
      </c>
      <c r="R4239" t="inlineStr">
        <is>
          <t>Cardiology</t>
        </is>
      </c>
      <c r="S4239" s="70" t="n">
        <v>1793</v>
      </c>
      <c r="T4239" s="71" t="n">
        <v>259196.55</v>
      </c>
      <c r="U4239" t="inlineStr">
        <is>
          <t>High</t>
        </is>
      </c>
      <c r="V4239">
        <f>IF(AND(OR(Dashboard!$C$6="All",E4239=Dashboard!$C$6),OR(Dashboard!$F$6="All",G4239=Dashboard!$F$6),OR(Dashboard!$I$6="All",H4239=Dashboard!$I$6)),1,0)</f>
        <v/>
      </c>
    </row>
    <row r="4240">
      <c r="A4240" t="inlineStr">
        <is>
          <t>PF104231</t>
        </is>
      </c>
      <c r="B4240" s="68" t="n">
        <v>46165</v>
      </c>
      <c r="C4240" s="69" t="n">
        <v>2026</v>
      </c>
      <c r="D4240" t="inlineStr">
        <is>
          <t>May</t>
        </is>
      </c>
      <c r="E4240" t="inlineStr">
        <is>
          <t>Europe</t>
        </is>
      </c>
      <c r="F4240" t="inlineStr">
        <is>
          <t>Italy</t>
        </is>
      </c>
      <c r="G4240" t="inlineStr">
        <is>
          <t>Eliquis</t>
        </is>
      </c>
      <c r="H4240" t="inlineStr">
        <is>
          <t>Government / tender</t>
        </is>
      </c>
      <c r="I4240" t="inlineStr">
        <is>
          <t>Private insurer</t>
        </is>
      </c>
      <c r="J4240" t="inlineStr">
        <is>
          <t>Omar Haddad</t>
        </is>
      </c>
      <c r="K4240" s="70" t="n">
        <v>2659</v>
      </c>
      <c r="L4240" s="71" t="n">
        <v>418.69</v>
      </c>
      <c r="M4240" s="71" t="n">
        <v>1113296.71</v>
      </c>
      <c r="N4240" s="71" t="n">
        <v>222659.34</v>
      </c>
      <c r="O4240" s="71" t="n">
        <v>890637.37</v>
      </c>
      <c r="P4240" s="71" t="n">
        <v>205241.49</v>
      </c>
      <c r="Q4240" s="71" t="n">
        <v>685395.88</v>
      </c>
      <c r="R4240" t="inlineStr">
        <is>
          <t>Cardiology</t>
        </is>
      </c>
      <c r="S4240" s="70" t="n">
        <v>2133</v>
      </c>
      <c r="T4240" s="71" t="n">
        <v>219579.2</v>
      </c>
      <c r="U4240" t="inlineStr">
        <is>
          <t>High</t>
        </is>
      </c>
      <c r="V4240">
        <f>IF(AND(OR(Dashboard!$C$6="All",E4240=Dashboard!$C$6),OR(Dashboard!$F$6="All",G4240=Dashboard!$F$6),OR(Dashboard!$I$6="All",H4240=Dashboard!$I$6)),1,0)</f>
        <v/>
      </c>
    </row>
    <row r="4241">
      <c r="A4241" t="inlineStr">
        <is>
          <t>PF104232</t>
        </is>
      </c>
      <c r="B4241" s="68" t="n">
        <v>46165</v>
      </c>
      <c r="C4241" s="69" t="n">
        <v>2026</v>
      </c>
      <c r="D4241" t="inlineStr">
        <is>
          <t>May</t>
        </is>
      </c>
      <c r="E4241" t="inlineStr">
        <is>
          <t>International developed</t>
        </is>
      </c>
      <c r="F4241" t="inlineStr">
        <is>
          <t>Canada</t>
        </is>
      </c>
      <c r="G4241" t="inlineStr">
        <is>
          <t>Paxlovid</t>
        </is>
      </c>
      <c r="H4241" t="inlineStr">
        <is>
          <t>Retail pharmacy</t>
        </is>
      </c>
      <c r="I4241" t="inlineStr">
        <is>
          <t>Public payer</t>
        </is>
      </c>
      <c r="J4241" t="inlineStr">
        <is>
          <t>Liam O'Brien</t>
        </is>
      </c>
      <c r="K4241" s="70" t="n">
        <v>1430</v>
      </c>
      <c r="L4241" s="71" t="n">
        <v>875.8200000000001</v>
      </c>
      <c r="M4241" s="71" t="n">
        <v>1252422.6</v>
      </c>
      <c r="N4241" s="71" t="n">
        <v>313105.65</v>
      </c>
      <c r="O4241" s="71" t="n">
        <v>939316.95</v>
      </c>
      <c r="P4241" s="71" t="n">
        <v>379680.34</v>
      </c>
      <c r="Q4241" s="71" t="n">
        <v>559636.61</v>
      </c>
      <c r="R4241" t="inlineStr">
        <is>
          <t>Antiviral</t>
        </is>
      </c>
      <c r="S4241" s="70" t="n">
        <v>941</v>
      </c>
      <c r="T4241" s="71" t="n">
        <v>201295.24</v>
      </c>
      <c r="U4241" t="inlineStr">
        <is>
          <t>Low</t>
        </is>
      </c>
      <c r="V4241">
        <f>IF(AND(OR(Dashboard!$C$6="All",E4241=Dashboard!$C$6),OR(Dashboard!$F$6="All",G4241=Dashboard!$F$6),OR(Dashboard!$I$6="All",H4241=Dashboard!$I$6)),1,0)</f>
        <v/>
      </c>
    </row>
    <row r="4242">
      <c r="A4242" t="inlineStr">
        <is>
          <t>PF104233</t>
        </is>
      </c>
      <c r="B4242" s="68" t="n">
        <v>46165</v>
      </c>
      <c r="C4242" s="69" t="n">
        <v>2026</v>
      </c>
      <c r="D4242" t="inlineStr">
        <is>
          <t>May</t>
        </is>
      </c>
      <c r="E4242" t="inlineStr">
        <is>
          <t>United States</t>
        </is>
      </c>
      <c r="F4242" t="inlineStr">
        <is>
          <t>USA</t>
        </is>
      </c>
      <c r="G4242" t="inlineStr">
        <is>
          <t>Prevnar 20</t>
        </is>
      </c>
      <c r="H4242" t="inlineStr">
        <is>
          <t>Hospital</t>
        </is>
      </c>
      <c r="I4242" t="inlineStr">
        <is>
          <t>Self-pay</t>
        </is>
      </c>
      <c r="J4242" t="inlineStr">
        <is>
          <t>Ravindra Patil</t>
        </is>
      </c>
      <c r="K4242" s="70" t="n">
        <v>2758</v>
      </c>
      <c r="L4242" s="71" t="n">
        <v>374.91</v>
      </c>
      <c r="M4242" s="71" t="n">
        <v>1034001.78</v>
      </c>
      <c r="N4242" s="71" t="n">
        <v>155100.27</v>
      </c>
      <c r="O4242" s="71" t="n">
        <v>878901.51</v>
      </c>
      <c r="P4242" s="71" t="n">
        <v>184253.49</v>
      </c>
      <c r="Q4242" s="71" t="n">
        <v>694648.02</v>
      </c>
      <c r="R4242" t="inlineStr">
        <is>
          <t>Vaccines</t>
        </is>
      </c>
      <c r="S4242" s="70" t="n">
        <v>2030</v>
      </c>
      <c r="T4242" s="71" t="n">
        <v>122656.62</v>
      </c>
      <c r="U4242" t="inlineStr">
        <is>
          <t>Low</t>
        </is>
      </c>
      <c r="V4242">
        <f>IF(AND(OR(Dashboard!$C$6="All",E4242=Dashboard!$C$6),OR(Dashboard!$F$6="All",G4242=Dashboard!$F$6),OR(Dashboard!$I$6="All",H4242=Dashboard!$I$6)),1,0)</f>
        <v/>
      </c>
    </row>
    <row r="4243">
      <c r="A4243" t="inlineStr">
        <is>
          <t>PF104234</t>
        </is>
      </c>
      <c r="B4243" s="68" t="n">
        <v>46165</v>
      </c>
      <c r="C4243" s="69" t="n">
        <v>2026</v>
      </c>
      <c r="D4243" t="inlineStr">
        <is>
          <t>May</t>
        </is>
      </c>
      <c r="E4243" t="inlineStr">
        <is>
          <t>United States</t>
        </is>
      </c>
      <c r="F4243" t="inlineStr">
        <is>
          <t>USA</t>
        </is>
      </c>
      <c r="G4243" t="inlineStr">
        <is>
          <t>Abrysvo</t>
        </is>
      </c>
      <c r="H4243" t="inlineStr">
        <is>
          <t>Government / tender</t>
        </is>
      </c>
      <c r="I4243" t="inlineStr">
        <is>
          <t>Private insurer</t>
        </is>
      </c>
      <c r="J4243" t="inlineStr">
        <is>
          <t>Sophie Müller</t>
        </is>
      </c>
      <c r="K4243" s="70" t="n">
        <v>1911</v>
      </c>
      <c r="L4243" s="71" t="n">
        <v>481.5</v>
      </c>
      <c r="M4243" s="71" t="n">
        <v>920146.5</v>
      </c>
      <c r="N4243" s="71" t="n">
        <v>276043.95</v>
      </c>
      <c r="O4243" s="71" t="n">
        <v>644102.55</v>
      </c>
      <c r="P4243" s="71" t="n">
        <v>160215.13</v>
      </c>
      <c r="Q4243" s="71" t="n">
        <v>483887.42</v>
      </c>
      <c r="R4243" t="inlineStr">
        <is>
          <t>Vaccines</t>
        </is>
      </c>
      <c r="S4243" s="70" t="n">
        <v>1528</v>
      </c>
      <c r="T4243" s="71" t="n">
        <v>171855.11</v>
      </c>
      <c r="U4243" t="inlineStr">
        <is>
          <t>Low</t>
        </is>
      </c>
      <c r="V4243">
        <f>IF(AND(OR(Dashboard!$C$6="All",E4243=Dashboard!$C$6),OR(Dashboard!$F$6="All",G4243=Dashboard!$F$6),OR(Dashboard!$I$6="All",H4243=Dashboard!$I$6)),1,0)</f>
        <v/>
      </c>
    </row>
    <row r="4244">
      <c r="A4244" t="inlineStr">
        <is>
          <t>PF104235</t>
        </is>
      </c>
      <c r="B4244" s="68" t="n">
        <v>46165</v>
      </c>
      <c r="C4244" s="69" t="n">
        <v>2026</v>
      </c>
      <c r="D4244" t="inlineStr">
        <is>
          <t>May</t>
        </is>
      </c>
      <c r="E4244" t="inlineStr">
        <is>
          <t>Emerging markets</t>
        </is>
      </c>
      <c r="F4244" t="inlineStr">
        <is>
          <t>China</t>
        </is>
      </c>
      <c r="G4244" t="inlineStr">
        <is>
          <t>Prevnar 20</t>
        </is>
      </c>
      <c r="H4244" t="inlineStr">
        <is>
          <t>Hospital</t>
        </is>
      </c>
      <c r="I4244" t="inlineStr">
        <is>
          <t>Public payer</t>
        </is>
      </c>
      <c r="J4244" t="inlineStr">
        <is>
          <t>Priya Nair</t>
        </is>
      </c>
      <c r="K4244" s="70" t="n">
        <v>1065</v>
      </c>
      <c r="L4244" s="71" t="n">
        <v>243.12</v>
      </c>
      <c r="M4244" s="71" t="n">
        <v>258922.8</v>
      </c>
      <c r="N4244" s="71" t="n">
        <v>12946.14</v>
      </c>
      <c r="O4244" s="71" t="n">
        <v>245976.66</v>
      </c>
      <c r="P4244" s="71" t="n">
        <v>75134.75999999999</v>
      </c>
      <c r="Q4244" s="71" t="n">
        <v>170841.9</v>
      </c>
      <c r="R4244" t="inlineStr">
        <is>
          <t>Vaccines</t>
        </is>
      </c>
      <c r="S4244" s="70" t="n">
        <v>1051</v>
      </c>
      <c r="T4244" s="71" t="n">
        <v>33217.84</v>
      </c>
      <c r="U4244" t="inlineStr">
        <is>
          <t>Low</t>
        </is>
      </c>
      <c r="V4244">
        <f>IF(AND(OR(Dashboard!$C$6="All",E4244=Dashboard!$C$6),OR(Dashboard!$F$6="All",G4244=Dashboard!$F$6),OR(Dashboard!$I$6="All",H4244=Dashboard!$I$6)),1,0)</f>
        <v/>
      </c>
    </row>
    <row r="4245">
      <c r="A4245" t="inlineStr">
        <is>
          <t>PF104236</t>
        </is>
      </c>
      <c r="B4245" s="68" t="n">
        <v>46166</v>
      </c>
      <c r="C4245" s="69" t="n">
        <v>2026</v>
      </c>
      <c r="D4245" t="inlineStr">
        <is>
          <t>May</t>
        </is>
      </c>
      <c r="E4245" t="inlineStr">
        <is>
          <t>Emerging markets</t>
        </is>
      </c>
      <c r="F4245" t="inlineStr">
        <is>
          <t>Brazil</t>
        </is>
      </c>
      <c r="G4245" t="inlineStr">
        <is>
          <t>Prevnar 20</t>
        </is>
      </c>
      <c r="H4245" t="inlineStr">
        <is>
          <t>Government / tender</t>
        </is>
      </c>
      <c r="I4245" t="inlineStr">
        <is>
          <t>Public payer</t>
        </is>
      </c>
      <c r="J4245" t="inlineStr">
        <is>
          <t>Amir Khan</t>
        </is>
      </c>
      <c r="K4245" s="70" t="n">
        <v>185</v>
      </c>
      <c r="L4245" s="71" t="n">
        <v>224.35</v>
      </c>
      <c r="M4245" s="71" t="n">
        <v>41504.75</v>
      </c>
      <c r="N4245" s="71" t="n">
        <v>6225.71</v>
      </c>
      <c r="O4245" s="71" t="n">
        <v>35279.04</v>
      </c>
      <c r="P4245" s="71" t="n">
        <v>12789.33</v>
      </c>
      <c r="Q4245" s="71" t="n">
        <v>22489.71</v>
      </c>
      <c r="R4245" t="inlineStr">
        <is>
          <t>Vaccines</t>
        </is>
      </c>
      <c r="S4245" s="70" t="n">
        <v>139</v>
      </c>
      <c r="T4245" s="71" t="n">
        <v>7943.31</v>
      </c>
      <c r="U4245" t="inlineStr">
        <is>
          <t>Low</t>
        </is>
      </c>
      <c r="V4245">
        <f>IF(AND(OR(Dashboard!$C$6="All",E4245=Dashboard!$C$6),OR(Dashboard!$F$6="All",G4245=Dashboard!$F$6),OR(Dashboard!$I$6="All",H4245=Dashboard!$I$6)),1,0)</f>
        <v/>
      </c>
    </row>
    <row r="4246">
      <c r="A4246" t="inlineStr">
        <is>
          <t>PF104237</t>
        </is>
      </c>
      <c r="B4246" s="68" t="n">
        <v>46166</v>
      </c>
      <c r="C4246" s="69" t="n">
        <v>2026</v>
      </c>
      <c r="D4246" t="inlineStr">
        <is>
          <t>May</t>
        </is>
      </c>
      <c r="E4246" t="inlineStr">
        <is>
          <t>United States</t>
        </is>
      </c>
      <c r="F4246" t="inlineStr">
        <is>
          <t>USA</t>
        </is>
      </c>
      <c r="G4246" t="inlineStr">
        <is>
          <t>Prevnar 20</t>
        </is>
      </c>
      <c r="H4246" t="inlineStr">
        <is>
          <t>Government / tender</t>
        </is>
      </c>
      <c r="I4246" t="inlineStr">
        <is>
          <t>Self-pay</t>
        </is>
      </c>
      <c r="J4246" t="inlineStr">
        <is>
          <t>Arjun Mehta</t>
        </is>
      </c>
      <c r="K4246" s="70" t="n">
        <v>1976</v>
      </c>
      <c r="L4246" s="71" t="n">
        <v>379.67</v>
      </c>
      <c r="M4246" s="71" t="n">
        <v>750227.92</v>
      </c>
      <c r="N4246" s="71" t="n">
        <v>262579.77</v>
      </c>
      <c r="O4246" s="71" t="n">
        <v>487648.15</v>
      </c>
      <c r="P4246" s="71" t="n">
        <v>133427.79</v>
      </c>
      <c r="Q4246" s="71" t="n">
        <v>354220.36</v>
      </c>
      <c r="R4246" t="inlineStr">
        <is>
          <t>Vaccines</t>
        </is>
      </c>
      <c r="S4246" s="70" t="n">
        <v>1522</v>
      </c>
      <c r="T4246" s="71" t="n">
        <v>88447.85000000001</v>
      </c>
      <c r="U4246" t="inlineStr">
        <is>
          <t>Low</t>
        </is>
      </c>
      <c r="V4246">
        <f>IF(AND(OR(Dashboard!$C$6="All",E4246=Dashboard!$C$6),OR(Dashboard!$F$6="All",G4246=Dashboard!$F$6),OR(Dashboard!$I$6="All",H4246=Dashboard!$I$6)),1,0)</f>
        <v/>
      </c>
    </row>
    <row r="4247">
      <c r="A4247" t="inlineStr">
        <is>
          <t>PF104238</t>
        </is>
      </c>
      <c r="B4247" s="68" t="n">
        <v>46166</v>
      </c>
      <c r="C4247" s="69" t="n">
        <v>2026</v>
      </c>
      <c r="D4247" t="inlineStr">
        <is>
          <t>May</t>
        </is>
      </c>
      <c r="E4247" t="inlineStr">
        <is>
          <t>International developed</t>
        </is>
      </c>
      <c r="F4247" t="inlineStr">
        <is>
          <t>Canada</t>
        </is>
      </c>
      <c r="G4247" t="inlineStr">
        <is>
          <t>Prevnar 20</t>
        </is>
      </c>
      <c r="H4247" t="inlineStr">
        <is>
          <t>Hospital</t>
        </is>
      </c>
      <c r="I4247" t="inlineStr">
        <is>
          <t>Private insurer</t>
        </is>
      </c>
      <c r="J4247" t="inlineStr">
        <is>
          <t>Priya Nair</t>
        </is>
      </c>
      <c r="K4247" s="70" t="n">
        <v>1897</v>
      </c>
      <c r="L4247" s="71" t="n">
        <v>221.54</v>
      </c>
      <c r="M4247" s="71" t="n">
        <v>420261.38</v>
      </c>
      <c r="N4247" s="71" t="n">
        <v>21013.07</v>
      </c>
      <c r="O4247" s="71" t="n">
        <v>399248.31</v>
      </c>
      <c r="P4247" s="71" t="n">
        <v>130651.77</v>
      </c>
      <c r="Q4247" s="71" t="n">
        <v>268596.54</v>
      </c>
      <c r="R4247" t="inlineStr">
        <is>
          <t>Vaccines</t>
        </is>
      </c>
      <c r="S4247" s="70" t="n">
        <v>1799</v>
      </c>
      <c r="T4247" s="71" t="n">
        <v>90005.84</v>
      </c>
      <c r="U4247" t="inlineStr">
        <is>
          <t>Low</t>
        </is>
      </c>
      <c r="V4247">
        <f>IF(AND(OR(Dashboard!$C$6="All",E4247=Dashboard!$C$6),OR(Dashboard!$F$6="All",G4247=Dashboard!$F$6),OR(Dashboard!$I$6="All",H4247=Dashboard!$I$6)),1,0)</f>
        <v/>
      </c>
    </row>
    <row r="4248">
      <c r="A4248" t="inlineStr">
        <is>
          <t>PF104239</t>
        </is>
      </c>
      <c r="B4248" s="68" t="n">
        <v>46166</v>
      </c>
      <c r="C4248" s="69" t="n">
        <v>2026</v>
      </c>
      <c r="D4248" t="inlineStr">
        <is>
          <t>May</t>
        </is>
      </c>
      <c r="E4248" t="inlineStr">
        <is>
          <t>International developed</t>
        </is>
      </c>
      <c r="F4248" t="inlineStr">
        <is>
          <t>Canada</t>
        </is>
      </c>
      <c r="G4248" t="inlineStr">
        <is>
          <t>Prevnar 20</t>
        </is>
      </c>
      <c r="H4248" t="inlineStr">
        <is>
          <t>Retail pharmacy</t>
        </is>
      </c>
      <c r="I4248" t="inlineStr">
        <is>
          <t>Public payer</t>
        </is>
      </c>
      <c r="J4248" t="inlineStr">
        <is>
          <t>Sara Rossi</t>
        </is>
      </c>
      <c r="K4248" s="70" t="n">
        <v>1693</v>
      </c>
      <c r="L4248" s="71" t="n">
        <v>231.78</v>
      </c>
      <c r="M4248" s="71" t="n">
        <v>392403.54</v>
      </c>
      <c r="N4248" s="71" t="n">
        <v>98100.88</v>
      </c>
      <c r="O4248" s="71" t="n">
        <v>294302.66</v>
      </c>
      <c r="P4248" s="71" t="n">
        <v>117245.75</v>
      </c>
      <c r="Q4248" s="71" t="n">
        <v>177056.91</v>
      </c>
      <c r="R4248" t="inlineStr">
        <is>
          <t>Vaccines</t>
        </is>
      </c>
      <c r="S4248" s="70" t="n">
        <v>1141</v>
      </c>
      <c r="T4248" s="71" t="n">
        <v>56081.54</v>
      </c>
      <c r="U4248" t="inlineStr">
        <is>
          <t>Low</t>
        </is>
      </c>
      <c r="V4248">
        <f>IF(AND(OR(Dashboard!$C$6="All",E4248=Dashboard!$C$6),OR(Dashboard!$F$6="All",G4248=Dashboard!$F$6),OR(Dashboard!$I$6="All",H4248=Dashboard!$I$6)),1,0)</f>
        <v/>
      </c>
    </row>
    <row r="4249">
      <c r="A4249" t="inlineStr">
        <is>
          <t>PF104240</t>
        </is>
      </c>
      <c r="B4249" s="68" t="n">
        <v>46166</v>
      </c>
      <c r="C4249" s="69" t="n">
        <v>2026</v>
      </c>
      <c r="D4249" t="inlineStr">
        <is>
          <t>May</t>
        </is>
      </c>
      <c r="E4249" t="inlineStr">
        <is>
          <t>United States</t>
        </is>
      </c>
      <c r="F4249" t="inlineStr">
        <is>
          <t>USA</t>
        </is>
      </c>
      <c r="G4249" t="inlineStr">
        <is>
          <t>Comirnaty</t>
        </is>
      </c>
      <c r="H4249" t="inlineStr">
        <is>
          <t>Retail pharmacy</t>
        </is>
      </c>
      <c r="I4249" t="inlineStr">
        <is>
          <t>Public payer</t>
        </is>
      </c>
      <c r="J4249" t="inlineStr">
        <is>
          <t>Ruhi Shaikh</t>
        </is>
      </c>
      <c r="K4249" s="70" t="n">
        <v>909</v>
      </c>
      <c r="L4249" s="71" t="n">
        <v>142.41</v>
      </c>
      <c r="M4249" s="71" t="n">
        <v>129450.69</v>
      </c>
      <c r="N4249" s="71" t="n">
        <v>32362.67</v>
      </c>
      <c r="O4249" s="71" t="n">
        <v>97088.02</v>
      </c>
      <c r="P4249" s="71" t="n">
        <v>35962.35</v>
      </c>
      <c r="Q4249" s="71" t="n">
        <v>61125.67</v>
      </c>
      <c r="R4249" t="inlineStr">
        <is>
          <t>Vaccines</t>
        </is>
      </c>
      <c r="S4249" s="70" t="n">
        <v>765</v>
      </c>
      <c r="T4249" s="71" t="n">
        <v>32092.4</v>
      </c>
      <c r="U4249" t="inlineStr">
        <is>
          <t>Low</t>
        </is>
      </c>
      <c r="V4249">
        <f>IF(AND(OR(Dashboard!$C$6="All",E4249=Dashboard!$C$6),OR(Dashboard!$F$6="All",G4249=Dashboard!$F$6),OR(Dashboard!$I$6="All",H4249=Dashboard!$I$6)),1,0)</f>
        <v/>
      </c>
    </row>
    <row r="4250">
      <c r="A4250" t="inlineStr">
        <is>
          <t>PF104241</t>
        </is>
      </c>
      <c r="B4250" s="68" t="n">
        <v>46167</v>
      </c>
      <c r="C4250" s="69" t="n">
        <v>2026</v>
      </c>
      <c r="D4250" t="inlineStr">
        <is>
          <t>May</t>
        </is>
      </c>
      <c r="E4250" t="inlineStr">
        <is>
          <t>United States</t>
        </is>
      </c>
      <c r="F4250" t="inlineStr">
        <is>
          <t>USA</t>
        </is>
      </c>
      <c r="G4250" t="inlineStr">
        <is>
          <t>Abrysvo</t>
        </is>
      </c>
      <c r="H4250" t="inlineStr">
        <is>
          <t>Retail pharmacy</t>
        </is>
      </c>
      <c r="I4250" t="inlineStr">
        <is>
          <t>Self-pay</t>
        </is>
      </c>
      <c r="J4250" t="inlineStr">
        <is>
          <t>Zoya Ahmed</t>
        </is>
      </c>
      <c r="K4250" s="70" t="n">
        <v>1358</v>
      </c>
      <c r="L4250" s="71" t="n">
        <v>461.67</v>
      </c>
      <c r="M4250" s="71" t="n">
        <v>626947.86</v>
      </c>
      <c r="N4250" s="71" t="n">
        <v>94042.17999999999</v>
      </c>
      <c r="O4250" s="71" t="n">
        <v>532905.6800000001</v>
      </c>
      <c r="P4250" s="71" t="n">
        <v>112524.16</v>
      </c>
      <c r="Q4250" s="71" t="n">
        <v>420381.52</v>
      </c>
      <c r="R4250" t="inlineStr">
        <is>
          <t>Vaccines</t>
        </is>
      </c>
      <c r="S4250" s="70" t="n">
        <v>1219</v>
      </c>
      <c r="T4250" s="71" t="n">
        <v>78611.07000000001</v>
      </c>
      <c r="U4250" t="inlineStr">
        <is>
          <t>Low</t>
        </is>
      </c>
      <c r="V4250">
        <f>IF(AND(OR(Dashboard!$C$6="All",E4250=Dashboard!$C$6),OR(Dashboard!$F$6="All",G4250=Dashboard!$F$6),OR(Dashboard!$I$6="All",H4250=Dashboard!$I$6)),1,0)</f>
        <v/>
      </c>
    </row>
    <row r="4251">
      <c r="A4251" t="inlineStr">
        <is>
          <t>PF104242</t>
        </is>
      </c>
      <c r="B4251" s="68" t="n">
        <v>46167</v>
      </c>
      <c r="C4251" s="69" t="n">
        <v>2026</v>
      </c>
      <c r="D4251" t="inlineStr">
        <is>
          <t>May</t>
        </is>
      </c>
      <c r="E4251" t="inlineStr">
        <is>
          <t>Europe</t>
        </is>
      </c>
      <c r="F4251" t="inlineStr">
        <is>
          <t>UK</t>
        </is>
      </c>
      <c r="G4251" t="inlineStr">
        <is>
          <t>Eliquis</t>
        </is>
      </c>
      <c r="H4251" t="inlineStr">
        <is>
          <t>Retail pharmacy</t>
        </is>
      </c>
      <c r="I4251" t="inlineStr">
        <is>
          <t>Public payer</t>
        </is>
      </c>
      <c r="J4251" t="inlineStr">
        <is>
          <t>Aisha Bello</t>
        </is>
      </c>
      <c r="K4251" s="70" t="n">
        <v>1999</v>
      </c>
      <c r="L4251" s="71" t="n">
        <v>462.35</v>
      </c>
      <c r="M4251" s="71" t="n">
        <v>924237.65</v>
      </c>
      <c r="N4251" s="71" t="n">
        <v>138635.65</v>
      </c>
      <c r="O4251" s="71" t="n">
        <v>785602</v>
      </c>
      <c r="P4251" s="71" t="n">
        <v>153726.83</v>
      </c>
      <c r="Q4251" s="71" t="n">
        <v>631875.17</v>
      </c>
      <c r="R4251" t="inlineStr">
        <is>
          <t>Cardiology</t>
        </is>
      </c>
      <c r="S4251" s="70" t="n">
        <v>1291</v>
      </c>
      <c r="T4251" s="71" t="n">
        <v>178087.96</v>
      </c>
      <c r="U4251" t="inlineStr">
        <is>
          <t>High</t>
        </is>
      </c>
      <c r="V4251">
        <f>IF(AND(OR(Dashboard!$C$6="All",E4251=Dashboard!$C$6),OR(Dashboard!$F$6="All",G4251=Dashboard!$F$6),OR(Dashboard!$I$6="All",H4251=Dashboard!$I$6)),1,0)</f>
        <v/>
      </c>
    </row>
    <row r="4252">
      <c r="A4252" t="inlineStr">
        <is>
          <t>PF104243</t>
        </is>
      </c>
      <c r="B4252" s="68" t="n">
        <v>46167</v>
      </c>
      <c r="C4252" s="69" t="n">
        <v>2026</v>
      </c>
      <c r="D4252" t="inlineStr">
        <is>
          <t>May</t>
        </is>
      </c>
      <c r="E4252" t="inlineStr">
        <is>
          <t>Europe</t>
        </is>
      </c>
      <c r="F4252" t="inlineStr">
        <is>
          <t>Germany</t>
        </is>
      </c>
      <c r="G4252" t="inlineStr">
        <is>
          <t>Eliquis</t>
        </is>
      </c>
      <c r="H4252" t="inlineStr">
        <is>
          <t>Government / tender</t>
        </is>
      </c>
      <c r="I4252" t="inlineStr">
        <is>
          <t>Public payer</t>
        </is>
      </c>
      <c r="J4252" t="inlineStr">
        <is>
          <t>Olivia Brown</t>
        </is>
      </c>
      <c r="K4252" s="70" t="n">
        <v>62</v>
      </c>
      <c r="L4252" s="71" t="n">
        <v>427.52</v>
      </c>
      <c r="M4252" s="71" t="n">
        <v>26506.24</v>
      </c>
      <c r="N4252" s="71" t="n">
        <v>2650.62</v>
      </c>
      <c r="O4252" s="71" t="n">
        <v>23855.62</v>
      </c>
      <c r="P4252" s="71" t="n">
        <v>4805.95</v>
      </c>
      <c r="Q4252" s="71" t="n">
        <v>19049.67</v>
      </c>
      <c r="R4252" t="inlineStr">
        <is>
          <t>Cardiology</t>
        </is>
      </c>
      <c r="S4252" s="70" t="n">
        <v>52</v>
      </c>
      <c r="T4252" s="71" t="n">
        <v>3522.83</v>
      </c>
      <c r="U4252" t="inlineStr">
        <is>
          <t>High</t>
        </is>
      </c>
      <c r="V4252">
        <f>IF(AND(OR(Dashboard!$C$6="All",E4252=Dashboard!$C$6),OR(Dashboard!$F$6="All",G4252=Dashboard!$F$6),OR(Dashboard!$I$6="All",H4252=Dashboard!$I$6)),1,0)</f>
        <v/>
      </c>
    </row>
    <row r="4253">
      <c r="A4253" t="inlineStr">
        <is>
          <t>PF104244</t>
        </is>
      </c>
      <c r="B4253" s="68" t="n">
        <v>46167</v>
      </c>
      <c r="C4253" s="69" t="n">
        <v>2026</v>
      </c>
      <c r="D4253" t="inlineStr">
        <is>
          <t>May</t>
        </is>
      </c>
      <c r="E4253" t="inlineStr">
        <is>
          <t>Emerging markets</t>
        </is>
      </c>
      <c r="F4253" t="inlineStr">
        <is>
          <t>Brazil</t>
        </is>
      </c>
      <c r="G4253" t="inlineStr">
        <is>
          <t>Comirnaty</t>
        </is>
      </c>
      <c r="H4253" t="inlineStr">
        <is>
          <t>Hospital</t>
        </is>
      </c>
      <c r="I4253" t="inlineStr">
        <is>
          <t>Private insurer</t>
        </is>
      </c>
      <c r="J4253" t="inlineStr">
        <is>
          <t>Priya Nair</t>
        </is>
      </c>
      <c r="K4253" s="70" t="n">
        <v>1135</v>
      </c>
      <c r="L4253" s="71" t="n">
        <v>90.31999999999999</v>
      </c>
      <c r="M4253" s="71" t="n">
        <v>102513.2</v>
      </c>
      <c r="N4253" s="71" t="n">
        <v>10251.32</v>
      </c>
      <c r="O4253" s="71" t="n">
        <v>92261.88</v>
      </c>
      <c r="P4253" s="71" t="n">
        <v>44373.17</v>
      </c>
      <c r="Q4253" s="71" t="n">
        <v>47888.71</v>
      </c>
      <c r="R4253" t="inlineStr">
        <is>
          <t>Vaccines</t>
        </is>
      </c>
      <c r="S4253" s="70" t="n">
        <v>875</v>
      </c>
      <c r="T4253" s="71" t="n">
        <v>18796.32</v>
      </c>
      <c r="U4253" t="inlineStr">
        <is>
          <t>Low</t>
        </is>
      </c>
      <c r="V4253">
        <f>IF(AND(OR(Dashboard!$C$6="All",E4253=Dashboard!$C$6),OR(Dashboard!$F$6="All",G4253=Dashboard!$F$6),OR(Dashboard!$I$6="All",H4253=Dashboard!$I$6)),1,0)</f>
        <v/>
      </c>
    </row>
    <row r="4254">
      <c r="A4254" t="inlineStr">
        <is>
          <t>PF104245</t>
        </is>
      </c>
      <c r="B4254" s="68" t="n">
        <v>46167</v>
      </c>
      <c r="C4254" s="69" t="n">
        <v>2026</v>
      </c>
      <c r="D4254" t="inlineStr">
        <is>
          <t>May</t>
        </is>
      </c>
      <c r="E4254" t="inlineStr">
        <is>
          <t>International developed</t>
        </is>
      </c>
      <c r="F4254" t="inlineStr">
        <is>
          <t>Australia</t>
        </is>
      </c>
      <c r="G4254" t="inlineStr">
        <is>
          <t>Ibrance</t>
        </is>
      </c>
      <c r="H4254" t="inlineStr">
        <is>
          <t>Retail pharmacy</t>
        </is>
      </c>
      <c r="I4254" t="inlineStr">
        <is>
          <t>Public payer</t>
        </is>
      </c>
      <c r="J4254" t="inlineStr">
        <is>
          <t>Wei Chen</t>
        </is>
      </c>
      <c r="K4254" s="70" t="n">
        <v>1313</v>
      </c>
      <c r="L4254" s="71" t="n">
        <v>2590.16</v>
      </c>
      <c r="M4254" s="71" t="n">
        <v>3400880.08</v>
      </c>
      <c r="N4254" s="71" t="n">
        <v>510132.01</v>
      </c>
      <c r="O4254" s="71" t="n">
        <v>2890748.07</v>
      </c>
      <c r="P4254" s="71" t="n">
        <v>565324.97</v>
      </c>
      <c r="Q4254" s="71" t="n">
        <v>2325423.1</v>
      </c>
      <c r="R4254" t="inlineStr">
        <is>
          <t>Oncology</t>
        </is>
      </c>
      <c r="S4254" s="70" t="n">
        <v>907</v>
      </c>
      <c r="T4254" s="71" t="n">
        <v>764702.5600000001</v>
      </c>
      <c r="U4254" t="inlineStr">
        <is>
          <t>High</t>
        </is>
      </c>
      <c r="V4254">
        <f>IF(AND(OR(Dashboard!$C$6="All",E4254=Dashboard!$C$6),OR(Dashboard!$F$6="All",G4254=Dashboard!$F$6),OR(Dashboard!$I$6="All",H4254=Dashboard!$I$6)),1,0)</f>
        <v/>
      </c>
    </row>
    <row r="4255">
      <c r="A4255" t="inlineStr">
        <is>
          <t>PF104246</t>
        </is>
      </c>
      <c r="B4255" s="68" t="n">
        <v>46167</v>
      </c>
      <c r="C4255" s="69" t="n">
        <v>2026</v>
      </c>
      <c r="D4255" t="inlineStr">
        <is>
          <t>May</t>
        </is>
      </c>
      <c r="E4255" t="inlineStr">
        <is>
          <t>Europe</t>
        </is>
      </c>
      <c r="F4255" t="inlineStr">
        <is>
          <t>France</t>
        </is>
      </c>
      <c r="G4255" t="inlineStr">
        <is>
          <t>Ibrance</t>
        </is>
      </c>
      <c r="H4255" t="inlineStr">
        <is>
          <t>Retail pharmacy</t>
        </is>
      </c>
      <c r="I4255" t="inlineStr">
        <is>
          <t>Public payer</t>
        </is>
      </c>
      <c r="J4255" t="inlineStr">
        <is>
          <t>Aisha Bello</t>
        </is>
      </c>
      <c r="K4255" s="70" t="n">
        <v>296</v>
      </c>
      <c r="L4255" s="71" t="n">
        <v>2798.88</v>
      </c>
      <c r="M4255" s="71" t="n">
        <v>828468.48</v>
      </c>
      <c r="N4255" s="71" t="n">
        <v>82846.85000000001</v>
      </c>
      <c r="O4255" s="71" t="n">
        <v>745621.63</v>
      </c>
      <c r="P4255" s="71" t="n">
        <v>131461.85</v>
      </c>
      <c r="Q4255" s="71" t="n">
        <v>614159.78</v>
      </c>
      <c r="R4255" t="inlineStr">
        <is>
          <t>Oncology</t>
        </is>
      </c>
      <c r="S4255" s="70" t="n">
        <v>241</v>
      </c>
      <c r="T4255" s="71" t="n">
        <v>118228.86</v>
      </c>
      <c r="U4255" t="inlineStr">
        <is>
          <t>High</t>
        </is>
      </c>
      <c r="V4255">
        <f>IF(AND(OR(Dashboard!$C$6="All",E4255=Dashboard!$C$6),OR(Dashboard!$F$6="All",G4255=Dashboard!$F$6),OR(Dashboard!$I$6="All",H4255=Dashboard!$I$6)),1,0)</f>
        <v/>
      </c>
    </row>
    <row r="4256">
      <c r="A4256" t="inlineStr">
        <is>
          <t>PF104247</t>
        </is>
      </c>
      <c r="B4256" s="68" t="n">
        <v>46167</v>
      </c>
      <c r="C4256" s="69" t="n">
        <v>2026</v>
      </c>
      <c r="D4256" t="inlineStr">
        <is>
          <t>May</t>
        </is>
      </c>
      <c r="E4256" t="inlineStr">
        <is>
          <t>United States</t>
        </is>
      </c>
      <c r="F4256" t="inlineStr">
        <is>
          <t>USA</t>
        </is>
      </c>
      <c r="G4256" t="inlineStr">
        <is>
          <t>Abrysvo</t>
        </is>
      </c>
      <c r="H4256" t="inlineStr">
        <is>
          <t>Government / tender</t>
        </is>
      </c>
      <c r="I4256" t="inlineStr">
        <is>
          <t>Private insurer</t>
        </is>
      </c>
      <c r="J4256" t="inlineStr">
        <is>
          <t>Amir Khan</t>
        </is>
      </c>
      <c r="K4256" s="70" t="n">
        <v>2898</v>
      </c>
      <c r="L4256" s="71" t="n">
        <v>492.83</v>
      </c>
      <c r="M4256" s="71" t="n">
        <v>1428221.34</v>
      </c>
      <c r="N4256" s="71" t="n">
        <v>428466.4</v>
      </c>
      <c r="O4256" s="71" t="n">
        <v>999754.9399999999</v>
      </c>
      <c r="P4256" s="71" t="n">
        <v>244665.93</v>
      </c>
      <c r="Q4256" s="71" t="n">
        <v>755089.01</v>
      </c>
      <c r="R4256" t="inlineStr">
        <is>
          <t>Vaccines</t>
        </is>
      </c>
      <c r="S4256" s="70" t="n">
        <v>1988</v>
      </c>
      <c r="T4256" s="71" t="n">
        <v>199594.55</v>
      </c>
      <c r="U4256" t="inlineStr">
        <is>
          <t>Low</t>
        </is>
      </c>
      <c r="V4256">
        <f>IF(AND(OR(Dashboard!$C$6="All",E4256=Dashboard!$C$6),OR(Dashboard!$F$6="All",G4256=Dashboard!$F$6),OR(Dashboard!$I$6="All",H4256=Dashboard!$I$6)),1,0)</f>
        <v/>
      </c>
    </row>
    <row r="4257">
      <c r="A4257" t="inlineStr">
        <is>
          <t>PF104248</t>
        </is>
      </c>
      <c r="B4257" s="68" t="n">
        <v>46167</v>
      </c>
      <c r="C4257" s="69" t="n">
        <v>2026</v>
      </c>
      <c r="D4257" t="inlineStr">
        <is>
          <t>May</t>
        </is>
      </c>
      <c r="E4257" t="inlineStr">
        <is>
          <t>Europe</t>
        </is>
      </c>
      <c r="F4257" t="inlineStr">
        <is>
          <t>UK</t>
        </is>
      </c>
      <c r="G4257" t="inlineStr">
        <is>
          <t>Ibrance</t>
        </is>
      </c>
      <c r="H4257" t="inlineStr">
        <is>
          <t>Government / tender</t>
        </is>
      </c>
      <c r="I4257" t="inlineStr">
        <is>
          <t>Private insurer</t>
        </is>
      </c>
      <c r="J4257" t="inlineStr">
        <is>
          <t>Emma Clarke</t>
        </is>
      </c>
      <c r="K4257" s="70" t="n">
        <v>446</v>
      </c>
      <c r="L4257" s="71" t="n">
        <v>3094.59</v>
      </c>
      <c r="M4257" s="71" t="n">
        <v>1380187.14</v>
      </c>
      <c r="N4257" s="71" t="n">
        <v>345046.78</v>
      </c>
      <c r="O4257" s="71" t="n">
        <v>1035140.36</v>
      </c>
      <c r="P4257" s="71" t="n">
        <v>188943.86</v>
      </c>
      <c r="Q4257" s="71" t="n">
        <v>846196.5</v>
      </c>
      <c r="R4257" t="inlineStr">
        <is>
          <t>Oncology</t>
        </is>
      </c>
      <c r="S4257" s="70" t="n">
        <v>424</v>
      </c>
      <c r="T4257" s="71" t="n">
        <v>187876.9</v>
      </c>
      <c r="U4257" t="inlineStr">
        <is>
          <t>High</t>
        </is>
      </c>
      <c r="V4257">
        <f>IF(AND(OR(Dashboard!$C$6="All",E4257=Dashboard!$C$6),OR(Dashboard!$F$6="All",G4257=Dashboard!$F$6),OR(Dashboard!$I$6="All",H4257=Dashboard!$I$6)),1,0)</f>
        <v/>
      </c>
    </row>
    <row r="4258">
      <c r="A4258" t="inlineStr">
        <is>
          <t>PF104249</t>
        </is>
      </c>
      <c r="B4258" s="68" t="n">
        <v>46167</v>
      </c>
      <c r="C4258" s="69" t="n">
        <v>2026</v>
      </c>
      <c r="D4258" t="inlineStr">
        <is>
          <t>May</t>
        </is>
      </c>
      <c r="E4258" t="inlineStr">
        <is>
          <t>United States</t>
        </is>
      </c>
      <c r="F4258" t="inlineStr">
        <is>
          <t>USA</t>
        </is>
      </c>
      <c r="G4258" t="inlineStr">
        <is>
          <t>Prevnar 20</t>
        </is>
      </c>
      <c r="H4258" t="inlineStr">
        <is>
          <t>Government / tender</t>
        </is>
      </c>
      <c r="I4258" t="inlineStr">
        <is>
          <t>Private insurer</t>
        </is>
      </c>
      <c r="J4258" t="inlineStr">
        <is>
          <t>Carlos Silva</t>
        </is>
      </c>
      <c r="K4258" s="70" t="n">
        <v>2992</v>
      </c>
      <c r="L4258" s="71" t="n">
        <v>410.24</v>
      </c>
      <c r="M4258" s="71" t="n">
        <v>1227438.08</v>
      </c>
      <c r="N4258" s="71" t="n">
        <v>245487.62</v>
      </c>
      <c r="O4258" s="71" t="n">
        <v>981950.46</v>
      </c>
      <c r="P4258" s="71" t="n">
        <v>201943.36</v>
      </c>
      <c r="Q4258" s="71" t="n">
        <v>780007.1</v>
      </c>
      <c r="R4258" t="inlineStr">
        <is>
          <t>Vaccines</t>
        </is>
      </c>
      <c r="S4258" s="70" t="n">
        <v>2059</v>
      </c>
      <c r="T4258" s="71" t="n">
        <v>172653.36</v>
      </c>
      <c r="U4258" t="inlineStr">
        <is>
          <t>Low</t>
        </is>
      </c>
      <c r="V4258">
        <f>IF(AND(OR(Dashboard!$C$6="All",E4258=Dashboard!$C$6),OR(Dashboard!$F$6="All",G4258=Dashboard!$F$6),OR(Dashboard!$I$6="All",H4258=Dashboard!$I$6)),1,0)</f>
        <v/>
      </c>
    </row>
    <row r="4259">
      <c r="A4259" t="inlineStr">
        <is>
          <t>PF104250</t>
        </is>
      </c>
      <c r="B4259" s="68" t="n">
        <v>46168</v>
      </c>
      <c r="C4259" s="69" t="n">
        <v>2026</v>
      </c>
      <c r="D4259" t="inlineStr">
        <is>
          <t>May</t>
        </is>
      </c>
      <c r="E4259" t="inlineStr">
        <is>
          <t>Emerging markets</t>
        </is>
      </c>
      <c r="F4259" t="inlineStr">
        <is>
          <t>Mexico</t>
        </is>
      </c>
      <c r="G4259" t="inlineStr">
        <is>
          <t>Abrysvo</t>
        </is>
      </c>
      <c r="H4259" t="inlineStr">
        <is>
          <t>Government / tender</t>
        </is>
      </c>
      <c r="I4259" t="inlineStr">
        <is>
          <t>Public payer</t>
        </is>
      </c>
      <c r="J4259" t="inlineStr">
        <is>
          <t>Omar Haddad</t>
        </is>
      </c>
      <c r="K4259" s="70" t="n">
        <v>2725</v>
      </c>
      <c r="L4259" s="71" t="n">
        <v>331.26</v>
      </c>
      <c r="M4259" s="71" t="n">
        <v>902683.5</v>
      </c>
      <c r="N4259" s="71" t="n">
        <v>225670.88</v>
      </c>
      <c r="O4259" s="71" t="n">
        <v>677012.62</v>
      </c>
      <c r="P4259" s="71" t="n">
        <v>225948.27</v>
      </c>
      <c r="Q4259" s="71" t="n">
        <v>451064.35</v>
      </c>
      <c r="R4259" t="inlineStr">
        <is>
          <t>Vaccines</t>
        </is>
      </c>
      <c r="S4259" s="70" t="n">
        <v>2044</v>
      </c>
      <c r="T4259" s="71" t="n">
        <v>153758.18</v>
      </c>
      <c r="U4259" t="inlineStr">
        <is>
          <t>Low</t>
        </is>
      </c>
      <c r="V4259">
        <f>IF(AND(OR(Dashboard!$C$6="All",E4259=Dashboard!$C$6),OR(Dashboard!$F$6="All",G4259=Dashboard!$F$6),OR(Dashboard!$I$6="All",H4259=Dashboard!$I$6)),1,0)</f>
        <v/>
      </c>
    </row>
    <row r="4260">
      <c r="A4260" t="inlineStr">
        <is>
          <t>PF104251</t>
        </is>
      </c>
      <c r="B4260" s="68" t="n">
        <v>46168</v>
      </c>
      <c r="C4260" s="69" t="n">
        <v>2026</v>
      </c>
      <c r="D4260" t="inlineStr">
        <is>
          <t>May</t>
        </is>
      </c>
      <c r="E4260" t="inlineStr">
        <is>
          <t>United States</t>
        </is>
      </c>
      <c r="F4260" t="inlineStr">
        <is>
          <t>USA</t>
        </is>
      </c>
      <c r="G4260" t="inlineStr">
        <is>
          <t>Eliquis</t>
        </is>
      </c>
      <c r="H4260" t="inlineStr">
        <is>
          <t>Retail pharmacy</t>
        </is>
      </c>
      <c r="I4260" t="inlineStr">
        <is>
          <t>Public payer</t>
        </is>
      </c>
      <c r="J4260" t="inlineStr">
        <is>
          <t>Olivia Brown</t>
        </is>
      </c>
      <c r="K4260" s="70" t="n">
        <v>957</v>
      </c>
      <c r="L4260" s="71" t="n">
        <v>663.01</v>
      </c>
      <c r="M4260" s="71" t="n">
        <v>634500.5699999999</v>
      </c>
      <c r="N4260" s="71" t="n">
        <v>95175.09</v>
      </c>
      <c r="O4260" s="71" t="n">
        <v>539325.48</v>
      </c>
      <c r="P4260" s="71" t="n">
        <v>69864.17999999999</v>
      </c>
      <c r="Q4260" s="71" t="n">
        <v>469461.3</v>
      </c>
      <c r="R4260" t="inlineStr">
        <is>
          <t>Cardiology</t>
        </is>
      </c>
      <c r="S4260" s="70" t="n">
        <v>763</v>
      </c>
      <c r="T4260" s="71" t="n">
        <v>97641.91</v>
      </c>
      <c r="U4260" t="inlineStr">
        <is>
          <t>High</t>
        </is>
      </c>
      <c r="V4260">
        <f>IF(AND(OR(Dashboard!$C$6="All",E4260=Dashboard!$C$6),OR(Dashboard!$F$6="All",G4260=Dashboard!$F$6),OR(Dashboard!$I$6="All",H4260=Dashboard!$I$6)),1,0)</f>
        <v/>
      </c>
    </row>
    <row r="4261">
      <c r="A4261" t="inlineStr">
        <is>
          <t>PF104252</t>
        </is>
      </c>
      <c r="B4261" s="68" t="n">
        <v>46168</v>
      </c>
      <c r="C4261" s="69" t="n">
        <v>2026</v>
      </c>
      <c r="D4261" t="inlineStr">
        <is>
          <t>May</t>
        </is>
      </c>
      <c r="E4261" t="inlineStr">
        <is>
          <t>United States</t>
        </is>
      </c>
      <c r="F4261" t="inlineStr">
        <is>
          <t>USA</t>
        </is>
      </c>
      <c r="G4261" t="inlineStr">
        <is>
          <t>Abrysvo</t>
        </is>
      </c>
      <c r="H4261" t="inlineStr">
        <is>
          <t>Retail pharmacy</t>
        </is>
      </c>
      <c r="I4261" t="inlineStr">
        <is>
          <t>Private insurer</t>
        </is>
      </c>
      <c r="J4261" t="inlineStr">
        <is>
          <t>Lucas Martin</t>
        </is>
      </c>
      <c r="K4261" s="70" t="n">
        <v>3244</v>
      </c>
      <c r="L4261" s="71" t="n">
        <v>515.91</v>
      </c>
      <c r="M4261" s="71" t="n">
        <v>1673612.04</v>
      </c>
      <c r="N4261" s="71" t="n">
        <v>502083.61</v>
      </c>
      <c r="O4261" s="71" t="n">
        <v>1171528.43</v>
      </c>
      <c r="P4261" s="71" t="n">
        <v>278714.54</v>
      </c>
      <c r="Q4261" s="71" t="n">
        <v>892813.89</v>
      </c>
      <c r="R4261" t="inlineStr">
        <is>
          <t>Vaccines</t>
        </is>
      </c>
      <c r="S4261" s="70" t="n">
        <v>2522</v>
      </c>
      <c r="T4261" s="71" t="n">
        <v>272226.97</v>
      </c>
      <c r="U4261" t="inlineStr">
        <is>
          <t>Low</t>
        </is>
      </c>
      <c r="V4261">
        <f>IF(AND(OR(Dashboard!$C$6="All",E4261=Dashboard!$C$6),OR(Dashboard!$F$6="All",G4261=Dashboard!$F$6),OR(Dashboard!$I$6="All",H4261=Dashboard!$I$6)),1,0)</f>
        <v/>
      </c>
    </row>
    <row r="4262">
      <c r="A4262" t="inlineStr">
        <is>
          <t>PF104253</t>
        </is>
      </c>
      <c r="B4262" s="68" t="n">
        <v>46168</v>
      </c>
      <c r="C4262" s="69" t="n">
        <v>2026</v>
      </c>
      <c r="D4262" t="inlineStr">
        <is>
          <t>May</t>
        </is>
      </c>
      <c r="E4262" t="inlineStr">
        <is>
          <t>United States</t>
        </is>
      </c>
      <c r="F4262" t="inlineStr">
        <is>
          <t>USA</t>
        </is>
      </c>
      <c r="G4262" t="inlineStr">
        <is>
          <t>Eliquis</t>
        </is>
      </c>
      <c r="H4262" t="inlineStr">
        <is>
          <t>Hospital</t>
        </is>
      </c>
      <c r="I4262" t="inlineStr">
        <is>
          <t>Public payer</t>
        </is>
      </c>
      <c r="J4262" t="inlineStr">
        <is>
          <t>Kofi Mensah</t>
        </is>
      </c>
      <c r="K4262" s="70" t="n">
        <v>244</v>
      </c>
      <c r="L4262" s="71" t="n">
        <v>693.25</v>
      </c>
      <c r="M4262" s="71" t="n">
        <v>169153</v>
      </c>
      <c r="N4262" s="71" t="n">
        <v>50745.9</v>
      </c>
      <c r="O4262" s="71" t="n">
        <v>118407.1</v>
      </c>
      <c r="P4262" s="71" t="n">
        <v>18155.93</v>
      </c>
      <c r="Q4262" s="71" t="n">
        <v>100251.17</v>
      </c>
      <c r="R4262" t="inlineStr">
        <is>
          <t>Cardiology</t>
        </is>
      </c>
      <c r="S4262" s="70" t="n">
        <v>184</v>
      </c>
      <c r="T4262" s="71" t="n">
        <v>33504.25</v>
      </c>
      <c r="U4262" t="inlineStr">
        <is>
          <t>High</t>
        </is>
      </c>
      <c r="V4262">
        <f>IF(AND(OR(Dashboard!$C$6="All",E4262=Dashboard!$C$6),OR(Dashboard!$F$6="All",G4262=Dashboard!$F$6),OR(Dashboard!$I$6="All",H4262=Dashboard!$I$6)),1,0)</f>
        <v/>
      </c>
    </row>
    <row r="4263">
      <c r="A4263" t="inlineStr">
        <is>
          <t>PF104254</t>
        </is>
      </c>
      <c r="B4263" s="68" t="n">
        <v>46168</v>
      </c>
      <c r="C4263" s="69" t="n">
        <v>2026</v>
      </c>
      <c r="D4263" t="inlineStr">
        <is>
          <t>May</t>
        </is>
      </c>
      <c r="E4263" t="inlineStr">
        <is>
          <t>United States</t>
        </is>
      </c>
      <c r="F4263" t="inlineStr">
        <is>
          <t>USA</t>
        </is>
      </c>
      <c r="G4263" t="inlineStr">
        <is>
          <t>Ibrance</t>
        </is>
      </c>
      <c r="H4263" t="inlineStr">
        <is>
          <t>Hospital</t>
        </is>
      </c>
      <c r="I4263" t="inlineStr">
        <is>
          <t>Public payer</t>
        </is>
      </c>
      <c r="J4263" t="inlineStr">
        <is>
          <t>Lucas Martin</t>
        </is>
      </c>
      <c r="K4263" s="70" t="n">
        <v>2191</v>
      </c>
      <c r="L4263" s="71" t="n">
        <v>4429.18</v>
      </c>
      <c r="M4263" s="71" t="n">
        <v>9704333.380000001</v>
      </c>
      <c r="N4263" s="71" t="n">
        <v>1455650.01</v>
      </c>
      <c r="O4263" s="71" t="n">
        <v>8248683.37</v>
      </c>
      <c r="P4263" s="71" t="n">
        <v>948985.67</v>
      </c>
      <c r="Q4263" s="71" t="n">
        <v>7299697.7</v>
      </c>
      <c r="R4263" t="inlineStr">
        <is>
          <t>Oncology</t>
        </is>
      </c>
      <c r="S4263" s="70" t="n">
        <v>1778</v>
      </c>
      <c r="T4263" s="71" t="n">
        <v>2055222.97</v>
      </c>
      <c r="U4263" t="inlineStr">
        <is>
          <t>High</t>
        </is>
      </c>
      <c r="V4263">
        <f>IF(AND(OR(Dashboard!$C$6="All",E4263=Dashboard!$C$6),OR(Dashboard!$F$6="All",G4263=Dashboard!$F$6),OR(Dashboard!$I$6="All",H4263=Dashboard!$I$6)),1,0)</f>
        <v/>
      </c>
    </row>
    <row r="4264">
      <c r="A4264" t="inlineStr">
        <is>
          <t>PF104255</t>
        </is>
      </c>
      <c r="B4264" s="68" t="n">
        <v>46168</v>
      </c>
      <c r="C4264" s="69" t="n">
        <v>2026</v>
      </c>
      <c r="D4264" t="inlineStr">
        <is>
          <t>May</t>
        </is>
      </c>
      <c r="E4264" t="inlineStr">
        <is>
          <t>Europe</t>
        </is>
      </c>
      <c r="F4264" t="inlineStr">
        <is>
          <t>France</t>
        </is>
      </c>
      <c r="G4264" t="inlineStr">
        <is>
          <t>Comirnaty</t>
        </is>
      </c>
      <c r="H4264" t="inlineStr">
        <is>
          <t>Retail pharmacy</t>
        </is>
      </c>
      <c r="I4264" t="inlineStr">
        <is>
          <t>Self-pay</t>
        </is>
      </c>
      <c r="J4264" t="inlineStr">
        <is>
          <t>Wei Chen</t>
        </is>
      </c>
      <c r="K4264" s="70" t="n">
        <v>456</v>
      </c>
      <c r="L4264" s="71" t="n">
        <v>93.04000000000001</v>
      </c>
      <c r="M4264" s="71" t="n">
        <v>42426.24</v>
      </c>
      <c r="N4264" s="71" t="n">
        <v>8485.25</v>
      </c>
      <c r="O4264" s="71" t="n">
        <v>33940.99</v>
      </c>
      <c r="P4264" s="71" t="n">
        <v>16897.21</v>
      </c>
      <c r="Q4264" s="71" t="n">
        <v>17043.78</v>
      </c>
      <c r="R4264" t="inlineStr">
        <is>
          <t>Vaccines</t>
        </is>
      </c>
      <c r="S4264" s="70" t="n">
        <v>301</v>
      </c>
      <c r="T4264" s="71" t="n">
        <v>10545.17</v>
      </c>
      <c r="U4264" t="inlineStr">
        <is>
          <t>Low</t>
        </is>
      </c>
      <c r="V4264">
        <f>IF(AND(OR(Dashboard!$C$6="All",E4264=Dashboard!$C$6),OR(Dashboard!$F$6="All",G4264=Dashboard!$F$6),OR(Dashboard!$I$6="All",H4264=Dashboard!$I$6)),1,0)</f>
        <v/>
      </c>
    </row>
    <row r="4265">
      <c r="A4265" t="inlineStr">
        <is>
          <t>PF104256</t>
        </is>
      </c>
      <c r="B4265" s="68" t="n">
        <v>46168</v>
      </c>
      <c r="C4265" s="69" t="n">
        <v>2026</v>
      </c>
      <c r="D4265" t="inlineStr">
        <is>
          <t>May</t>
        </is>
      </c>
      <c r="E4265" t="inlineStr">
        <is>
          <t>United States</t>
        </is>
      </c>
      <c r="F4265" t="inlineStr">
        <is>
          <t>USA</t>
        </is>
      </c>
      <c r="G4265" t="inlineStr">
        <is>
          <t>Prevnar 20</t>
        </is>
      </c>
      <c r="H4265" t="inlineStr">
        <is>
          <t>Hospital</t>
        </is>
      </c>
      <c r="I4265" t="inlineStr">
        <is>
          <t>Public payer</t>
        </is>
      </c>
      <c r="J4265" t="inlineStr">
        <is>
          <t>Hiroshi Tanaka</t>
        </is>
      </c>
      <c r="K4265" s="70" t="n">
        <v>94</v>
      </c>
      <c r="L4265" s="71" t="n">
        <v>384.08</v>
      </c>
      <c r="M4265" s="71" t="n">
        <v>36103.52</v>
      </c>
      <c r="N4265" s="71" t="n">
        <v>9025.879999999999</v>
      </c>
      <c r="O4265" s="71" t="n">
        <v>27077.64</v>
      </c>
      <c r="P4265" s="71" t="n">
        <v>6726.72</v>
      </c>
      <c r="Q4265" s="71" t="n">
        <v>20350.92</v>
      </c>
      <c r="R4265" t="inlineStr">
        <is>
          <t>Vaccines</t>
        </is>
      </c>
      <c r="S4265" s="70" t="n">
        <v>89</v>
      </c>
      <c r="T4265" s="71" t="n">
        <v>7092.72</v>
      </c>
      <c r="U4265" t="inlineStr">
        <is>
          <t>Low</t>
        </is>
      </c>
      <c r="V4265">
        <f>IF(AND(OR(Dashboard!$C$6="All",E4265=Dashboard!$C$6),OR(Dashboard!$F$6="All",G4265=Dashboard!$F$6),OR(Dashboard!$I$6="All",H4265=Dashboard!$I$6)),1,0)</f>
        <v/>
      </c>
    </row>
    <row r="4266">
      <c r="A4266" t="inlineStr">
        <is>
          <t>PF104257</t>
        </is>
      </c>
      <c r="B4266" s="68" t="n">
        <v>46168</v>
      </c>
      <c r="C4266" s="69" t="n">
        <v>2026</v>
      </c>
      <c r="D4266" t="inlineStr">
        <is>
          <t>May</t>
        </is>
      </c>
      <c r="E4266" t="inlineStr">
        <is>
          <t>United States</t>
        </is>
      </c>
      <c r="F4266" t="inlineStr">
        <is>
          <t>USA</t>
        </is>
      </c>
      <c r="G4266" t="inlineStr">
        <is>
          <t>Prevnar 20</t>
        </is>
      </c>
      <c r="H4266" t="inlineStr">
        <is>
          <t>Hospital</t>
        </is>
      </c>
      <c r="I4266" t="inlineStr">
        <is>
          <t>Self-pay</t>
        </is>
      </c>
      <c r="J4266" t="inlineStr">
        <is>
          <t>Wei Chen</t>
        </is>
      </c>
      <c r="K4266" s="70" t="n">
        <v>2094</v>
      </c>
      <c r="L4266" s="71" t="n">
        <v>348.34</v>
      </c>
      <c r="M4266" s="71" t="n">
        <v>729423.96</v>
      </c>
      <c r="N4266" s="71" t="n">
        <v>145884.79</v>
      </c>
      <c r="O4266" s="71" t="n">
        <v>583539.17</v>
      </c>
      <c r="P4266" s="71" t="n">
        <v>147288.61</v>
      </c>
      <c r="Q4266" s="71" t="n">
        <v>436250.56</v>
      </c>
      <c r="R4266" t="inlineStr">
        <is>
          <t>Vaccines</t>
        </is>
      </c>
      <c r="S4266" s="70" t="n">
        <v>1862</v>
      </c>
      <c r="T4266" s="71" t="n">
        <v>104648.29</v>
      </c>
      <c r="U4266" t="inlineStr">
        <is>
          <t>Low</t>
        </is>
      </c>
      <c r="V4266">
        <f>IF(AND(OR(Dashboard!$C$6="All",E4266=Dashboard!$C$6),OR(Dashboard!$F$6="All",G4266=Dashboard!$F$6),OR(Dashboard!$I$6="All",H4266=Dashboard!$I$6)),1,0)</f>
        <v/>
      </c>
    </row>
    <row r="4267">
      <c r="A4267" t="inlineStr">
        <is>
          <t>PF104258</t>
        </is>
      </c>
      <c r="B4267" s="68" t="n">
        <v>46169</v>
      </c>
      <c r="C4267" s="69" t="n">
        <v>2026</v>
      </c>
      <c r="D4267" t="inlineStr">
        <is>
          <t>May</t>
        </is>
      </c>
      <c r="E4267" t="inlineStr">
        <is>
          <t>International developed</t>
        </is>
      </c>
      <c r="F4267" t="inlineStr">
        <is>
          <t>Australia</t>
        </is>
      </c>
      <c r="G4267" t="inlineStr">
        <is>
          <t>Vyndaqel</t>
        </is>
      </c>
      <c r="H4267" t="inlineStr">
        <is>
          <t>Retail pharmacy</t>
        </is>
      </c>
      <c r="I4267" t="inlineStr">
        <is>
          <t>Private insurer</t>
        </is>
      </c>
      <c r="J4267" t="inlineStr">
        <is>
          <t>Wei Chen</t>
        </is>
      </c>
      <c r="K4267" s="70" t="n">
        <v>2162</v>
      </c>
      <c r="L4267" s="71" t="n">
        <v>5634.37</v>
      </c>
      <c r="M4267" s="71" t="n">
        <v>12181507.94</v>
      </c>
      <c r="N4267" s="71" t="n">
        <v>2436301.59</v>
      </c>
      <c r="O4267" s="71" t="n">
        <v>9745206.35</v>
      </c>
      <c r="P4267" s="71" t="n">
        <v>1297792.78</v>
      </c>
      <c r="Q4267" s="71" t="n">
        <v>8447413.57</v>
      </c>
      <c r="R4267" t="inlineStr">
        <is>
          <t>Rare disease</t>
        </is>
      </c>
      <c r="S4267" s="70" t="n">
        <v>1430</v>
      </c>
      <c r="T4267" s="71" t="n">
        <v>1471198.88</v>
      </c>
      <c r="U4267" t="inlineStr">
        <is>
          <t>Medium</t>
        </is>
      </c>
      <c r="V4267">
        <f>IF(AND(OR(Dashboard!$C$6="All",E4267=Dashboard!$C$6),OR(Dashboard!$F$6="All",G4267=Dashboard!$F$6),OR(Dashboard!$I$6="All",H4267=Dashboard!$I$6)),1,0)</f>
        <v/>
      </c>
    </row>
    <row r="4268">
      <c r="A4268" t="inlineStr">
        <is>
          <t>PF104259</t>
        </is>
      </c>
      <c r="B4268" s="68" t="n">
        <v>46169</v>
      </c>
      <c r="C4268" s="69" t="n">
        <v>2026</v>
      </c>
      <c r="D4268" t="inlineStr">
        <is>
          <t>May</t>
        </is>
      </c>
      <c r="E4268" t="inlineStr">
        <is>
          <t>United States</t>
        </is>
      </c>
      <c r="F4268" t="inlineStr">
        <is>
          <t>USA</t>
        </is>
      </c>
      <c r="G4268" t="inlineStr">
        <is>
          <t>Paxlovid</t>
        </is>
      </c>
      <c r="H4268" t="inlineStr">
        <is>
          <t>Hospital</t>
        </is>
      </c>
      <c r="I4268" t="inlineStr">
        <is>
          <t>Private insurer</t>
        </is>
      </c>
      <c r="J4268" t="inlineStr">
        <is>
          <t>Priya Nair</t>
        </is>
      </c>
      <c r="K4268" s="70" t="n">
        <v>2073</v>
      </c>
      <c r="L4268" s="71" t="n">
        <v>1445.01</v>
      </c>
      <c r="M4268" s="71" t="n">
        <v>2995505.73</v>
      </c>
      <c r="N4268" s="71" t="n">
        <v>599101.15</v>
      </c>
      <c r="O4268" s="71" t="n">
        <v>2396404.58</v>
      </c>
      <c r="P4268" s="71" t="n">
        <v>557741.4399999999</v>
      </c>
      <c r="Q4268" s="71" t="n">
        <v>1838663.14</v>
      </c>
      <c r="R4268" t="inlineStr">
        <is>
          <t>Antiviral</t>
        </is>
      </c>
      <c r="S4268" s="70" t="n">
        <v>1669</v>
      </c>
      <c r="T4268" s="71" t="n">
        <v>641439.12</v>
      </c>
      <c r="U4268" t="inlineStr">
        <is>
          <t>Low</t>
        </is>
      </c>
      <c r="V4268">
        <f>IF(AND(OR(Dashboard!$C$6="All",E4268=Dashboard!$C$6),OR(Dashboard!$F$6="All",G4268=Dashboard!$F$6),OR(Dashboard!$I$6="All",H4268=Dashboard!$I$6)),1,0)</f>
        <v/>
      </c>
    </row>
    <row r="4269">
      <c r="A4269" t="inlineStr">
        <is>
          <t>PF104260</t>
        </is>
      </c>
      <c r="B4269" s="68" t="n">
        <v>46169</v>
      </c>
      <c r="C4269" s="69" t="n">
        <v>2026</v>
      </c>
      <c r="D4269" t="inlineStr">
        <is>
          <t>May</t>
        </is>
      </c>
      <c r="E4269" t="inlineStr">
        <is>
          <t>United States</t>
        </is>
      </c>
      <c r="F4269" t="inlineStr">
        <is>
          <t>USA</t>
        </is>
      </c>
      <c r="G4269" t="inlineStr">
        <is>
          <t>Eliquis</t>
        </is>
      </c>
      <c r="H4269" t="inlineStr">
        <is>
          <t>Government / tender</t>
        </is>
      </c>
      <c r="I4269" t="inlineStr">
        <is>
          <t>Public payer</t>
        </is>
      </c>
      <c r="J4269" t="inlineStr">
        <is>
          <t>Yuki Sato</t>
        </is>
      </c>
      <c r="K4269" s="70" t="n">
        <v>2243</v>
      </c>
      <c r="L4269" s="71" t="n">
        <v>691.27</v>
      </c>
      <c r="M4269" s="71" t="n">
        <v>1550518.61</v>
      </c>
      <c r="N4269" s="71" t="n">
        <v>542681.51</v>
      </c>
      <c r="O4269" s="71" t="n">
        <v>1007837.1</v>
      </c>
      <c r="P4269" s="71" t="n">
        <v>166173.41</v>
      </c>
      <c r="Q4269" s="71" t="n">
        <v>841663.6899999999</v>
      </c>
      <c r="R4269" t="inlineStr">
        <is>
          <t>Cardiology</t>
        </is>
      </c>
      <c r="S4269" s="70" t="n">
        <v>2104</v>
      </c>
      <c r="T4269" s="71" t="n">
        <v>241375.99</v>
      </c>
      <c r="U4269" t="inlineStr">
        <is>
          <t>High</t>
        </is>
      </c>
      <c r="V4269">
        <f>IF(AND(OR(Dashboard!$C$6="All",E4269=Dashboard!$C$6),OR(Dashboard!$F$6="All",G4269=Dashboard!$F$6),OR(Dashboard!$I$6="All",H4269=Dashboard!$I$6)),1,0)</f>
        <v/>
      </c>
    </row>
    <row r="4270">
      <c r="A4270" t="inlineStr">
        <is>
          <t>PF104261</t>
        </is>
      </c>
      <c r="B4270" s="68" t="n">
        <v>46169</v>
      </c>
      <c r="C4270" s="69" t="n">
        <v>2026</v>
      </c>
      <c r="D4270" t="inlineStr">
        <is>
          <t>May</t>
        </is>
      </c>
      <c r="E4270" t="inlineStr">
        <is>
          <t>United States</t>
        </is>
      </c>
      <c r="F4270" t="inlineStr">
        <is>
          <t>USA</t>
        </is>
      </c>
      <c r="G4270" t="inlineStr">
        <is>
          <t>Eliquis</t>
        </is>
      </c>
      <c r="H4270" t="inlineStr">
        <is>
          <t>Government / tender</t>
        </is>
      </c>
      <c r="I4270" t="inlineStr">
        <is>
          <t>Private insurer</t>
        </is>
      </c>
      <c r="J4270" t="inlineStr">
        <is>
          <t>Kofi Mensah</t>
        </is>
      </c>
      <c r="K4270" s="70" t="n">
        <v>1395</v>
      </c>
      <c r="L4270" s="71" t="n">
        <v>738.54</v>
      </c>
      <c r="M4270" s="71" t="n">
        <v>1030263.3</v>
      </c>
      <c r="N4270" s="71" t="n">
        <v>257565.83</v>
      </c>
      <c r="O4270" s="71" t="n">
        <v>772697.47</v>
      </c>
      <c r="P4270" s="71" t="n">
        <v>104224.86</v>
      </c>
      <c r="Q4270" s="71" t="n">
        <v>668472.61</v>
      </c>
      <c r="R4270" t="inlineStr">
        <is>
          <t>Cardiology</t>
        </is>
      </c>
      <c r="S4270" s="70" t="n">
        <v>1067</v>
      </c>
      <c r="T4270" s="71" t="n">
        <v>212431.68</v>
      </c>
      <c r="U4270" t="inlineStr">
        <is>
          <t>High</t>
        </is>
      </c>
      <c r="V4270">
        <f>IF(AND(OR(Dashboard!$C$6="All",E4270=Dashboard!$C$6),OR(Dashboard!$F$6="All",G4270=Dashboard!$F$6),OR(Dashboard!$I$6="All",H4270=Dashboard!$I$6)),1,0)</f>
        <v/>
      </c>
    </row>
    <row r="4271">
      <c r="A4271" t="inlineStr">
        <is>
          <t>PF104262</t>
        </is>
      </c>
      <c r="B4271" s="68" t="n">
        <v>46169</v>
      </c>
      <c r="C4271" s="69" t="n">
        <v>2026</v>
      </c>
      <c r="D4271" t="inlineStr">
        <is>
          <t>May</t>
        </is>
      </c>
      <c r="E4271" t="inlineStr">
        <is>
          <t>United States</t>
        </is>
      </c>
      <c r="F4271" t="inlineStr">
        <is>
          <t>USA</t>
        </is>
      </c>
      <c r="G4271" t="inlineStr">
        <is>
          <t>Prevnar 20</t>
        </is>
      </c>
      <c r="H4271" t="inlineStr">
        <is>
          <t>Government / tender</t>
        </is>
      </c>
      <c r="I4271" t="inlineStr">
        <is>
          <t>Public payer</t>
        </is>
      </c>
      <c r="J4271" t="inlineStr">
        <is>
          <t>Liam O'Brien</t>
        </is>
      </c>
      <c r="K4271" s="70" t="n">
        <v>505</v>
      </c>
      <c r="L4271" s="71" t="n">
        <v>343.68</v>
      </c>
      <c r="M4271" s="71" t="n">
        <v>173558.4</v>
      </c>
      <c r="N4271" s="71" t="n">
        <v>52067.52</v>
      </c>
      <c r="O4271" s="71" t="n">
        <v>121490.88</v>
      </c>
      <c r="P4271" s="71" t="n">
        <v>35487.68</v>
      </c>
      <c r="Q4271" s="71" t="n">
        <v>86003.2</v>
      </c>
      <c r="R4271" t="inlineStr">
        <is>
          <t>Vaccines</t>
        </is>
      </c>
      <c r="S4271" s="70" t="n">
        <v>346</v>
      </c>
      <c r="T4271" s="71" t="n">
        <v>33206.67</v>
      </c>
      <c r="U4271" t="inlineStr">
        <is>
          <t>Low</t>
        </is>
      </c>
      <c r="V4271">
        <f>IF(AND(OR(Dashboard!$C$6="All",E4271=Dashboard!$C$6),OR(Dashboard!$F$6="All",G4271=Dashboard!$F$6),OR(Dashboard!$I$6="All",H4271=Dashboard!$I$6)),1,0)</f>
        <v/>
      </c>
    </row>
    <row r="4272">
      <c r="A4272" t="inlineStr">
        <is>
          <t>PF104263</t>
        </is>
      </c>
      <c r="B4272" s="68" t="n">
        <v>46169</v>
      </c>
      <c r="C4272" s="69" t="n">
        <v>2026</v>
      </c>
      <c r="D4272" t="inlineStr">
        <is>
          <t>May</t>
        </is>
      </c>
      <c r="E4272" t="inlineStr">
        <is>
          <t>United States</t>
        </is>
      </c>
      <c r="F4272" t="inlineStr">
        <is>
          <t>USA</t>
        </is>
      </c>
      <c r="G4272" t="inlineStr">
        <is>
          <t>Ibrance</t>
        </is>
      </c>
      <c r="H4272" t="inlineStr">
        <is>
          <t>Retail pharmacy</t>
        </is>
      </c>
      <c r="I4272" t="inlineStr">
        <is>
          <t>Private insurer</t>
        </is>
      </c>
      <c r="J4272" t="inlineStr">
        <is>
          <t>Zoya Ahmed</t>
        </is>
      </c>
      <c r="K4272" s="70" t="n">
        <v>1069</v>
      </c>
      <c r="L4272" s="71" t="n">
        <v>4973.5</v>
      </c>
      <c r="M4272" s="71" t="n">
        <v>5316671.5</v>
      </c>
      <c r="N4272" s="71" t="n">
        <v>1329167.88</v>
      </c>
      <c r="O4272" s="71" t="n">
        <v>3987503.62</v>
      </c>
      <c r="P4272" s="71" t="n">
        <v>476257.72</v>
      </c>
      <c r="Q4272" s="71" t="n">
        <v>3511245.9</v>
      </c>
      <c r="R4272" t="inlineStr">
        <is>
          <t>Oncology</t>
        </is>
      </c>
      <c r="S4272" s="70" t="n">
        <v>935</v>
      </c>
      <c r="T4272" s="71" t="n">
        <v>1023064.06</v>
      </c>
      <c r="U4272" t="inlineStr">
        <is>
          <t>High</t>
        </is>
      </c>
      <c r="V4272">
        <f>IF(AND(OR(Dashboard!$C$6="All",E4272=Dashboard!$C$6),OR(Dashboard!$F$6="All",G4272=Dashboard!$F$6),OR(Dashboard!$I$6="All",H4272=Dashboard!$I$6)),1,0)</f>
        <v/>
      </c>
    </row>
    <row r="4273">
      <c r="A4273" t="inlineStr">
        <is>
          <t>PF104264</t>
        </is>
      </c>
      <c r="B4273" s="68" t="n">
        <v>46170</v>
      </c>
      <c r="C4273" s="69" t="n">
        <v>2026</v>
      </c>
      <c r="D4273" t="inlineStr">
        <is>
          <t>May</t>
        </is>
      </c>
      <c r="E4273" t="inlineStr">
        <is>
          <t>International developed</t>
        </is>
      </c>
      <c r="F4273" t="inlineStr">
        <is>
          <t>Japan</t>
        </is>
      </c>
      <c r="G4273" t="inlineStr">
        <is>
          <t>Comirnaty</t>
        </is>
      </c>
      <c r="H4273" t="inlineStr">
        <is>
          <t>Retail pharmacy</t>
        </is>
      </c>
      <c r="I4273" t="inlineStr">
        <is>
          <t>Public payer</t>
        </is>
      </c>
      <c r="J4273" t="inlineStr">
        <is>
          <t>Noah Smith</t>
        </is>
      </c>
      <c r="K4273" s="70" t="n">
        <v>784</v>
      </c>
      <c r="L4273" s="71" t="n">
        <v>86.44</v>
      </c>
      <c r="M4273" s="71" t="n">
        <v>67768.96000000001</v>
      </c>
      <c r="N4273" s="71" t="n">
        <v>10165.34</v>
      </c>
      <c r="O4273" s="71" t="n">
        <v>57603.62</v>
      </c>
      <c r="P4273" s="71" t="n">
        <v>30947.06</v>
      </c>
      <c r="Q4273" s="71" t="n">
        <v>26656.56</v>
      </c>
      <c r="R4273" t="inlineStr">
        <is>
          <t>Vaccines</t>
        </is>
      </c>
      <c r="S4273" s="70" t="n">
        <v>709</v>
      </c>
      <c r="T4273" s="71" t="n">
        <v>18050.73</v>
      </c>
      <c r="U4273" t="inlineStr">
        <is>
          <t>Low</t>
        </is>
      </c>
      <c r="V4273">
        <f>IF(AND(OR(Dashboard!$C$6="All",E4273=Dashboard!$C$6),OR(Dashboard!$F$6="All",G4273=Dashboard!$F$6),OR(Dashboard!$I$6="All",H4273=Dashboard!$I$6)),1,0)</f>
        <v/>
      </c>
    </row>
    <row r="4274">
      <c r="A4274" t="inlineStr">
        <is>
          <t>PF104265</t>
        </is>
      </c>
      <c r="B4274" s="68" t="n">
        <v>46170</v>
      </c>
      <c r="C4274" s="69" t="n">
        <v>2026</v>
      </c>
      <c r="D4274" t="inlineStr">
        <is>
          <t>May</t>
        </is>
      </c>
      <c r="E4274" t="inlineStr">
        <is>
          <t>International developed</t>
        </is>
      </c>
      <c r="F4274" t="inlineStr">
        <is>
          <t>Canada</t>
        </is>
      </c>
      <c r="G4274" t="inlineStr">
        <is>
          <t>Vyndaqel</t>
        </is>
      </c>
      <c r="H4274" t="inlineStr">
        <is>
          <t>Retail pharmacy</t>
        </is>
      </c>
      <c r="I4274" t="inlineStr">
        <is>
          <t>Private insurer</t>
        </is>
      </c>
      <c r="J4274" t="inlineStr">
        <is>
          <t>Yuki Sato</t>
        </is>
      </c>
      <c r="K4274" s="70" t="n">
        <v>1064</v>
      </c>
      <c r="L4274" s="71" t="n">
        <v>6087.6</v>
      </c>
      <c r="M4274" s="71" t="n">
        <v>6477206.4</v>
      </c>
      <c r="N4274" s="71" t="n">
        <v>1295441.28</v>
      </c>
      <c r="O4274" s="71" t="n">
        <v>5181765.12</v>
      </c>
      <c r="P4274" s="71" t="n">
        <v>682434.86</v>
      </c>
      <c r="Q4274" s="71" t="n">
        <v>4499330.26</v>
      </c>
      <c r="R4274" t="inlineStr">
        <is>
          <t>Rare disease</t>
        </is>
      </c>
      <c r="S4274" s="70" t="n">
        <v>913</v>
      </c>
      <c r="T4274" s="71" t="n">
        <v>1159548.05</v>
      </c>
      <c r="U4274" t="inlineStr">
        <is>
          <t>Medium</t>
        </is>
      </c>
      <c r="V4274">
        <f>IF(AND(OR(Dashboard!$C$6="All",E4274=Dashboard!$C$6),OR(Dashboard!$F$6="All",G4274=Dashboard!$F$6),OR(Dashboard!$I$6="All",H4274=Dashboard!$I$6)),1,0)</f>
        <v/>
      </c>
    </row>
    <row r="4275">
      <c r="A4275" t="inlineStr">
        <is>
          <t>PF104266</t>
        </is>
      </c>
      <c r="B4275" s="68" t="n">
        <v>46170</v>
      </c>
      <c r="C4275" s="69" t="n">
        <v>2026</v>
      </c>
      <c r="D4275" t="inlineStr">
        <is>
          <t>May</t>
        </is>
      </c>
      <c r="E4275" t="inlineStr">
        <is>
          <t>Emerging markets</t>
        </is>
      </c>
      <c r="F4275" t="inlineStr">
        <is>
          <t>Mexico</t>
        </is>
      </c>
      <c r="G4275" t="inlineStr">
        <is>
          <t>Eliquis</t>
        </is>
      </c>
      <c r="H4275" t="inlineStr">
        <is>
          <t>Hospital</t>
        </is>
      </c>
      <c r="I4275" t="inlineStr">
        <is>
          <t>Public payer</t>
        </is>
      </c>
      <c r="J4275" t="inlineStr">
        <is>
          <t>Carlos Silva</t>
        </is>
      </c>
      <c r="K4275" s="70" t="n">
        <v>2435</v>
      </c>
      <c r="L4275" s="71" t="n">
        <v>423.04</v>
      </c>
      <c r="M4275" s="71" t="n">
        <v>1030102.4</v>
      </c>
      <c r="N4275" s="71" t="n">
        <v>206020.48</v>
      </c>
      <c r="O4275" s="71" t="n">
        <v>824081.92</v>
      </c>
      <c r="P4275" s="71" t="n">
        <v>183164.75</v>
      </c>
      <c r="Q4275" s="71" t="n">
        <v>640917.17</v>
      </c>
      <c r="R4275" t="inlineStr">
        <is>
          <t>Cardiology</t>
        </is>
      </c>
      <c r="S4275" s="70" t="n">
        <v>2177</v>
      </c>
      <c r="T4275" s="71" t="n">
        <v>156030.02</v>
      </c>
      <c r="U4275" t="inlineStr">
        <is>
          <t>High</t>
        </is>
      </c>
      <c r="V4275">
        <f>IF(AND(OR(Dashboard!$C$6="All",E4275=Dashboard!$C$6),OR(Dashboard!$F$6="All",G4275=Dashboard!$F$6),OR(Dashboard!$I$6="All",H4275=Dashboard!$I$6)),1,0)</f>
        <v/>
      </c>
    </row>
    <row r="4276">
      <c r="A4276" t="inlineStr">
        <is>
          <t>PF104267</t>
        </is>
      </c>
      <c r="B4276" s="68" t="n">
        <v>46170</v>
      </c>
      <c r="C4276" s="69" t="n">
        <v>2026</v>
      </c>
      <c r="D4276" t="inlineStr">
        <is>
          <t>May</t>
        </is>
      </c>
      <c r="E4276" t="inlineStr">
        <is>
          <t>Europe</t>
        </is>
      </c>
      <c r="F4276" t="inlineStr">
        <is>
          <t>UK</t>
        </is>
      </c>
      <c r="G4276" t="inlineStr">
        <is>
          <t>Paxlovid</t>
        </is>
      </c>
      <c r="H4276" t="inlineStr">
        <is>
          <t>Government / tender</t>
        </is>
      </c>
      <c r="I4276" t="inlineStr">
        <is>
          <t>Private insurer</t>
        </is>
      </c>
      <c r="J4276" t="inlineStr">
        <is>
          <t>Aisha Bello</t>
        </is>
      </c>
      <c r="K4276" s="70" t="n">
        <v>684</v>
      </c>
      <c r="L4276" s="71" t="n">
        <v>929.27</v>
      </c>
      <c r="M4276" s="71" t="n">
        <v>635620.6800000001</v>
      </c>
      <c r="N4276" s="71" t="n">
        <v>63562.07</v>
      </c>
      <c r="O4276" s="71" t="n">
        <v>572058.61</v>
      </c>
      <c r="P4276" s="71" t="n">
        <v>184213.81</v>
      </c>
      <c r="Q4276" s="71" t="n">
        <v>387844.8</v>
      </c>
      <c r="R4276" t="inlineStr">
        <is>
          <t>Antiviral</t>
        </is>
      </c>
      <c r="S4276" s="70" t="n">
        <v>471</v>
      </c>
      <c r="T4276" s="71" t="n">
        <v>104173.99</v>
      </c>
      <c r="U4276" t="inlineStr">
        <is>
          <t>Low</t>
        </is>
      </c>
      <c r="V4276">
        <f>IF(AND(OR(Dashboard!$C$6="All",E4276=Dashboard!$C$6),OR(Dashboard!$F$6="All",G4276=Dashboard!$F$6),OR(Dashboard!$I$6="All",H4276=Dashboard!$I$6)),1,0)</f>
        <v/>
      </c>
    </row>
    <row r="4277">
      <c r="A4277" t="inlineStr">
        <is>
          <t>PF104268</t>
        </is>
      </c>
      <c r="B4277" s="68" t="n">
        <v>46170</v>
      </c>
      <c r="C4277" s="69" t="n">
        <v>2026</v>
      </c>
      <c r="D4277" t="inlineStr">
        <is>
          <t>May</t>
        </is>
      </c>
      <c r="E4277" t="inlineStr">
        <is>
          <t>United States</t>
        </is>
      </c>
      <c r="F4277" t="inlineStr">
        <is>
          <t>USA</t>
        </is>
      </c>
      <c r="G4277" t="inlineStr">
        <is>
          <t>Paxlovid</t>
        </is>
      </c>
      <c r="H4277" t="inlineStr">
        <is>
          <t>Retail pharmacy</t>
        </is>
      </c>
      <c r="I4277" t="inlineStr">
        <is>
          <t>Public payer</t>
        </is>
      </c>
      <c r="J4277" t="inlineStr">
        <is>
          <t>Amir Khan</t>
        </is>
      </c>
      <c r="K4277" s="70" t="n">
        <v>969</v>
      </c>
      <c r="L4277" s="71" t="n">
        <v>1470.43</v>
      </c>
      <c r="M4277" s="71" t="n">
        <v>1424846.67</v>
      </c>
      <c r="N4277" s="71" t="n">
        <v>356211.67</v>
      </c>
      <c r="O4277" s="71" t="n">
        <v>1068635</v>
      </c>
      <c r="P4277" s="71" t="n">
        <v>263898.12</v>
      </c>
      <c r="Q4277" s="71" t="n">
        <v>804736.88</v>
      </c>
      <c r="R4277" t="inlineStr">
        <is>
          <t>Antiviral</t>
        </is>
      </c>
      <c r="S4277" s="70" t="n">
        <v>931</v>
      </c>
      <c r="T4277" s="71" t="n">
        <v>328069.66</v>
      </c>
      <c r="U4277" t="inlineStr">
        <is>
          <t>Low</t>
        </is>
      </c>
      <c r="V4277">
        <f>IF(AND(OR(Dashboard!$C$6="All",E4277=Dashboard!$C$6),OR(Dashboard!$F$6="All",G4277=Dashboard!$F$6),OR(Dashboard!$I$6="All",H4277=Dashboard!$I$6)),1,0)</f>
        <v/>
      </c>
    </row>
    <row r="4278">
      <c r="A4278" t="inlineStr">
        <is>
          <t>PF104269</t>
        </is>
      </c>
      <c r="B4278" s="68" t="n">
        <v>46170</v>
      </c>
      <c r="C4278" s="69" t="n">
        <v>2026</v>
      </c>
      <c r="D4278" t="inlineStr">
        <is>
          <t>May</t>
        </is>
      </c>
      <c r="E4278" t="inlineStr">
        <is>
          <t>Europe</t>
        </is>
      </c>
      <c r="F4278" t="inlineStr">
        <is>
          <t>France</t>
        </is>
      </c>
      <c r="G4278" t="inlineStr">
        <is>
          <t>Vyndaqel</t>
        </is>
      </c>
      <c r="H4278" t="inlineStr">
        <is>
          <t>Retail pharmacy</t>
        </is>
      </c>
      <c r="I4278" t="inlineStr">
        <is>
          <t>Private insurer</t>
        </is>
      </c>
      <c r="J4278" t="inlineStr">
        <is>
          <t>Zoya Ahmed</t>
        </is>
      </c>
      <c r="K4278" s="70" t="n">
        <v>1405</v>
      </c>
      <c r="L4278" s="71" t="n">
        <v>5387.35</v>
      </c>
      <c r="M4278" s="71" t="n">
        <v>7569226.75</v>
      </c>
      <c r="N4278" s="71" t="n">
        <v>378461.34</v>
      </c>
      <c r="O4278" s="71" t="n">
        <v>7190765.41</v>
      </c>
      <c r="P4278" s="71" t="n">
        <v>896604.78</v>
      </c>
      <c r="Q4278" s="71" t="n">
        <v>6294160.63</v>
      </c>
      <c r="R4278" t="inlineStr">
        <is>
          <t>Rare disease</t>
        </is>
      </c>
      <c r="S4278" s="70" t="n">
        <v>1048</v>
      </c>
      <c r="T4278" s="71" t="n">
        <v>1218324.51</v>
      </c>
      <c r="U4278" t="inlineStr">
        <is>
          <t>Medium</t>
        </is>
      </c>
      <c r="V4278">
        <f>IF(AND(OR(Dashboard!$C$6="All",E4278=Dashboard!$C$6),OR(Dashboard!$F$6="All",G4278=Dashboard!$F$6),OR(Dashboard!$I$6="All",H4278=Dashboard!$I$6)),1,0)</f>
        <v/>
      </c>
    </row>
    <row r="4279">
      <c r="A4279" t="inlineStr">
        <is>
          <t>PF104270</t>
        </is>
      </c>
      <c r="B4279" s="68" t="n">
        <v>46170</v>
      </c>
      <c r="C4279" s="69" t="n">
        <v>2026</v>
      </c>
      <c r="D4279" t="inlineStr">
        <is>
          <t>May</t>
        </is>
      </c>
      <c r="E4279" t="inlineStr">
        <is>
          <t>Europe</t>
        </is>
      </c>
      <c r="F4279" t="inlineStr">
        <is>
          <t>Germany</t>
        </is>
      </c>
      <c r="G4279" t="inlineStr">
        <is>
          <t>Xeljanz</t>
        </is>
      </c>
      <c r="H4279" t="inlineStr">
        <is>
          <t>Hospital</t>
        </is>
      </c>
      <c r="I4279" t="inlineStr">
        <is>
          <t>Private insurer</t>
        </is>
      </c>
      <c r="J4279" t="inlineStr">
        <is>
          <t>Liam O'Brien</t>
        </is>
      </c>
      <c r="K4279" s="70" t="n">
        <v>1276</v>
      </c>
      <c r="L4279" s="71" t="n">
        <v>1351.7</v>
      </c>
      <c r="M4279" s="71" t="n">
        <v>1724769.2</v>
      </c>
      <c r="N4279" s="71" t="n">
        <v>172476.92</v>
      </c>
      <c r="O4279" s="71" t="n">
        <v>1552292.28</v>
      </c>
      <c r="P4279" s="71" t="n">
        <v>334398.14</v>
      </c>
      <c r="Q4279" s="71" t="n">
        <v>1217894.14</v>
      </c>
      <c r="R4279" t="inlineStr">
        <is>
          <t>Inflammation</t>
        </is>
      </c>
      <c r="S4279" s="70" t="n">
        <v>1130</v>
      </c>
      <c r="T4279" s="71" t="n">
        <v>313291.52</v>
      </c>
      <c r="U4279" t="inlineStr">
        <is>
          <t>High</t>
        </is>
      </c>
      <c r="V4279">
        <f>IF(AND(OR(Dashboard!$C$6="All",E4279=Dashboard!$C$6),OR(Dashboard!$F$6="All",G4279=Dashboard!$F$6),OR(Dashboard!$I$6="All",H4279=Dashboard!$I$6)),1,0)</f>
        <v/>
      </c>
    </row>
    <row r="4280">
      <c r="A4280" t="inlineStr">
        <is>
          <t>PF104271</t>
        </is>
      </c>
      <c r="B4280" s="68" t="n">
        <v>46170</v>
      </c>
      <c r="C4280" s="69" t="n">
        <v>2026</v>
      </c>
      <c r="D4280" t="inlineStr">
        <is>
          <t>May</t>
        </is>
      </c>
      <c r="E4280" t="inlineStr">
        <is>
          <t>Emerging markets</t>
        </is>
      </c>
      <c r="F4280" t="inlineStr">
        <is>
          <t>Mexico</t>
        </is>
      </c>
      <c r="G4280" t="inlineStr">
        <is>
          <t>Comirnaty</t>
        </is>
      </c>
      <c r="H4280" t="inlineStr">
        <is>
          <t>Hospital</t>
        </is>
      </c>
      <c r="I4280" t="inlineStr">
        <is>
          <t>Private insurer</t>
        </is>
      </c>
      <c r="J4280" t="inlineStr">
        <is>
          <t>Omar Haddad</t>
        </is>
      </c>
      <c r="K4280" s="70" t="n">
        <v>1043</v>
      </c>
      <c r="L4280" s="71" t="n">
        <v>96.73</v>
      </c>
      <c r="M4280" s="71" t="n">
        <v>100889.39</v>
      </c>
      <c r="N4280" s="71" t="n">
        <v>5044.47</v>
      </c>
      <c r="O4280" s="71" t="n">
        <v>95844.92</v>
      </c>
      <c r="P4280" s="71" t="n">
        <v>41742.72</v>
      </c>
      <c r="Q4280" s="71" t="n">
        <v>54102.2</v>
      </c>
      <c r="R4280" t="inlineStr">
        <is>
          <t>Vaccines</t>
        </is>
      </c>
      <c r="S4280" s="70" t="n">
        <v>779</v>
      </c>
      <c r="T4280" s="71" t="n">
        <v>16945.09</v>
      </c>
      <c r="U4280" t="inlineStr">
        <is>
          <t>Low</t>
        </is>
      </c>
      <c r="V4280">
        <f>IF(AND(OR(Dashboard!$C$6="All",E4280=Dashboard!$C$6),OR(Dashboard!$F$6="All",G4280=Dashboard!$F$6),OR(Dashboard!$I$6="All",H4280=Dashboard!$I$6)),1,0)</f>
        <v/>
      </c>
    </row>
    <row r="4281">
      <c r="A4281" t="inlineStr">
        <is>
          <t>PF104272</t>
        </is>
      </c>
      <c r="B4281" s="68" t="n">
        <v>46170</v>
      </c>
      <c r="C4281" s="69" t="n">
        <v>2026</v>
      </c>
      <c r="D4281" t="inlineStr">
        <is>
          <t>May</t>
        </is>
      </c>
      <c r="E4281" t="inlineStr">
        <is>
          <t>United States</t>
        </is>
      </c>
      <c r="F4281" t="inlineStr">
        <is>
          <t>USA</t>
        </is>
      </c>
      <c r="G4281" t="inlineStr">
        <is>
          <t>Paxlovid</t>
        </is>
      </c>
      <c r="H4281" t="inlineStr">
        <is>
          <t>Retail pharmacy</t>
        </is>
      </c>
      <c r="I4281" t="inlineStr">
        <is>
          <t>Private insurer</t>
        </is>
      </c>
      <c r="J4281" t="inlineStr">
        <is>
          <t>Kofi Mensah</t>
        </is>
      </c>
      <c r="K4281" s="70" t="n">
        <v>1570</v>
      </c>
      <c r="L4281" s="71" t="n">
        <v>1418.48</v>
      </c>
      <c r="M4281" s="71" t="n">
        <v>2227013.6</v>
      </c>
      <c r="N4281" s="71" t="n">
        <v>556753.4</v>
      </c>
      <c r="O4281" s="71" t="n">
        <v>1670260.2</v>
      </c>
      <c r="P4281" s="71" t="n">
        <v>438259.8</v>
      </c>
      <c r="Q4281" s="71" t="n">
        <v>1232000.4</v>
      </c>
      <c r="R4281" t="inlineStr">
        <is>
          <t>Antiviral</t>
        </is>
      </c>
      <c r="S4281" s="70" t="n">
        <v>1032</v>
      </c>
      <c r="T4281" s="71" t="n">
        <v>438076.56</v>
      </c>
      <c r="U4281" t="inlineStr">
        <is>
          <t>Low</t>
        </is>
      </c>
      <c r="V4281">
        <f>IF(AND(OR(Dashboard!$C$6="All",E4281=Dashboard!$C$6),OR(Dashboard!$F$6="All",G4281=Dashboard!$F$6),OR(Dashboard!$I$6="All",H4281=Dashboard!$I$6)),1,0)</f>
        <v/>
      </c>
    </row>
    <row r="4282">
      <c r="A4282" t="inlineStr">
        <is>
          <t>PF104273</t>
        </is>
      </c>
      <c r="B4282" s="68" t="n">
        <v>46170</v>
      </c>
      <c r="C4282" s="69" t="n">
        <v>2026</v>
      </c>
      <c r="D4282" t="inlineStr">
        <is>
          <t>May</t>
        </is>
      </c>
      <c r="E4282" t="inlineStr">
        <is>
          <t>United States</t>
        </is>
      </c>
      <c r="F4282" t="inlineStr">
        <is>
          <t>USA</t>
        </is>
      </c>
      <c r="G4282" t="inlineStr">
        <is>
          <t>Eliquis</t>
        </is>
      </c>
      <c r="H4282" t="inlineStr">
        <is>
          <t>Government / tender</t>
        </is>
      </c>
      <c r="I4282" t="inlineStr">
        <is>
          <t>Public payer</t>
        </is>
      </c>
      <c r="J4282" t="inlineStr">
        <is>
          <t>Priya Nair</t>
        </is>
      </c>
      <c r="K4282" s="70" t="n">
        <v>2004</v>
      </c>
      <c r="L4282" s="71" t="n">
        <v>623.0700000000001</v>
      </c>
      <c r="M4282" s="71" t="n">
        <v>1248632.28</v>
      </c>
      <c r="N4282" s="71" t="n">
        <v>187294.84</v>
      </c>
      <c r="O4282" s="71" t="n">
        <v>1061337.44</v>
      </c>
      <c r="P4282" s="71" t="n">
        <v>153652.08</v>
      </c>
      <c r="Q4282" s="71" t="n">
        <v>907685.36</v>
      </c>
      <c r="R4282" t="inlineStr">
        <is>
          <t>Cardiology</t>
        </is>
      </c>
      <c r="S4282" s="70" t="n">
        <v>1954</v>
      </c>
      <c r="T4282" s="71" t="n">
        <v>227308.99</v>
      </c>
      <c r="U4282" t="inlineStr">
        <is>
          <t>High</t>
        </is>
      </c>
      <c r="V4282">
        <f>IF(AND(OR(Dashboard!$C$6="All",E4282=Dashboard!$C$6),OR(Dashboard!$F$6="All",G4282=Dashboard!$F$6),OR(Dashboard!$I$6="All",H4282=Dashboard!$I$6)),1,0)</f>
        <v/>
      </c>
    </row>
    <row r="4283">
      <c r="A4283" t="inlineStr">
        <is>
          <t>PF104274</t>
        </is>
      </c>
      <c r="B4283" s="68" t="n">
        <v>46170</v>
      </c>
      <c r="C4283" s="69" t="n">
        <v>2026</v>
      </c>
      <c r="D4283" t="inlineStr">
        <is>
          <t>May</t>
        </is>
      </c>
      <c r="E4283" t="inlineStr">
        <is>
          <t>International developed</t>
        </is>
      </c>
      <c r="F4283" t="inlineStr">
        <is>
          <t>Canada</t>
        </is>
      </c>
      <c r="G4283" t="inlineStr">
        <is>
          <t>Paxlovid</t>
        </is>
      </c>
      <c r="H4283" t="inlineStr">
        <is>
          <t>Government / tender</t>
        </is>
      </c>
      <c r="I4283" t="inlineStr">
        <is>
          <t>Private insurer</t>
        </is>
      </c>
      <c r="J4283" t="inlineStr">
        <is>
          <t>Lucas Martin</t>
        </is>
      </c>
      <c r="K4283" s="70" t="n">
        <v>2160</v>
      </c>
      <c r="L4283" s="71" t="n">
        <v>904.5599999999999</v>
      </c>
      <c r="M4283" s="71" t="n">
        <v>1953849.6</v>
      </c>
      <c r="N4283" s="71" t="n">
        <v>97692.48</v>
      </c>
      <c r="O4283" s="71" t="n">
        <v>1856157.12</v>
      </c>
      <c r="P4283" s="71" t="n">
        <v>590441.23</v>
      </c>
      <c r="Q4283" s="71" t="n">
        <v>1265715.89</v>
      </c>
      <c r="R4283" t="inlineStr">
        <is>
          <t>Antiviral</t>
        </is>
      </c>
      <c r="S4283" s="70" t="n">
        <v>1545</v>
      </c>
      <c r="T4283" s="71" t="n">
        <v>489540.78</v>
      </c>
      <c r="U4283" t="inlineStr">
        <is>
          <t>Low</t>
        </is>
      </c>
      <c r="V4283">
        <f>IF(AND(OR(Dashboard!$C$6="All",E4283=Dashboard!$C$6),OR(Dashboard!$F$6="All",G4283=Dashboard!$F$6),OR(Dashboard!$I$6="All",H4283=Dashboard!$I$6)),1,0)</f>
        <v/>
      </c>
    </row>
    <row r="4284">
      <c r="A4284" t="inlineStr">
        <is>
          <t>PF104275</t>
        </is>
      </c>
      <c r="B4284" s="68" t="n">
        <v>46174</v>
      </c>
      <c r="C4284" s="69" t="n">
        <v>2026</v>
      </c>
      <c r="D4284" t="inlineStr">
        <is>
          <t>Jun</t>
        </is>
      </c>
      <c r="E4284" t="inlineStr">
        <is>
          <t>Europe</t>
        </is>
      </c>
      <c r="F4284" t="inlineStr">
        <is>
          <t>France</t>
        </is>
      </c>
      <c r="G4284" t="inlineStr">
        <is>
          <t>Eliquis</t>
        </is>
      </c>
      <c r="H4284" t="inlineStr">
        <is>
          <t>Retail pharmacy</t>
        </is>
      </c>
      <c r="I4284" t="inlineStr">
        <is>
          <t>Public payer</t>
        </is>
      </c>
      <c r="J4284" t="inlineStr">
        <is>
          <t>Zoya Ahmed</t>
        </is>
      </c>
      <c r="K4284" s="70" t="n">
        <v>1605</v>
      </c>
      <c r="L4284" s="71" t="n">
        <v>474.87</v>
      </c>
      <c r="M4284" s="71" t="n">
        <v>762166.35</v>
      </c>
      <c r="N4284" s="71" t="n">
        <v>76216.63</v>
      </c>
      <c r="O4284" s="71" t="n">
        <v>685949.72</v>
      </c>
      <c r="P4284" s="71" t="n">
        <v>124648.04</v>
      </c>
      <c r="Q4284" s="71" t="n">
        <v>561301.6800000001</v>
      </c>
      <c r="R4284" t="inlineStr">
        <is>
          <t>Cardiology</t>
        </is>
      </c>
      <c r="S4284" s="70" t="n">
        <v>1013</v>
      </c>
      <c r="T4284" s="71" t="n">
        <v>160459.62</v>
      </c>
      <c r="U4284" t="inlineStr">
        <is>
          <t>High</t>
        </is>
      </c>
      <c r="V4284">
        <f>IF(AND(OR(Dashboard!$C$6="All",E4284=Dashboard!$C$6),OR(Dashboard!$F$6="All",G4284=Dashboard!$F$6),OR(Dashboard!$I$6="All",H4284=Dashboard!$I$6)),1,0)</f>
        <v/>
      </c>
    </row>
    <row r="4285">
      <c r="A4285" t="inlineStr">
        <is>
          <t>PF104276</t>
        </is>
      </c>
      <c r="B4285" s="68" t="n">
        <v>46174</v>
      </c>
      <c r="C4285" s="69" t="n">
        <v>2026</v>
      </c>
      <c r="D4285" t="inlineStr">
        <is>
          <t>Jun</t>
        </is>
      </c>
      <c r="E4285" t="inlineStr">
        <is>
          <t>Emerging markets</t>
        </is>
      </c>
      <c r="F4285" t="inlineStr">
        <is>
          <t>India</t>
        </is>
      </c>
      <c r="G4285" t="inlineStr">
        <is>
          <t>Eliquis</t>
        </is>
      </c>
      <c r="H4285" t="inlineStr">
        <is>
          <t>Retail pharmacy</t>
        </is>
      </c>
      <c r="I4285" t="inlineStr">
        <is>
          <t>Private insurer</t>
        </is>
      </c>
      <c r="J4285" t="inlineStr">
        <is>
          <t>Arjun Mehta</t>
        </is>
      </c>
      <c r="K4285" s="70" t="n">
        <v>2130</v>
      </c>
      <c r="L4285" s="71" t="n">
        <v>444.97</v>
      </c>
      <c r="M4285" s="71" t="n">
        <v>947786.1</v>
      </c>
      <c r="N4285" s="71" t="n">
        <v>236946.52</v>
      </c>
      <c r="O4285" s="71" t="n">
        <v>710839.58</v>
      </c>
      <c r="P4285" s="71" t="n">
        <v>165192.05</v>
      </c>
      <c r="Q4285" s="71" t="n">
        <v>545647.53</v>
      </c>
      <c r="R4285" t="inlineStr">
        <is>
          <t>Cardiology</t>
        </is>
      </c>
      <c r="S4285" s="70" t="n">
        <v>1990</v>
      </c>
      <c r="T4285" s="71" t="n">
        <v>195246.17</v>
      </c>
      <c r="U4285" t="inlineStr">
        <is>
          <t>High</t>
        </is>
      </c>
      <c r="V4285">
        <f>IF(AND(OR(Dashboard!$C$6="All",E4285=Dashboard!$C$6),OR(Dashboard!$F$6="All",G4285=Dashboard!$F$6),OR(Dashboard!$I$6="All",H4285=Dashboard!$I$6)),1,0)</f>
        <v/>
      </c>
    </row>
    <row r="4286">
      <c r="A4286" t="inlineStr">
        <is>
          <t>PF104277</t>
        </is>
      </c>
      <c r="B4286" s="68" t="n">
        <v>46174</v>
      </c>
      <c r="C4286" s="69" t="n">
        <v>2026</v>
      </c>
      <c r="D4286" t="inlineStr">
        <is>
          <t>Jun</t>
        </is>
      </c>
      <c r="E4286" t="inlineStr">
        <is>
          <t>United States</t>
        </is>
      </c>
      <c r="F4286" t="inlineStr">
        <is>
          <t>USA</t>
        </is>
      </c>
      <c r="G4286" t="inlineStr">
        <is>
          <t>Vyndaqel</t>
        </is>
      </c>
      <c r="H4286" t="inlineStr">
        <is>
          <t>Government / tender</t>
        </is>
      </c>
      <c r="I4286" t="inlineStr">
        <is>
          <t>Private insurer</t>
        </is>
      </c>
      <c r="J4286" t="inlineStr">
        <is>
          <t>Noah Smith</t>
        </is>
      </c>
      <c r="K4286" s="70" t="n">
        <v>2286</v>
      </c>
      <c r="L4286" s="71" t="n">
        <v>9580.690000000001</v>
      </c>
      <c r="M4286" s="71" t="n">
        <v>21901457.34</v>
      </c>
      <c r="N4286" s="71" t="n">
        <v>3285218.6</v>
      </c>
      <c r="O4286" s="71" t="n">
        <v>18616238.74</v>
      </c>
      <c r="P4286" s="71" t="n">
        <v>1458890.72</v>
      </c>
      <c r="Q4286" s="71" t="n">
        <v>17157348.02</v>
      </c>
      <c r="R4286" t="inlineStr">
        <is>
          <t>Rare disease</t>
        </is>
      </c>
      <c r="S4286" s="70" t="n">
        <v>1438</v>
      </c>
      <c r="T4286" s="71" t="n">
        <v>4306100.03</v>
      </c>
      <c r="U4286" t="inlineStr">
        <is>
          <t>Medium</t>
        </is>
      </c>
      <c r="V4286">
        <f>IF(AND(OR(Dashboard!$C$6="All",E4286=Dashboard!$C$6),OR(Dashboard!$F$6="All",G4286=Dashboard!$F$6),OR(Dashboard!$I$6="All",H4286=Dashboard!$I$6)),1,0)</f>
        <v/>
      </c>
    </row>
    <row r="4287">
      <c r="A4287" t="inlineStr">
        <is>
          <t>PF104278</t>
        </is>
      </c>
      <c r="B4287" s="68" t="n">
        <v>46174</v>
      </c>
      <c r="C4287" s="69" t="n">
        <v>2026</v>
      </c>
      <c r="D4287" t="inlineStr">
        <is>
          <t>Jun</t>
        </is>
      </c>
      <c r="E4287" t="inlineStr">
        <is>
          <t>Emerging markets</t>
        </is>
      </c>
      <c r="F4287" t="inlineStr">
        <is>
          <t>Brazil</t>
        </is>
      </c>
      <c r="G4287" t="inlineStr">
        <is>
          <t>Eliquis</t>
        </is>
      </c>
      <c r="H4287" t="inlineStr">
        <is>
          <t>Retail pharmacy</t>
        </is>
      </c>
      <c r="I4287" t="inlineStr">
        <is>
          <t>Self-pay</t>
        </is>
      </c>
      <c r="J4287" t="inlineStr">
        <is>
          <t>Lucas Martin</t>
        </is>
      </c>
      <c r="K4287" s="70" t="n">
        <v>547</v>
      </c>
      <c r="L4287" s="71" t="n">
        <v>424.57</v>
      </c>
      <c r="M4287" s="71" t="n">
        <v>232239.79</v>
      </c>
      <c r="N4287" s="71" t="n">
        <v>46447.96</v>
      </c>
      <c r="O4287" s="71" t="n">
        <v>185791.83</v>
      </c>
      <c r="P4287" s="71" t="n">
        <v>39911.33</v>
      </c>
      <c r="Q4287" s="71" t="n">
        <v>145880.5</v>
      </c>
      <c r="R4287" t="inlineStr">
        <is>
          <t>Cardiology</t>
        </is>
      </c>
      <c r="S4287" s="70" t="n">
        <v>521</v>
      </c>
      <c r="T4287" s="71" t="n">
        <v>41760.67</v>
      </c>
      <c r="U4287" t="inlineStr">
        <is>
          <t>High</t>
        </is>
      </c>
      <c r="V4287">
        <f>IF(AND(OR(Dashboard!$C$6="All",E4287=Dashboard!$C$6),OR(Dashboard!$F$6="All",G4287=Dashboard!$F$6),OR(Dashboard!$I$6="All",H4287=Dashboard!$I$6)),1,0)</f>
        <v/>
      </c>
    </row>
    <row r="4288">
      <c r="A4288" t="inlineStr">
        <is>
          <t>PF104279</t>
        </is>
      </c>
      <c r="B4288" s="68" t="n">
        <v>46175</v>
      </c>
      <c r="C4288" s="69" t="n">
        <v>2026</v>
      </c>
      <c r="D4288" t="inlineStr">
        <is>
          <t>Jun</t>
        </is>
      </c>
      <c r="E4288" t="inlineStr">
        <is>
          <t>Emerging markets</t>
        </is>
      </c>
      <c r="F4288" t="inlineStr">
        <is>
          <t>Mexico</t>
        </is>
      </c>
      <c r="G4288" t="inlineStr">
        <is>
          <t>Abrysvo</t>
        </is>
      </c>
      <c r="H4288" t="inlineStr">
        <is>
          <t>Hospital</t>
        </is>
      </c>
      <c r="I4288" t="inlineStr">
        <is>
          <t>Public payer</t>
        </is>
      </c>
      <c r="J4288" t="inlineStr">
        <is>
          <t>Omar Haddad</t>
        </is>
      </c>
      <c r="K4288" s="70" t="n">
        <v>1073</v>
      </c>
      <c r="L4288" s="71" t="n">
        <v>344.99</v>
      </c>
      <c r="M4288" s="71" t="n">
        <v>370174.27</v>
      </c>
      <c r="N4288" s="71" t="n">
        <v>18508.71</v>
      </c>
      <c r="O4288" s="71" t="n">
        <v>351665.56</v>
      </c>
      <c r="P4288" s="71" t="n">
        <v>91535.49000000001</v>
      </c>
      <c r="Q4288" s="71" t="n">
        <v>260130.07</v>
      </c>
      <c r="R4288" t="inlineStr">
        <is>
          <t>Vaccines</t>
        </is>
      </c>
      <c r="S4288" s="70" t="n">
        <v>773</v>
      </c>
      <c r="T4288" s="71" t="n">
        <v>55193.3</v>
      </c>
      <c r="U4288" t="inlineStr">
        <is>
          <t>Low</t>
        </is>
      </c>
      <c r="V4288">
        <f>IF(AND(OR(Dashboard!$C$6="All",E4288=Dashboard!$C$6),OR(Dashboard!$F$6="All",G4288=Dashboard!$F$6),OR(Dashboard!$I$6="All",H4288=Dashboard!$I$6)),1,0)</f>
        <v/>
      </c>
    </row>
    <row r="4289">
      <c r="A4289" t="inlineStr">
        <is>
          <t>PF104280</t>
        </is>
      </c>
      <c r="B4289" s="68" t="n">
        <v>46175</v>
      </c>
      <c r="C4289" s="69" t="n">
        <v>2026</v>
      </c>
      <c r="D4289" t="inlineStr">
        <is>
          <t>Jun</t>
        </is>
      </c>
      <c r="E4289" t="inlineStr">
        <is>
          <t>United States</t>
        </is>
      </c>
      <c r="F4289" t="inlineStr">
        <is>
          <t>USA</t>
        </is>
      </c>
      <c r="G4289" t="inlineStr">
        <is>
          <t>Abrysvo</t>
        </is>
      </c>
      <c r="H4289" t="inlineStr">
        <is>
          <t>Hospital</t>
        </is>
      </c>
      <c r="I4289" t="inlineStr">
        <is>
          <t>Self-pay</t>
        </is>
      </c>
      <c r="J4289" t="inlineStr">
        <is>
          <t>Fatima Al-Saud</t>
        </is>
      </c>
      <c r="K4289" s="70" t="n">
        <v>1356</v>
      </c>
      <c r="L4289" s="71" t="n">
        <v>461.87</v>
      </c>
      <c r="M4289" s="71" t="n">
        <v>626295.72</v>
      </c>
      <c r="N4289" s="71" t="n">
        <v>125259.14</v>
      </c>
      <c r="O4289" s="71" t="n">
        <v>501036.58</v>
      </c>
      <c r="P4289" s="71" t="n">
        <v>115737.15</v>
      </c>
      <c r="Q4289" s="71" t="n">
        <v>385299.43</v>
      </c>
      <c r="R4289" t="inlineStr">
        <is>
          <t>Vaccines</t>
        </is>
      </c>
      <c r="S4289" s="70" t="n">
        <v>864</v>
      </c>
      <c r="T4289" s="71" t="n">
        <v>73313.74000000001</v>
      </c>
      <c r="U4289" t="inlineStr">
        <is>
          <t>Low</t>
        </is>
      </c>
      <c r="V4289">
        <f>IF(AND(OR(Dashboard!$C$6="All",E4289=Dashboard!$C$6),OR(Dashboard!$F$6="All",G4289=Dashboard!$F$6),OR(Dashboard!$I$6="All",H4289=Dashboard!$I$6)),1,0)</f>
        <v/>
      </c>
    </row>
    <row r="4290">
      <c r="A4290" t="inlineStr">
        <is>
          <t>PF104281</t>
        </is>
      </c>
      <c r="B4290" s="68" t="n">
        <v>46175</v>
      </c>
      <c r="C4290" s="69" t="n">
        <v>2026</v>
      </c>
      <c r="D4290" t="inlineStr">
        <is>
          <t>Jun</t>
        </is>
      </c>
      <c r="E4290" t="inlineStr">
        <is>
          <t>United States</t>
        </is>
      </c>
      <c r="F4290" t="inlineStr">
        <is>
          <t>USA</t>
        </is>
      </c>
      <c r="G4290" t="inlineStr">
        <is>
          <t>Prevnar 20</t>
        </is>
      </c>
      <c r="H4290" t="inlineStr">
        <is>
          <t>Retail pharmacy</t>
        </is>
      </c>
      <c r="I4290" t="inlineStr">
        <is>
          <t>Public payer</t>
        </is>
      </c>
      <c r="J4290" t="inlineStr">
        <is>
          <t>Ruhi Shaikh</t>
        </is>
      </c>
      <c r="K4290" s="70" t="n">
        <v>270</v>
      </c>
      <c r="L4290" s="71" t="n">
        <v>408.6</v>
      </c>
      <c r="M4290" s="71" t="n">
        <v>110322</v>
      </c>
      <c r="N4290" s="71" t="n">
        <v>27580.5</v>
      </c>
      <c r="O4290" s="71" t="n">
        <v>82741.5</v>
      </c>
      <c r="P4290" s="71" t="n">
        <v>17911.45</v>
      </c>
      <c r="Q4290" s="71" t="n">
        <v>64830.05</v>
      </c>
      <c r="R4290" t="inlineStr">
        <is>
          <t>Vaccines</t>
        </is>
      </c>
      <c r="S4290" s="70" t="n">
        <v>252</v>
      </c>
      <c r="T4290" s="71" t="n">
        <v>18006.42</v>
      </c>
      <c r="U4290" t="inlineStr">
        <is>
          <t>Low</t>
        </is>
      </c>
      <c r="V4290">
        <f>IF(AND(OR(Dashboard!$C$6="All",E4290=Dashboard!$C$6),OR(Dashboard!$F$6="All",G4290=Dashboard!$F$6),OR(Dashboard!$I$6="All",H4290=Dashboard!$I$6)),1,0)</f>
        <v/>
      </c>
    </row>
    <row r="4291">
      <c r="A4291" t="inlineStr">
        <is>
          <t>PF104282</t>
        </is>
      </c>
      <c r="B4291" s="68" t="n">
        <v>46175</v>
      </c>
      <c r="C4291" s="69" t="n">
        <v>2026</v>
      </c>
      <c r="D4291" t="inlineStr">
        <is>
          <t>Jun</t>
        </is>
      </c>
      <c r="E4291" t="inlineStr">
        <is>
          <t>United States</t>
        </is>
      </c>
      <c r="F4291" t="inlineStr">
        <is>
          <t>USA</t>
        </is>
      </c>
      <c r="G4291" t="inlineStr">
        <is>
          <t>Vyndaqel</t>
        </is>
      </c>
      <c r="H4291" t="inlineStr">
        <is>
          <t>Retail pharmacy</t>
        </is>
      </c>
      <c r="I4291" t="inlineStr">
        <is>
          <t>Public payer</t>
        </is>
      </c>
      <c r="J4291" t="inlineStr">
        <is>
          <t>Priya Nair</t>
        </is>
      </c>
      <c r="K4291" s="70" t="n">
        <v>817</v>
      </c>
      <c r="L4291" s="71" t="n">
        <v>9496.24</v>
      </c>
      <c r="M4291" s="71" t="n">
        <v>7758428.08</v>
      </c>
      <c r="N4291" s="71" t="n">
        <v>2715449.83</v>
      </c>
      <c r="O4291" s="71" t="n">
        <v>5042978.25</v>
      </c>
      <c r="P4291" s="71" t="n">
        <v>515590.97</v>
      </c>
      <c r="Q4291" s="71" t="n">
        <v>4527387.28</v>
      </c>
      <c r="R4291" t="inlineStr">
        <is>
          <t>Rare disease</t>
        </is>
      </c>
      <c r="S4291" s="70" t="n">
        <v>524</v>
      </c>
      <c r="T4291" s="71" t="n">
        <v>1058712.54</v>
      </c>
      <c r="U4291" t="inlineStr">
        <is>
          <t>Medium</t>
        </is>
      </c>
      <c r="V4291">
        <f>IF(AND(OR(Dashboard!$C$6="All",E4291=Dashboard!$C$6),OR(Dashboard!$F$6="All",G4291=Dashboard!$F$6),OR(Dashboard!$I$6="All",H4291=Dashboard!$I$6)),1,0)</f>
        <v/>
      </c>
    </row>
    <row r="4292">
      <c r="A4292" t="inlineStr">
        <is>
          <t>PF104283</t>
        </is>
      </c>
      <c r="B4292" s="68" t="n">
        <v>46175</v>
      </c>
      <c r="C4292" s="69" t="n">
        <v>2026</v>
      </c>
      <c r="D4292" t="inlineStr">
        <is>
          <t>Jun</t>
        </is>
      </c>
      <c r="E4292" t="inlineStr">
        <is>
          <t>United States</t>
        </is>
      </c>
      <c r="F4292" t="inlineStr">
        <is>
          <t>USA</t>
        </is>
      </c>
      <c r="G4292" t="inlineStr">
        <is>
          <t>Comirnaty</t>
        </is>
      </c>
      <c r="H4292" t="inlineStr">
        <is>
          <t>Hospital</t>
        </is>
      </c>
      <c r="I4292" t="inlineStr">
        <is>
          <t>Public payer</t>
        </is>
      </c>
      <c r="J4292" t="inlineStr">
        <is>
          <t>Wei Chen</t>
        </is>
      </c>
      <c r="K4292" s="70" t="n">
        <v>1832</v>
      </c>
      <c r="L4292" s="71" t="n">
        <v>127.72</v>
      </c>
      <c r="M4292" s="71" t="n">
        <v>233983.04</v>
      </c>
      <c r="N4292" s="71" t="n">
        <v>46796.61</v>
      </c>
      <c r="O4292" s="71" t="n">
        <v>187186.43</v>
      </c>
      <c r="P4292" s="71" t="n">
        <v>70404.32000000001</v>
      </c>
      <c r="Q4292" s="71" t="n">
        <v>116782.11</v>
      </c>
      <c r="R4292" t="inlineStr">
        <is>
          <t>Vaccines</t>
        </is>
      </c>
      <c r="S4292" s="70" t="n">
        <v>1767</v>
      </c>
      <c r="T4292" s="71" t="n">
        <v>48783.27</v>
      </c>
      <c r="U4292" t="inlineStr">
        <is>
          <t>Low</t>
        </is>
      </c>
      <c r="V4292">
        <f>IF(AND(OR(Dashboard!$C$6="All",E4292=Dashboard!$C$6),OR(Dashboard!$F$6="All",G4292=Dashboard!$F$6),OR(Dashboard!$I$6="All",H4292=Dashboard!$I$6)),1,0)</f>
        <v/>
      </c>
    </row>
    <row r="4293">
      <c r="A4293" t="inlineStr">
        <is>
          <t>PF104284</t>
        </is>
      </c>
      <c r="B4293" s="68" t="n">
        <v>46175</v>
      </c>
      <c r="C4293" s="69" t="n">
        <v>2026</v>
      </c>
      <c r="D4293" t="inlineStr">
        <is>
          <t>Jun</t>
        </is>
      </c>
      <c r="E4293" t="inlineStr">
        <is>
          <t>Europe</t>
        </is>
      </c>
      <c r="F4293" t="inlineStr">
        <is>
          <t>Spain</t>
        </is>
      </c>
      <c r="G4293" t="inlineStr">
        <is>
          <t>Eliquis</t>
        </is>
      </c>
      <c r="H4293" t="inlineStr">
        <is>
          <t>Hospital</t>
        </is>
      </c>
      <c r="I4293" t="inlineStr">
        <is>
          <t>Public payer</t>
        </is>
      </c>
      <c r="J4293" t="inlineStr">
        <is>
          <t>Ana Costa</t>
        </is>
      </c>
      <c r="K4293" s="70" t="n">
        <v>404</v>
      </c>
      <c r="L4293" s="71" t="n">
        <v>439.47</v>
      </c>
      <c r="M4293" s="71" t="n">
        <v>177545.88</v>
      </c>
      <c r="N4293" s="71" t="n">
        <v>26631.88</v>
      </c>
      <c r="O4293" s="71" t="n">
        <v>150914</v>
      </c>
      <c r="P4293" s="71" t="n">
        <v>29777.28</v>
      </c>
      <c r="Q4293" s="71" t="n">
        <v>121136.72</v>
      </c>
      <c r="R4293" t="inlineStr">
        <is>
          <t>Cardiology</t>
        </is>
      </c>
      <c r="S4293" s="70" t="n">
        <v>291</v>
      </c>
      <c r="T4293" s="71" t="n">
        <v>37323.45</v>
      </c>
      <c r="U4293" t="inlineStr">
        <is>
          <t>High</t>
        </is>
      </c>
      <c r="V4293">
        <f>IF(AND(OR(Dashboard!$C$6="All",E4293=Dashboard!$C$6),OR(Dashboard!$F$6="All",G4293=Dashboard!$F$6),OR(Dashboard!$I$6="All",H4293=Dashboard!$I$6)),1,0)</f>
        <v/>
      </c>
    </row>
    <row r="4294">
      <c r="A4294" t="inlineStr">
        <is>
          <t>PF104285</t>
        </is>
      </c>
      <c r="B4294" s="68" t="n">
        <v>46175</v>
      </c>
      <c r="C4294" s="69" t="n">
        <v>2026</v>
      </c>
      <c r="D4294" t="inlineStr">
        <is>
          <t>Jun</t>
        </is>
      </c>
      <c r="E4294" t="inlineStr">
        <is>
          <t>Europe</t>
        </is>
      </c>
      <c r="F4294" t="inlineStr">
        <is>
          <t>UK</t>
        </is>
      </c>
      <c r="G4294" t="inlineStr">
        <is>
          <t>Prevnar 20</t>
        </is>
      </c>
      <c r="H4294" t="inlineStr">
        <is>
          <t>Government / tender</t>
        </is>
      </c>
      <c r="I4294" t="inlineStr">
        <is>
          <t>Public payer</t>
        </is>
      </c>
      <c r="J4294" t="inlineStr">
        <is>
          <t>Omar Haddad</t>
        </is>
      </c>
      <c r="K4294" s="70" t="n">
        <v>2594</v>
      </c>
      <c r="L4294" s="71" t="n">
        <v>245.27</v>
      </c>
      <c r="M4294" s="71" t="n">
        <v>636230.38</v>
      </c>
      <c r="N4294" s="71" t="n">
        <v>127246.08</v>
      </c>
      <c r="O4294" s="71" t="n">
        <v>508984.3</v>
      </c>
      <c r="P4294" s="71" t="n">
        <v>172754.7</v>
      </c>
      <c r="Q4294" s="71" t="n">
        <v>336229.6</v>
      </c>
      <c r="R4294" t="inlineStr">
        <is>
          <t>Vaccines</t>
        </is>
      </c>
      <c r="S4294" s="70" t="n">
        <v>1849</v>
      </c>
      <c r="T4294" s="71" t="n">
        <v>87004.61</v>
      </c>
      <c r="U4294" t="inlineStr">
        <is>
          <t>Low</t>
        </is>
      </c>
      <c r="V4294">
        <f>IF(AND(OR(Dashboard!$C$6="All",E4294=Dashboard!$C$6),OR(Dashboard!$F$6="All",G4294=Dashboard!$F$6),OR(Dashboard!$I$6="All",H4294=Dashboard!$I$6)),1,0)</f>
        <v/>
      </c>
    </row>
    <row r="4295">
      <c r="A4295" t="inlineStr">
        <is>
          <t>PF104286</t>
        </is>
      </c>
      <c r="B4295" s="68" t="n">
        <v>46175</v>
      </c>
      <c r="C4295" s="69" t="n">
        <v>2026</v>
      </c>
      <c r="D4295" t="inlineStr">
        <is>
          <t>Jun</t>
        </is>
      </c>
      <c r="E4295" t="inlineStr">
        <is>
          <t>Europe</t>
        </is>
      </c>
      <c r="F4295" t="inlineStr">
        <is>
          <t>Germany</t>
        </is>
      </c>
      <c r="G4295" t="inlineStr">
        <is>
          <t>Eliquis</t>
        </is>
      </c>
      <c r="H4295" t="inlineStr">
        <is>
          <t>Hospital</t>
        </is>
      </c>
      <c r="I4295" t="inlineStr">
        <is>
          <t>Self-pay</t>
        </is>
      </c>
      <c r="J4295" t="inlineStr">
        <is>
          <t>Sophie Müller</t>
        </is>
      </c>
      <c r="K4295" s="70" t="n">
        <v>2028</v>
      </c>
      <c r="L4295" s="71" t="n">
        <v>450.72</v>
      </c>
      <c r="M4295" s="71" t="n">
        <v>914060.16</v>
      </c>
      <c r="N4295" s="71" t="n">
        <v>228515.04</v>
      </c>
      <c r="O4295" s="71" t="n">
        <v>685545.12</v>
      </c>
      <c r="P4295" s="71" t="n">
        <v>150929.14</v>
      </c>
      <c r="Q4295" s="71" t="n">
        <v>534615.98</v>
      </c>
      <c r="R4295" t="inlineStr">
        <is>
          <t>Cardiology</t>
        </is>
      </c>
      <c r="S4295" s="70" t="n">
        <v>1832</v>
      </c>
      <c r="T4295" s="71" t="n">
        <v>134616.4</v>
      </c>
      <c r="U4295" t="inlineStr">
        <is>
          <t>High</t>
        </is>
      </c>
      <c r="V4295">
        <f>IF(AND(OR(Dashboard!$C$6="All",E4295=Dashboard!$C$6),OR(Dashboard!$F$6="All",G4295=Dashboard!$F$6),OR(Dashboard!$I$6="All",H4295=Dashboard!$I$6)),1,0)</f>
        <v/>
      </c>
    </row>
    <row r="4296">
      <c r="A4296" t="inlineStr">
        <is>
          <t>PF104287</t>
        </is>
      </c>
      <c r="B4296" s="68" t="n">
        <v>46175</v>
      </c>
      <c r="C4296" s="69" t="n">
        <v>2026</v>
      </c>
      <c r="D4296" t="inlineStr">
        <is>
          <t>Jun</t>
        </is>
      </c>
      <c r="E4296" t="inlineStr">
        <is>
          <t>Emerging markets</t>
        </is>
      </c>
      <c r="F4296" t="inlineStr">
        <is>
          <t>China</t>
        </is>
      </c>
      <c r="G4296" t="inlineStr">
        <is>
          <t>Prevnar 20</t>
        </is>
      </c>
      <c r="H4296" t="inlineStr">
        <is>
          <t>Government / tender</t>
        </is>
      </c>
      <c r="I4296" t="inlineStr">
        <is>
          <t>Public payer</t>
        </is>
      </c>
      <c r="J4296" t="inlineStr">
        <is>
          <t>Sara Rossi</t>
        </is>
      </c>
      <c r="K4296" s="70" t="n">
        <v>2838</v>
      </c>
      <c r="L4296" s="71" t="n">
        <v>257.62</v>
      </c>
      <c r="M4296" s="71" t="n">
        <v>731125.5600000001</v>
      </c>
      <c r="N4296" s="71" t="n">
        <v>73112.56</v>
      </c>
      <c r="O4296" s="71" t="n">
        <v>658013</v>
      </c>
      <c r="P4296" s="71" t="n">
        <v>196944.39</v>
      </c>
      <c r="Q4296" s="71" t="n">
        <v>461068.61</v>
      </c>
      <c r="R4296" t="inlineStr">
        <is>
          <t>Vaccines</t>
        </is>
      </c>
      <c r="S4296" s="70" t="n">
        <v>1837</v>
      </c>
      <c r="T4296" s="71" t="n">
        <v>132399.88</v>
      </c>
      <c r="U4296" t="inlineStr">
        <is>
          <t>Low</t>
        </is>
      </c>
      <c r="V4296">
        <f>IF(AND(OR(Dashboard!$C$6="All",E4296=Dashboard!$C$6),OR(Dashboard!$F$6="All",G4296=Dashboard!$F$6),OR(Dashboard!$I$6="All",H4296=Dashboard!$I$6)),1,0)</f>
        <v/>
      </c>
    </row>
    <row r="4297">
      <c r="A4297" t="inlineStr">
        <is>
          <t>PF104288</t>
        </is>
      </c>
      <c r="B4297" s="68" t="n">
        <v>46175</v>
      </c>
      <c r="C4297" s="69" t="n">
        <v>2026</v>
      </c>
      <c r="D4297" t="inlineStr">
        <is>
          <t>Jun</t>
        </is>
      </c>
      <c r="E4297" t="inlineStr">
        <is>
          <t>United States</t>
        </is>
      </c>
      <c r="F4297" t="inlineStr">
        <is>
          <t>USA</t>
        </is>
      </c>
      <c r="G4297" t="inlineStr">
        <is>
          <t>Prevnar 20</t>
        </is>
      </c>
      <c r="H4297" t="inlineStr">
        <is>
          <t>Retail pharmacy</t>
        </is>
      </c>
      <c r="I4297" t="inlineStr">
        <is>
          <t>Private insurer</t>
        </is>
      </c>
      <c r="J4297" t="inlineStr">
        <is>
          <t>Aisha Bello</t>
        </is>
      </c>
      <c r="K4297" s="70" t="n">
        <v>1033</v>
      </c>
      <c r="L4297" s="71" t="n">
        <v>353.36</v>
      </c>
      <c r="M4297" s="71" t="n">
        <v>365020.88</v>
      </c>
      <c r="N4297" s="71" t="n">
        <v>127757.31</v>
      </c>
      <c r="O4297" s="71" t="n">
        <v>237263.57</v>
      </c>
      <c r="P4297" s="71" t="n">
        <v>71269.35000000001</v>
      </c>
      <c r="Q4297" s="71" t="n">
        <v>165994.22</v>
      </c>
      <c r="R4297" t="inlineStr">
        <is>
          <t>Vaccines</t>
        </is>
      </c>
      <c r="S4297" s="70" t="n">
        <v>859</v>
      </c>
      <c r="T4297" s="71" t="n">
        <v>68596.28</v>
      </c>
      <c r="U4297" t="inlineStr">
        <is>
          <t>Low</t>
        </is>
      </c>
      <c r="V4297">
        <f>IF(AND(OR(Dashboard!$C$6="All",E4297=Dashboard!$C$6),OR(Dashboard!$F$6="All",G4297=Dashboard!$F$6),OR(Dashboard!$I$6="All",H4297=Dashboard!$I$6)),1,0)</f>
        <v/>
      </c>
    </row>
    <row r="4298">
      <c r="A4298" t="inlineStr">
        <is>
          <t>PF104289</t>
        </is>
      </c>
      <c r="B4298" s="68" t="n">
        <v>46176</v>
      </c>
      <c r="C4298" s="69" t="n">
        <v>2026</v>
      </c>
      <c r="D4298" t="inlineStr">
        <is>
          <t>Jun</t>
        </is>
      </c>
      <c r="E4298" t="inlineStr">
        <is>
          <t>Europe</t>
        </is>
      </c>
      <c r="F4298" t="inlineStr">
        <is>
          <t>Spain</t>
        </is>
      </c>
      <c r="G4298" t="inlineStr">
        <is>
          <t>Xeljanz</t>
        </is>
      </c>
      <c r="H4298" t="inlineStr">
        <is>
          <t>Hospital</t>
        </is>
      </c>
      <c r="I4298" t="inlineStr">
        <is>
          <t>Private insurer</t>
        </is>
      </c>
      <c r="J4298" t="inlineStr">
        <is>
          <t>Ravindra Patil</t>
        </is>
      </c>
      <c r="K4298" s="70" t="n">
        <v>203</v>
      </c>
      <c r="L4298" s="71" t="n">
        <v>1466.84</v>
      </c>
      <c r="M4298" s="71" t="n">
        <v>297768.52</v>
      </c>
      <c r="N4298" s="71" t="n">
        <v>59553.7</v>
      </c>
      <c r="O4298" s="71" t="n">
        <v>238214.82</v>
      </c>
      <c r="P4298" s="71" t="n">
        <v>49793.9</v>
      </c>
      <c r="Q4298" s="71" t="n">
        <v>188420.92</v>
      </c>
      <c r="R4298" t="inlineStr">
        <is>
          <t>Inflammation</t>
        </is>
      </c>
      <c r="S4298" s="70" t="n">
        <v>151</v>
      </c>
      <c r="T4298" s="71" t="n">
        <v>46403.03</v>
      </c>
      <c r="U4298" t="inlineStr">
        <is>
          <t>High</t>
        </is>
      </c>
      <c r="V4298">
        <f>IF(AND(OR(Dashboard!$C$6="All",E4298=Dashboard!$C$6),OR(Dashboard!$F$6="All",G4298=Dashboard!$F$6),OR(Dashboard!$I$6="All",H4298=Dashboard!$I$6)),1,0)</f>
        <v/>
      </c>
    </row>
    <row r="4299">
      <c r="A4299" t="inlineStr">
        <is>
          <t>PF104290</t>
        </is>
      </c>
      <c r="B4299" s="68" t="n">
        <v>46176</v>
      </c>
      <c r="C4299" s="69" t="n">
        <v>2026</v>
      </c>
      <c r="D4299" t="inlineStr">
        <is>
          <t>Jun</t>
        </is>
      </c>
      <c r="E4299" t="inlineStr">
        <is>
          <t>Europe</t>
        </is>
      </c>
      <c r="F4299" t="inlineStr">
        <is>
          <t>Germany</t>
        </is>
      </c>
      <c r="G4299" t="inlineStr">
        <is>
          <t>Eliquis</t>
        </is>
      </c>
      <c r="H4299" t="inlineStr">
        <is>
          <t>Retail pharmacy</t>
        </is>
      </c>
      <c r="I4299" t="inlineStr">
        <is>
          <t>Public payer</t>
        </is>
      </c>
      <c r="J4299" t="inlineStr">
        <is>
          <t>Zoya Ahmed</t>
        </is>
      </c>
      <c r="K4299" s="70" t="n">
        <v>480</v>
      </c>
      <c r="L4299" s="71" t="n">
        <v>391.16</v>
      </c>
      <c r="M4299" s="71" t="n">
        <v>187756.8</v>
      </c>
      <c r="N4299" s="71" t="n">
        <v>18775.68</v>
      </c>
      <c r="O4299" s="71" t="n">
        <v>168981.12</v>
      </c>
      <c r="P4299" s="71" t="n">
        <v>34928.96</v>
      </c>
      <c r="Q4299" s="71" t="n">
        <v>134052.16</v>
      </c>
      <c r="R4299" t="inlineStr">
        <is>
          <t>Cardiology</t>
        </is>
      </c>
      <c r="S4299" s="70" t="n">
        <v>319</v>
      </c>
      <c r="T4299" s="71" t="n">
        <v>33450.77</v>
      </c>
      <c r="U4299" t="inlineStr">
        <is>
          <t>High</t>
        </is>
      </c>
      <c r="V4299">
        <f>IF(AND(OR(Dashboard!$C$6="All",E4299=Dashboard!$C$6),OR(Dashboard!$F$6="All",G4299=Dashboard!$F$6),OR(Dashboard!$I$6="All",H4299=Dashboard!$I$6)),1,0)</f>
        <v/>
      </c>
    </row>
    <row r="4300">
      <c r="A4300" t="inlineStr">
        <is>
          <t>PF104291</t>
        </is>
      </c>
      <c r="B4300" s="68" t="n">
        <v>46176</v>
      </c>
      <c r="C4300" s="69" t="n">
        <v>2026</v>
      </c>
      <c r="D4300" t="inlineStr">
        <is>
          <t>Jun</t>
        </is>
      </c>
      <c r="E4300" t="inlineStr">
        <is>
          <t>United States</t>
        </is>
      </c>
      <c r="F4300" t="inlineStr">
        <is>
          <t>USA</t>
        </is>
      </c>
      <c r="G4300" t="inlineStr">
        <is>
          <t>Paxlovid</t>
        </is>
      </c>
      <c r="H4300" t="inlineStr">
        <is>
          <t>Retail pharmacy</t>
        </is>
      </c>
      <c r="I4300" t="inlineStr">
        <is>
          <t>Private insurer</t>
        </is>
      </c>
      <c r="J4300" t="inlineStr">
        <is>
          <t>Yuki Sato</t>
        </is>
      </c>
      <c r="K4300" s="70" t="n">
        <v>1116</v>
      </c>
      <c r="L4300" s="71" t="n">
        <v>1519.48</v>
      </c>
      <c r="M4300" s="71" t="n">
        <v>1695739.68</v>
      </c>
      <c r="N4300" s="71" t="n">
        <v>593508.89</v>
      </c>
      <c r="O4300" s="71" t="n">
        <v>1102230.79</v>
      </c>
      <c r="P4300" s="71" t="n">
        <v>296734.99</v>
      </c>
      <c r="Q4300" s="71" t="n">
        <v>805495.8</v>
      </c>
      <c r="R4300" t="inlineStr">
        <is>
          <t>Antiviral</t>
        </is>
      </c>
      <c r="S4300" s="70" t="n">
        <v>926</v>
      </c>
      <c r="T4300" s="71" t="n">
        <v>358065.81</v>
      </c>
      <c r="U4300" t="inlineStr">
        <is>
          <t>Low</t>
        </is>
      </c>
      <c r="V4300">
        <f>IF(AND(OR(Dashboard!$C$6="All",E4300=Dashboard!$C$6),OR(Dashboard!$F$6="All",G4300=Dashboard!$F$6),OR(Dashboard!$I$6="All",H4300=Dashboard!$I$6)),1,0)</f>
        <v/>
      </c>
    </row>
    <row r="4301">
      <c r="A4301" t="inlineStr">
        <is>
          <t>PF104292</t>
        </is>
      </c>
      <c r="B4301" s="68" t="n">
        <v>46176</v>
      </c>
      <c r="C4301" s="69" t="n">
        <v>2026</v>
      </c>
      <c r="D4301" t="inlineStr">
        <is>
          <t>Jun</t>
        </is>
      </c>
      <c r="E4301" t="inlineStr">
        <is>
          <t>United States</t>
        </is>
      </c>
      <c r="F4301" t="inlineStr">
        <is>
          <t>USA</t>
        </is>
      </c>
      <c r="G4301" t="inlineStr">
        <is>
          <t>Ibrance</t>
        </is>
      </c>
      <c r="H4301" t="inlineStr">
        <is>
          <t>Hospital</t>
        </is>
      </c>
      <c r="I4301" t="inlineStr">
        <is>
          <t>Private insurer</t>
        </is>
      </c>
      <c r="J4301" t="inlineStr">
        <is>
          <t>Kofi Mensah</t>
        </is>
      </c>
      <c r="K4301" s="70" t="n">
        <v>2675</v>
      </c>
      <c r="L4301" s="71" t="n">
        <v>4694.87</v>
      </c>
      <c r="M4301" s="71" t="n">
        <v>12558777.25</v>
      </c>
      <c r="N4301" s="71" t="n">
        <v>3767633.18</v>
      </c>
      <c r="O4301" s="71" t="n">
        <v>8791144.07</v>
      </c>
      <c r="P4301" s="71" t="n">
        <v>1123520.9</v>
      </c>
      <c r="Q4301" s="71" t="n">
        <v>7667623.17</v>
      </c>
      <c r="R4301" t="inlineStr">
        <is>
          <t>Oncology</t>
        </is>
      </c>
      <c r="S4301" s="70" t="n">
        <v>2062</v>
      </c>
      <c r="T4301" s="71" t="n">
        <v>2332104.99</v>
      </c>
      <c r="U4301" t="inlineStr">
        <is>
          <t>High</t>
        </is>
      </c>
      <c r="V4301">
        <f>IF(AND(OR(Dashboard!$C$6="All",E4301=Dashboard!$C$6),OR(Dashboard!$F$6="All",G4301=Dashboard!$F$6),OR(Dashboard!$I$6="All",H4301=Dashboard!$I$6)),1,0)</f>
        <v/>
      </c>
    </row>
    <row r="4302">
      <c r="A4302" t="inlineStr">
        <is>
          <t>PF104293</t>
        </is>
      </c>
      <c r="B4302" s="68" t="n">
        <v>46176</v>
      </c>
      <c r="C4302" s="69" t="n">
        <v>2026</v>
      </c>
      <c r="D4302" t="inlineStr">
        <is>
          <t>Jun</t>
        </is>
      </c>
      <c r="E4302" t="inlineStr">
        <is>
          <t>Emerging markets</t>
        </is>
      </c>
      <c r="F4302" t="inlineStr">
        <is>
          <t>Brazil</t>
        </is>
      </c>
      <c r="G4302" t="inlineStr">
        <is>
          <t>Vyndaqel</t>
        </is>
      </c>
      <c r="H4302" t="inlineStr">
        <is>
          <t>Government / tender</t>
        </is>
      </c>
      <c r="I4302" t="inlineStr">
        <is>
          <t>Public payer</t>
        </is>
      </c>
      <c r="J4302" t="inlineStr">
        <is>
          <t>Hiroshi Tanaka</t>
        </is>
      </c>
      <c r="K4302" s="70" t="n">
        <v>901</v>
      </c>
      <c r="L4302" s="71" t="n">
        <v>5342.64</v>
      </c>
      <c r="M4302" s="71" t="n">
        <v>4813718.64</v>
      </c>
      <c r="N4302" s="71" t="n">
        <v>1203429.66</v>
      </c>
      <c r="O4302" s="71" t="n">
        <v>3610288.98</v>
      </c>
      <c r="P4302" s="71" t="n">
        <v>579191.02</v>
      </c>
      <c r="Q4302" s="71" t="n">
        <v>3031097.96</v>
      </c>
      <c r="R4302" t="inlineStr">
        <is>
          <t>Rare disease</t>
        </is>
      </c>
      <c r="S4302" s="70" t="n">
        <v>584</v>
      </c>
      <c r="T4302" s="71" t="n">
        <v>816326.5</v>
      </c>
      <c r="U4302" t="inlineStr">
        <is>
          <t>Medium</t>
        </is>
      </c>
      <c r="V4302">
        <f>IF(AND(OR(Dashboard!$C$6="All",E4302=Dashboard!$C$6),OR(Dashboard!$F$6="All",G4302=Dashboard!$F$6),OR(Dashboard!$I$6="All",H4302=Dashboard!$I$6)),1,0)</f>
        <v/>
      </c>
    </row>
    <row r="4303">
      <c r="A4303" t="inlineStr">
        <is>
          <t>PF104294</t>
        </is>
      </c>
      <c r="B4303" s="68" t="n">
        <v>46176</v>
      </c>
      <c r="C4303" s="69" t="n">
        <v>2026</v>
      </c>
      <c r="D4303" t="inlineStr">
        <is>
          <t>Jun</t>
        </is>
      </c>
      <c r="E4303" t="inlineStr">
        <is>
          <t>International developed</t>
        </is>
      </c>
      <c r="F4303" t="inlineStr">
        <is>
          <t>Japan</t>
        </is>
      </c>
      <c r="G4303" t="inlineStr">
        <is>
          <t>Eliquis</t>
        </is>
      </c>
      <c r="H4303" t="inlineStr">
        <is>
          <t>Retail pharmacy</t>
        </is>
      </c>
      <c r="I4303" t="inlineStr">
        <is>
          <t>Private insurer</t>
        </is>
      </c>
      <c r="J4303" t="inlineStr">
        <is>
          <t>Carlos Silva</t>
        </is>
      </c>
      <c r="K4303" s="70" t="n">
        <v>2224</v>
      </c>
      <c r="L4303" s="71" t="n">
        <v>405.14</v>
      </c>
      <c r="M4303" s="71" t="n">
        <v>901031.36</v>
      </c>
      <c r="N4303" s="71" t="n">
        <v>45051.57</v>
      </c>
      <c r="O4303" s="71" t="n">
        <v>855979.79</v>
      </c>
      <c r="P4303" s="71" t="n">
        <v>171903.78</v>
      </c>
      <c r="Q4303" s="71" t="n">
        <v>684076.01</v>
      </c>
      <c r="R4303" t="inlineStr">
        <is>
          <t>Cardiology</t>
        </is>
      </c>
      <c r="S4303" s="70" t="n">
        <v>1754</v>
      </c>
      <c r="T4303" s="71" t="n">
        <v>148426.6</v>
      </c>
      <c r="U4303" t="inlineStr">
        <is>
          <t>High</t>
        </is>
      </c>
      <c r="V4303">
        <f>IF(AND(OR(Dashboard!$C$6="All",E4303=Dashboard!$C$6),OR(Dashboard!$F$6="All",G4303=Dashboard!$F$6),OR(Dashboard!$I$6="All",H4303=Dashboard!$I$6)),1,0)</f>
        <v/>
      </c>
    </row>
    <row r="4304">
      <c r="A4304" t="inlineStr">
        <is>
          <t>PF104295</t>
        </is>
      </c>
      <c r="B4304" s="68" t="n">
        <v>46176</v>
      </c>
      <c r="C4304" s="69" t="n">
        <v>2026</v>
      </c>
      <c r="D4304" t="inlineStr">
        <is>
          <t>Jun</t>
        </is>
      </c>
      <c r="E4304" t="inlineStr">
        <is>
          <t>Europe</t>
        </is>
      </c>
      <c r="F4304" t="inlineStr">
        <is>
          <t>France</t>
        </is>
      </c>
      <c r="G4304" t="inlineStr">
        <is>
          <t>Abrysvo</t>
        </is>
      </c>
      <c r="H4304" t="inlineStr">
        <is>
          <t>Retail pharmacy</t>
        </is>
      </c>
      <c r="I4304" t="inlineStr">
        <is>
          <t>Public payer</t>
        </is>
      </c>
      <c r="J4304" t="inlineStr">
        <is>
          <t>Hiroshi Tanaka</t>
        </is>
      </c>
      <c r="K4304" s="70" t="n">
        <v>656</v>
      </c>
      <c r="L4304" s="71" t="n">
        <v>298.17</v>
      </c>
      <c r="M4304" s="71" t="n">
        <v>195599.52</v>
      </c>
      <c r="N4304" s="71" t="n">
        <v>48899.88</v>
      </c>
      <c r="O4304" s="71" t="n">
        <v>146699.64</v>
      </c>
      <c r="P4304" s="71" t="n">
        <v>56088.7</v>
      </c>
      <c r="Q4304" s="71" t="n">
        <v>90610.94</v>
      </c>
      <c r="R4304" t="inlineStr">
        <is>
          <t>Vaccines</t>
        </is>
      </c>
      <c r="S4304" s="70" t="n">
        <v>588</v>
      </c>
      <c r="T4304" s="71" t="n">
        <v>33620.96</v>
      </c>
      <c r="U4304" t="inlineStr">
        <is>
          <t>Low</t>
        </is>
      </c>
      <c r="V4304">
        <f>IF(AND(OR(Dashboard!$C$6="All",E4304=Dashboard!$C$6),OR(Dashboard!$F$6="All",G4304=Dashboard!$F$6),OR(Dashboard!$I$6="All",H4304=Dashboard!$I$6)),1,0)</f>
        <v/>
      </c>
    </row>
    <row r="4305">
      <c r="A4305" t="inlineStr">
        <is>
          <t>PF104296</t>
        </is>
      </c>
      <c r="B4305" s="68" t="n">
        <v>46176</v>
      </c>
      <c r="C4305" s="69" t="n">
        <v>2026</v>
      </c>
      <c r="D4305" t="inlineStr">
        <is>
          <t>Jun</t>
        </is>
      </c>
      <c r="E4305" t="inlineStr">
        <is>
          <t>Europe</t>
        </is>
      </c>
      <c r="F4305" t="inlineStr">
        <is>
          <t>Italy</t>
        </is>
      </c>
      <c r="G4305" t="inlineStr">
        <is>
          <t>Comirnaty</t>
        </is>
      </c>
      <c r="H4305" t="inlineStr">
        <is>
          <t>Hospital</t>
        </is>
      </c>
      <c r="I4305" t="inlineStr">
        <is>
          <t>Self-pay</t>
        </is>
      </c>
      <c r="J4305" t="inlineStr">
        <is>
          <t>Shraddha Kulkarni</t>
        </is>
      </c>
      <c r="K4305" s="70" t="n">
        <v>691</v>
      </c>
      <c r="L4305" s="71" t="n">
        <v>92.67</v>
      </c>
      <c r="M4305" s="71" t="n">
        <v>64034.97</v>
      </c>
      <c r="N4305" s="71" t="n">
        <v>3201.75</v>
      </c>
      <c r="O4305" s="71" t="n">
        <v>60833.22</v>
      </c>
      <c r="P4305" s="71" t="n">
        <v>25844.05</v>
      </c>
      <c r="Q4305" s="71" t="n">
        <v>34989.17</v>
      </c>
      <c r="R4305" t="inlineStr">
        <is>
          <t>Vaccines</t>
        </is>
      </c>
      <c r="S4305" s="70" t="n">
        <v>584</v>
      </c>
      <c r="T4305" s="71" t="n">
        <v>17071.69</v>
      </c>
      <c r="U4305" t="inlineStr">
        <is>
          <t>Low</t>
        </is>
      </c>
      <c r="V4305">
        <f>IF(AND(OR(Dashboard!$C$6="All",E4305=Dashboard!$C$6),OR(Dashboard!$F$6="All",G4305=Dashboard!$F$6),OR(Dashboard!$I$6="All",H4305=Dashboard!$I$6)),1,0)</f>
        <v/>
      </c>
    </row>
    <row r="4306">
      <c r="A4306" t="inlineStr">
        <is>
          <t>PF104297</t>
        </is>
      </c>
      <c r="B4306" s="68" t="n">
        <v>46177</v>
      </c>
      <c r="C4306" s="69" t="n">
        <v>2026</v>
      </c>
      <c r="D4306" t="inlineStr">
        <is>
          <t>Jun</t>
        </is>
      </c>
      <c r="E4306" t="inlineStr">
        <is>
          <t>International developed</t>
        </is>
      </c>
      <c r="F4306" t="inlineStr">
        <is>
          <t>Australia</t>
        </is>
      </c>
      <c r="G4306" t="inlineStr">
        <is>
          <t>Paxlovid</t>
        </is>
      </c>
      <c r="H4306" t="inlineStr">
        <is>
          <t>Retail pharmacy</t>
        </is>
      </c>
      <c r="I4306" t="inlineStr">
        <is>
          <t>Self-pay</t>
        </is>
      </c>
      <c r="J4306" t="inlineStr">
        <is>
          <t>Olivia Brown</t>
        </is>
      </c>
      <c r="K4306" s="70" t="n">
        <v>2090</v>
      </c>
      <c r="L4306" s="71" t="n">
        <v>857.5599999999999</v>
      </c>
      <c r="M4306" s="71" t="n">
        <v>1792300.4</v>
      </c>
      <c r="N4306" s="71" t="n">
        <v>358460.08</v>
      </c>
      <c r="O4306" s="71" t="n">
        <v>1433840.32</v>
      </c>
      <c r="P4306" s="71" t="n">
        <v>560236.21</v>
      </c>
      <c r="Q4306" s="71" t="n">
        <v>873604.11</v>
      </c>
      <c r="R4306" t="inlineStr">
        <is>
          <t>Antiviral</t>
        </is>
      </c>
      <c r="S4306" s="70" t="n">
        <v>1391</v>
      </c>
      <c r="T4306" s="71" t="n">
        <v>352659.53</v>
      </c>
      <c r="U4306" t="inlineStr">
        <is>
          <t>Low</t>
        </is>
      </c>
      <c r="V4306">
        <f>IF(AND(OR(Dashboard!$C$6="All",E4306=Dashboard!$C$6),OR(Dashboard!$F$6="All",G4306=Dashboard!$F$6),OR(Dashboard!$I$6="All",H4306=Dashboard!$I$6)),1,0)</f>
        <v/>
      </c>
    </row>
    <row r="4307">
      <c r="A4307" t="inlineStr">
        <is>
          <t>PF104298</t>
        </is>
      </c>
      <c r="B4307" s="68" t="n">
        <v>46177</v>
      </c>
      <c r="C4307" s="69" t="n">
        <v>2026</v>
      </c>
      <c r="D4307" t="inlineStr">
        <is>
          <t>Jun</t>
        </is>
      </c>
      <c r="E4307" t="inlineStr">
        <is>
          <t>Europe</t>
        </is>
      </c>
      <c r="F4307" t="inlineStr">
        <is>
          <t>Germany</t>
        </is>
      </c>
      <c r="G4307" t="inlineStr">
        <is>
          <t>Eliquis</t>
        </is>
      </c>
      <c r="H4307" t="inlineStr">
        <is>
          <t>Hospital</t>
        </is>
      </c>
      <c r="I4307" t="inlineStr">
        <is>
          <t>Public payer</t>
        </is>
      </c>
      <c r="J4307" t="inlineStr">
        <is>
          <t>Amir Khan</t>
        </is>
      </c>
      <c r="K4307" s="70" t="n">
        <v>2139</v>
      </c>
      <c r="L4307" s="71" t="n">
        <v>394.86</v>
      </c>
      <c r="M4307" s="71" t="n">
        <v>844605.54</v>
      </c>
      <c r="N4307" s="71" t="n">
        <v>42230.28</v>
      </c>
      <c r="O4307" s="71" t="n">
        <v>802375.26</v>
      </c>
      <c r="P4307" s="71" t="n">
        <v>162810.53</v>
      </c>
      <c r="Q4307" s="71" t="n">
        <v>639564.73</v>
      </c>
      <c r="R4307" t="inlineStr">
        <is>
          <t>Cardiology</t>
        </is>
      </c>
      <c r="S4307" s="70" t="n">
        <v>1618</v>
      </c>
      <c r="T4307" s="71" t="n">
        <v>118261.64</v>
      </c>
      <c r="U4307" t="inlineStr">
        <is>
          <t>High</t>
        </is>
      </c>
      <c r="V4307">
        <f>IF(AND(OR(Dashboard!$C$6="All",E4307=Dashboard!$C$6),OR(Dashboard!$F$6="All",G4307=Dashboard!$F$6),OR(Dashboard!$I$6="All",H4307=Dashboard!$I$6)),1,0)</f>
        <v/>
      </c>
    </row>
    <row r="4308">
      <c r="A4308" t="inlineStr">
        <is>
          <t>PF104299</t>
        </is>
      </c>
      <c r="B4308" s="68" t="n">
        <v>46177</v>
      </c>
      <c r="C4308" s="69" t="n">
        <v>2026</v>
      </c>
      <c r="D4308" t="inlineStr">
        <is>
          <t>Jun</t>
        </is>
      </c>
      <c r="E4308" t="inlineStr">
        <is>
          <t>United States</t>
        </is>
      </c>
      <c r="F4308" t="inlineStr">
        <is>
          <t>USA</t>
        </is>
      </c>
      <c r="G4308" t="inlineStr">
        <is>
          <t>Prevnar 20</t>
        </is>
      </c>
      <c r="H4308" t="inlineStr">
        <is>
          <t>Retail pharmacy</t>
        </is>
      </c>
      <c r="I4308" t="inlineStr">
        <is>
          <t>Public payer</t>
        </is>
      </c>
      <c r="J4308" t="inlineStr">
        <is>
          <t>Aisha Bello</t>
        </is>
      </c>
      <c r="K4308" s="70" t="n">
        <v>2242</v>
      </c>
      <c r="L4308" s="71" t="n">
        <v>361.53</v>
      </c>
      <c r="M4308" s="71" t="n">
        <v>810550.26</v>
      </c>
      <c r="N4308" s="71" t="n">
        <v>243165.08</v>
      </c>
      <c r="O4308" s="71" t="n">
        <v>567385.1800000001</v>
      </c>
      <c r="P4308" s="71" t="n">
        <v>153486.05</v>
      </c>
      <c r="Q4308" s="71" t="n">
        <v>413899.13</v>
      </c>
      <c r="R4308" t="inlineStr">
        <is>
          <t>Vaccines</t>
        </is>
      </c>
      <c r="S4308" s="70" t="n">
        <v>1610</v>
      </c>
      <c r="T4308" s="71" t="n">
        <v>142252.06</v>
      </c>
      <c r="U4308" t="inlineStr">
        <is>
          <t>Low</t>
        </is>
      </c>
      <c r="V4308">
        <f>IF(AND(OR(Dashboard!$C$6="All",E4308=Dashboard!$C$6),OR(Dashboard!$F$6="All",G4308=Dashboard!$F$6),OR(Dashboard!$I$6="All",H4308=Dashboard!$I$6)),1,0)</f>
        <v/>
      </c>
    </row>
    <row r="4309">
      <c r="A4309" t="inlineStr">
        <is>
          <t>PF104300</t>
        </is>
      </c>
      <c r="B4309" s="68" t="n">
        <v>46177</v>
      </c>
      <c r="C4309" s="69" t="n">
        <v>2026</v>
      </c>
      <c r="D4309" t="inlineStr">
        <is>
          <t>Jun</t>
        </is>
      </c>
      <c r="E4309" t="inlineStr">
        <is>
          <t>Europe</t>
        </is>
      </c>
      <c r="F4309" t="inlineStr">
        <is>
          <t>Spain</t>
        </is>
      </c>
      <c r="G4309" t="inlineStr">
        <is>
          <t>Eliquis</t>
        </is>
      </c>
      <c r="H4309" t="inlineStr">
        <is>
          <t>Retail pharmacy</t>
        </is>
      </c>
      <c r="I4309" t="inlineStr">
        <is>
          <t>Public payer</t>
        </is>
      </c>
      <c r="J4309" t="inlineStr">
        <is>
          <t>Arjun Mehta</t>
        </is>
      </c>
      <c r="K4309" s="70" t="n">
        <v>2472</v>
      </c>
      <c r="L4309" s="71" t="n">
        <v>412.54</v>
      </c>
      <c r="M4309" s="71" t="n">
        <v>1019798.88</v>
      </c>
      <c r="N4309" s="71" t="n">
        <v>203959.78</v>
      </c>
      <c r="O4309" s="71" t="n">
        <v>815839.1</v>
      </c>
      <c r="P4309" s="71" t="n">
        <v>186634.02</v>
      </c>
      <c r="Q4309" s="71" t="n">
        <v>629205.08</v>
      </c>
      <c r="R4309" t="inlineStr">
        <is>
          <t>Cardiology</t>
        </is>
      </c>
      <c r="S4309" s="70" t="n">
        <v>2214</v>
      </c>
      <c r="T4309" s="71" t="n">
        <v>170733.11</v>
      </c>
      <c r="U4309" t="inlineStr">
        <is>
          <t>High</t>
        </is>
      </c>
      <c r="V4309">
        <f>IF(AND(OR(Dashboard!$C$6="All",E4309=Dashboard!$C$6),OR(Dashboard!$F$6="All",G4309=Dashboard!$F$6),OR(Dashboard!$I$6="All",H4309=Dashboard!$I$6)),1,0)</f>
        <v/>
      </c>
    </row>
    <row r="4310">
      <c r="A4310" t="inlineStr">
        <is>
          <t>PF104301</t>
        </is>
      </c>
      <c r="B4310" s="68" t="n">
        <v>46178</v>
      </c>
      <c r="C4310" s="69" t="n">
        <v>2026</v>
      </c>
      <c r="D4310" t="inlineStr">
        <is>
          <t>Jun</t>
        </is>
      </c>
      <c r="E4310" t="inlineStr">
        <is>
          <t>International developed</t>
        </is>
      </c>
      <c r="F4310" t="inlineStr">
        <is>
          <t>Japan</t>
        </is>
      </c>
      <c r="G4310" t="inlineStr">
        <is>
          <t>Eliquis</t>
        </is>
      </c>
      <c r="H4310" t="inlineStr">
        <is>
          <t>Retail pharmacy</t>
        </is>
      </c>
      <c r="I4310" t="inlineStr">
        <is>
          <t>Private insurer</t>
        </is>
      </c>
      <c r="J4310" t="inlineStr">
        <is>
          <t>Fatima Al-Saud</t>
        </is>
      </c>
      <c r="K4310" s="70" t="n">
        <v>587</v>
      </c>
      <c r="L4310" s="71" t="n">
        <v>472.91</v>
      </c>
      <c r="M4310" s="71" t="n">
        <v>277598.17</v>
      </c>
      <c r="N4310" s="71" t="n">
        <v>27759.82</v>
      </c>
      <c r="O4310" s="71" t="n">
        <v>249838.35</v>
      </c>
      <c r="P4310" s="71" t="n">
        <v>43318.22</v>
      </c>
      <c r="Q4310" s="71" t="n">
        <v>206520.13</v>
      </c>
      <c r="R4310" t="inlineStr">
        <is>
          <t>Cardiology</t>
        </is>
      </c>
      <c r="S4310" s="70" t="n">
        <v>475</v>
      </c>
      <c r="T4310" s="71" t="n">
        <v>43745.53</v>
      </c>
      <c r="U4310" t="inlineStr">
        <is>
          <t>High</t>
        </is>
      </c>
      <c r="V4310">
        <f>IF(AND(OR(Dashboard!$C$6="All",E4310=Dashboard!$C$6),OR(Dashboard!$F$6="All",G4310=Dashboard!$F$6),OR(Dashboard!$I$6="All",H4310=Dashboard!$I$6)),1,0)</f>
        <v/>
      </c>
    </row>
    <row r="4311">
      <c r="A4311" t="inlineStr">
        <is>
          <t>PF104302</t>
        </is>
      </c>
      <c r="B4311" s="68" t="n">
        <v>46178</v>
      </c>
      <c r="C4311" s="69" t="n">
        <v>2026</v>
      </c>
      <c r="D4311" t="inlineStr">
        <is>
          <t>Jun</t>
        </is>
      </c>
      <c r="E4311" t="inlineStr">
        <is>
          <t>United States</t>
        </is>
      </c>
      <c r="F4311" t="inlineStr">
        <is>
          <t>USA</t>
        </is>
      </c>
      <c r="G4311" t="inlineStr">
        <is>
          <t>Xeljanz</t>
        </is>
      </c>
      <c r="H4311" t="inlineStr">
        <is>
          <t>Hospital</t>
        </is>
      </c>
      <c r="I4311" t="inlineStr">
        <is>
          <t>Private insurer</t>
        </is>
      </c>
      <c r="J4311" t="inlineStr">
        <is>
          <t>Mei Lin</t>
        </is>
      </c>
      <c r="K4311" s="70" t="n">
        <v>1986</v>
      </c>
      <c r="L4311" s="71" t="n">
        <v>2001.69</v>
      </c>
      <c r="M4311" s="71" t="n">
        <v>3975356.34</v>
      </c>
      <c r="N4311" s="71" t="n">
        <v>993839.08</v>
      </c>
      <c r="O4311" s="71" t="n">
        <v>2981517.26</v>
      </c>
      <c r="P4311" s="71" t="n">
        <v>502598.29</v>
      </c>
      <c r="Q4311" s="71" t="n">
        <v>2478918.97</v>
      </c>
      <c r="R4311" t="inlineStr">
        <is>
          <t>Inflammation</t>
        </is>
      </c>
      <c r="S4311" s="70" t="n">
        <v>1454</v>
      </c>
      <c r="T4311" s="71" t="n">
        <v>695201.55</v>
      </c>
      <c r="U4311" t="inlineStr">
        <is>
          <t>High</t>
        </is>
      </c>
      <c r="V4311">
        <f>IF(AND(OR(Dashboard!$C$6="All",E4311=Dashboard!$C$6),OR(Dashboard!$F$6="All",G4311=Dashboard!$F$6),OR(Dashboard!$I$6="All",H4311=Dashboard!$I$6)),1,0)</f>
        <v/>
      </c>
    </row>
    <row r="4312">
      <c r="A4312" t="inlineStr">
        <is>
          <t>PF104303</t>
        </is>
      </c>
      <c r="B4312" s="68" t="n">
        <v>46178</v>
      </c>
      <c r="C4312" s="69" t="n">
        <v>2026</v>
      </c>
      <c r="D4312" t="inlineStr">
        <is>
          <t>Jun</t>
        </is>
      </c>
      <c r="E4312" t="inlineStr">
        <is>
          <t>United States</t>
        </is>
      </c>
      <c r="F4312" t="inlineStr">
        <is>
          <t>USA</t>
        </is>
      </c>
      <c r="G4312" t="inlineStr">
        <is>
          <t>Eliquis</t>
        </is>
      </c>
      <c r="H4312" t="inlineStr">
        <is>
          <t>Hospital</t>
        </is>
      </c>
      <c r="I4312" t="inlineStr">
        <is>
          <t>Private insurer</t>
        </is>
      </c>
      <c r="J4312" t="inlineStr">
        <is>
          <t>Wei Chen</t>
        </is>
      </c>
      <c r="K4312" s="70" t="n">
        <v>2045</v>
      </c>
      <c r="L4312" s="71" t="n">
        <v>694.62</v>
      </c>
      <c r="M4312" s="71" t="n">
        <v>1420497.9</v>
      </c>
      <c r="N4312" s="71" t="n">
        <v>284099.58</v>
      </c>
      <c r="O4312" s="71" t="n">
        <v>1136398.32</v>
      </c>
      <c r="P4312" s="71" t="n">
        <v>157727.54</v>
      </c>
      <c r="Q4312" s="71" t="n">
        <v>978670.78</v>
      </c>
      <c r="R4312" t="inlineStr">
        <is>
          <t>Cardiology</t>
        </is>
      </c>
      <c r="S4312" s="70" t="n">
        <v>1707</v>
      </c>
      <c r="T4312" s="71" t="n">
        <v>165709.22</v>
      </c>
      <c r="U4312" t="inlineStr">
        <is>
          <t>High</t>
        </is>
      </c>
      <c r="V4312">
        <f>IF(AND(OR(Dashboard!$C$6="All",E4312=Dashboard!$C$6),OR(Dashboard!$F$6="All",G4312=Dashboard!$F$6),OR(Dashboard!$I$6="All",H4312=Dashboard!$I$6)),1,0)</f>
        <v/>
      </c>
    </row>
    <row r="4313">
      <c r="A4313" t="inlineStr">
        <is>
          <t>PF104304</t>
        </is>
      </c>
      <c r="B4313" s="68" t="n">
        <v>46178</v>
      </c>
      <c r="C4313" s="69" t="n">
        <v>2026</v>
      </c>
      <c r="D4313" t="inlineStr">
        <is>
          <t>Jun</t>
        </is>
      </c>
      <c r="E4313" t="inlineStr">
        <is>
          <t>United States</t>
        </is>
      </c>
      <c r="F4313" t="inlineStr">
        <is>
          <t>USA</t>
        </is>
      </c>
      <c r="G4313" t="inlineStr">
        <is>
          <t>Prevnar 20</t>
        </is>
      </c>
      <c r="H4313" t="inlineStr">
        <is>
          <t>Hospital</t>
        </is>
      </c>
      <c r="I4313" t="inlineStr">
        <is>
          <t>Public payer</t>
        </is>
      </c>
      <c r="J4313" t="inlineStr">
        <is>
          <t>Hiroshi Tanaka</t>
        </is>
      </c>
      <c r="K4313" s="70" t="n">
        <v>1925</v>
      </c>
      <c r="L4313" s="71" t="n">
        <v>360.74</v>
      </c>
      <c r="M4313" s="71" t="n">
        <v>694424.5</v>
      </c>
      <c r="N4313" s="71" t="n">
        <v>138884.9</v>
      </c>
      <c r="O4313" s="71" t="n">
        <v>555539.6</v>
      </c>
      <c r="P4313" s="71" t="n">
        <v>131622.69</v>
      </c>
      <c r="Q4313" s="71" t="n">
        <v>423916.91</v>
      </c>
      <c r="R4313" t="inlineStr">
        <is>
          <t>Vaccines</t>
        </is>
      </c>
      <c r="S4313" s="70" t="n">
        <v>1241</v>
      </c>
      <c r="T4313" s="71" t="n">
        <v>114601.78</v>
      </c>
      <c r="U4313" t="inlineStr">
        <is>
          <t>Low</t>
        </is>
      </c>
      <c r="V4313">
        <f>IF(AND(OR(Dashboard!$C$6="All",E4313=Dashboard!$C$6),OR(Dashboard!$F$6="All",G4313=Dashboard!$F$6),OR(Dashboard!$I$6="All",H4313=Dashboard!$I$6)),1,0)</f>
        <v/>
      </c>
    </row>
    <row r="4314">
      <c r="A4314" t="inlineStr">
        <is>
          <t>PF104305</t>
        </is>
      </c>
      <c r="B4314" s="68" t="n">
        <v>46178</v>
      </c>
      <c r="C4314" s="69" t="n">
        <v>2026</v>
      </c>
      <c r="D4314" t="inlineStr">
        <is>
          <t>Jun</t>
        </is>
      </c>
      <c r="E4314" t="inlineStr">
        <is>
          <t>United States</t>
        </is>
      </c>
      <c r="F4314" t="inlineStr">
        <is>
          <t>USA</t>
        </is>
      </c>
      <c r="G4314" t="inlineStr">
        <is>
          <t>Ibrance</t>
        </is>
      </c>
      <c r="H4314" t="inlineStr">
        <is>
          <t>Retail pharmacy</t>
        </is>
      </c>
      <c r="I4314" t="inlineStr">
        <is>
          <t>Self-pay</t>
        </is>
      </c>
      <c r="J4314" t="inlineStr">
        <is>
          <t>Liam O'Brien</t>
        </is>
      </c>
      <c r="K4314" s="70" t="n">
        <v>2225</v>
      </c>
      <c r="L4314" s="71" t="n">
        <v>4267.83</v>
      </c>
      <c r="M4314" s="71" t="n">
        <v>9495921.75</v>
      </c>
      <c r="N4314" s="71" t="n">
        <v>1899184.35</v>
      </c>
      <c r="O4314" s="71" t="n">
        <v>7596737.4</v>
      </c>
      <c r="P4314" s="71" t="n">
        <v>987208.4</v>
      </c>
      <c r="Q4314" s="71" t="n">
        <v>6609529</v>
      </c>
      <c r="R4314" t="inlineStr">
        <is>
          <t>Oncology</t>
        </is>
      </c>
      <c r="S4314" s="70" t="n">
        <v>1661</v>
      </c>
      <c r="T4314" s="71" t="n">
        <v>2030639.08</v>
      </c>
      <c r="U4314" t="inlineStr">
        <is>
          <t>High</t>
        </is>
      </c>
      <c r="V4314">
        <f>IF(AND(OR(Dashboard!$C$6="All",E4314=Dashboard!$C$6),OR(Dashboard!$F$6="All",G4314=Dashboard!$F$6),OR(Dashboard!$I$6="All",H4314=Dashboard!$I$6)),1,0)</f>
        <v/>
      </c>
    </row>
    <row r="4315">
      <c r="A4315" t="inlineStr">
        <is>
          <t>PF104306</t>
        </is>
      </c>
      <c r="B4315" s="68" t="n">
        <v>46178</v>
      </c>
      <c r="C4315" s="69" t="n">
        <v>2026</v>
      </c>
      <c r="D4315" t="inlineStr">
        <is>
          <t>Jun</t>
        </is>
      </c>
      <c r="E4315" t="inlineStr">
        <is>
          <t>United States</t>
        </is>
      </c>
      <c r="F4315" t="inlineStr">
        <is>
          <t>USA</t>
        </is>
      </c>
      <c r="G4315" t="inlineStr">
        <is>
          <t>Comirnaty</t>
        </is>
      </c>
      <c r="H4315" t="inlineStr">
        <is>
          <t>Retail pharmacy</t>
        </is>
      </c>
      <c r="I4315" t="inlineStr">
        <is>
          <t>Public payer</t>
        </is>
      </c>
      <c r="J4315" t="inlineStr">
        <is>
          <t>Emma Clarke</t>
        </is>
      </c>
      <c r="K4315" s="70" t="n">
        <v>1469</v>
      </c>
      <c r="L4315" s="71" t="n">
        <v>134</v>
      </c>
      <c r="M4315" s="71" t="n">
        <v>196846</v>
      </c>
      <c r="N4315" s="71" t="n">
        <v>29526.9</v>
      </c>
      <c r="O4315" s="71" t="n">
        <v>167319.1</v>
      </c>
      <c r="P4315" s="71" t="n">
        <v>57458.77</v>
      </c>
      <c r="Q4315" s="71" t="n">
        <v>109860.33</v>
      </c>
      <c r="R4315" t="inlineStr">
        <is>
          <t>Vaccines</t>
        </is>
      </c>
      <c r="S4315" s="70" t="n">
        <v>1058</v>
      </c>
      <c r="T4315" s="71" t="n">
        <v>46408.92</v>
      </c>
      <c r="U4315" t="inlineStr">
        <is>
          <t>Low</t>
        </is>
      </c>
      <c r="V4315">
        <f>IF(AND(OR(Dashboard!$C$6="All",E4315=Dashboard!$C$6),OR(Dashboard!$F$6="All",G4315=Dashboard!$F$6),OR(Dashboard!$I$6="All",H4315=Dashboard!$I$6)),1,0)</f>
        <v/>
      </c>
    </row>
    <row r="4316">
      <c r="A4316" t="inlineStr">
        <is>
          <t>PF104307</t>
        </is>
      </c>
      <c r="B4316" s="68" t="n">
        <v>46178</v>
      </c>
      <c r="C4316" s="69" t="n">
        <v>2026</v>
      </c>
      <c r="D4316" t="inlineStr">
        <is>
          <t>Jun</t>
        </is>
      </c>
      <c r="E4316" t="inlineStr">
        <is>
          <t>United States</t>
        </is>
      </c>
      <c r="F4316" t="inlineStr">
        <is>
          <t>USA</t>
        </is>
      </c>
      <c r="G4316" t="inlineStr">
        <is>
          <t>Comirnaty</t>
        </is>
      </c>
      <c r="H4316" t="inlineStr">
        <is>
          <t>Retail pharmacy</t>
        </is>
      </c>
      <c r="I4316" t="inlineStr">
        <is>
          <t>Public payer</t>
        </is>
      </c>
      <c r="J4316" t="inlineStr">
        <is>
          <t>Olivia Brown</t>
        </is>
      </c>
      <c r="K4316" s="70" t="n">
        <v>805</v>
      </c>
      <c r="L4316" s="71" t="n">
        <v>153.21</v>
      </c>
      <c r="M4316" s="71" t="n">
        <v>123334.05</v>
      </c>
      <c r="N4316" s="71" t="n">
        <v>43166.92</v>
      </c>
      <c r="O4316" s="71" t="n">
        <v>80167.13</v>
      </c>
      <c r="P4316" s="71" t="n">
        <v>31045.57</v>
      </c>
      <c r="Q4316" s="71" t="n">
        <v>49121.56</v>
      </c>
      <c r="R4316" t="inlineStr">
        <is>
          <t>Vaccines</t>
        </is>
      </c>
      <c r="S4316" s="70" t="n">
        <v>636</v>
      </c>
      <c r="T4316" s="71" t="n">
        <v>20902.11</v>
      </c>
      <c r="U4316" t="inlineStr">
        <is>
          <t>Low</t>
        </is>
      </c>
      <c r="V4316">
        <f>IF(AND(OR(Dashboard!$C$6="All",E4316=Dashboard!$C$6),OR(Dashboard!$F$6="All",G4316=Dashboard!$F$6),OR(Dashboard!$I$6="All",H4316=Dashboard!$I$6)),1,0)</f>
        <v/>
      </c>
    </row>
    <row r="4317">
      <c r="A4317" t="inlineStr">
        <is>
          <t>PF104308</t>
        </is>
      </c>
      <c r="B4317" s="68" t="n">
        <v>46178</v>
      </c>
      <c r="C4317" s="69" t="n">
        <v>2026</v>
      </c>
      <c r="D4317" t="inlineStr">
        <is>
          <t>Jun</t>
        </is>
      </c>
      <c r="E4317" t="inlineStr">
        <is>
          <t>Emerging markets</t>
        </is>
      </c>
      <c r="F4317" t="inlineStr">
        <is>
          <t>India</t>
        </is>
      </c>
      <c r="G4317" t="inlineStr">
        <is>
          <t>Abrysvo</t>
        </is>
      </c>
      <c r="H4317" t="inlineStr">
        <is>
          <t>Hospital</t>
        </is>
      </c>
      <c r="I4317" t="inlineStr">
        <is>
          <t>Private insurer</t>
        </is>
      </c>
      <c r="J4317" t="inlineStr">
        <is>
          <t>Amir Khan</t>
        </is>
      </c>
      <c r="K4317" s="70" t="n">
        <v>477</v>
      </c>
      <c r="L4317" s="71" t="n">
        <v>314.48</v>
      </c>
      <c r="M4317" s="71" t="n">
        <v>150006.96</v>
      </c>
      <c r="N4317" s="71" t="n">
        <v>22501.04</v>
      </c>
      <c r="O4317" s="71" t="n">
        <v>127505.92</v>
      </c>
      <c r="P4317" s="71" t="n">
        <v>41050.8</v>
      </c>
      <c r="Q4317" s="71" t="n">
        <v>86455.12</v>
      </c>
      <c r="R4317" t="inlineStr">
        <is>
          <t>Vaccines</t>
        </is>
      </c>
      <c r="S4317" s="70" t="n">
        <v>351</v>
      </c>
      <c r="T4317" s="71" t="n">
        <v>21284.6</v>
      </c>
      <c r="U4317" t="inlineStr">
        <is>
          <t>Low</t>
        </is>
      </c>
      <c r="V4317">
        <f>IF(AND(OR(Dashboard!$C$6="All",E4317=Dashboard!$C$6),OR(Dashboard!$F$6="All",G4317=Dashboard!$F$6),OR(Dashboard!$I$6="All",H4317=Dashboard!$I$6)),1,0)</f>
        <v/>
      </c>
    </row>
    <row r="4318">
      <c r="A4318" t="inlineStr">
        <is>
          <t>PF104309</t>
        </is>
      </c>
      <c r="B4318" s="68" t="n">
        <v>46178</v>
      </c>
      <c r="C4318" s="69" t="n">
        <v>2026</v>
      </c>
      <c r="D4318" t="inlineStr">
        <is>
          <t>Jun</t>
        </is>
      </c>
      <c r="E4318" t="inlineStr">
        <is>
          <t>United States</t>
        </is>
      </c>
      <c r="F4318" t="inlineStr">
        <is>
          <t>USA</t>
        </is>
      </c>
      <c r="G4318" t="inlineStr">
        <is>
          <t>Paxlovid</t>
        </is>
      </c>
      <c r="H4318" t="inlineStr">
        <is>
          <t>Retail pharmacy</t>
        </is>
      </c>
      <c r="I4318" t="inlineStr">
        <is>
          <t>Public payer</t>
        </is>
      </c>
      <c r="J4318" t="inlineStr">
        <is>
          <t>Omar Haddad</t>
        </is>
      </c>
      <c r="K4318" s="70" t="n">
        <v>923</v>
      </c>
      <c r="L4318" s="71" t="n">
        <v>1488.18</v>
      </c>
      <c r="M4318" s="71" t="n">
        <v>1373590.14</v>
      </c>
      <c r="N4318" s="71" t="n">
        <v>412077.04</v>
      </c>
      <c r="O4318" s="71" t="n">
        <v>961513.1</v>
      </c>
      <c r="P4318" s="71" t="n">
        <v>263416.16</v>
      </c>
      <c r="Q4318" s="71" t="n">
        <v>698096.9399999999</v>
      </c>
      <c r="R4318" t="inlineStr">
        <is>
          <t>Antiviral</t>
        </is>
      </c>
      <c r="S4318" s="70" t="n">
        <v>695</v>
      </c>
      <c r="T4318" s="71" t="n">
        <v>291303.75</v>
      </c>
      <c r="U4318" t="inlineStr">
        <is>
          <t>Low</t>
        </is>
      </c>
      <c r="V4318">
        <f>IF(AND(OR(Dashboard!$C$6="All",E4318=Dashboard!$C$6),OR(Dashboard!$F$6="All",G4318=Dashboard!$F$6),OR(Dashboard!$I$6="All",H4318=Dashboard!$I$6)),1,0)</f>
        <v/>
      </c>
    </row>
    <row r="4319">
      <c r="A4319" t="inlineStr">
        <is>
          <t>PF104310</t>
        </is>
      </c>
      <c r="B4319" s="68" t="n">
        <v>46178</v>
      </c>
      <c r="C4319" s="69" t="n">
        <v>2026</v>
      </c>
      <c r="D4319" t="inlineStr">
        <is>
          <t>Jun</t>
        </is>
      </c>
      <c r="E4319" t="inlineStr">
        <is>
          <t>Europe</t>
        </is>
      </c>
      <c r="F4319" t="inlineStr">
        <is>
          <t>Spain</t>
        </is>
      </c>
      <c r="G4319" t="inlineStr">
        <is>
          <t>Eliquis</t>
        </is>
      </c>
      <c r="H4319" t="inlineStr">
        <is>
          <t>Retail pharmacy</t>
        </is>
      </c>
      <c r="I4319" t="inlineStr">
        <is>
          <t>Self-pay</t>
        </is>
      </c>
      <c r="J4319" t="inlineStr">
        <is>
          <t>Priya Nair</t>
        </is>
      </c>
      <c r="K4319" s="70" t="n">
        <v>1948</v>
      </c>
      <c r="L4319" s="71" t="n">
        <v>471.81</v>
      </c>
      <c r="M4319" s="71" t="n">
        <v>919085.88</v>
      </c>
      <c r="N4319" s="71" t="n">
        <v>45954.29</v>
      </c>
      <c r="O4319" s="71" t="n">
        <v>873131.59</v>
      </c>
      <c r="P4319" s="71" t="n">
        <v>141871.33</v>
      </c>
      <c r="Q4319" s="71" t="n">
        <v>731260.26</v>
      </c>
      <c r="R4319" t="inlineStr">
        <is>
          <t>Cardiology</t>
        </is>
      </c>
      <c r="S4319" s="70" t="n">
        <v>1712</v>
      </c>
      <c r="T4319" s="71" t="n">
        <v>141761.47</v>
      </c>
      <c r="U4319" t="inlineStr">
        <is>
          <t>High</t>
        </is>
      </c>
      <c r="V4319">
        <f>IF(AND(OR(Dashboard!$C$6="All",E4319=Dashboard!$C$6),OR(Dashboard!$F$6="All",G4319=Dashboard!$F$6),OR(Dashboard!$I$6="All",H4319=Dashboard!$I$6)),1,0)</f>
        <v/>
      </c>
    </row>
    <row r="4320">
      <c r="A4320" t="inlineStr">
        <is>
          <t>PF104311</t>
        </is>
      </c>
      <c r="B4320" s="68" t="n">
        <v>46178</v>
      </c>
      <c r="C4320" s="69" t="n">
        <v>2026</v>
      </c>
      <c r="D4320" t="inlineStr">
        <is>
          <t>Jun</t>
        </is>
      </c>
      <c r="E4320" t="inlineStr">
        <is>
          <t>International developed</t>
        </is>
      </c>
      <c r="F4320" t="inlineStr">
        <is>
          <t>Canada</t>
        </is>
      </c>
      <c r="G4320" t="inlineStr">
        <is>
          <t>Comirnaty</t>
        </is>
      </c>
      <c r="H4320" t="inlineStr">
        <is>
          <t>Retail pharmacy</t>
        </is>
      </c>
      <c r="I4320" t="inlineStr">
        <is>
          <t>Public payer</t>
        </is>
      </c>
      <c r="J4320" t="inlineStr">
        <is>
          <t>Noah Smith</t>
        </is>
      </c>
      <c r="K4320" s="70" t="n">
        <v>175</v>
      </c>
      <c r="L4320" s="71" t="n">
        <v>93.61</v>
      </c>
      <c r="M4320" s="71" t="n">
        <v>16381.75</v>
      </c>
      <c r="N4320" s="71" t="n">
        <v>1638.18</v>
      </c>
      <c r="O4320" s="71" t="n">
        <v>14743.57</v>
      </c>
      <c r="P4320" s="71" t="n">
        <v>6535.53</v>
      </c>
      <c r="Q4320" s="71" t="n">
        <v>8208.040000000001</v>
      </c>
      <c r="R4320" t="inlineStr">
        <is>
          <t>Vaccines</t>
        </is>
      </c>
      <c r="S4320" s="70" t="n">
        <v>118</v>
      </c>
      <c r="T4320" s="71" t="n">
        <v>2637.06</v>
      </c>
      <c r="U4320" t="inlineStr">
        <is>
          <t>Low</t>
        </is>
      </c>
      <c r="V4320">
        <f>IF(AND(OR(Dashboard!$C$6="All",E4320=Dashboard!$C$6),OR(Dashboard!$F$6="All",G4320=Dashboard!$F$6),OR(Dashboard!$I$6="All",H4320=Dashboard!$I$6)),1,0)</f>
        <v/>
      </c>
    </row>
    <row r="4321">
      <c r="A4321" t="inlineStr">
        <is>
          <t>PF104312</t>
        </is>
      </c>
      <c r="B4321" s="68" t="n">
        <v>46178</v>
      </c>
      <c r="C4321" s="69" t="n">
        <v>2026</v>
      </c>
      <c r="D4321" t="inlineStr">
        <is>
          <t>Jun</t>
        </is>
      </c>
      <c r="E4321" t="inlineStr">
        <is>
          <t>Europe</t>
        </is>
      </c>
      <c r="F4321" t="inlineStr">
        <is>
          <t>UK</t>
        </is>
      </c>
      <c r="G4321" t="inlineStr">
        <is>
          <t>Prevnar 20</t>
        </is>
      </c>
      <c r="H4321" t="inlineStr">
        <is>
          <t>Retail pharmacy</t>
        </is>
      </c>
      <c r="I4321" t="inlineStr">
        <is>
          <t>Private insurer</t>
        </is>
      </c>
      <c r="J4321" t="inlineStr">
        <is>
          <t>Liam O'Brien</t>
        </is>
      </c>
      <c r="K4321" s="70" t="n">
        <v>944</v>
      </c>
      <c r="L4321" s="71" t="n">
        <v>251.66</v>
      </c>
      <c r="M4321" s="71" t="n">
        <v>237567.04</v>
      </c>
      <c r="N4321" s="71" t="n">
        <v>47513.41</v>
      </c>
      <c r="O4321" s="71" t="n">
        <v>190053.63</v>
      </c>
      <c r="P4321" s="71" t="n">
        <v>63787.27</v>
      </c>
      <c r="Q4321" s="71" t="n">
        <v>126266.36</v>
      </c>
      <c r="R4321" t="inlineStr">
        <is>
          <t>Vaccines</t>
        </is>
      </c>
      <c r="S4321" s="70" t="n">
        <v>772</v>
      </c>
      <c r="T4321" s="71" t="n">
        <v>34171.88</v>
      </c>
      <c r="U4321" t="inlineStr">
        <is>
          <t>Low</t>
        </is>
      </c>
      <c r="V4321">
        <f>IF(AND(OR(Dashboard!$C$6="All",E4321=Dashboard!$C$6),OR(Dashboard!$F$6="All",G4321=Dashboard!$F$6),OR(Dashboard!$I$6="All",H4321=Dashboard!$I$6)),1,0)</f>
        <v/>
      </c>
    </row>
    <row r="4322">
      <c r="A4322" t="inlineStr">
        <is>
          <t>PF104313</t>
        </is>
      </c>
      <c r="B4322" s="68" t="n">
        <v>46178</v>
      </c>
      <c r="C4322" s="69" t="n">
        <v>2026</v>
      </c>
      <c r="D4322" t="inlineStr">
        <is>
          <t>Jun</t>
        </is>
      </c>
      <c r="E4322" t="inlineStr">
        <is>
          <t>International developed</t>
        </is>
      </c>
      <c r="F4322" t="inlineStr">
        <is>
          <t>Australia</t>
        </is>
      </c>
      <c r="G4322" t="inlineStr">
        <is>
          <t>Vyndaqel</t>
        </is>
      </c>
      <c r="H4322" t="inlineStr">
        <is>
          <t>Government / tender</t>
        </is>
      </c>
      <c r="I4322" t="inlineStr">
        <is>
          <t>Private insurer</t>
        </is>
      </c>
      <c r="J4322" t="inlineStr">
        <is>
          <t>Sara Rossi</t>
        </is>
      </c>
      <c r="K4322" s="70" t="n">
        <v>2525</v>
      </c>
      <c r="L4322" s="71" t="n">
        <v>6265.92</v>
      </c>
      <c r="M4322" s="71" t="n">
        <v>15821448</v>
      </c>
      <c r="N4322" s="71" t="n">
        <v>1582144.8</v>
      </c>
      <c r="O4322" s="71" t="n">
        <v>14239303.2</v>
      </c>
      <c r="P4322" s="71" t="n">
        <v>1583129.08</v>
      </c>
      <c r="Q4322" s="71" t="n">
        <v>12656174.12</v>
      </c>
      <c r="R4322" t="inlineStr">
        <is>
          <t>Rare disease</t>
        </is>
      </c>
      <c r="S4322" s="70" t="n">
        <v>1814</v>
      </c>
      <c r="T4322" s="71" t="n">
        <v>1777574.26</v>
      </c>
      <c r="U4322" t="inlineStr">
        <is>
          <t>Medium</t>
        </is>
      </c>
      <c r="V4322">
        <f>IF(AND(OR(Dashboard!$C$6="All",E4322=Dashboard!$C$6),OR(Dashboard!$F$6="All",G4322=Dashboard!$F$6),OR(Dashboard!$I$6="All",H4322=Dashboard!$I$6)),1,0)</f>
        <v/>
      </c>
    </row>
    <row r="4323">
      <c r="A4323" t="inlineStr">
        <is>
          <t>PF104314</t>
        </is>
      </c>
      <c r="B4323" s="68" t="n">
        <v>46178</v>
      </c>
      <c r="C4323" s="69" t="n">
        <v>2026</v>
      </c>
      <c r="D4323" t="inlineStr">
        <is>
          <t>Jun</t>
        </is>
      </c>
      <c r="E4323" t="inlineStr">
        <is>
          <t>Europe</t>
        </is>
      </c>
      <c r="F4323" t="inlineStr">
        <is>
          <t>Germany</t>
        </is>
      </c>
      <c r="G4323" t="inlineStr">
        <is>
          <t>Eliquis</t>
        </is>
      </c>
      <c r="H4323" t="inlineStr">
        <is>
          <t>Hospital</t>
        </is>
      </c>
      <c r="I4323" t="inlineStr">
        <is>
          <t>Public payer</t>
        </is>
      </c>
      <c r="J4323" t="inlineStr">
        <is>
          <t>Ravindra Patil</t>
        </is>
      </c>
      <c r="K4323" s="70" t="n">
        <v>908</v>
      </c>
      <c r="L4323" s="71" t="n">
        <v>392.26</v>
      </c>
      <c r="M4323" s="71" t="n">
        <v>356172.08</v>
      </c>
      <c r="N4323" s="71" t="n">
        <v>17808.6</v>
      </c>
      <c r="O4323" s="71" t="n">
        <v>338363.48</v>
      </c>
      <c r="P4323" s="71" t="n">
        <v>68829.52</v>
      </c>
      <c r="Q4323" s="71" t="n">
        <v>269533.96</v>
      </c>
      <c r="R4323" t="inlineStr">
        <is>
          <t>Cardiology</t>
        </is>
      </c>
      <c r="S4323" s="70" t="n">
        <v>908</v>
      </c>
      <c r="T4323" s="71" t="n">
        <v>75026.72</v>
      </c>
      <c r="U4323" t="inlineStr">
        <is>
          <t>High</t>
        </is>
      </c>
      <c r="V4323">
        <f>IF(AND(OR(Dashboard!$C$6="All",E4323=Dashboard!$C$6),OR(Dashboard!$F$6="All",G4323=Dashboard!$F$6),OR(Dashboard!$I$6="All",H4323=Dashboard!$I$6)),1,0)</f>
        <v/>
      </c>
    </row>
    <row r="4324">
      <c r="A4324" t="inlineStr">
        <is>
          <t>PF104315</t>
        </is>
      </c>
      <c r="B4324" s="68" t="n">
        <v>46178</v>
      </c>
      <c r="C4324" s="69" t="n">
        <v>2026</v>
      </c>
      <c r="D4324" t="inlineStr">
        <is>
          <t>Jun</t>
        </is>
      </c>
      <c r="E4324" t="inlineStr">
        <is>
          <t>United States</t>
        </is>
      </c>
      <c r="F4324" t="inlineStr">
        <is>
          <t>USA</t>
        </is>
      </c>
      <c r="G4324" t="inlineStr">
        <is>
          <t>Comirnaty</t>
        </is>
      </c>
      <c r="H4324" t="inlineStr">
        <is>
          <t>Government / tender</t>
        </is>
      </c>
      <c r="I4324" t="inlineStr">
        <is>
          <t>Private insurer</t>
        </is>
      </c>
      <c r="J4324" t="inlineStr">
        <is>
          <t>Arjun Mehta</t>
        </is>
      </c>
      <c r="K4324" s="70" t="n">
        <v>569</v>
      </c>
      <c r="L4324" s="71" t="n">
        <v>128.16</v>
      </c>
      <c r="M4324" s="71" t="n">
        <v>72923.03999999999</v>
      </c>
      <c r="N4324" s="71" t="n">
        <v>21876.91</v>
      </c>
      <c r="O4324" s="71" t="n">
        <v>51046.13</v>
      </c>
      <c r="P4324" s="71" t="n">
        <v>22318.28</v>
      </c>
      <c r="Q4324" s="71" t="n">
        <v>28727.85</v>
      </c>
      <c r="R4324" t="inlineStr">
        <is>
          <t>Vaccines</t>
        </is>
      </c>
      <c r="S4324" s="70" t="n">
        <v>414</v>
      </c>
      <c r="T4324" s="71" t="n">
        <v>16249.96</v>
      </c>
      <c r="U4324" t="inlineStr">
        <is>
          <t>Low</t>
        </is>
      </c>
      <c r="V4324">
        <f>IF(AND(OR(Dashboard!$C$6="All",E4324=Dashboard!$C$6),OR(Dashboard!$F$6="All",G4324=Dashboard!$F$6),OR(Dashboard!$I$6="All",H4324=Dashboard!$I$6)),1,0)</f>
        <v/>
      </c>
    </row>
    <row r="4325">
      <c r="A4325" t="inlineStr">
        <is>
          <t>PF104316</t>
        </is>
      </c>
      <c r="B4325" s="68" t="n">
        <v>46178</v>
      </c>
      <c r="C4325" s="69" t="n">
        <v>2026</v>
      </c>
      <c r="D4325" t="inlineStr">
        <is>
          <t>Jun</t>
        </is>
      </c>
      <c r="E4325" t="inlineStr">
        <is>
          <t>United States</t>
        </is>
      </c>
      <c r="F4325" t="inlineStr">
        <is>
          <t>USA</t>
        </is>
      </c>
      <c r="G4325" t="inlineStr">
        <is>
          <t>Abrysvo</t>
        </is>
      </c>
      <c r="H4325" t="inlineStr">
        <is>
          <t>Government / tender</t>
        </is>
      </c>
      <c r="I4325" t="inlineStr">
        <is>
          <t>Private insurer</t>
        </is>
      </c>
      <c r="J4325" t="inlineStr">
        <is>
          <t>Olivia Brown</t>
        </is>
      </c>
      <c r="K4325" s="70" t="n">
        <v>1698</v>
      </c>
      <c r="L4325" s="71" t="n">
        <v>528.16</v>
      </c>
      <c r="M4325" s="71" t="n">
        <v>896815.6800000001</v>
      </c>
      <c r="N4325" s="71" t="n">
        <v>269044.7</v>
      </c>
      <c r="O4325" s="71" t="n">
        <v>627770.98</v>
      </c>
      <c r="P4325" s="71" t="n">
        <v>137703.03</v>
      </c>
      <c r="Q4325" s="71" t="n">
        <v>490067.95</v>
      </c>
      <c r="R4325" t="inlineStr">
        <is>
          <t>Vaccines</t>
        </is>
      </c>
      <c r="S4325" s="70" t="n">
        <v>1197</v>
      </c>
      <c r="T4325" s="71" t="n">
        <v>103269.47</v>
      </c>
      <c r="U4325" t="inlineStr">
        <is>
          <t>Low</t>
        </is>
      </c>
      <c r="V4325">
        <f>IF(AND(OR(Dashboard!$C$6="All",E4325=Dashboard!$C$6),OR(Dashboard!$F$6="All",G4325=Dashboard!$F$6),OR(Dashboard!$I$6="All",H4325=Dashboard!$I$6)),1,0)</f>
        <v/>
      </c>
    </row>
    <row r="4326">
      <c r="A4326" t="inlineStr">
        <is>
          <t>PF104317</t>
        </is>
      </c>
      <c r="B4326" s="68" t="n">
        <v>46178</v>
      </c>
      <c r="C4326" s="69" t="n">
        <v>2026</v>
      </c>
      <c r="D4326" t="inlineStr">
        <is>
          <t>Jun</t>
        </is>
      </c>
      <c r="E4326" t="inlineStr">
        <is>
          <t>International developed</t>
        </is>
      </c>
      <c r="F4326" t="inlineStr">
        <is>
          <t>Canada</t>
        </is>
      </c>
      <c r="G4326" t="inlineStr">
        <is>
          <t>Prevnar 20</t>
        </is>
      </c>
      <c r="H4326" t="inlineStr">
        <is>
          <t>Hospital</t>
        </is>
      </c>
      <c r="I4326" t="inlineStr">
        <is>
          <t>Self-pay</t>
        </is>
      </c>
      <c r="J4326" t="inlineStr">
        <is>
          <t>Sara Rossi</t>
        </is>
      </c>
      <c r="K4326" s="70" t="n">
        <v>2592</v>
      </c>
      <c r="L4326" s="71" t="n">
        <v>211.42</v>
      </c>
      <c r="M4326" s="71" t="n">
        <v>548000.64</v>
      </c>
      <c r="N4326" s="71" t="n">
        <v>54800.06</v>
      </c>
      <c r="O4326" s="71" t="n">
        <v>493200.58</v>
      </c>
      <c r="P4326" s="71" t="n">
        <v>173025.34</v>
      </c>
      <c r="Q4326" s="71" t="n">
        <v>320175.24</v>
      </c>
      <c r="R4326" t="inlineStr">
        <is>
          <t>Vaccines</t>
        </is>
      </c>
      <c r="S4326" s="70" t="n">
        <v>1686</v>
      </c>
      <c r="T4326" s="71" t="n">
        <v>106844.83</v>
      </c>
      <c r="U4326" t="inlineStr">
        <is>
          <t>Low</t>
        </is>
      </c>
      <c r="V4326">
        <f>IF(AND(OR(Dashboard!$C$6="All",E4326=Dashboard!$C$6),OR(Dashboard!$F$6="All",G4326=Dashboard!$F$6),OR(Dashboard!$I$6="All",H4326=Dashboard!$I$6)),1,0)</f>
        <v/>
      </c>
    </row>
    <row r="4327">
      <c r="A4327" t="inlineStr">
        <is>
          <t>PF104318</t>
        </is>
      </c>
      <c r="B4327" s="68" t="n">
        <v>46179</v>
      </c>
      <c r="C4327" s="69" t="n">
        <v>2026</v>
      </c>
      <c r="D4327" t="inlineStr">
        <is>
          <t>Jun</t>
        </is>
      </c>
      <c r="E4327" t="inlineStr">
        <is>
          <t>Europe</t>
        </is>
      </c>
      <c r="F4327" t="inlineStr">
        <is>
          <t>Spain</t>
        </is>
      </c>
      <c r="G4327" t="inlineStr">
        <is>
          <t>Paxlovid</t>
        </is>
      </c>
      <c r="H4327" t="inlineStr">
        <is>
          <t>Retail pharmacy</t>
        </is>
      </c>
      <c r="I4327" t="inlineStr">
        <is>
          <t>Public payer</t>
        </is>
      </c>
      <c r="J4327" t="inlineStr">
        <is>
          <t>Lucas Martin</t>
        </is>
      </c>
      <c r="K4327" s="70" t="n">
        <v>129</v>
      </c>
      <c r="L4327" s="71" t="n">
        <v>860.5</v>
      </c>
      <c r="M4327" s="71" t="n">
        <v>111004.5</v>
      </c>
      <c r="N4327" s="71" t="n">
        <v>5550.23</v>
      </c>
      <c r="O4327" s="71" t="n">
        <v>105454.27</v>
      </c>
      <c r="P4327" s="71" t="n">
        <v>34076.74</v>
      </c>
      <c r="Q4327" s="71" t="n">
        <v>71377.53</v>
      </c>
      <c r="R4327" t="inlineStr">
        <is>
          <t>Antiviral</t>
        </is>
      </c>
      <c r="S4327" s="70" t="n">
        <v>104</v>
      </c>
      <c r="T4327" s="71" t="n">
        <v>24842.86</v>
      </c>
      <c r="U4327" t="inlineStr">
        <is>
          <t>Low</t>
        </is>
      </c>
      <c r="V4327">
        <f>IF(AND(OR(Dashboard!$C$6="All",E4327=Dashboard!$C$6),OR(Dashboard!$F$6="All",G4327=Dashboard!$F$6),OR(Dashboard!$I$6="All",H4327=Dashboard!$I$6)),1,0)</f>
        <v/>
      </c>
    </row>
    <row r="4328">
      <c r="A4328" t="inlineStr">
        <is>
          <t>PF104319</t>
        </is>
      </c>
      <c r="B4328" s="68" t="n">
        <v>46179</v>
      </c>
      <c r="C4328" s="69" t="n">
        <v>2026</v>
      </c>
      <c r="D4328" t="inlineStr">
        <is>
          <t>Jun</t>
        </is>
      </c>
      <c r="E4328" t="inlineStr">
        <is>
          <t>International developed</t>
        </is>
      </c>
      <c r="F4328" t="inlineStr">
        <is>
          <t>Canada</t>
        </is>
      </c>
      <c r="G4328" t="inlineStr">
        <is>
          <t>Prevnar 20</t>
        </is>
      </c>
      <c r="H4328" t="inlineStr">
        <is>
          <t>Retail pharmacy</t>
        </is>
      </c>
      <c r="I4328" t="inlineStr">
        <is>
          <t>Private insurer</t>
        </is>
      </c>
      <c r="J4328" t="inlineStr">
        <is>
          <t>Sara Rossi</t>
        </is>
      </c>
      <c r="K4328" s="70" t="n">
        <v>1258</v>
      </c>
      <c r="L4328" s="71" t="n">
        <v>219.9</v>
      </c>
      <c r="M4328" s="71" t="n">
        <v>276634.2</v>
      </c>
      <c r="N4328" s="71" t="n">
        <v>27663.42</v>
      </c>
      <c r="O4328" s="71" t="n">
        <v>248970.78</v>
      </c>
      <c r="P4328" s="71" t="n">
        <v>86268.49000000001</v>
      </c>
      <c r="Q4328" s="71" t="n">
        <v>162702.29</v>
      </c>
      <c r="R4328" t="inlineStr">
        <is>
          <t>Vaccines</t>
        </is>
      </c>
      <c r="S4328" s="70" t="n">
        <v>1231</v>
      </c>
      <c r="T4328" s="71" t="n">
        <v>34614.53</v>
      </c>
      <c r="U4328" t="inlineStr">
        <is>
          <t>Low</t>
        </is>
      </c>
      <c r="V4328">
        <f>IF(AND(OR(Dashboard!$C$6="All",E4328=Dashboard!$C$6),OR(Dashboard!$F$6="All",G4328=Dashboard!$F$6),OR(Dashboard!$I$6="All",H4328=Dashboard!$I$6)),1,0)</f>
        <v/>
      </c>
    </row>
    <row r="4329">
      <c r="A4329" t="inlineStr">
        <is>
          <t>PF104320</t>
        </is>
      </c>
      <c r="B4329" s="68" t="n">
        <v>46179</v>
      </c>
      <c r="C4329" s="69" t="n">
        <v>2026</v>
      </c>
      <c r="D4329" t="inlineStr">
        <is>
          <t>Jun</t>
        </is>
      </c>
      <c r="E4329" t="inlineStr">
        <is>
          <t>Europe</t>
        </is>
      </c>
      <c r="F4329" t="inlineStr">
        <is>
          <t>Spain</t>
        </is>
      </c>
      <c r="G4329" t="inlineStr">
        <is>
          <t>Vyndaqel</t>
        </is>
      </c>
      <c r="H4329" t="inlineStr">
        <is>
          <t>Government / tender</t>
        </is>
      </c>
      <c r="I4329" t="inlineStr">
        <is>
          <t>Private insurer</t>
        </is>
      </c>
      <c r="J4329" t="inlineStr">
        <is>
          <t>Lucas Martin</t>
        </is>
      </c>
      <c r="K4329" s="70" t="n">
        <v>2565</v>
      </c>
      <c r="L4329" s="71" t="n">
        <v>6061.65</v>
      </c>
      <c r="M4329" s="71" t="n">
        <v>15548132.25</v>
      </c>
      <c r="N4329" s="71" t="n">
        <v>3887033.06</v>
      </c>
      <c r="O4329" s="71" t="n">
        <v>11661099.19</v>
      </c>
      <c r="P4329" s="71" t="n">
        <v>1568091.73</v>
      </c>
      <c r="Q4329" s="71" t="n">
        <v>10093007.46</v>
      </c>
      <c r="R4329" t="inlineStr">
        <is>
          <t>Rare disease</t>
        </is>
      </c>
      <c r="S4329" s="70" t="n">
        <v>2075</v>
      </c>
      <c r="T4329" s="71" t="n">
        <v>1839882.25</v>
      </c>
      <c r="U4329" t="inlineStr">
        <is>
          <t>Medium</t>
        </is>
      </c>
      <c r="V4329">
        <f>IF(AND(OR(Dashboard!$C$6="All",E4329=Dashboard!$C$6),OR(Dashboard!$F$6="All",G4329=Dashboard!$F$6),OR(Dashboard!$I$6="All",H4329=Dashboard!$I$6)),1,0)</f>
        <v/>
      </c>
    </row>
    <row r="4330">
      <c r="A4330" t="inlineStr">
        <is>
          <t>PF104321</t>
        </is>
      </c>
      <c r="B4330" s="68" t="n">
        <v>46179</v>
      </c>
      <c r="C4330" s="69" t="n">
        <v>2026</v>
      </c>
      <c r="D4330" t="inlineStr">
        <is>
          <t>Jun</t>
        </is>
      </c>
      <c r="E4330" t="inlineStr">
        <is>
          <t>United States</t>
        </is>
      </c>
      <c r="F4330" t="inlineStr">
        <is>
          <t>USA</t>
        </is>
      </c>
      <c r="G4330" t="inlineStr">
        <is>
          <t>Comirnaty</t>
        </is>
      </c>
      <c r="H4330" t="inlineStr">
        <is>
          <t>Hospital</t>
        </is>
      </c>
      <c r="I4330" t="inlineStr">
        <is>
          <t>Private insurer</t>
        </is>
      </c>
      <c r="J4330" t="inlineStr">
        <is>
          <t>Olivia Brown</t>
        </is>
      </c>
      <c r="K4330" s="70" t="n">
        <v>1311</v>
      </c>
      <c r="L4330" s="71" t="n">
        <v>152.26</v>
      </c>
      <c r="M4330" s="71" t="n">
        <v>199612.86</v>
      </c>
      <c r="N4330" s="71" t="n">
        <v>49903.21</v>
      </c>
      <c r="O4330" s="71" t="n">
        <v>149709.65</v>
      </c>
      <c r="P4330" s="71" t="n">
        <v>52458</v>
      </c>
      <c r="Q4330" s="71" t="n">
        <v>97251.64999999999</v>
      </c>
      <c r="R4330" t="inlineStr">
        <is>
          <t>Vaccines</t>
        </is>
      </c>
      <c r="S4330" s="70" t="n">
        <v>884</v>
      </c>
      <c r="T4330" s="71" t="n">
        <v>41870.32</v>
      </c>
      <c r="U4330" t="inlineStr">
        <is>
          <t>Low</t>
        </is>
      </c>
      <c r="V4330">
        <f>IF(AND(OR(Dashboard!$C$6="All",E4330=Dashboard!$C$6),OR(Dashboard!$F$6="All",G4330=Dashboard!$F$6),OR(Dashboard!$I$6="All",H4330=Dashboard!$I$6)),1,0)</f>
        <v/>
      </c>
    </row>
    <row r="4331">
      <c r="A4331" t="inlineStr">
        <is>
          <t>PF104322</t>
        </is>
      </c>
      <c r="B4331" s="68" t="n">
        <v>46179</v>
      </c>
      <c r="C4331" s="69" t="n">
        <v>2026</v>
      </c>
      <c r="D4331" t="inlineStr">
        <is>
          <t>Jun</t>
        </is>
      </c>
      <c r="E4331" t="inlineStr">
        <is>
          <t>United States</t>
        </is>
      </c>
      <c r="F4331" t="inlineStr">
        <is>
          <t>USA</t>
        </is>
      </c>
      <c r="G4331" t="inlineStr">
        <is>
          <t>Abrysvo</t>
        </is>
      </c>
      <c r="H4331" t="inlineStr">
        <is>
          <t>Hospital</t>
        </is>
      </c>
      <c r="I4331" t="inlineStr">
        <is>
          <t>Public payer</t>
        </is>
      </c>
      <c r="J4331" t="inlineStr">
        <is>
          <t>Sara Rossi</t>
        </is>
      </c>
      <c r="K4331" s="70" t="n">
        <v>1923</v>
      </c>
      <c r="L4331" s="71" t="n">
        <v>520.62</v>
      </c>
      <c r="M4331" s="71" t="n">
        <v>1001152.26</v>
      </c>
      <c r="N4331" s="71" t="n">
        <v>350403.29</v>
      </c>
      <c r="O4331" s="71" t="n">
        <v>650748.97</v>
      </c>
      <c r="P4331" s="71" t="n">
        <v>163411.03</v>
      </c>
      <c r="Q4331" s="71" t="n">
        <v>487337.94</v>
      </c>
      <c r="R4331" t="inlineStr">
        <is>
          <t>Vaccines</t>
        </is>
      </c>
      <c r="S4331" s="70" t="n">
        <v>1314</v>
      </c>
      <c r="T4331" s="71" t="n">
        <v>179384.39</v>
      </c>
      <c r="U4331" t="inlineStr">
        <is>
          <t>Low</t>
        </is>
      </c>
      <c r="V4331">
        <f>IF(AND(OR(Dashboard!$C$6="All",E4331=Dashboard!$C$6),OR(Dashboard!$F$6="All",G4331=Dashboard!$F$6),OR(Dashboard!$I$6="All",H4331=Dashboard!$I$6)),1,0)</f>
        <v/>
      </c>
    </row>
    <row r="4332">
      <c r="A4332" t="inlineStr">
        <is>
          <t>PF104323</t>
        </is>
      </c>
      <c r="B4332" s="68" t="n">
        <v>46179</v>
      </c>
      <c r="C4332" s="69" t="n">
        <v>2026</v>
      </c>
      <c r="D4332" t="inlineStr">
        <is>
          <t>Jun</t>
        </is>
      </c>
      <c r="E4332" t="inlineStr">
        <is>
          <t>United States</t>
        </is>
      </c>
      <c r="F4332" t="inlineStr">
        <is>
          <t>USA</t>
        </is>
      </c>
      <c r="G4332" t="inlineStr">
        <is>
          <t>Paxlovid</t>
        </is>
      </c>
      <c r="H4332" t="inlineStr">
        <is>
          <t>Hospital</t>
        </is>
      </c>
      <c r="I4332" t="inlineStr">
        <is>
          <t>Self-pay</t>
        </is>
      </c>
      <c r="J4332" t="inlineStr">
        <is>
          <t>Priya Nair</t>
        </is>
      </c>
      <c r="K4332" s="70" t="n">
        <v>1546</v>
      </c>
      <c r="L4332" s="71" t="n">
        <v>1360.25</v>
      </c>
      <c r="M4332" s="71" t="n">
        <v>2102946.5</v>
      </c>
      <c r="N4332" s="71" t="n">
        <v>525736.62</v>
      </c>
      <c r="O4332" s="71" t="n">
        <v>1577209.88</v>
      </c>
      <c r="P4332" s="71" t="n">
        <v>415242.93</v>
      </c>
      <c r="Q4332" s="71" t="n">
        <v>1161966.95</v>
      </c>
      <c r="R4332" t="inlineStr">
        <is>
          <t>Antiviral</t>
        </is>
      </c>
      <c r="S4332" s="70" t="n">
        <v>1357</v>
      </c>
      <c r="T4332" s="71" t="n">
        <v>390582.91</v>
      </c>
      <c r="U4332" t="inlineStr">
        <is>
          <t>Low</t>
        </is>
      </c>
      <c r="V4332">
        <f>IF(AND(OR(Dashboard!$C$6="All",E4332=Dashboard!$C$6),OR(Dashboard!$F$6="All",G4332=Dashboard!$F$6),OR(Dashboard!$I$6="All",H4332=Dashboard!$I$6)),1,0)</f>
        <v/>
      </c>
    </row>
    <row r="4333">
      <c r="A4333" t="inlineStr">
        <is>
          <t>PF104324</t>
        </is>
      </c>
      <c r="B4333" s="68" t="n">
        <v>46179</v>
      </c>
      <c r="C4333" s="69" t="n">
        <v>2026</v>
      </c>
      <c r="D4333" t="inlineStr">
        <is>
          <t>Jun</t>
        </is>
      </c>
      <c r="E4333" t="inlineStr">
        <is>
          <t>United States</t>
        </is>
      </c>
      <c r="F4333" t="inlineStr">
        <is>
          <t>USA</t>
        </is>
      </c>
      <c r="G4333" t="inlineStr">
        <is>
          <t>Paxlovid</t>
        </is>
      </c>
      <c r="H4333" t="inlineStr">
        <is>
          <t>Retail pharmacy</t>
        </is>
      </c>
      <c r="I4333" t="inlineStr">
        <is>
          <t>Public payer</t>
        </is>
      </c>
      <c r="J4333" t="inlineStr">
        <is>
          <t>Ruhi Shaikh</t>
        </is>
      </c>
      <c r="K4333" s="70" t="n">
        <v>1411</v>
      </c>
      <c r="L4333" s="71" t="n">
        <v>1368.17</v>
      </c>
      <c r="M4333" s="71" t="n">
        <v>1930487.87</v>
      </c>
      <c r="N4333" s="71" t="n">
        <v>579146.36</v>
      </c>
      <c r="O4333" s="71" t="n">
        <v>1351341.51</v>
      </c>
      <c r="P4333" s="71" t="n">
        <v>397911.05</v>
      </c>
      <c r="Q4333" s="71" t="n">
        <v>953430.46</v>
      </c>
      <c r="R4333" t="inlineStr">
        <is>
          <t>Antiviral</t>
        </is>
      </c>
      <c r="S4333" s="70" t="n">
        <v>906</v>
      </c>
      <c r="T4333" s="71" t="n">
        <v>378258.14</v>
      </c>
      <c r="U4333" t="inlineStr">
        <is>
          <t>Low</t>
        </is>
      </c>
      <c r="V4333">
        <f>IF(AND(OR(Dashboard!$C$6="All",E4333=Dashboard!$C$6),OR(Dashboard!$F$6="All",G4333=Dashboard!$F$6),OR(Dashboard!$I$6="All",H4333=Dashboard!$I$6)),1,0)</f>
        <v/>
      </c>
    </row>
    <row r="4334">
      <c r="A4334" t="inlineStr">
        <is>
          <t>PF104325</t>
        </is>
      </c>
      <c r="B4334" s="68" t="n">
        <v>46179</v>
      </c>
      <c r="C4334" s="69" t="n">
        <v>2026</v>
      </c>
      <c r="D4334" t="inlineStr">
        <is>
          <t>Jun</t>
        </is>
      </c>
      <c r="E4334" t="inlineStr">
        <is>
          <t>United States</t>
        </is>
      </c>
      <c r="F4334" t="inlineStr">
        <is>
          <t>USA</t>
        </is>
      </c>
      <c r="G4334" t="inlineStr">
        <is>
          <t>Abrysvo</t>
        </is>
      </c>
      <c r="H4334" t="inlineStr">
        <is>
          <t>Retail pharmacy</t>
        </is>
      </c>
      <c r="I4334" t="inlineStr">
        <is>
          <t>Private insurer</t>
        </is>
      </c>
      <c r="J4334" t="inlineStr">
        <is>
          <t>Priya Nair</t>
        </is>
      </c>
      <c r="K4334" s="70" t="n">
        <v>2776</v>
      </c>
      <c r="L4334" s="71" t="n">
        <v>536.79</v>
      </c>
      <c r="M4334" s="71" t="n">
        <v>1490129.04</v>
      </c>
      <c r="N4334" s="71" t="n">
        <v>223519.36</v>
      </c>
      <c r="O4334" s="71" t="n">
        <v>1266609.68</v>
      </c>
      <c r="P4334" s="71" t="n">
        <v>227123.76</v>
      </c>
      <c r="Q4334" s="71" t="n">
        <v>1039485.92</v>
      </c>
      <c r="R4334" t="inlineStr">
        <is>
          <t>Vaccines</t>
        </is>
      </c>
      <c r="S4334" s="70" t="n">
        <v>1869</v>
      </c>
      <c r="T4334" s="71" t="n">
        <v>243605.69</v>
      </c>
      <c r="U4334" t="inlineStr">
        <is>
          <t>Low</t>
        </is>
      </c>
      <c r="V4334">
        <f>IF(AND(OR(Dashboard!$C$6="All",E4334=Dashboard!$C$6),OR(Dashboard!$F$6="All",G4334=Dashboard!$F$6),OR(Dashboard!$I$6="All",H4334=Dashboard!$I$6)),1,0)</f>
        <v/>
      </c>
    </row>
    <row r="4335">
      <c r="A4335" t="inlineStr">
        <is>
          <t>PF104326</t>
        </is>
      </c>
      <c r="B4335" s="68" t="n">
        <v>46179</v>
      </c>
      <c r="C4335" s="69" t="n">
        <v>2026</v>
      </c>
      <c r="D4335" t="inlineStr">
        <is>
          <t>Jun</t>
        </is>
      </c>
      <c r="E4335" t="inlineStr">
        <is>
          <t>Emerging markets</t>
        </is>
      </c>
      <c r="F4335" t="inlineStr">
        <is>
          <t>Brazil</t>
        </is>
      </c>
      <c r="G4335" t="inlineStr">
        <is>
          <t>Vyndaqel</t>
        </is>
      </c>
      <c r="H4335" t="inlineStr">
        <is>
          <t>Government / tender</t>
        </is>
      </c>
      <c r="I4335" t="inlineStr">
        <is>
          <t>Public payer</t>
        </is>
      </c>
      <c r="J4335" t="inlineStr">
        <is>
          <t>Omar Haddad</t>
        </is>
      </c>
      <c r="K4335" s="70" t="n">
        <v>1143</v>
      </c>
      <c r="L4335" s="71" t="n">
        <v>6003.35</v>
      </c>
      <c r="M4335" s="71" t="n">
        <v>6861829.05</v>
      </c>
      <c r="N4335" s="71" t="n">
        <v>1372365.81</v>
      </c>
      <c r="O4335" s="71" t="n">
        <v>5489463.24</v>
      </c>
      <c r="P4335" s="71" t="n">
        <v>695450.64</v>
      </c>
      <c r="Q4335" s="71" t="n">
        <v>4794012.6</v>
      </c>
      <c r="R4335" t="inlineStr">
        <is>
          <t>Rare disease</t>
        </is>
      </c>
      <c r="S4335" s="70" t="n">
        <v>1077</v>
      </c>
      <c r="T4335" s="71" t="n">
        <v>909998.46</v>
      </c>
      <c r="U4335" t="inlineStr">
        <is>
          <t>Medium</t>
        </is>
      </c>
      <c r="V4335">
        <f>IF(AND(OR(Dashboard!$C$6="All",E4335=Dashboard!$C$6),OR(Dashboard!$F$6="All",G4335=Dashboard!$F$6),OR(Dashboard!$I$6="All",H4335=Dashboard!$I$6)),1,0)</f>
        <v/>
      </c>
    </row>
    <row r="4336">
      <c r="A4336" t="inlineStr">
        <is>
          <t>PF104327</t>
        </is>
      </c>
      <c r="B4336" s="68" t="n">
        <v>46179</v>
      </c>
      <c r="C4336" s="69" t="n">
        <v>2026</v>
      </c>
      <c r="D4336" t="inlineStr">
        <is>
          <t>Jun</t>
        </is>
      </c>
      <c r="E4336" t="inlineStr">
        <is>
          <t>International developed</t>
        </is>
      </c>
      <c r="F4336" t="inlineStr">
        <is>
          <t>Australia</t>
        </is>
      </c>
      <c r="G4336" t="inlineStr">
        <is>
          <t>Prevnar 20</t>
        </is>
      </c>
      <c r="H4336" t="inlineStr">
        <is>
          <t>Government / tender</t>
        </is>
      </c>
      <c r="I4336" t="inlineStr">
        <is>
          <t>Self-pay</t>
        </is>
      </c>
      <c r="J4336" t="inlineStr">
        <is>
          <t>Olivia Brown</t>
        </is>
      </c>
      <c r="K4336" s="70" t="n">
        <v>551</v>
      </c>
      <c r="L4336" s="71" t="n">
        <v>223.09</v>
      </c>
      <c r="M4336" s="71" t="n">
        <v>122922.59</v>
      </c>
      <c r="N4336" s="71" t="n">
        <v>6146.13</v>
      </c>
      <c r="O4336" s="71" t="n">
        <v>116776.46</v>
      </c>
      <c r="P4336" s="71" t="n">
        <v>37285.68</v>
      </c>
      <c r="Q4336" s="71" t="n">
        <v>79490.78</v>
      </c>
      <c r="R4336" t="inlineStr">
        <is>
          <t>Vaccines</t>
        </is>
      </c>
      <c r="S4336" s="70" t="n">
        <v>375</v>
      </c>
      <c r="T4336" s="71" t="n">
        <v>17191.97</v>
      </c>
      <c r="U4336" t="inlineStr">
        <is>
          <t>Low</t>
        </is>
      </c>
      <c r="V4336">
        <f>IF(AND(OR(Dashboard!$C$6="All",E4336=Dashboard!$C$6),OR(Dashboard!$F$6="All",G4336=Dashboard!$F$6),OR(Dashboard!$I$6="All",H4336=Dashboard!$I$6)),1,0)</f>
        <v/>
      </c>
    </row>
    <row r="4337">
      <c r="A4337" t="inlineStr">
        <is>
          <t>PF104328</t>
        </is>
      </c>
      <c r="B4337" s="68" t="n">
        <v>46180</v>
      </c>
      <c r="C4337" s="69" t="n">
        <v>2026</v>
      </c>
      <c r="D4337" t="inlineStr">
        <is>
          <t>Jun</t>
        </is>
      </c>
      <c r="E4337" t="inlineStr">
        <is>
          <t>United States</t>
        </is>
      </c>
      <c r="F4337" t="inlineStr">
        <is>
          <t>USA</t>
        </is>
      </c>
      <c r="G4337" t="inlineStr">
        <is>
          <t>Paxlovid</t>
        </is>
      </c>
      <c r="H4337" t="inlineStr">
        <is>
          <t>Government / tender</t>
        </is>
      </c>
      <c r="I4337" t="inlineStr">
        <is>
          <t>Private insurer</t>
        </is>
      </c>
      <c r="J4337" t="inlineStr">
        <is>
          <t>Fatima Al-Saud</t>
        </is>
      </c>
      <c r="K4337" s="70" t="n">
        <v>778</v>
      </c>
      <c r="L4337" s="71" t="n">
        <v>1440.84</v>
      </c>
      <c r="M4337" s="71" t="n">
        <v>1120973.52</v>
      </c>
      <c r="N4337" s="71" t="n">
        <v>168146.03</v>
      </c>
      <c r="O4337" s="71" t="n">
        <v>952827.49</v>
      </c>
      <c r="P4337" s="71" t="n">
        <v>209206.32</v>
      </c>
      <c r="Q4337" s="71" t="n">
        <v>743621.17</v>
      </c>
      <c r="R4337" t="inlineStr">
        <is>
          <t>Antiviral</t>
        </is>
      </c>
      <c r="S4337" s="70" t="n">
        <v>584</v>
      </c>
      <c r="T4337" s="71" t="n">
        <v>192247.58</v>
      </c>
      <c r="U4337" t="inlineStr">
        <is>
          <t>Low</t>
        </is>
      </c>
      <c r="V4337">
        <f>IF(AND(OR(Dashboard!$C$6="All",E4337=Dashboard!$C$6),OR(Dashboard!$F$6="All",G4337=Dashboard!$F$6),OR(Dashboard!$I$6="All",H4337=Dashboard!$I$6)),1,0)</f>
        <v/>
      </c>
    </row>
    <row r="4338">
      <c r="A4338" t="inlineStr">
        <is>
          <t>PF104329</t>
        </is>
      </c>
      <c r="B4338" s="68" t="n">
        <v>46180</v>
      </c>
      <c r="C4338" s="69" t="n">
        <v>2026</v>
      </c>
      <c r="D4338" t="inlineStr">
        <is>
          <t>Jun</t>
        </is>
      </c>
      <c r="E4338" t="inlineStr">
        <is>
          <t>United States</t>
        </is>
      </c>
      <c r="F4338" t="inlineStr">
        <is>
          <t>USA</t>
        </is>
      </c>
      <c r="G4338" t="inlineStr">
        <is>
          <t>Comirnaty</t>
        </is>
      </c>
      <c r="H4338" t="inlineStr">
        <is>
          <t>Government / tender</t>
        </is>
      </c>
      <c r="I4338" t="inlineStr">
        <is>
          <t>Private insurer</t>
        </is>
      </c>
      <c r="J4338" t="inlineStr">
        <is>
          <t>Amir Khan</t>
        </is>
      </c>
      <c r="K4338" s="70" t="n">
        <v>714</v>
      </c>
      <c r="L4338" s="71" t="n">
        <v>149.27</v>
      </c>
      <c r="M4338" s="71" t="n">
        <v>106578.78</v>
      </c>
      <c r="N4338" s="71" t="n">
        <v>15986.82</v>
      </c>
      <c r="O4338" s="71" t="n">
        <v>90591.96000000001</v>
      </c>
      <c r="P4338" s="71" t="n">
        <v>27684.66</v>
      </c>
      <c r="Q4338" s="71" t="n">
        <v>62907.3</v>
      </c>
      <c r="R4338" t="inlineStr">
        <is>
          <t>Vaccines</t>
        </is>
      </c>
      <c r="S4338" s="70" t="n">
        <v>489</v>
      </c>
      <c r="T4338" s="71" t="n">
        <v>18916.62</v>
      </c>
      <c r="U4338" t="inlineStr">
        <is>
          <t>Low</t>
        </is>
      </c>
      <c r="V4338">
        <f>IF(AND(OR(Dashboard!$C$6="All",E4338=Dashboard!$C$6),OR(Dashboard!$F$6="All",G4338=Dashboard!$F$6),OR(Dashboard!$I$6="All",H4338=Dashboard!$I$6)),1,0)</f>
        <v/>
      </c>
    </row>
    <row r="4339">
      <c r="A4339" t="inlineStr">
        <is>
          <t>PF104330</t>
        </is>
      </c>
      <c r="B4339" s="68" t="n">
        <v>46180</v>
      </c>
      <c r="C4339" s="69" t="n">
        <v>2026</v>
      </c>
      <c r="D4339" t="inlineStr">
        <is>
          <t>Jun</t>
        </is>
      </c>
      <c r="E4339" t="inlineStr">
        <is>
          <t>Europe</t>
        </is>
      </c>
      <c r="F4339" t="inlineStr">
        <is>
          <t>UK</t>
        </is>
      </c>
      <c r="G4339" t="inlineStr">
        <is>
          <t>Vyndaqel</t>
        </is>
      </c>
      <c r="H4339" t="inlineStr">
        <is>
          <t>Government / tender</t>
        </is>
      </c>
      <c r="I4339" t="inlineStr">
        <is>
          <t>Private insurer</t>
        </is>
      </c>
      <c r="J4339" t="inlineStr">
        <is>
          <t>Lucas Martin</t>
        </is>
      </c>
      <c r="K4339" s="70" t="n">
        <v>1391</v>
      </c>
      <c r="L4339" s="71" t="n">
        <v>6139.31</v>
      </c>
      <c r="M4339" s="71" t="n">
        <v>8539780.210000001</v>
      </c>
      <c r="N4339" s="71" t="n">
        <v>1707956.04</v>
      </c>
      <c r="O4339" s="71" t="n">
        <v>6831824.17</v>
      </c>
      <c r="P4339" s="71" t="n">
        <v>834826.1899999999</v>
      </c>
      <c r="Q4339" s="71" t="n">
        <v>5996997.98</v>
      </c>
      <c r="R4339" t="inlineStr">
        <is>
          <t>Rare disease</t>
        </is>
      </c>
      <c r="S4339" s="70" t="n">
        <v>1146</v>
      </c>
      <c r="T4339" s="71" t="n">
        <v>1674932.91</v>
      </c>
      <c r="U4339" t="inlineStr">
        <is>
          <t>Medium</t>
        </is>
      </c>
      <c r="V4339">
        <f>IF(AND(OR(Dashboard!$C$6="All",E4339=Dashboard!$C$6),OR(Dashboard!$F$6="All",G4339=Dashboard!$F$6),OR(Dashboard!$I$6="All",H4339=Dashboard!$I$6)),1,0)</f>
        <v/>
      </c>
    </row>
    <row r="4340">
      <c r="A4340" t="inlineStr">
        <is>
          <t>PF104331</t>
        </is>
      </c>
      <c r="B4340" s="68" t="n">
        <v>46180</v>
      </c>
      <c r="C4340" s="69" t="n">
        <v>2026</v>
      </c>
      <c r="D4340" t="inlineStr">
        <is>
          <t>Jun</t>
        </is>
      </c>
      <c r="E4340" t="inlineStr">
        <is>
          <t>United States</t>
        </is>
      </c>
      <c r="F4340" t="inlineStr">
        <is>
          <t>USA</t>
        </is>
      </c>
      <c r="G4340" t="inlineStr">
        <is>
          <t>Ibrance</t>
        </is>
      </c>
      <c r="H4340" t="inlineStr">
        <is>
          <t>Hospital</t>
        </is>
      </c>
      <c r="I4340" t="inlineStr">
        <is>
          <t>Public payer</t>
        </is>
      </c>
      <c r="J4340" t="inlineStr">
        <is>
          <t>Arjun Mehta</t>
        </is>
      </c>
      <c r="K4340" s="70" t="n">
        <v>616</v>
      </c>
      <c r="L4340" s="71" t="n">
        <v>4387.9</v>
      </c>
      <c r="M4340" s="71" t="n">
        <v>2702946.4</v>
      </c>
      <c r="N4340" s="71" t="n">
        <v>675736.6</v>
      </c>
      <c r="O4340" s="71" t="n">
        <v>2027209.8</v>
      </c>
      <c r="P4340" s="71" t="n">
        <v>274819.62</v>
      </c>
      <c r="Q4340" s="71" t="n">
        <v>1752390.18</v>
      </c>
      <c r="R4340" t="inlineStr">
        <is>
          <t>Oncology</t>
        </is>
      </c>
      <c r="S4340" s="70" t="n">
        <v>558</v>
      </c>
      <c r="T4340" s="71" t="n">
        <v>412292.26</v>
      </c>
      <c r="U4340" t="inlineStr">
        <is>
          <t>High</t>
        </is>
      </c>
      <c r="V4340">
        <f>IF(AND(OR(Dashboard!$C$6="All",E4340=Dashboard!$C$6),OR(Dashboard!$F$6="All",G4340=Dashboard!$F$6),OR(Dashboard!$I$6="All",H4340=Dashboard!$I$6)),1,0)</f>
        <v/>
      </c>
    </row>
    <row r="4341">
      <c r="A4341" t="inlineStr">
        <is>
          <t>PF104332</t>
        </is>
      </c>
      <c r="B4341" s="68" t="n">
        <v>46180</v>
      </c>
      <c r="C4341" s="69" t="n">
        <v>2026</v>
      </c>
      <c r="D4341" t="inlineStr">
        <is>
          <t>Jun</t>
        </is>
      </c>
      <c r="E4341" t="inlineStr">
        <is>
          <t>Europe</t>
        </is>
      </c>
      <c r="F4341" t="inlineStr">
        <is>
          <t>Italy</t>
        </is>
      </c>
      <c r="G4341" t="inlineStr">
        <is>
          <t>Eliquis</t>
        </is>
      </c>
      <c r="H4341" t="inlineStr">
        <is>
          <t>Retail pharmacy</t>
        </is>
      </c>
      <c r="I4341" t="inlineStr">
        <is>
          <t>Self-pay</t>
        </is>
      </c>
      <c r="J4341" t="inlineStr">
        <is>
          <t>Ravindra Patil</t>
        </is>
      </c>
      <c r="K4341" s="70" t="n">
        <v>550</v>
      </c>
      <c r="L4341" s="71" t="n">
        <v>433.13</v>
      </c>
      <c r="M4341" s="71" t="n">
        <v>238221.5</v>
      </c>
      <c r="N4341" s="71" t="n">
        <v>47644.3</v>
      </c>
      <c r="O4341" s="71" t="n">
        <v>190577.2</v>
      </c>
      <c r="P4341" s="71" t="n">
        <v>42427.03</v>
      </c>
      <c r="Q4341" s="71" t="n">
        <v>148150.17</v>
      </c>
      <c r="R4341" t="inlineStr">
        <is>
          <t>Cardiology</t>
        </is>
      </c>
      <c r="S4341" s="70" t="n">
        <v>363</v>
      </c>
      <c r="T4341" s="71" t="n">
        <v>37402.13</v>
      </c>
      <c r="U4341" t="inlineStr">
        <is>
          <t>High</t>
        </is>
      </c>
      <c r="V4341">
        <f>IF(AND(OR(Dashboard!$C$6="All",E4341=Dashboard!$C$6),OR(Dashboard!$F$6="All",G4341=Dashboard!$F$6),OR(Dashboard!$I$6="All",H4341=Dashboard!$I$6)),1,0)</f>
        <v/>
      </c>
    </row>
    <row r="4342">
      <c r="A4342" t="inlineStr">
        <is>
          <t>PF104333</t>
        </is>
      </c>
      <c r="B4342" s="68" t="n">
        <v>46180</v>
      </c>
      <c r="C4342" s="69" t="n">
        <v>2026</v>
      </c>
      <c r="D4342" t="inlineStr">
        <is>
          <t>Jun</t>
        </is>
      </c>
      <c r="E4342" t="inlineStr">
        <is>
          <t>United States</t>
        </is>
      </c>
      <c r="F4342" t="inlineStr">
        <is>
          <t>USA</t>
        </is>
      </c>
      <c r="G4342" t="inlineStr">
        <is>
          <t>Eliquis</t>
        </is>
      </c>
      <c r="H4342" t="inlineStr">
        <is>
          <t>Government / tender</t>
        </is>
      </c>
      <c r="I4342" t="inlineStr">
        <is>
          <t>Public payer</t>
        </is>
      </c>
      <c r="J4342" t="inlineStr">
        <is>
          <t>Liam O'Brien</t>
        </is>
      </c>
      <c r="K4342" s="70" t="n">
        <v>316</v>
      </c>
      <c r="L4342" s="71" t="n">
        <v>748.91</v>
      </c>
      <c r="M4342" s="71" t="n">
        <v>236655.56</v>
      </c>
      <c r="N4342" s="71" t="n">
        <v>70996.67</v>
      </c>
      <c r="O4342" s="71" t="n">
        <v>165658.89</v>
      </c>
      <c r="P4342" s="71" t="n">
        <v>24261.68</v>
      </c>
      <c r="Q4342" s="71" t="n">
        <v>141397.21</v>
      </c>
      <c r="R4342" t="inlineStr">
        <is>
          <t>Cardiology</t>
        </is>
      </c>
      <c r="S4342" s="70" t="n">
        <v>303</v>
      </c>
      <c r="T4342" s="71" t="n">
        <v>33210.95</v>
      </c>
      <c r="U4342" t="inlineStr">
        <is>
          <t>High</t>
        </is>
      </c>
      <c r="V4342">
        <f>IF(AND(OR(Dashboard!$C$6="All",E4342=Dashboard!$C$6),OR(Dashboard!$F$6="All",G4342=Dashboard!$F$6),OR(Dashboard!$I$6="All",H4342=Dashboard!$I$6)),1,0)</f>
        <v/>
      </c>
    </row>
    <row r="4343">
      <c r="A4343" t="inlineStr">
        <is>
          <t>PF104334</t>
        </is>
      </c>
      <c r="B4343" s="68" t="n">
        <v>46180</v>
      </c>
      <c r="C4343" s="69" t="n">
        <v>2026</v>
      </c>
      <c r="D4343" t="inlineStr">
        <is>
          <t>Jun</t>
        </is>
      </c>
      <c r="E4343" t="inlineStr">
        <is>
          <t>International developed</t>
        </is>
      </c>
      <c r="F4343" t="inlineStr">
        <is>
          <t>Australia</t>
        </is>
      </c>
      <c r="G4343" t="inlineStr">
        <is>
          <t>Eliquis</t>
        </is>
      </c>
      <c r="H4343" t="inlineStr">
        <is>
          <t>Hospital</t>
        </is>
      </c>
      <c r="I4343" t="inlineStr">
        <is>
          <t>Public payer</t>
        </is>
      </c>
      <c r="J4343" t="inlineStr">
        <is>
          <t>Aisha Bello</t>
        </is>
      </c>
      <c r="K4343" s="70" t="n">
        <v>2030</v>
      </c>
      <c r="L4343" s="71" t="n">
        <v>462.25</v>
      </c>
      <c r="M4343" s="71" t="n">
        <v>938367.5</v>
      </c>
      <c r="N4343" s="71" t="n">
        <v>234591.88</v>
      </c>
      <c r="O4343" s="71" t="n">
        <v>703775.62</v>
      </c>
      <c r="P4343" s="71" t="n">
        <v>153552.29</v>
      </c>
      <c r="Q4343" s="71" t="n">
        <v>550223.33</v>
      </c>
      <c r="R4343" t="inlineStr">
        <is>
          <t>Cardiology</t>
        </is>
      </c>
      <c r="S4343" s="70" t="n">
        <v>1322</v>
      </c>
      <c r="T4343" s="71" t="n">
        <v>171671.51</v>
      </c>
      <c r="U4343" t="inlineStr">
        <is>
          <t>High</t>
        </is>
      </c>
      <c r="V4343">
        <f>IF(AND(OR(Dashboard!$C$6="All",E4343=Dashboard!$C$6),OR(Dashboard!$F$6="All",G4343=Dashboard!$F$6),OR(Dashboard!$I$6="All",H4343=Dashboard!$I$6)),1,0)</f>
        <v/>
      </c>
    </row>
    <row r="4344">
      <c r="A4344" t="inlineStr">
        <is>
          <t>PF104335</t>
        </is>
      </c>
      <c r="B4344" s="68" t="n">
        <v>46180</v>
      </c>
      <c r="C4344" s="69" t="n">
        <v>2026</v>
      </c>
      <c r="D4344" t="inlineStr">
        <is>
          <t>Jun</t>
        </is>
      </c>
      <c r="E4344" t="inlineStr">
        <is>
          <t>United States</t>
        </is>
      </c>
      <c r="F4344" t="inlineStr">
        <is>
          <t>USA</t>
        </is>
      </c>
      <c r="G4344" t="inlineStr">
        <is>
          <t>Xeljanz</t>
        </is>
      </c>
      <c r="H4344" t="inlineStr">
        <is>
          <t>Retail pharmacy</t>
        </is>
      </c>
      <c r="I4344" t="inlineStr">
        <is>
          <t>Private insurer</t>
        </is>
      </c>
      <c r="J4344" t="inlineStr">
        <is>
          <t>Emma Clarke</t>
        </is>
      </c>
      <c r="K4344" s="70" t="n">
        <v>438</v>
      </c>
      <c r="L4344" s="71" t="n">
        <v>1941.99</v>
      </c>
      <c r="M4344" s="71" t="n">
        <v>850591.62</v>
      </c>
      <c r="N4344" s="71" t="n">
        <v>297707.07</v>
      </c>
      <c r="O4344" s="71" t="n">
        <v>552884.55</v>
      </c>
      <c r="P4344" s="71" t="n">
        <v>106271.68</v>
      </c>
      <c r="Q4344" s="71" t="n">
        <v>446612.87</v>
      </c>
      <c r="R4344" t="inlineStr">
        <is>
          <t>Inflammation</t>
        </is>
      </c>
      <c r="S4344" s="70" t="n">
        <v>312</v>
      </c>
      <c r="T4344" s="71" t="n">
        <v>183570.75</v>
      </c>
      <c r="U4344" t="inlineStr">
        <is>
          <t>High</t>
        </is>
      </c>
      <c r="V4344">
        <f>IF(AND(OR(Dashboard!$C$6="All",E4344=Dashboard!$C$6),OR(Dashboard!$F$6="All",G4344=Dashboard!$F$6),OR(Dashboard!$I$6="All",H4344=Dashboard!$I$6)),1,0)</f>
        <v/>
      </c>
    </row>
    <row r="4345">
      <c r="A4345" t="inlineStr">
        <is>
          <t>PF104336</t>
        </is>
      </c>
      <c r="B4345" s="68" t="n">
        <v>46181</v>
      </c>
      <c r="C4345" s="69" t="n">
        <v>2026</v>
      </c>
      <c r="D4345" t="inlineStr">
        <is>
          <t>Jun</t>
        </is>
      </c>
      <c r="E4345" t="inlineStr">
        <is>
          <t>United States</t>
        </is>
      </c>
      <c r="F4345" t="inlineStr">
        <is>
          <t>USA</t>
        </is>
      </c>
      <c r="G4345" t="inlineStr">
        <is>
          <t>Ibrance</t>
        </is>
      </c>
      <c r="H4345" t="inlineStr">
        <is>
          <t>Retail pharmacy</t>
        </is>
      </c>
      <c r="I4345" t="inlineStr">
        <is>
          <t>Public payer</t>
        </is>
      </c>
      <c r="J4345" t="inlineStr">
        <is>
          <t>Carlos Silva</t>
        </is>
      </c>
      <c r="K4345" s="70" t="n">
        <v>978</v>
      </c>
      <c r="L4345" s="71" t="n">
        <v>4713.35</v>
      </c>
      <c r="M4345" s="71" t="n">
        <v>4609656.3</v>
      </c>
      <c r="N4345" s="71" t="n">
        <v>691448.45</v>
      </c>
      <c r="O4345" s="71" t="n">
        <v>3918207.85</v>
      </c>
      <c r="P4345" s="71" t="n">
        <v>428747.54</v>
      </c>
      <c r="Q4345" s="71" t="n">
        <v>3489460.31</v>
      </c>
      <c r="R4345" t="inlineStr">
        <is>
          <t>Oncology</t>
        </is>
      </c>
      <c r="S4345" s="70" t="n">
        <v>645</v>
      </c>
      <c r="T4345" s="71" t="n">
        <v>922235.76</v>
      </c>
      <c r="U4345" t="inlineStr">
        <is>
          <t>High</t>
        </is>
      </c>
      <c r="V4345">
        <f>IF(AND(OR(Dashboard!$C$6="All",E4345=Dashboard!$C$6),OR(Dashboard!$F$6="All",G4345=Dashboard!$F$6),OR(Dashboard!$I$6="All",H4345=Dashboard!$I$6)),1,0)</f>
        <v/>
      </c>
    </row>
    <row r="4346">
      <c r="A4346" t="inlineStr">
        <is>
          <t>PF104337</t>
        </is>
      </c>
      <c r="B4346" s="68" t="n">
        <v>46181</v>
      </c>
      <c r="C4346" s="69" t="n">
        <v>2026</v>
      </c>
      <c r="D4346" t="inlineStr">
        <is>
          <t>Jun</t>
        </is>
      </c>
      <c r="E4346" t="inlineStr">
        <is>
          <t>Europe</t>
        </is>
      </c>
      <c r="F4346" t="inlineStr">
        <is>
          <t>Spain</t>
        </is>
      </c>
      <c r="G4346" t="inlineStr">
        <is>
          <t>Abrysvo</t>
        </is>
      </c>
      <c r="H4346" t="inlineStr">
        <is>
          <t>Retail pharmacy</t>
        </is>
      </c>
      <c r="I4346" t="inlineStr">
        <is>
          <t>Private insurer</t>
        </is>
      </c>
      <c r="J4346" t="inlineStr">
        <is>
          <t>Ravindra Patil</t>
        </is>
      </c>
      <c r="K4346" s="70" t="n">
        <v>632</v>
      </c>
      <c r="L4346" s="71" t="n">
        <v>314.53</v>
      </c>
      <c r="M4346" s="71" t="n">
        <v>198782.96</v>
      </c>
      <c r="N4346" s="71" t="n">
        <v>49695.74</v>
      </c>
      <c r="O4346" s="71" t="n">
        <v>149087.22</v>
      </c>
      <c r="P4346" s="71" t="n">
        <v>53259.72</v>
      </c>
      <c r="Q4346" s="71" t="n">
        <v>95827.5</v>
      </c>
      <c r="R4346" t="inlineStr">
        <is>
          <t>Vaccines</t>
        </is>
      </c>
      <c r="S4346" s="70" t="n">
        <v>412</v>
      </c>
      <c r="T4346" s="71" t="n">
        <v>33773.44</v>
      </c>
      <c r="U4346" t="inlineStr">
        <is>
          <t>Low</t>
        </is>
      </c>
      <c r="V4346">
        <f>IF(AND(OR(Dashboard!$C$6="All",E4346=Dashboard!$C$6),OR(Dashboard!$F$6="All",G4346=Dashboard!$F$6),OR(Dashboard!$I$6="All",H4346=Dashboard!$I$6)),1,0)</f>
        <v/>
      </c>
    </row>
    <row r="4347">
      <c r="A4347" t="inlineStr">
        <is>
          <t>PF104338</t>
        </is>
      </c>
      <c r="B4347" s="68" t="n">
        <v>46181</v>
      </c>
      <c r="C4347" s="69" t="n">
        <v>2026</v>
      </c>
      <c r="D4347" t="inlineStr">
        <is>
          <t>Jun</t>
        </is>
      </c>
      <c r="E4347" t="inlineStr">
        <is>
          <t>United States</t>
        </is>
      </c>
      <c r="F4347" t="inlineStr">
        <is>
          <t>USA</t>
        </is>
      </c>
      <c r="G4347" t="inlineStr">
        <is>
          <t>Comirnaty</t>
        </is>
      </c>
      <c r="H4347" t="inlineStr">
        <is>
          <t>Government / tender</t>
        </is>
      </c>
      <c r="I4347" t="inlineStr">
        <is>
          <t>Self-pay</t>
        </is>
      </c>
      <c r="J4347" t="inlineStr">
        <is>
          <t>Zoya Ahmed</t>
        </is>
      </c>
      <c r="K4347" s="70" t="n">
        <v>2119</v>
      </c>
      <c r="L4347" s="71" t="n">
        <v>136.85</v>
      </c>
      <c r="M4347" s="71" t="n">
        <v>289985.15</v>
      </c>
      <c r="N4347" s="71" t="n">
        <v>57997.03</v>
      </c>
      <c r="O4347" s="71" t="n">
        <v>231988.12</v>
      </c>
      <c r="P4347" s="71" t="n">
        <v>79421.63</v>
      </c>
      <c r="Q4347" s="71" t="n">
        <v>152566.49</v>
      </c>
      <c r="R4347" t="inlineStr">
        <is>
          <t>Vaccines</t>
        </is>
      </c>
      <c r="S4347" s="70" t="n">
        <v>1551</v>
      </c>
      <c r="T4347" s="71" t="n">
        <v>56586.79</v>
      </c>
      <c r="U4347" t="inlineStr">
        <is>
          <t>Low</t>
        </is>
      </c>
      <c r="V4347">
        <f>IF(AND(OR(Dashboard!$C$6="All",E4347=Dashboard!$C$6),OR(Dashboard!$F$6="All",G4347=Dashboard!$F$6),OR(Dashboard!$I$6="All",H4347=Dashboard!$I$6)),1,0)</f>
        <v/>
      </c>
    </row>
    <row r="4348">
      <c r="A4348" t="inlineStr">
        <is>
          <t>PF104339</t>
        </is>
      </c>
      <c r="B4348" s="68" t="n">
        <v>46181</v>
      </c>
      <c r="C4348" s="69" t="n">
        <v>2026</v>
      </c>
      <c r="D4348" t="inlineStr">
        <is>
          <t>Jun</t>
        </is>
      </c>
      <c r="E4348" t="inlineStr">
        <is>
          <t>Emerging markets</t>
        </is>
      </c>
      <c r="F4348" t="inlineStr">
        <is>
          <t>Brazil</t>
        </is>
      </c>
      <c r="G4348" t="inlineStr">
        <is>
          <t>Comirnaty</t>
        </is>
      </c>
      <c r="H4348" t="inlineStr">
        <is>
          <t>Retail pharmacy</t>
        </is>
      </c>
      <c r="I4348" t="inlineStr">
        <is>
          <t>Public payer</t>
        </is>
      </c>
      <c r="J4348" t="inlineStr">
        <is>
          <t>Carlos Silva</t>
        </is>
      </c>
      <c r="K4348" s="70" t="n">
        <v>2113</v>
      </c>
      <c r="L4348" s="71" t="n">
        <v>83.88</v>
      </c>
      <c r="M4348" s="71" t="n">
        <v>177238.44</v>
      </c>
      <c r="N4348" s="71" t="n">
        <v>26585.77</v>
      </c>
      <c r="O4348" s="71" t="n">
        <v>150652.67</v>
      </c>
      <c r="P4348" s="71" t="n">
        <v>83483.28</v>
      </c>
      <c r="Q4348" s="71" t="n">
        <v>67169.39</v>
      </c>
      <c r="R4348" t="inlineStr">
        <is>
          <t>Vaccines</t>
        </is>
      </c>
      <c r="S4348" s="70" t="n">
        <v>1348</v>
      </c>
      <c r="T4348" s="71" t="n">
        <v>33966.86</v>
      </c>
      <c r="U4348" t="inlineStr">
        <is>
          <t>Low</t>
        </is>
      </c>
      <c r="V4348">
        <f>IF(AND(OR(Dashboard!$C$6="All",E4348=Dashboard!$C$6),OR(Dashboard!$F$6="All",G4348=Dashboard!$F$6),OR(Dashboard!$I$6="All",H4348=Dashboard!$I$6)),1,0)</f>
        <v/>
      </c>
    </row>
    <row r="4349">
      <c r="A4349" t="inlineStr">
        <is>
          <t>PF104340</t>
        </is>
      </c>
      <c r="B4349" s="68" t="n">
        <v>46181</v>
      </c>
      <c r="C4349" s="69" t="n">
        <v>2026</v>
      </c>
      <c r="D4349" t="inlineStr">
        <is>
          <t>Jun</t>
        </is>
      </c>
      <c r="E4349" t="inlineStr">
        <is>
          <t>United States</t>
        </is>
      </c>
      <c r="F4349" t="inlineStr">
        <is>
          <t>USA</t>
        </is>
      </c>
      <c r="G4349" t="inlineStr">
        <is>
          <t>Abrysvo</t>
        </is>
      </c>
      <c r="H4349" t="inlineStr">
        <is>
          <t>Retail pharmacy</t>
        </is>
      </c>
      <c r="I4349" t="inlineStr">
        <is>
          <t>Private insurer</t>
        </is>
      </c>
      <c r="J4349" t="inlineStr">
        <is>
          <t>Arjun Mehta</t>
        </is>
      </c>
      <c r="K4349" s="70" t="n">
        <v>2565</v>
      </c>
      <c r="L4349" s="71" t="n">
        <v>481.22</v>
      </c>
      <c r="M4349" s="71" t="n">
        <v>1234329.3</v>
      </c>
      <c r="N4349" s="71" t="n">
        <v>308582.33</v>
      </c>
      <c r="O4349" s="71" t="n">
        <v>925746.97</v>
      </c>
      <c r="P4349" s="71" t="n">
        <v>215629.01</v>
      </c>
      <c r="Q4349" s="71" t="n">
        <v>710117.96</v>
      </c>
      <c r="R4349" t="inlineStr">
        <is>
          <t>Vaccines</t>
        </is>
      </c>
      <c r="S4349" s="70" t="n">
        <v>2106</v>
      </c>
      <c r="T4349" s="71" t="n">
        <v>177569.46</v>
      </c>
      <c r="U4349" t="inlineStr">
        <is>
          <t>Low</t>
        </is>
      </c>
      <c r="V4349">
        <f>IF(AND(OR(Dashboard!$C$6="All",E4349=Dashboard!$C$6),OR(Dashboard!$F$6="All",G4349=Dashboard!$F$6),OR(Dashboard!$I$6="All",H4349=Dashboard!$I$6)),1,0)</f>
        <v/>
      </c>
    </row>
    <row r="4350">
      <c r="A4350" t="inlineStr">
        <is>
          <t>PF104341</t>
        </is>
      </c>
      <c r="B4350" s="68" t="n">
        <v>46181</v>
      </c>
      <c r="C4350" s="69" t="n">
        <v>2026</v>
      </c>
      <c r="D4350" t="inlineStr">
        <is>
          <t>Jun</t>
        </is>
      </c>
      <c r="E4350" t="inlineStr">
        <is>
          <t>United States</t>
        </is>
      </c>
      <c r="F4350" t="inlineStr">
        <is>
          <t>USA</t>
        </is>
      </c>
      <c r="G4350" t="inlineStr">
        <is>
          <t>Xeljanz</t>
        </is>
      </c>
      <c r="H4350" t="inlineStr">
        <is>
          <t>Hospital</t>
        </is>
      </c>
      <c r="I4350" t="inlineStr">
        <is>
          <t>Private insurer</t>
        </is>
      </c>
      <c r="J4350" t="inlineStr">
        <is>
          <t>Carlos Silva</t>
        </is>
      </c>
      <c r="K4350" s="70" t="n">
        <v>809</v>
      </c>
      <c r="L4350" s="71" t="n">
        <v>2064.61</v>
      </c>
      <c r="M4350" s="71" t="n">
        <v>1670269.49</v>
      </c>
      <c r="N4350" s="71" t="n">
        <v>334053.9</v>
      </c>
      <c r="O4350" s="71" t="n">
        <v>1336215.59</v>
      </c>
      <c r="P4350" s="71" t="n">
        <v>206323.79</v>
      </c>
      <c r="Q4350" s="71" t="n">
        <v>1129891.8</v>
      </c>
      <c r="R4350" t="inlineStr">
        <is>
          <t>Inflammation</t>
        </is>
      </c>
      <c r="S4350" s="70" t="n">
        <v>536</v>
      </c>
      <c r="T4350" s="71" t="n">
        <v>267916.94</v>
      </c>
      <c r="U4350" t="inlineStr">
        <is>
          <t>High</t>
        </is>
      </c>
      <c r="V4350">
        <f>IF(AND(OR(Dashboard!$C$6="All",E4350=Dashboard!$C$6),OR(Dashboard!$F$6="All",G4350=Dashboard!$F$6),OR(Dashboard!$I$6="All",H4350=Dashboard!$I$6)),1,0)</f>
        <v/>
      </c>
    </row>
    <row r="4351">
      <c r="A4351" t="inlineStr">
        <is>
          <t>PF104342</t>
        </is>
      </c>
      <c r="B4351" s="68" t="n">
        <v>46181</v>
      </c>
      <c r="C4351" s="69" t="n">
        <v>2026</v>
      </c>
      <c r="D4351" t="inlineStr">
        <is>
          <t>Jun</t>
        </is>
      </c>
      <c r="E4351" t="inlineStr">
        <is>
          <t>United States</t>
        </is>
      </c>
      <c r="F4351" t="inlineStr">
        <is>
          <t>USA</t>
        </is>
      </c>
      <c r="G4351" t="inlineStr">
        <is>
          <t>Eliquis</t>
        </is>
      </c>
      <c r="H4351" t="inlineStr">
        <is>
          <t>Retail pharmacy</t>
        </is>
      </c>
      <c r="I4351" t="inlineStr">
        <is>
          <t>Self-pay</t>
        </is>
      </c>
      <c r="J4351" t="inlineStr">
        <is>
          <t>Sophie Müller</t>
        </is>
      </c>
      <c r="K4351" s="70" t="n">
        <v>2415</v>
      </c>
      <c r="L4351" s="71" t="n">
        <v>722.36</v>
      </c>
      <c r="M4351" s="71" t="n">
        <v>1744499.4</v>
      </c>
      <c r="N4351" s="71" t="n">
        <v>261674.91</v>
      </c>
      <c r="O4351" s="71" t="n">
        <v>1482824.49</v>
      </c>
      <c r="P4351" s="71" t="n">
        <v>188707.74</v>
      </c>
      <c r="Q4351" s="71" t="n">
        <v>1294116.75</v>
      </c>
      <c r="R4351" t="inlineStr">
        <is>
          <t>Cardiology</t>
        </is>
      </c>
      <c r="S4351" s="70" t="n">
        <v>2147</v>
      </c>
      <c r="T4351" s="71" t="n">
        <v>312955.56</v>
      </c>
      <c r="U4351" t="inlineStr">
        <is>
          <t>High</t>
        </is>
      </c>
      <c r="V4351">
        <f>IF(AND(OR(Dashboard!$C$6="All",E4351=Dashboard!$C$6),OR(Dashboard!$F$6="All",G4351=Dashboard!$F$6),OR(Dashboard!$I$6="All",H4351=Dashboard!$I$6)),1,0)</f>
        <v/>
      </c>
    </row>
    <row r="4352">
      <c r="A4352" t="inlineStr">
        <is>
          <t>PF104343</t>
        </is>
      </c>
      <c r="B4352" s="68" t="n">
        <v>46181</v>
      </c>
      <c r="C4352" s="69" t="n">
        <v>2026</v>
      </c>
      <c r="D4352" t="inlineStr">
        <is>
          <t>Jun</t>
        </is>
      </c>
      <c r="E4352" t="inlineStr">
        <is>
          <t>United States</t>
        </is>
      </c>
      <c r="F4352" t="inlineStr">
        <is>
          <t>USA</t>
        </is>
      </c>
      <c r="G4352" t="inlineStr">
        <is>
          <t>Prevnar 20</t>
        </is>
      </c>
      <c r="H4352" t="inlineStr">
        <is>
          <t>Government / tender</t>
        </is>
      </c>
      <c r="I4352" t="inlineStr">
        <is>
          <t>Self-pay</t>
        </is>
      </c>
      <c r="J4352" t="inlineStr">
        <is>
          <t>Wei Chen</t>
        </is>
      </c>
      <c r="K4352" s="70" t="n">
        <v>93</v>
      </c>
      <c r="L4352" s="71" t="n">
        <v>366.15</v>
      </c>
      <c r="M4352" s="71" t="n">
        <v>34051.95</v>
      </c>
      <c r="N4352" s="71" t="n">
        <v>10215.59</v>
      </c>
      <c r="O4352" s="71" t="n">
        <v>23836.36</v>
      </c>
      <c r="P4352" s="71" t="n">
        <v>6361.84</v>
      </c>
      <c r="Q4352" s="71" t="n">
        <v>17474.52</v>
      </c>
      <c r="R4352" t="inlineStr">
        <is>
          <t>Vaccines</t>
        </is>
      </c>
      <c r="S4352" s="70" t="n">
        <v>77</v>
      </c>
      <c r="T4352" s="71" t="n">
        <v>6249.96</v>
      </c>
      <c r="U4352" t="inlineStr">
        <is>
          <t>Low</t>
        </is>
      </c>
      <c r="V4352">
        <f>IF(AND(OR(Dashboard!$C$6="All",E4352=Dashboard!$C$6),OR(Dashboard!$F$6="All",G4352=Dashboard!$F$6),OR(Dashboard!$I$6="All",H4352=Dashboard!$I$6)),1,0)</f>
        <v/>
      </c>
    </row>
    <row r="4353">
      <c r="A4353" t="inlineStr">
        <is>
          <t>PF104344</t>
        </is>
      </c>
      <c r="B4353" s="68" t="n">
        <v>46181</v>
      </c>
      <c r="C4353" s="69" t="n">
        <v>2026</v>
      </c>
      <c r="D4353" t="inlineStr">
        <is>
          <t>Jun</t>
        </is>
      </c>
      <c r="E4353" t="inlineStr">
        <is>
          <t>United States</t>
        </is>
      </c>
      <c r="F4353" t="inlineStr">
        <is>
          <t>USA</t>
        </is>
      </c>
      <c r="G4353" t="inlineStr">
        <is>
          <t>Comirnaty</t>
        </is>
      </c>
      <c r="H4353" t="inlineStr">
        <is>
          <t>Hospital</t>
        </is>
      </c>
      <c r="I4353" t="inlineStr">
        <is>
          <t>Private insurer</t>
        </is>
      </c>
      <c r="J4353" t="inlineStr">
        <is>
          <t>Noah Smith</t>
        </is>
      </c>
      <c r="K4353" s="70" t="n">
        <v>2171</v>
      </c>
      <c r="L4353" s="71" t="n">
        <v>143.96</v>
      </c>
      <c r="M4353" s="71" t="n">
        <v>312537.16</v>
      </c>
      <c r="N4353" s="71" t="n">
        <v>46880.57</v>
      </c>
      <c r="O4353" s="71" t="n">
        <v>265656.59</v>
      </c>
      <c r="P4353" s="71" t="n">
        <v>84270.66</v>
      </c>
      <c r="Q4353" s="71" t="n">
        <v>181385.93</v>
      </c>
      <c r="R4353" t="inlineStr">
        <is>
          <t>Vaccines</t>
        </is>
      </c>
      <c r="S4353" s="70" t="n">
        <v>1762</v>
      </c>
      <c r="T4353" s="71" t="n">
        <v>72425.53999999999</v>
      </c>
      <c r="U4353" t="inlineStr">
        <is>
          <t>Low</t>
        </is>
      </c>
      <c r="V4353">
        <f>IF(AND(OR(Dashboard!$C$6="All",E4353=Dashboard!$C$6),OR(Dashboard!$F$6="All",G4353=Dashboard!$F$6),OR(Dashboard!$I$6="All",H4353=Dashboard!$I$6)),1,0)</f>
        <v/>
      </c>
    </row>
    <row r="4354">
      <c r="A4354" t="inlineStr">
        <is>
          <t>PF104345</t>
        </is>
      </c>
      <c r="B4354" s="68" t="n">
        <v>46181</v>
      </c>
      <c r="C4354" s="69" t="n">
        <v>2026</v>
      </c>
      <c r="D4354" t="inlineStr">
        <is>
          <t>Jun</t>
        </is>
      </c>
      <c r="E4354" t="inlineStr">
        <is>
          <t>United States</t>
        </is>
      </c>
      <c r="F4354" t="inlineStr">
        <is>
          <t>USA</t>
        </is>
      </c>
      <c r="G4354" t="inlineStr">
        <is>
          <t>Xeljanz</t>
        </is>
      </c>
      <c r="H4354" t="inlineStr">
        <is>
          <t>Hospital</t>
        </is>
      </c>
      <c r="I4354" t="inlineStr">
        <is>
          <t>Private insurer</t>
        </is>
      </c>
      <c r="J4354" t="inlineStr">
        <is>
          <t>Zoya Ahmed</t>
        </is>
      </c>
      <c r="K4354" s="70" t="n">
        <v>1854</v>
      </c>
      <c r="L4354" s="71" t="n">
        <v>2252.63</v>
      </c>
      <c r="M4354" s="71" t="n">
        <v>4176376.02</v>
      </c>
      <c r="N4354" s="71" t="n">
        <v>1044094.01</v>
      </c>
      <c r="O4354" s="71" t="n">
        <v>3132282.01</v>
      </c>
      <c r="P4354" s="71" t="n">
        <v>463967.47</v>
      </c>
      <c r="Q4354" s="71" t="n">
        <v>2668314.54</v>
      </c>
      <c r="R4354" t="inlineStr">
        <is>
          <t>Inflammation</t>
        </is>
      </c>
      <c r="S4354" s="70" t="n">
        <v>1798</v>
      </c>
      <c r="T4354" s="71" t="n">
        <v>933474.63</v>
      </c>
      <c r="U4354" t="inlineStr">
        <is>
          <t>High</t>
        </is>
      </c>
      <c r="V4354">
        <f>IF(AND(OR(Dashboard!$C$6="All",E4354=Dashboard!$C$6),OR(Dashboard!$F$6="All",G4354=Dashboard!$F$6),OR(Dashboard!$I$6="All",H4354=Dashboard!$I$6)),1,0)</f>
        <v/>
      </c>
    </row>
    <row r="4355">
      <c r="A4355" t="inlineStr">
        <is>
          <t>PF104346</t>
        </is>
      </c>
      <c r="B4355" s="68" t="n">
        <v>46181</v>
      </c>
      <c r="C4355" s="69" t="n">
        <v>2026</v>
      </c>
      <c r="D4355" t="inlineStr">
        <is>
          <t>Jun</t>
        </is>
      </c>
      <c r="E4355" t="inlineStr">
        <is>
          <t>Europe</t>
        </is>
      </c>
      <c r="F4355" t="inlineStr">
        <is>
          <t>UK</t>
        </is>
      </c>
      <c r="G4355" t="inlineStr">
        <is>
          <t>Ibrance</t>
        </is>
      </c>
      <c r="H4355" t="inlineStr">
        <is>
          <t>Hospital</t>
        </is>
      </c>
      <c r="I4355" t="inlineStr">
        <is>
          <t>Public payer</t>
        </is>
      </c>
      <c r="J4355" t="inlineStr">
        <is>
          <t>Amir Khan</t>
        </is>
      </c>
      <c r="K4355" s="70" t="n">
        <v>2390</v>
      </c>
      <c r="L4355" s="71" t="n">
        <v>2745.25</v>
      </c>
      <c r="M4355" s="71" t="n">
        <v>6561147.5</v>
      </c>
      <c r="N4355" s="71" t="n">
        <v>1640286.88</v>
      </c>
      <c r="O4355" s="71" t="n">
        <v>4920860.62</v>
      </c>
      <c r="P4355" s="71" t="n">
        <v>1024923.98</v>
      </c>
      <c r="Q4355" s="71" t="n">
        <v>3895936.64</v>
      </c>
      <c r="R4355" t="inlineStr">
        <is>
          <t>Oncology</t>
        </is>
      </c>
      <c r="S4355" s="70" t="n">
        <v>1981</v>
      </c>
      <c r="T4355" s="71" t="n">
        <v>981194.79</v>
      </c>
      <c r="U4355" t="inlineStr">
        <is>
          <t>High</t>
        </is>
      </c>
      <c r="V4355">
        <f>IF(AND(OR(Dashboard!$C$6="All",E4355=Dashboard!$C$6),OR(Dashboard!$F$6="All",G4355=Dashboard!$F$6),OR(Dashboard!$I$6="All",H4355=Dashboard!$I$6)),1,0)</f>
        <v/>
      </c>
    </row>
    <row r="4356">
      <c r="A4356" t="inlineStr">
        <is>
          <t>PF104347</t>
        </is>
      </c>
      <c r="B4356" s="68" t="n">
        <v>46181</v>
      </c>
      <c r="C4356" s="69" t="n">
        <v>2026</v>
      </c>
      <c r="D4356" t="inlineStr">
        <is>
          <t>Jun</t>
        </is>
      </c>
      <c r="E4356" t="inlineStr">
        <is>
          <t>United States</t>
        </is>
      </c>
      <c r="F4356" t="inlineStr">
        <is>
          <t>USA</t>
        </is>
      </c>
      <c r="G4356" t="inlineStr">
        <is>
          <t>Prevnar 20</t>
        </is>
      </c>
      <c r="H4356" t="inlineStr">
        <is>
          <t>Hospital</t>
        </is>
      </c>
      <c r="I4356" t="inlineStr">
        <is>
          <t>Public payer</t>
        </is>
      </c>
      <c r="J4356" t="inlineStr">
        <is>
          <t>Fatima Al-Saud</t>
        </is>
      </c>
      <c r="K4356" s="70" t="n">
        <v>1091</v>
      </c>
      <c r="L4356" s="71" t="n">
        <v>356.79</v>
      </c>
      <c r="M4356" s="71" t="n">
        <v>389257.89</v>
      </c>
      <c r="N4356" s="71" t="n">
        <v>116777.37</v>
      </c>
      <c r="O4356" s="71" t="n">
        <v>272480.52</v>
      </c>
      <c r="P4356" s="71" t="n">
        <v>74425.50999999999</v>
      </c>
      <c r="Q4356" s="71" t="n">
        <v>198055.01</v>
      </c>
      <c r="R4356" t="inlineStr">
        <is>
          <t>Vaccines</t>
        </is>
      </c>
      <c r="S4356" s="70" t="n">
        <v>872</v>
      </c>
      <c r="T4356" s="71" t="n">
        <v>83817.99000000001</v>
      </c>
      <c r="U4356" t="inlineStr">
        <is>
          <t>Low</t>
        </is>
      </c>
      <c r="V4356">
        <f>IF(AND(OR(Dashboard!$C$6="All",E4356=Dashboard!$C$6),OR(Dashboard!$F$6="All",G4356=Dashboard!$F$6),OR(Dashboard!$I$6="All",H4356=Dashboard!$I$6)),1,0)</f>
        <v/>
      </c>
    </row>
    <row r="4357">
      <c r="A4357" t="inlineStr">
        <is>
          <t>PF104348</t>
        </is>
      </c>
      <c r="B4357" s="68" t="n">
        <v>46182</v>
      </c>
      <c r="C4357" s="69" t="n">
        <v>2026</v>
      </c>
      <c r="D4357" t="inlineStr">
        <is>
          <t>Jun</t>
        </is>
      </c>
      <c r="E4357" t="inlineStr">
        <is>
          <t>United States</t>
        </is>
      </c>
      <c r="F4357" t="inlineStr">
        <is>
          <t>USA</t>
        </is>
      </c>
      <c r="G4357" t="inlineStr">
        <is>
          <t>Xeljanz</t>
        </is>
      </c>
      <c r="H4357" t="inlineStr">
        <is>
          <t>Retail pharmacy</t>
        </is>
      </c>
      <c r="I4357" t="inlineStr">
        <is>
          <t>Public payer</t>
        </is>
      </c>
      <c r="J4357" t="inlineStr">
        <is>
          <t>Lucas Martin</t>
        </is>
      </c>
      <c r="K4357" s="70" t="n">
        <v>403</v>
      </c>
      <c r="L4357" s="71" t="n">
        <v>2357.89</v>
      </c>
      <c r="M4357" s="71" t="n">
        <v>950229.67</v>
      </c>
      <c r="N4357" s="71" t="n">
        <v>190045.93</v>
      </c>
      <c r="O4357" s="71" t="n">
        <v>760183.74</v>
      </c>
      <c r="P4357" s="71" t="n">
        <v>97785.24000000001</v>
      </c>
      <c r="Q4357" s="71" t="n">
        <v>662398.5</v>
      </c>
      <c r="R4357" t="inlineStr">
        <is>
          <t>Inflammation</t>
        </is>
      </c>
      <c r="S4357" s="70" t="n">
        <v>331</v>
      </c>
      <c r="T4357" s="71" t="n">
        <v>123238.52</v>
      </c>
      <c r="U4357" t="inlineStr">
        <is>
          <t>High</t>
        </is>
      </c>
      <c r="V4357">
        <f>IF(AND(OR(Dashboard!$C$6="All",E4357=Dashboard!$C$6),OR(Dashboard!$F$6="All",G4357=Dashboard!$F$6),OR(Dashboard!$I$6="All",H4357=Dashboard!$I$6)),1,0)</f>
        <v/>
      </c>
    </row>
    <row r="4358">
      <c r="A4358" t="inlineStr">
        <is>
          <t>PF104349</t>
        </is>
      </c>
      <c r="B4358" s="68" t="n">
        <v>46182</v>
      </c>
      <c r="C4358" s="69" t="n">
        <v>2026</v>
      </c>
      <c r="D4358" t="inlineStr">
        <is>
          <t>Jun</t>
        </is>
      </c>
      <c r="E4358" t="inlineStr">
        <is>
          <t>Europe</t>
        </is>
      </c>
      <c r="F4358" t="inlineStr">
        <is>
          <t>Spain</t>
        </is>
      </c>
      <c r="G4358" t="inlineStr">
        <is>
          <t>Prevnar 20</t>
        </is>
      </c>
      <c r="H4358" t="inlineStr">
        <is>
          <t>Retail pharmacy</t>
        </is>
      </c>
      <c r="I4358" t="inlineStr">
        <is>
          <t>Private insurer</t>
        </is>
      </c>
      <c r="J4358" t="inlineStr">
        <is>
          <t>Noah Smith</t>
        </is>
      </c>
      <c r="K4358" s="70" t="n">
        <v>742</v>
      </c>
      <c r="L4358" s="71" t="n">
        <v>246.34</v>
      </c>
      <c r="M4358" s="71" t="n">
        <v>182784.28</v>
      </c>
      <c r="N4358" s="71" t="n">
        <v>18278.43</v>
      </c>
      <c r="O4358" s="71" t="n">
        <v>164505.85</v>
      </c>
      <c r="P4358" s="71" t="n">
        <v>49195.05</v>
      </c>
      <c r="Q4358" s="71" t="n">
        <v>115310.8</v>
      </c>
      <c r="R4358" t="inlineStr">
        <is>
          <t>Vaccines</t>
        </is>
      </c>
      <c r="S4358" s="70" t="n">
        <v>492</v>
      </c>
      <c r="T4358" s="71" t="n">
        <v>25867.21</v>
      </c>
      <c r="U4358" t="inlineStr">
        <is>
          <t>Low</t>
        </is>
      </c>
      <c r="V4358">
        <f>IF(AND(OR(Dashboard!$C$6="All",E4358=Dashboard!$C$6),OR(Dashboard!$F$6="All",G4358=Dashboard!$F$6),OR(Dashboard!$I$6="All",H4358=Dashboard!$I$6)),1,0)</f>
        <v/>
      </c>
    </row>
    <row r="4359">
      <c r="A4359" t="inlineStr">
        <is>
          <t>PF104350</t>
        </is>
      </c>
      <c r="B4359" s="68" t="n">
        <v>46182</v>
      </c>
      <c r="C4359" s="69" t="n">
        <v>2026</v>
      </c>
      <c r="D4359" t="inlineStr">
        <is>
          <t>Jun</t>
        </is>
      </c>
      <c r="E4359" t="inlineStr">
        <is>
          <t>United States</t>
        </is>
      </c>
      <c r="F4359" t="inlineStr">
        <is>
          <t>USA</t>
        </is>
      </c>
      <c r="G4359" t="inlineStr">
        <is>
          <t>Ibrance</t>
        </is>
      </c>
      <c r="H4359" t="inlineStr">
        <is>
          <t>Retail pharmacy</t>
        </is>
      </c>
      <c r="I4359" t="inlineStr">
        <is>
          <t>Private insurer</t>
        </is>
      </c>
      <c r="J4359" t="inlineStr">
        <is>
          <t>Ruhi Shaikh</t>
        </is>
      </c>
      <c r="K4359" s="70" t="n">
        <v>138</v>
      </c>
      <c r="L4359" s="71" t="n">
        <v>4647.14</v>
      </c>
      <c r="M4359" s="71" t="n">
        <v>641305.3199999999</v>
      </c>
      <c r="N4359" s="71" t="n">
        <v>96195.8</v>
      </c>
      <c r="O4359" s="71" t="n">
        <v>545109.52</v>
      </c>
      <c r="P4359" s="71" t="n">
        <v>61720.17</v>
      </c>
      <c r="Q4359" s="71" t="n">
        <v>483389.35</v>
      </c>
      <c r="R4359" t="inlineStr">
        <is>
          <t>Oncology</t>
        </is>
      </c>
      <c r="S4359" s="70" t="n">
        <v>95</v>
      </c>
      <c r="T4359" s="71" t="n">
        <v>134961.15</v>
      </c>
      <c r="U4359" t="inlineStr">
        <is>
          <t>High</t>
        </is>
      </c>
      <c r="V4359">
        <f>IF(AND(OR(Dashboard!$C$6="All",E4359=Dashboard!$C$6),OR(Dashboard!$F$6="All",G4359=Dashboard!$F$6),OR(Dashboard!$I$6="All",H4359=Dashboard!$I$6)),1,0)</f>
        <v/>
      </c>
    </row>
    <row r="4360">
      <c r="A4360" t="inlineStr">
        <is>
          <t>PF104351</t>
        </is>
      </c>
      <c r="B4360" s="68" t="n">
        <v>46182</v>
      </c>
      <c r="C4360" s="69" t="n">
        <v>2026</v>
      </c>
      <c r="D4360" t="inlineStr">
        <is>
          <t>Jun</t>
        </is>
      </c>
      <c r="E4360" t="inlineStr">
        <is>
          <t>International developed</t>
        </is>
      </c>
      <c r="F4360" t="inlineStr">
        <is>
          <t>Canada</t>
        </is>
      </c>
      <c r="G4360" t="inlineStr">
        <is>
          <t>Eliquis</t>
        </is>
      </c>
      <c r="H4360" t="inlineStr">
        <is>
          <t>Retail pharmacy</t>
        </is>
      </c>
      <c r="I4360" t="inlineStr">
        <is>
          <t>Private insurer</t>
        </is>
      </c>
      <c r="J4360" t="inlineStr">
        <is>
          <t>Hiroshi Tanaka</t>
        </is>
      </c>
      <c r="K4360" s="70" t="n">
        <v>1312</v>
      </c>
      <c r="L4360" s="71" t="n">
        <v>437.31</v>
      </c>
      <c r="M4360" s="71" t="n">
        <v>573750.72</v>
      </c>
      <c r="N4360" s="71" t="n">
        <v>28687.54</v>
      </c>
      <c r="O4360" s="71" t="n">
        <v>545063.1800000001</v>
      </c>
      <c r="P4360" s="71" t="n">
        <v>97697.08</v>
      </c>
      <c r="Q4360" s="71" t="n">
        <v>447366.1</v>
      </c>
      <c r="R4360" t="inlineStr">
        <is>
          <t>Cardiology</t>
        </is>
      </c>
      <c r="S4360" s="70" t="n">
        <v>1086</v>
      </c>
      <c r="T4360" s="71" t="n">
        <v>97492.67999999999</v>
      </c>
      <c r="U4360" t="inlineStr">
        <is>
          <t>High</t>
        </is>
      </c>
      <c r="V4360">
        <f>IF(AND(OR(Dashboard!$C$6="All",E4360=Dashboard!$C$6),OR(Dashboard!$F$6="All",G4360=Dashboard!$F$6),OR(Dashboard!$I$6="All",H4360=Dashboard!$I$6)),1,0)</f>
        <v/>
      </c>
    </row>
    <row r="4361">
      <c r="A4361" t="inlineStr">
        <is>
          <t>PF104352</t>
        </is>
      </c>
      <c r="B4361" s="68" t="n">
        <v>46182</v>
      </c>
      <c r="C4361" s="69" t="n">
        <v>2026</v>
      </c>
      <c r="D4361" t="inlineStr">
        <is>
          <t>Jun</t>
        </is>
      </c>
      <c r="E4361" t="inlineStr">
        <is>
          <t>International developed</t>
        </is>
      </c>
      <c r="F4361" t="inlineStr">
        <is>
          <t>Japan</t>
        </is>
      </c>
      <c r="G4361" t="inlineStr">
        <is>
          <t>Eliquis</t>
        </is>
      </c>
      <c r="H4361" t="inlineStr">
        <is>
          <t>Retail pharmacy</t>
        </is>
      </c>
      <c r="I4361" t="inlineStr">
        <is>
          <t>Public payer</t>
        </is>
      </c>
      <c r="J4361" t="inlineStr">
        <is>
          <t>Fatima Al-Saud</t>
        </is>
      </c>
      <c r="K4361" s="70" t="n">
        <v>1825</v>
      </c>
      <c r="L4361" s="71" t="n">
        <v>394.48</v>
      </c>
      <c r="M4361" s="71" t="n">
        <v>719926</v>
      </c>
      <c r="N4361" s="71" t="n">
        <v>179981.5</v>
      </c>
      <c r="O4361" s="71" t="n">
        <v>539944.5</v>
      </c>
      <c r="P4361" s="71" t="n">
        <v>137509.38</v>
      </c>
      <c r="Q4361" s="71" t="n">
        <v>402435.12</v>
      </c>
      <c r="R4361" t="inlineStr">
        <is>
          <t>Cardiology</t>
        </is>
      </c>
      <c r="S4361" s="70" t="n">
        <v>1475</v>
      </c>
      <c r="T4361" s="71" t="n">
        <v>124936.88</v>
      </c>
      <c r="U4361" t="inlineStr">
        <is>
          <t>High</t>
        </is>
      </c>
      <c r="V4361">
        <f>IF(AND(OR(Dashboard!$C$6="All",E4361=Dashboard!$C$6),OR(Dashboard!$F$6="All",G4361=Dashboard!$F$6),OR(Dashboard!$I$6="All",H4361=Dashboard!$I$6)),1,0)</f>
        <v/>
      </c>
    </row>
    <row r="4362">
      <c r="A4362" t="inlineStr">
        <is>
          <t>PF104353</t>
        </is>
      </c>
      <c r="B4362" s="68" t="n">
        <v>46182</v>
      </c>
      <c r="C4362" s="69" t="n">
        <v>2026</v>
      </c>
      <c r="D4362" t="inlineStr">
        <is>
          <t>Jun</t>
        </is>
      </c>
      <c r="E4362" t="inlineStr">
        <is>
          <t>United States</t>
        </is>
      </c>
      <c r="F4362" t="inlineStr">
        <is>
          <t>USA</t>
        </is>
      </c>
      <c r="G4362" t="inlineStr">
        <is>
          <t>Prevnar 20</t>
        </is>
      </c>
      <c r="H4362" t="inlineStr">
        <is>
          <t>Government / tender</t>
        </is>
      </c>
      <c r="I4362" t="inlineStr">
        <is>
          <t>Self-pay</t>
        </is>
      </c>
      <c r="J4362" t="inlineStr">
        <is>
          <t>Noah Smith</t>
        </is>
      </c>
      <c r="K4362" s="70" t="n">
        <v>1732</v>
      </c>
      <c r="L4362" s="71" t="n">
        <v>345.51</v>
      </c>
      <c r="M4362" s="71" t="n">
        <v>598423.3199999999</v>
      </c>
      <c r="N4362" s="71" t="n">
        <v>119684.66</v>
      </c>
      <c r="O4362" s="71" t="n">
        <v>478738.66</v>
      </c>
      <c r="P4362" s="71" t="n">
        <v>123356.59</v>
      </c>
      <c r="Q4362" s="71" t="n">
        <v>355382.07</v>
      </c>
      <c r="R4362" t="inlineStr">
        <is>
          <t>Vaccines</t>
        </is>
      </c>
      <c r="S4362" s="70" t="n">
        <v>1462</v>
      </c>
      <c r="T4362" s="71" t="n">
        <v>116494.86</v>
      </c>
      <c r="U4362" t="inlineStr">
        <is>
          <t>Low</t>
        </is>
      </c>
      <c r="V4362">
        <f>IF(AND(OR(Dashboard!$C$6="All",E4362=Dashboard!$C$6),OR(Dashboard!$F$6="All",G4362=Dashboard!$F$6),OR(Dashboard!$I$6="All",H4362=Dashboard!$I$6)),1,0)</f>
        <v/>
      </c>
    </row>
    <row r="4363">
      <c r="A4363" t="inlineStr">
        <is>
          <t>PF104354</t>
        </is>
      </c>
      <c r="B4363" s="68" t="n">
        <v>46182</v>
      </c>
      <c r="C4363" s="69" t="n">
        <v>2026</v>
      </c>
      <c r="D4363" t="inlineStr">
        <is>
          <t>Jun</t>
        </is>
      </c>
      <c r="E4363" t="inlineStr">
        <is>
          <t>Europe</t>
        </is>
      </c>
      <c r="F4363" t="inlineStr">
        <is>
          <t>France</t>
        </is>
      </c>
      <c r="G4363" t="inlineStr">
        <is>
          <t>Ibrance</t>
        </is>
      </c>
      <c r="H4363" t="inlineStr">
        <is>
          <t>Government / tender</t>
        </is>
      </c>
      <c r="I4363" t="inlineStr">
        <is>
          <t>Private insurer</t>
        </is>
      </c>
      <c r="J4363" t="inlineStr">
        <is>
          <t>Zoya Ahmed</t>
        </is>
      </c>
      <c r="K4363" s="70" t="n">
        <v>2890</v>
      </c>
      <c r="L4363" s="71" t="n">
        <v>2973.9</v>
      </c>
      <c r="M4363" s="71" t="n">
        <v>8594571</v>
      </c>
      <c r="N4363" s="71" t="n">
        <v>1718914.2</v>
      </c>
      <c r="O4363" s="71" t="n">
        <v>6875656.8</v>
      </c>
      <c r="P4363" s="71" t="n">
        <v>1232878.33</v>
      </c>
      <c r="Q4363" s="71" t="n">
        <v>5642778.47</v>
      </c>
      <c r="R4363" t="inlineStr">
        <is>
          <t>Oncology</t>
        </is>
      </c>
      <c r="S4363" s="70" t="n">
        <v>2142</v>
      </c>
      <c r="T4363" s="71" t="n">
        <v>1871734.2</v>
      </c>
      <c r="U4363" t="inlineStr">
        <is>
          <t>High</t>
        </is>
      </c>
      <c r="V4363">
        <f>IF(AND(OR(Dashboard!$C$6="All",E4363=Dashboard!$C$6),OR(Dashboard!$F$6="All",G4363=Dashboard!$F$6),OR(Dashboard!$I$6="All",H4363=Dashboard!$I$6)),1,0)</f>
        <v/>
      </c>
    </row>
    <row r="4364">
      <c r="A4364" t="inlineStr">
        <is>
          <t>PF104355</t>
        </is>
      </c>
      <c r="B4364" s="68" t="n">
        <v>46182</v>
      </c>
      <c r="C4364" s="69" t="n">
        <v>2026</v>
      </c>
      <c r="D4364" t="inlineStr">
        <is>
          <t>Jun</t>
        </is>
      </c>
      <c r="E4364" t="inlineStr">
        <is>
          <t>International developed</t>
        </is>
      </c>
      <c r="F4364" t="inlineStr">
        <is>
          <t>Australia</t>
        </is>
      </c>
      <c r="G4364" t="inlineStr">
        <is>
          <t>Comirnaty</t>
        </is>
      </c>
      <c r="H4364" t="inlineStr">
        <is>
          <t>Hospital</t>
        </is>
      </c>
      <c r="I4364" t="inlineStr">
        <is>
          <t>Private insurer</t>
        </is>
      </c>
      <c r="J4364" t="inlineStr">
        <is>
          <t>Kofi Mensah</t>
        </is>
      </c>
      <c r="K4364" s="70" t="n">
        <v>433</v>
      </c>
      <c r="L4364" s="71" t="n">
        <v>80.91</v>
      </c>
      <c r="M4364" s="71" t="n">
        <v>35034.03</v>
      </c>
      <c r="N4364" s="71" t="n">
        <v>1751.7</v>
      </c>
      <c r="O4364" s="71" t="n">
        <v>33282.33</v>
      </c>
      <c r="P4364" s="71" t="n">
        <v>16961.54</v>
      </c>
      <c r="Q4364" s="71" t="n">
        <v>16320.79</v>
      </c>
      <c r="R4364" t="inlineStr">
        <is>
          <t>Vaccines</t>
        </is>
      </c>
      <c r="S4364" s="70" t="n">
        <v>360</v>
      </c>
      <c r="T4364" s="71" t="n">
        <v>9267.360000000001</v>
      </c>
      <c r="U4364" t="inlineStr">
        <is>
          <t>Low</t>
        </is>
      </c>
      <c r="V4364">
        <f>IF(AND(OR(Dashboard!$C$6="All",E4364=Dashboard!$C$6),OR(Dashboard!$F$6="All",G4364=Dashboard!$F$6),OR(Dashboard!$I$6="All",H4364=Dashboard!$I$6)),1,0)</f>
        <v/>
      </c>
    </row>
    <row r="4365">
      <c r="A4365" t="inlineStr">
        <is>
          <t>PF104356</t>
        </is>
      </c>
      <c r="B4365" s="68" t="n">
        <v>46182</v>
      </c>
      <c r="C4365" s="69" t="n">
        <v>2026</v>
      </c>
      <c r="D4365" t="inlineStr">
        <is>
          <t>Jun</t>
        </is>
      </c>
      <c r="E4365" t="inlineStr">
        <is>
          <t>United States</t>
        </is>
      </c>
      <c r="F4365" t="inlineStr">
        <is>
          <t>USA</t>
        </is>
      </c>
      <c r="G4365" t="inlineStr">
        <is>
          <t>Eliquis</t>
        </is>
      </c>
      <c r="H4365" t="inlineStr">
        <is>
          <t>Government / tender</t>
        </is>
      </c>
      <c r="I4365" t="inlineStr">
        <is>
          <t>Private insurer</t>
        </is>
      </c>
      <c r="J4365" t="inlineStr">
        <is>
          <t>Shraddha Kulkarni</t>
        </is>
      </c>
      <c r="K4365" s="70" t="n">
        <v>1100</v>
      </c>
      <c r="L4365" s="71" t="n">
        <v>702.05</v>
      </c>
      <c r="M4365" s="71" t="n">
        <v>772255</v>
      </c>
      <c r="N4365" s="71" t="n">
        <v>270289.25</v>
      </c>
      <c r="O4365" s="71" t="n">
        <v>501965.75</v>
      </c>
      <c r="P4365" s="71" t="n">
        <v>84718.07000000001</v>
      </c>
      <c r="Q4365" s="71" t="n">
        <v>417247.68</v>
      </c>
      <c r="R4365" t="inlineStr">
        <is>
          <t>Cardiology</t>
        </is>
      </c>
      <c r="S4365" s="70" t="n">
        <v>981</v>
      </c>
      <c r="T4365" s="71" t="n">
        <v>120305.88</v>
      </c>
      <c r="U4365" t="inlineStr">
        <is>
          <t>High</t>
        </is>
      </c>
      <c r="V4365">
        <f>IF(AND(OR(Dashboard!$C$6="All",E4365=Dashboard!$C$6),OR(Dashboard!$F$6="All",G4365=Dashboard!$F$6),OR(Dashboard!$I$6="All",H4365=Dashboard!$I$6)),1,0)</f>
        <v/>
      </c>
    </row>
    <row r="4366">
      <c r="A4366" t="inlineStr">
        <is>
          <t>PF104357</t>
        </is>
      </c>
      <c r="B4366" s="68" t="n">
        <v>46182</v>
      </c>
      <c r="C4366" s="69" t="n">
        <v>2026</v>
      </c>
      <c r="D4366" t="inlineStr">
        <is>
          <t>Jun</t>
        </is>
      </c>
      <c r="E4366" t="inlineStr">
        <is>
          <t>United States</t>
        </is>
      </c>
      <c r="F4366" t="inlineStr">
        <is>
          <t>USA</t>
        </is>
      </c>
      <c r="G4366" t="inlineStr">
        <is>
          <t>Paxlovid</t>
        </is>
      </c>
      <c r="H4366" t="inlineStr">
        <is>
          <t>Retail pharmacy</t>
        </is>
      </c>
      <c r="I4366" t="inlineStr">
        <is>
          <t>Public payer</t>
        </is>
      </c>
      <c r="J4366" t="inlineStr">
        <is>
          <t>Fatima Al-Saud</t>
        </is>
      </c>
      <c r="K4366" s="70" t="n">
        <v>1524</v>
      </c>
      <c r="L4366" s="71" t="n">
        <v>1529.95</v>
      </c>
      <c r="M4366" s="71" t="n">
        <v>2331643.8</v>
      </c>
      <c r="N4366" s="71" t="n">
        <v>582910.95</v>
      </c>
      <c r="O4366" s="71" t="n">
        <v>1748732.85</v>
      </c>
      <c r="P4366" s="71" t="n">
        <v>404606.15</v>
      </c>
      <c r="Q4366" s="71" t="n">
        <v>1344126.7</v>
      </c>
      <c r="R4366" t="inlineStr">
        <is>
          <t>Antiviral</t>
        </is>
      </c>
      <c r="S4366" s="70" t="n">
        <v>1153</v>
      </c>
      <c r="T4366" s="71" t="n">
        <v>512915.91</v>
      </c>
      <c r="U4366" t="inlineStr">
        <is>
          <t>Low</t>
        </is>
      </c>
      <c r="V4366">
        <f>IF(AND(OR(Dashboard!$C$6="All",E4366=Dashboard!$C$6),OR(Dashboard!$F$6="All",G4366=Dashboard!$F$6),OR(Dashboard!$I$6="All",H4366=Dashboard!$I$6)),1,0)</f>
        <v/>
      </c>
    </row>
    <row r="4367">
      <c r="A4367" t="inlineStr">
        <is>
          <t>PF104358</t>
        </is>
      </c>
      <c r="B4367" s="68" t="n">
        <v>46182</v>
      </c>
      <c r="C4367" s="69" t="n">
        <v>2026</v>
      </c>
      <c r="D4367" t="inlineStr">
        <is>
          <t>Jun</t>
        </is>
      </c>
      <c r="E4367" t="inlineStr">
        <is>
          <t>United States</t>
        </is>
      </c>
      <c r="F4367" t="inlineStr">
        <is>
          <t>USA</t>
        </is>
      </c>
      <c r="G4367" t="inlineStr">
        <is>
          <t>Prevnar 20</t>
        </is>
      </c>
      <c r="H4367" t="inlineStr">
        <is>
          <t>Hospital</t>
        </is>
      </c>
      <c r="I4367" t="inlineStr">
        <is>
          <t>Public payer</t>
        </is>
      </c>
      <c r="J4367" t="inlineStr">
        <is>
          <t>Carlos Silva</t>
        </is>
      </c>
      <c r="K4367" s="70" t="n">
        <v>1490</v>
      </c>
      <c r="L4367" s="71" t="n">
        <v>387.74</v>
      </c>
      <c r="M4367" s="71" t="n">
        <v>577732.6</v>
      </c>
      <c r="N4367" s="71" t="n">
        <v>115546.52</v>
      </c>
      <c r="O4367" s="71" t="n">
        <v>462186.08</v>
      </c>
      <c r="P4367" s="71" t="n">
        <v>100891.13</v>
      </c>
      <c r="Q4367" s="71" t="n">
        <v>361294.95</v>
      </c>
      <c r="R4367" t="inlineStr">
        <is>
          <t>Vaccines</t>
        </is>
      </c>
      <c r="S4367" s="70" t="n">
        <v>1045</v>
      </c>
      <c r="T4367" s="71" t="n">
        <v>108113.61</v>
      </c>
      <c r="U4367" t="inlineStr">
        <is>
          <t>Low</t>
        </is>
      </c>
      <c r="V4367">
        <f>IF(AND(OR(Dashboard!$C$6="All",E4367=Dashboard!$C$6),OR(Dashboard!$F$6="All",G4367=Dashboard!$F$6),OR(Dashboard!$I$6="All",H4367=Dashboard!$I$6)),1,0)</f>
        <v/>
      </c>
    </row>
    <row r="4368">
      <c r="A4368" t="inlineStr">
        <is>
          <t>PF104359</t>
        </is>
      </c>
      <c r="B4368" s="68" t="n">
        <v>46183</v>
      </c>
      <c r="C4368" s="69" t="n">
        <v>2026</v>
      </c>
      <c r="D4368" t="inlineStr">
        <is>
          <t>Jun</t>
        </is>
      </c>
      <c r="E4368" t="inlineStr">
        <is>
          <t>United States</t>
        </is>
      </c>
      <c r="F4368" t="inlineStr">
        <is>
          <t>USA</t>
        </is>
      </c>
      <c r="G4368" t="inlineStr">
        <is>
          <t>Paxlovid</t>
        </is>
      </c>
      <c r="H4368" t="inlineStr">
        <is>
          <t>Hospital</t>
        </is>
      </c>
      <c r="I4368" t="inlineStr">
        <is>
          <t>Public payer</t>
        </is>
      </c>
      <c r="J4368" t="inlineStr">
        <is>
          <t>Sara Rossi</t>
        </is>
      </c>
      <c r="K4368" s="70" t="n">
        <v>197</v>
      </c>
      <c r="L4368" s="71" t="n">
        <v>1402.91</v>
      </c>
      <c r="M4368" s="71" t="n">
        <v>276373.27</v>
      </c>
      <c r="N4368" s="71" t="n">
        <v>55274.65</v>
      </c>
      <c r="O4368" s="71" t="n">
        <v>221098.62</v>
      </c>
      <c r="P4368" s="71" t="n">
        <v>54947.87</v>
      </c>
      <c r="Q4368" s="71" t="n">
        <v>166150.75</v>
      </c>
      <c r="R4368" t="inlineStr">
        <is>
          <t>Antiviral</t>
        </is>
      </c>
      <c r="S4368" s="70" t="n">
        <v>165</v>
      </c>
      <c r="T4368" s="71" t="n">
        <v>54020.89</v>
      </c>
      <c r="U4368" t="inlineStr">
        <is>
          <t>Low</t>
        </is>
      </c>
      <c r="V4368">
        <f>IF(AND(OR(Dashboard!$C$6="All",E4368=Dashboard!$C$6),OR(Dashboard!$F$6="All",G4368=Dashboard!$F$6),OR(Dashboard!$I$6="All",H4368=Dashboard!$I$6)),1,0)</f>
        <v/>
      </c>
    </row>
    <row r="4369">
      <c r="A4369" t="inlineStr">
        <is>
          <t>PF104360</t>
        </is>
      </c>
      <c r="B4369" s="68" t="n">
        <v>46183</v>
      </c>
      <c r="C4369" s="69" t="n">
        <v>2026</v>
      </c>
      <c r="D4369" t="inlineStr">
        <is>
          <t>Jun</t>
        </is>
      </c>
      <c r="E4369" t="inlineStr">
        <is>
          <t>United States</t>
        </is>
      </c>
      <c r="F4369" t="inlineStr">
        <is>
          <t>USA</t>
        </is>
      </c>
      <c r="G4369" t="inlineStr">
        <is>
          <t>Comirnaty</t>
        </is>
      </c>
      <c r="H4369" t="inlineStr">
        <is>
          <t>Retail pharmacy</t>
        </is>
      </c>
      <c r="I4369" t="inlineStr">
        <is>
          <t>Public payer</t>
        </is>
      </c>
      <c r="J4369" t="inlineStr">
        <is>
          <t>Mei Lin</t>
        </is>
      </c>
      <c r="K4369" s="70" t="n">
        <v>1805</v>
      </c>
      <c r="L4369" s="71" t="n">
        <v>153.91</v>
      </c>
      <c r="M4369" s="71" t="n">
        <v>277807.55</v>
      </c>
      <c r="N4369" s="71" t="n">
        <v>69451.89</v>
      </c>
      <c r="O4369" s="71" t="n">
        <v>208355.66</v>
      </c>
      <c r="P4369" s="71" t="n">
        <v>68722.92999999999</v>
      </c>
      <c r="Q4369" s="71" t="n">
        <v>139632.73</v>
      </c>
      <c r="R4369" t="inlineStr">
        <is>
          <t>Vaccines</t>
        </is>
      </c>
      <c r="S4369" s="70" t="n">
        <v>1530</v>
      </c>
      <c r="T4369" s="71" t="n">
        <v>60910.85</v>
      </c>
      <c r="U4369" t="inlineStr">
        <is>
          <t>Low</t>
        </is>
      </c>
      <c r="V4369">
        <f>IF(AND(OR(Dashboard!$C$6="All",E4369=Dashboard!$C$6),OR(Dashboard!$F$6="All",G4369=Dashboard!$F$6),OR(Dashboard!$I$6="All",H4369=Dashboard!$I$6)),1,0)</f>
        <v/>
      </c>
    </row>
    <row r="4370">
      <c r="A4370" t="inlineStr">
        <is>
          <t>PF104361</t>
        </is>
      </c>
      <c r="B4370" s="68" t="n">
        <v>46183</v>
      </c>
      <c r="C4370" s="69" t="n">
        <v>2026</v>
      </c>
      <c r="D4370" t="inlineStr">
        <is>
          <t>Jun</t>
        </is>
      </c>
      <c r="E4370" t="inlineStr">
        <is>
          <t>Europe</t>
        </is>
      </c>
      <c r="F4370" t="inlineStr">
        <is>
          <t>Germany</t>
        </is>
      </c>
      <c r="G4370" t="inlineStr">
        <is>
          <t>Comirnaty</t>
        </is>
      </c>
      <c r="H4370" t="inlineStr">
        <is>
          <t>Retail pharmacy</t>
        </is>
      </c>
      <c r="I4370" t="inlineStr">
        <is>
          <t>Self-pay</t>
        </is>
      </c>
      <c r="J4370" t="inlineStr">
        <is>
          <t>Yuki Sato</t>
        </is>
      </c>
      <c r="K4370" s="70" t="n">
        <v>1420</v>
      </c>
      <c r="L4370" s="71" t="n">
        <v>88.18000000000001</v>
      </c>
      <c r="M4370" s="71" t="n">
        <v>125215.6</v>
      </c>
      <c r="N4370" s="71" t="n">
        <v>25043.12</v>
      </c>
      <c r="O4370" s="71" t="n">
        <v>100172.48</v>
      </c>
      <c r="P4370" s="71" t="n">
        <v>54777.77</v>
      </c>
      <c r="Q4370" s="71" t="n">
        <v>45394.71</v>
      </c>
      <c r="R4370" t="inlineStr">
        <is>
          <t>Vaccines</t>
        </is>
      </c>
      <c r="S4370" s="70" t="n">
        <v>1272</v>
      </c>
      <c r="T4370" s="71" t="n">
        <v>19932.5</v>
      </c>
      <c r="U4370" t="inlineStr">
        <is>
          <t>Low</t>
        </is>
      </c>
      <c r="V4370">
        <f>IF(AND(OR(Dashboard!$C$6="All",E4370=Dashboard!$C$6),OR(Dashboard!$F$6="All",G4370=Dashboard!$F$6),OR(Dashboard!$I$6="All",H4370=Dashboard!$I$6)),1,0)</f>
        <v/>
      </c>
    </row>
    <row r="4371">
      <c r="A4371" t="inlineStr">
        <is>
          <t>PF104362</t>
        </is>
      </c>
      <c r="B4371" s="68" t="n">
        <v>46183</v>
      </c>
      <c r="C4371" s="69" t="n">
        <v>2026</v>
      </c>
      <c r="D4371" t="inlineStr">
        <is>
          <t>Jun</t>
        </is>
      </c>
      <c r="E4371" t="inlineStr">
        <is>
          <t>United States</t>
        </is>
      </c>
      <c r="F4371" t="inlineStr">
        <is>
          <t>USA</t>
        </is>
      </c>
      <c r="G4371" t="inlineStr">
        <is>
          <t>Xeljanz</t>
        </is>
      </c>
      <c r="H4371" t="inlineStr">
        <is>
          <t>Retail pharmacy</t>
        </is>
      </c>
      <c r="I4371" t="inlineStr">
        <is>
          <t>Public payer</t>
        </is>
      </c>
      <c r="J4371" t="inlineStr">
        <is>
          <t>Omar Haddad</t>
        </is>
      </c>
      <c r="K4371" s="70" t="n">
        <v>1081</v>
      </c>
      <c r="L4371" s="71" t="n">
        <v>2171.4</v>
      </c>
      <c r="M4371" s="71" t="n">
        <v>2347283.4</v>
      </c>
      <c r="N4371" s="71" t="n">
        <v>469456.68</v>
      </c>
      <c r="O4371" s="71" t="n">
        <v>1877826.72</v>
      </c>
      <c r="P4371" s="71" t="n">
        <v>279662.24</v>
      </c>
      <c r="Q4371" s="71" t="n">
        <v>1598164.48</v>
      </c>
      <c r="R4371" t="inlineStr">
        <is>
          <t>Inflammation</t>
        </is>
      </c>
      <c r="S4371" s="70" t="n">
        <v>772</v>
      </c>
      <c r="T4371" s="71" t="n">
        <v>379210.26</v>
      </c>
      <c r="U4371" t="inlineStr">
        <is>
          <t>High</t>
        </is>
      </c>
      <c r="V4371">
        <f>IF(AND(OR(Dashboard!$C$6="All",E4371=Dashboard!$C$6),OR(Dashboard!$F$6="All",G4371=Dashboard!$F$6),OR(Dashboard!$I$6="All",H4371=Dashboard!$I$6)),1,0)</f>
        <v/>
      </c>
    </row>
    <row r="4372">
      <c r="A4372" t="inlineStr">
        <is>
          <t>PF104363</t>
        </is>
      </c>
      <c r="B4372" s="68" t="n">
        <v>46183</v>
      </c>
      <c r="C4372" s="69" t="n">
        <v>2026</v>
      </c>
      <c r="D4372" t="inlineStr">
        <is>
          <t>Jun</t>
        </is>
      </c>
      <c r="E4372" t="inlineStr">
        <is>
          <t>Europe</t>
        </is>
      </c>
      <c r="F4372" t="inlineStr">
        <is>
          <t>Germany</t>
        </is>
      </c>
      <c r="G4372" t="inlineStr">
        <is>
          <t>Prevnar 20</t>
        </is>
      </c>
      <c r="H4372" t="inlineStr">
        <is>
          <t>Retail pharmacy</t>
        </is>
      </c>
      <c r="I4372" t="inlineStr">
        <is>
          <t>Public payer</t>
        </is>
      </c>
      <c r="J4372" t="inlineStr">
        <is>
          <t>Shraddha Kulkarni</t>
        </is>
      </c>
      <c r="K4372" s="70" t="n">
        <v>782</v>
      </c>
      <c r="L4372" s="71" t="n">
        <v>232.76</v>
      </c>
      <c r="M4372" s="71" t="n">
        <v>182018.32</v>
      </c>
      <c r="N4372" s="71" t="n">
        <v>18201.83</v>
      </c>
      <c r="O4372" s="71" t="n">
        <v>163816.49</v>
      </c>
      <c r="P4372" s="71" t="n">
        <v>54551.75</v>
      </c>
      <c r="Q4372" s="71" t="n">
        <v>109264.74</v>
      </c>
      <c r="R4372" t="inlineStr">
        <is>
          <t>Vaccines</t>
        </is>
      </c>
      <c r="S4372" s="70" t="n">
        <v>675</v>
      </c>
      <c r="T4372" s="71" t="n">
        <v>37750.48</v>
      </c>
      <c r="U4372" t="inlineStr">
        <is>
          <t>Low</t>
        </is>
      </c>
      <c r="V4372">
        <f>IF(AND(OR(Dashboard!$C$6="All",E4372=Dashboard!$C$6),OR(Dashboard!$F$6="All",G4372=Dashboard!$F$6),OR(Dashboard!$I$6="All",H4372=Dashboard!$I$6)),1,0)</f>
        <v/>
      </c>
    </row>
    <row r="4373">
      <c r="A4373" t="inlineStr">
        <is>
          <t>PF104364</t>
        </is>
      </c>
      <c r="B4373" s="68" t="n">
        <v>46183</v>
      </c>
      <c r="C4373" s="69" t="n">
        <v>2026</v>
      </c>
      <c r="D4373" t="inlineStr">
        <is>
          <t>Jun</t>
        </is>
      </c>
      <c r="E4373" t="inlineStr">
        <is>
          <t>Emerging markets</t>
        </is>
      </c>
      <c r="F4373" t="inlineStr">
        <is>
          <t>China</t>
        </is>
      </c>
      <c r="G4373" t="inlineStr">
        <is>
          <t>Vyndaqel</t>
        </is>
      </c>
      <c r="H4373" t="inlineStr">
        <is>
          <t>Retail pharmacy</t>
        </is>
      </c>
      <c r="I4373" t="inlineStr">
        <is>
          <t>Private insurer</t>
        </is>
      </c>
      <c r="J4373" t="inlineStr">
        <is>
          <t>Wei Chen</t>
        </is>
      </c>
      <c r="K4373" s="70" t="n">
        <v>3255</v>
      </c>
      <c r="L4373" s="71" t="n">
        <v>5305.22</v>
      </c>
      <c r="M4373" s="71" t="n">
        <v>17268491.1</v>
      </c>
      <c r="N4373" s="71" t="n">
        <v>3453698.22</v>
      </c>
      <c r="O4373" s="71" t="n">
        <v>13814792.88</v>
      </c>
      <c r="P4373" s="71" t="n">
        <v>2083725.86</v>
      </c>
      <c r="Q4373" s="71" t="n">
        <v>11731067.02</v>
      </c>
      <c r="R4373" t="inlineStr">
        <is>
          <t>Rare disease</t>
        </is>
      </c>
      <c r="S4373" s="70" t="n">
        <v>2592</v>
      </c>
      <c r="T4373" s="71" t="n">
        <v>3329984.51</v>
      </c>
      <c r="U4373" t="inlineStr">
        <is>
          <t>Medium</t>
        </is>
      </c>
      <c r="V4373">
        <f>IF(AND(OR(Dashboard!$C$6="All",E4373=Dashboard!$C$6),OR(Dashboard!$F$6="All",G4373=Dashboard!$F$6),OR(Dashboard!$I$6="All",H4373=Dashboard!$I$6)),1,0)</f>
        <v/>
      </c>
    </row>
    <row r="4374">
      <c r="A4374" t="inlineStr">
        <is>
          <t>PF104365</t>
        </is>
      </c>
      <c r="B4374" s="68" t="n">
        <v>46183</v>
      </c>
      <c r="C4374" s="69" t="n">
        <v>2026</v>
      </c>
      <c r="D4374" t="inlineStr">
        <is>
          <t>Jun</t>
        </is>
      </c>
      <c r="E4374" t="inlineStr">
        <is>
          <t>Europe</t>
        </is>
      </c>
      <c r="F4374" t="inlineStr">
        <is>
          <t>France</t>
        </is>
      </c>
      <c r="G4374" t="inlineStr">
        <is>
          <t>Comirnaty</t>
        </is>
      </c>
      <c r="H4374" t="inlineStr">
        <is>
          <t>Hospital</t>
        </is>
      </c>
      <c r="I4374" t="inlineStr">
        <is>
          <t>Private insurer</t>
        </is>
      </c>
      <c r="J4374" t="inlineStr">
        <is>
          <t>Amir Khan</t>
        </is>
      </c>
      <c r="K4374" s="70" t="n">
        <v>1875</v>
      </c>
      <c r="L4374" s="71" t="n">
        <v>94.40000000000001</v>
      </c>
      <c r="M4374" s="71" t="n">
        <v>177000</v>
      </c>
      <c r="N4374" s="71" t="n">
        <v>26550</v>
      </c>
      <c r="O4374" s="71" t="n">
        <v>150450</v>
      </c>
      <c r="P4374" s="71" t="n">
        <v>73848.32000000001</v>
      </c>
      <c r="Q4374" s="71" t="n">
        <v>76601.67999999999</v>
      </c>
      <c r="R4374" t="inlineStr">
        <is>
          <t>Vaccines</t>
        </is>
      </c>
      <c r="S4374" s="70" t="n">
        <v>1418</v>
      </c>
      <c r="T4374" s="71" t="n">
        <v>29592.18</v>
      </c>
      <c r="U4374" t="inlineStr">
        <is>
          <t>Low</t>
        </is>
      </c>
      <c r="V4374">
        <f>IF(AND(OR(Dashboard!$C$6="All",E4374=Dashboard!$C$6),OR(Dashboard!$F$6="All",G4374=Dashboard!$F$6),OR(Dashboard!$I$6="All",H4374=Dashboard!$I$6)),1,0)</f>
        <v/>
      </c>
    </row>
    <row r="4375">
      <c r="A4375" t="inlineStr">
        <is>
          <t>PF104366</t>
        </is>
      </c>
      <c r="B4375" s="68" t="n">
        <v>46184</v>
      </c>
      <c r="C4375" s="69" t="n">
        <v>2026</v>
      </c>
      <c r="D4375" t="inlineStr">
        <is>
          <t>Jun</t>
        </is>
      </c>
      <c r="E4375" t="inlineStr">
        <is>
          <t>United States</t>
        </is>
      </c>
      <c r="F4375" t="inlineStr">
        <is>
          <t>USA</t>
        </is>
      </c>
      <c r="G4375" t="inlineStr">
        <is>
          <t>Vyndaqel</t>
        </is>
      </c>
      <c r="H4375" t="inlineStr">
        <is>
          <t>Hospital</t>
        </is>
      </c>
      <c r="I4375" t="inlineStr">
        <is>
          <t>Private insurer</t>
        </is>
      </c>
      <c r="J4375" t="inlineStr">
        <is>
          <t>Wei Chen</t>
        </is>
      </c>
      <c r="K4375" s="70" t="n">
        <v>880</v>
      </c>
      <c r="L4375" s="71" t="n">
        <v>9347.91</v>
      </c>
      <c r="M4375" s="71" t="n">
        <v>8226160.8</v>
      </c>
      <c r="N4375" s="71" t="n">
        <v>2056540.2</v>
      </c>
      <c r="O4375" s="71" t="n">
        <v>6169620.6</v>
      </c>
      <c r="P4375" s="71" t="n">
        <v>534335.01</v>
      </c>
      <c r="Q4375" s="71" t="n">
        <v>5635285.59</v>
      </c>
      <c r="R4375" t="inlineStr">
        <is>
          <t>Rare disease</t>
        </is>
      </c>
      <c r="S4375" s="70" t="n">
        <v>598</v>
      </c>
      <c r="T4375" s="71" t="n">
        <v>1164247.09</v>
      </c>
      <c r="U4375" t="inlineStr">
        <is>
          <t>Medium</t>
        </is>
      </c>
      <c r="V4375">
        <f>IF(AND(OR(Dashboard!$C$6="All",E4375=Dashboard!$C$6),OR(Dashboard!$F$6="All",G4375=Dashboard!$F$6),OR(Dashboard!$I$6="All",H4375=Dashboard!$I$6)),1,0)</f>
        <v/>
      </c>
    </row>
    <row r="4376">
      <c r="A4376" t="inlineStr">
        <is>
          <t>PF104367</t>
        </is>
      </c>
      <c r="B4376" s="68" t="n">
        <v>46184</v>
      </c>
      <c r="C4376" s="69" t="n">
        <v>2026</v>
      </c>
      <c r="D4376" t="inlineStr">
        <is>
          <t>Jun</t>
        </is>
      </c>
      <c r="E4376" t="inlineStr">
        <is>
          <t>Europe</t>
        </is>
      </c>
      <c r="F4376" t="inlineStr">
        <is>
          <t>Italy</t>
        </is>
      </c>
      <c r="G4376" t="inlineStr">
        <is>
          <t>Abrysvo</t>
        </is>
      </c>
      <c r="H4376" t="inlineStr">
        <is>
          <t>Retail pharmacy</t>
        </is>
      </c>
      <c r="I4376" t="inlineStr">
        <is>
          <t>Private insurer</t>
        </is>
      </c>
      <c r="J4376" t="inlineStr">
        <is>
          <t>Hiroshi Tanaka</t>
        </is>
      </c>
      <c r="K4376" s="70" t="n">
        <v>328</v>
      </c>
      <c r="L4376" s="71" t="n">
        <v>317.47</v>
      </c>
      <c r="M4376" s="71" t="n">
        <v>104130.16</v>
      </c>
      <c r="N4376" s="71" t="n">
        <v>20826.03</v>
      </c>
      <c r="O4376" s="71" t="n">
        <v>83304.13</v>
      </c>
      <c r="P4376" s="71" t="n">
        <v>26991.93</v>
      </c>
      <c r="Q4376" s="71" t="n">
        <v>56312.2</v>
      </c>
      <c r="R4376" t="inlineStr">
        <is>
          <t>Vaccines</t>
        </is>
      </c>
      <c r="S4376" s="70" t="n">
        <v>260</v>
      </c>
      <c r="T4376" s="71" t="n">
        <v>17627.53</v>
      </c>
      <c r="U4376" t="inlineStr">
        <is>
          <t>Low</t>
        </is>
      </c>
      <c r="V4376">
        <f>IF(AND(OR(Dashboard!$C$6="All",E4376=Dashboard!$C$6),OR(Dashboard!$F$6="All",G4376=Dashboard!$F$6),OR(Dashboard!$I$6="All",H4376=Dashboard!$I$6)),1,0)</f>
        <v/>
      </c>
    </row>
    <row r="4377">
      <c r="A4377" t="inlineStr">
        <is>
          <t>PF104368</t>
        </is>
      </c>
      <c r="B4377" s="68" t="n">
        <v>46184</v>
      </c>
      <c r="C4377" s="69" t="n">
        <v>2026</v>
      </c>
      <c r="D4377" t="inlineStr">
        <is>
          <t>Jun</t>
        </is>
      </c>
      <c r="E4377" t="inlineStr">
        <is>
          <t>United States</t>
        </is>
      </c>
      <c r="F4377" t="inlineStr">
        <is>
          <t>USA</t>
        </is>
      </c>
      <c r="G4377" t="inlineStr">
        <is>
          <t>Comirnaty</t>
        </is>
      </c>
      <c r="H4377" t="inlineStr">
        <is>
          <t>Government / tender</t>
        </is>
      </c>
      <c r="I4377" t="inlineStr">
        <is>
          <t>Private insurer</t>
        </is>
      </c>
      <c r="J4377" t="inlineStr">
        <is>
          <t>Mei Lin</t>
        </is>
      </c>
      <c r="K4377" s="70" t="n">
        <v>2256</v>
      </c>
      <c r="L4377" s="71" t="n">
        <v>155.96</v>
      </c>
      <c r="M4377" s="71" t="n">
        <v>351845.76</v>
      </c>
      <c r="N4377" s="71" t="n">
        <v>123146.02</v>
      </c>
      <c r="O4377" s="71" t="n">
        <v>228699.74</v>
      </c>
      <c r="P4377" s="71" t="n">
        <v>85160.89</v>
      </c>
      <c r="Q4377" s="71" t="n">
        <v>143538.85</v>
      </c>
      <c r="R4377" t="inlineStr">
        <is>
          <t>Vaccines</t>
        </is>
      </c>
      <c r="S4377" s="70" t="n">
        <v>1540</v>
      </c>
      <c r="T4377" s="71" t="n">
        <v>78583.48</v>
      </c>
      <c r="U4377" t="inlineStr">
        <is>
          <t>Low</t>
        </is>
      </c>
      <c r="V4377">
        <f>IF(AND(OR(Dashboard!$C$6="All",E4377=Dashboard!$C$6),OR(Dashboard!$F$6="All",G4377=Dashboard!$F$6),OR(Dashboard!$I$6="All",H4377=Dashboard!$I$6)),1,0)</f>
        <v/>
      </c>
    </row>
    <row r="4378">
      <c r="A4378" t="inlineStr">
        <is>
          <t>PF104369</t>
        </is>
      </c>
      <c r="B4378" s="68" t="n">
        <v>46184</v>
      </c>
      <c r="C4378" s="69" t="n">
        <v>2026</v>
      </c>
      <c r="D4378" t="inlineStr">
        <is>
          <t>Jun</t>
        </is>
      </c>
      <c r="E4378" t="inlineStr">
        <is>
          <t>United States</t>
        </is>
      </c>
      <c r="F4378" t="inlineStr">
        <is>
          <t>USA</t>
        </is>
      </c>
      <c r="G4378" t="inlineStr">
        <is>
          <t>Abrysvo</t>
        </is>
      </c>
      <c r="H4378" t="inlineStr">
        <is>
          <t>Hospital</t>
        </is>
      </c>
      <c r="I4378" t="inlineStr">
        <is>
          <t>Public payer</t>
        </is>
      </c>
      <c r="J4378" t="inlineStr">
        <is>
          <t>Wei Chen</t>
        </is>
      </c>
      <c r="K4378" s="70" t="n">
        <v>2398</v>
      </c>
      <c r="L4378" s="71" t="n">
        <v>471.52</v>
      </c>
      <c r="M4378" s="71" t="n">
        <v>1130704.96</v>
      </c>
      <c r="N4378" s="71" t="n">
        <v>169605.74</v>
      </c>
      <c r="O4378" s="71" t="n">
        <v>961099.22</v>
      </c>
      <c r="P4378" s="71" t="n">
        <v>201760.94</v>
      </c>
      <c r="Q4378" s="71" t="n">
        <v>759338.28</v>
      </c>
      <c r="R4378" t="inlineStr">
        <is>
          <t>Vaccines</t>
        </is>
      </c>
      <c r="S4378" s="70" t="n">
        <v>2358</v>
      </c>
      <c r="T4378" s="71" t="n">
        <v>156031.88</v>
      </c>
      <c r="U4378" t="inlineStr">
        <is>
          <t>Low</t>
        </is>
      </c>
      <c r="V4378">
        <f>IF(AND(OR(Dashboard!$C$6="All",E4378=Dashboard!$C$6),OR(Dashboard!$F$6="All",G4378=Dashboard!$F$6),OR(Dashboard!$I$6="All",H4378=Dashboard!$I$6)),1,0)</f>
        <v/>
      </c>
    </row>
    <row r="4379">
      <c r="A4379" t="inlineStr">
        <is>
          <t>PF104370</t>
        </is>
      </c>
      <c r="B4379" s="68" t="n">
        <v>46184</v>
      </c>
      <c r="C4379" s="69" t="n">
        <v>2026</v>
      </c>
      <c r="D4379" t="inlineStr">
        <is>
          <t>Jun</t>
        </is>
      </c>
      <c r="E4379" t="inlineStr">
        <is>
          <t>Emerging markets</t>
        </is>
      </c>
      <c r="F4379" t="inlineStr">
        <is>
          <t>India</t>
        </is>
      </c>
      <c r="G4379" t="inlineStr">
        <is>
          <t>Xeljanz</t>
        </is>
      </c>
      <c r="H4379" t="inlineStr">
        <is>
          <t>Retail pharmacy</t>
        </is>
      </c>
      <c r="I4379" t="inlineStr">
        <is>
          <t>Public payer</t>
        </is>
      </c>
      <c r="J4379" t="inlineStr">
        <is>
          <t>Hiroshi Tanaka</t>
        </is>
      </c>
      <c r="K4379" s="70" t="n">
        <v>1844</v>
      </c>
      <c r="L4379" s="71" t="n">
        <v>1324.5</v>
      </c>
      <c r="M4379" s="71" t="n">
        <v>2442378</v>
      </c>
      <c r="N4379" s="71" t="n">
        <v>610594.5</v>
      </c>
      <c r="O4379" s="71" t="n">
        <v>1831783.5</v>
      </c>
      <c r="P4379" s="71" t="n">
        <v>469363.85</v>
      </c>
      <c r="Q4379" s="71" t="n">
        <v>1362419.65</v>
      </c>
      <c r="R4379" t="inlineStr">
        <is>
          <t>Inflammation</t>
        </is>
      </c>
      <c r="S4379" s="70" t="n">
        <v>1187</v>
      </c>
      <c r="T4379" s="71" t="n">
        <v>487800.44</v>
      </c>
      <c r="U4379" t="inlineStr">
        <is>
          <t>High</t>
        </is>
      </c>
      <c r="V4379">
        <f>IF(AND(OR(Dashboard!$C$6="All",E4379=Dashboard!$C$6),OR(Dashboard!$F$6="All",G4379=Dashboard!$F$6),OR(Dashboard!$I$6="All",H4379=Dashboard!$I$6)),1,0)</f>
        <v/>
      </c>
    </row>
    <row r="4380">
      <c r="A4380" t="inlineStr">
        <is>
          <t>PF104371</t>
        </is>
      </c>
      <c r="B4380" s="68" t="n">
        <v>46184</v>
      </c>
      <c r="C4380" s="69" t="n">
        <v>2026</v>
      </c>
      <c r="D4380" t="inlineStr">
        <is>
          <t>Jun</t>
        </is>
      </c>
      <c r="E4380" t="inlineStr">
        <is>
          <t>International developed</t>
        </is>
      </c>
      <c r="F4380" t="inlineStr">
        <is>
          <t>Canada</t>
        </is>
      </c>
      <c r="G4380" t="inlineStr">
        <is>
          <t>Vyndaqel</t>
        </is>
      </c>
      <c r="H4380" t="inlineStr">
        <is>
          <t>Hospital</t>
        </is>
      </c>
      <c r="I4380" t="inlineStr">
        <is>
          <t>Self-pay</t>
        </is>
      </c>
      <c r="J4380" t="inlineStr">
        <is>
          <t>Shraddha Kulkarni</t>
        </is>
      </c>
      <c r="K4380" s="70" t="n">
        <v>387</v>
      </c>
      <c r="L4380" s="71" t="n">
        <v>5723.88</v>
      </c>
      <c r="M4380" s="71" t="n">
        <v>2215141.56</v>
      </c>
      <c r="N4380" s="71" t="n">
        <v>553785.39</v>
      </c>
      <c r="O4380" s="71" t="n">
        <v>1661356.17</v>
      </c>
      <c r="P4380" s="71" t="n">
        <v>247596.06</v>
      </c>
      <c r="Q4380" s="71" t="n">
        <v>1413760.11</v>
      </c>
      <c r="R4380" t="inlineStr">
        <is>
          <t>Rare disease</t>
        </is>
      </c>
      <c r="S4380" s="70" t="n">
        <v>335</v>
      </c>
      <c r="T4380" s="71" t="n">
        <v>381255.25</v>
      </c>
      <c r="U4380" t="inlineStr">
        <is>
          <t>Medium</t>
        </is>
      </c>
      <c r="V4380">
        <f>IF(AND(OR(Dashboard!$C$6="All",E4380=Dashboard!$C$6),OR(Dashboard!$F$6="All",G4380=Dashboard!$F$6),OR(Dashboard!$I$6="All",H4380=Dashboard!$I$6)),1,0)</f>
        <v/>
      </c>
    </row>
    <row r="4381">
      <c r="A4381" t="inlineStr">
        <is>
          <t>PF104372</t>
        </is>
      </c>
      <c r="B4381" s="68" t="n">
        <v>46184</v>
      </c>
      <c r="C4381" s="69" t="n">
        <v>2026</v>
      </c>
      <c r="D4381" t="inlineStr">
        <is>
          <t>Jun</t>
        </is>
      </c>
      <c r="E4381" t="inlineStr">
        <is>
          <t>International developed</t>
        </is>
      </c>
      <c r="F4381" t="inlineStr">
        <is>
          <t>Australia</t>
        </is>
      </c>
      <c r="G4381" t="inlineStr">
        <is>
          <t>Prevnar 20</t>
        </is>
      </c>
      <c r="H4381" t="inlineStr">
        <is>
          <t>Retail pharmacy</t>
        </is>
      </c>
      <c r="I4381" t="inlineStr">
        <is>
          <t>Private insurer</t>
        </is>
      </c>
      <c r="J4381" t="inlineStr">
        <is>
          <t>Priya Nair</t>
        </is>
      </c>
      <c r="K4381" s="70" t="n">
        <v>385</v>
      </c>
      <c r="L4381" s="71" t="n">
        <v>228.95</v>
      </c>
      <c r="M4381" s="71" t="n">
        <v>88145.75</v>
      </c>
      <c r="N4381" s="71" t="n">
        <v>22036.44</v>
      </c>
      <c r="O4381" s="71" t="n">
        <v>66109.31</v>
      </c>
      <c r="P4381" s="71" t="n">
        <v>25768.21</v>
      </c>
      <c r="Q4381" s="71" t="n">
        <v>40341.1</v>
      </c>
      <c r="R4381" t="inlineStr">
        <is>
          <t>Vaccines</t>
        </is>
      </c>
      <c r="S4381" s="70" t="n">
        <v>299</v>
      </c>
      <c r="T4381" s="71" t="n">
        <v>16172.49</v>
      </c>
      <c r="U4381" t="inlineStr">
        <is>
          <t>Low</t>
        </is>
      </c>
      <c r="V4381">
        <f>IF(AND(OR(Dashboard!$C$6="All",E4381=Dashboard!$C$6),OR(Dashboard!$F$6="All",G4381=Dashboard!$F$6),OR(Dashboard!$I$6="All",H4381=Dashboard!$I$6)),1,0)</f>
        <v/>
      </c>
    </row>
    <row r="4382">
      <c r="A4382" t="inlineStr">
        <is>
          <t>PF104373</t>
        </is>
      </c>
      <c r="B4382" s="68" t="n">
        <v>46184</v>
      </c>
      <c r="C4382" s="69" t="n">
        <v>2026</v>
      </c>
      <c r="D4382" t="inlineStr">
        <is>
          <t>Jun</t>
        </is>
      </c>
      <c r="E4382" t="inlineStr">
        <is>
          <t>International developed</t>
        </is>
      </c>
      <c r="F4382" t="inlineStr">
        <is>
          <t>Canada</t>
        </is>
      </c>
      <c r="G4382" t="inlineStr">
        <is>
          <t>Ibrance</t>
        </is>
      </c>
      <c r="H4382" t="inlineStr">
        <is>
          <t>Government / tender</t>
        </is>
      </c>
      <c r="I4382" t="inlineStr">
        <is>
          <t>Self-pay</t>
        </is>
      </c>
      <c r="J4382" t="inlineStr">
        <is>
          <t>Omar Haddad</t>
        </is>
      </c>
      <c r="K4382" s="70" t="n">
        <v>1880</v>
      </c>
      <c r="L4382" s="71" t="n">
        <v>3090.19</v>
      </c>
      <c r="M4382" s="71" t="n">
        <v>5809557.2</v>
      </c>
      <c r="N4382" s="71" t="n">
        <v>1452389.3</v>
      </c>
      <c r="O4382" s="71" t="n">
        <v>4357167.9</v>
      </c>
      <c r="P4382" s="71" t="n">
        <v>836664.3100000001</v>
      </c>
      <c r="Q4382" s="71" t="n">
        <v>3520503.59</v>
      </c>
      <c r="R4382" t="inlineStr">
        <is>
          <t>Oncology</t>
        </is>
      </c>
      <c r="S4382" s="70" t="n">
        <v>1547</v>
      </c>
      <c r="T4382" s="71" t="n">
        <v>896456.3</v>
      </c>
      <c r="U4382" t="inlineStr">
        <is>
          <t>High</t>
        </is>
      </c>
      <c r="V4382">
        <f>IF(AND(OR(Dashboard!$C$6="All",E4382=Dashboard!$C$6),OR(Dashboard!$F$6="All",G4382=Dashboard!$F$6),OR(Dashboard!$I$6="All",H4382=Dashboard!$I$6)),1,0)</f>
        <v/>
      </c>
    </row>
    <row r="4383">
      <c r="A4383" t="inlineStr">
        <is>
          <t>PF104374</t>
        </is>
      </c>
      <c r="B4383" s="68" t="n">
        <v>46184</v>
      </c>
      <c r="C4383" s="69" t="n">
        <v>2026</v>
      </c>
      <c r="D4383" t="inlineStr">
        <is>
          <t>Jun</t>
        </is>
      </c>
      <c r="E4383" t="inlineStr">
        <is>
          <t>United States</t>
        </is>
      </c>
      <c r="F4383" t="inlineStr">
        <is>
          <t>USA</t>
        </is>
      </c>
      <c r="G4383" t="inlineStr">
        <is>
          <t>Prevnar 20</t>
        </is>
      </c>
      <c r="H4383" t="inlineStr">
        <is>
          <t>Hospital</t>
        </is>
      </c>
      <c r="I4383" t="inlineStr">
        <is>
          <t>Private insurer</t>
        </is>
      </c>
      <c r="J4383" t="inlineStr">
        <is>
          <t>Mei Lin</t>
        </is>
      </c>
      <c r="K4383" s="70" t="n">
        <v>159</v>
      </c>
      <c r="L4383" s="71" t="n">
        <v>376.79</v>
      </c>
      <c r="M4383" s="71" t="n">
        <v>59909.61</v>
      </c>
      <c r="N4383" s="71" t="n">
        <v>11981.92</v>
      </c>
      <c r="O4383" s="71" t="n">
        <v>47927.69</v>
      </c>
      <c r="P4383" s="71" t="n">
        <v>10722.24</v>
      </c>
      <c r="Q4383" s="71" t="n">
        <v>37205.45</v>
      </c>
      <c r="R4383" t="inlineStr">
        <is>
          <t>Vaccines</t>
        </is>
      </c>
      <c r="S4383" s="70" t="n">
        <v>108</v>
      </c>
      <c r="T4383" s="71" t="n">
        <v>8701.4</v>
      </c>
      <c r="U4383" t="inlineStr">
        <is>
          <t>Low</t>
        </is>
      </c>
      <c r="V4383">
        <f>IF(AND(OR(Dashboard!$C$6="All",E4383=Dashboard!$C$6),OR(Dashboard!$F$6="All",G4383=Dashboard!$F$6),OR(Dashboard!$I$6="All",H4383=Dashboard!$I$6)),1,0)</f>
        <v/>
      </c>
    </row>
    <row r="4384">
      <c r="A4384" t="inlineStr">
        <is>
          <t>PF104375</t>
        </is>
      </c>
      <c r="B4384" s="68" t="n">
        <v>46184</v>
      </c>
      <c r="C4384" s="69" t="n">
        <v>2026</v>
      </c>
      <c r="D4384" t="inlineStr">
        <is>
          <t>Jun</t>
        </is>
      </c>
      <c r="E4384" t="inlineStr">
        <is>
          <t>Europe</t>
        </is>
      </c>
      <c r="F4384" t="inlineStr">
        <is>
          <t>Spain</t>
        </is>
      </c>
      <c r="G4384" t="inlineStr">
        <is>
          <t>Eliquis</t>
        </is>
      </c>
      <c r="H4384" t="inlineStr">
        <is>
          <t>Retail pharmacy</t>
        </is>
      </c>
      <c r="I4384" t="inlineStr">
        <is>
          <t>Self-pay</t>
        </is>
      </c>
      <c r="J4384" t="inlineStr">
        <is>
          <t>Shraddha Kulkarni</t>
        </is>
      </c>
      <c r="K4384" s="70" t="n">
        <v>2387</v>
      </c>
      <c r="L4384" s="71" t="n">
        <v>469.54</v>
      </c>
      <c r="M4384" s="71" t="n">
        <v>1120791.98</v>
      </c>
      <c r="N4384" s="71" t="n">
        <v>280197.99</v>
      </c>
      <c r="O4384" s="71" t="n">
        <v>840593.99</v>
      </c>
      <c r="P4384" s="71" t="n">
        <v>181552.89</v>
      </c>
      <c r="Q4384" s="71" t="n">
        <v>659041.1</v>
      </c>
      <c r="R4384" t="inlineStr">
        <is>
          <t>Cardiology</t>
        </is>
      </c>
      <c r="S4384" s="70" t="n">
        <v>1887</v>
      </c>
      <c r="T4384" s="71" t="n">
        <v>130636.46</v>
      </c>
      <c r="U4384" t="inlineStr">
        <is>
          <t>High</t>
        </is>
      </c>
      <c r="V4384">
        <f>IF(AND(OR(Dashboard!$C$6="All",E4384=Dashboard!$C$6),OR(Dashboard!$F$6="All",G4384=Dashboard!$F$6),OR(Dashboard!$I$6="All",H4384=Dashboard!$I$6)),1,0)</f>
        <v/>
      </c>
    </row>
    <row r="4385">
      <c r="A4385" t="inlineStr">
        <is>
          <t>PF104376</t>
        </is>
      </c>
      <c r="B4385" s="68" t="n">
        <v>46184</v>
      </c>
      <c r="C4385" s="69" t="n">
        <v>2026</v>
      </c>
      <c r="D4385" t="inlineStr">
        <is>
          <t>Jun</t>
        </is>
      </c>
      <c r="E4385" t="inlineStr">
        <is>
          <t>United States</t>
        </is>
      </c>
      <c r="F4385" t="inlineStr">
        <is>
          <t>USA</t>
        </is>
      </c>
      <c r="G4385" t="inlineStr">
        <is>
          <t>Eliquis</t>
        </is>
      </c>
      <c r="H4385" t="inlineStr">
        <is>
          <t>Government / tender</t>
        </is>
      </c>
      <c r="I4385" t="inlineStr">
        <is>
          <t>Private insurer</t>
        </is>
      </c>
      <c r="J4385" t="inlineStr">
        <is>
          <t>Fatima Al-Saud</t>
        </is>
      </c>
      <c r="K4385" s="70" t="n">
        <v>2447</v>
      </c>
      <c r="L4385" s="71" t="n">
        <v>630.5700000000001</v>
      </c>
      <c r="M4385" s="71" t="n">
        <v>1543004.79</v>
      </c>
      <c r="N4385" s="71" t="n">
        <v>308600.96</v>
      </c>
      <c r="O4385" s="71" t="n">
        <v>1234403.83</v>
      </c>
      <c r="P4385" s="71" t="n">
        <v>186735.75</v>
      </c>
      <c r="Q4385" s="71" t="n">
        <v>1047668.08</v>
      </c>
      <c r="R4385" t="inlineStr">
        <is>
          <t>Cardiology</t>
        </is>
      </c>
      <c r="S4385" s="70" t="n">
        <v>1705</v>
      </c>
      <c r="T4385" s="71" t="n">
        <v>207008.89</v>
      </c>
      <c r="U4385" t="inlineStr">
        <is>
          <t>High</t>
        </is>
      </c>
      <c r="V4385">
        <f>IF(AND(OR(Dashboard!$C$6="All",E4385=Dashboard!$C$6),OR(Dashboard!$F$6="All",G4385=Dashboard!$F$6),OR(Dashboard!$I$6="All",H4385=Dashboard!$I$6)),1,0)</f>
        <v/>
      </c>
    </row>
    <row r="4386">
      <c r="A4386" t="inlineStr">
        <is>
          <t>PF104377</t>
        </is>
      </c>
      <c r="B4386" s="68" t="n">
        <v>46184</v>
      </c>
      <c r="C4386" s="69" t="n">
        <v>2026</v>
      </c>
      <c r="D4386" t="inlineStr">
        <is>
          <t>Jun</t>
        </is>
      </c>
      <c r="E4386" t="inlineStr">
        <is>
          <t>Europe</t>
        </is>
      </c>
      <c r="F4386" t="inlineStr">
        <is>
          <t>UK</t>
        </is>
      </c>
      <c r="G4386" t="inlineStr">
        <is>
          <t>Eliquis</t>
        </is>
      </c>
      <c r="H4386" t="inlineStr">
        <is>
          <t>Retail pharmacy</t>
        </is>
      </c>
      <c r="I4386" t="inlineStr">
        <is>
          <t>Private insurer</t>
        </is>
      </c>
      <c r="J4386" t="inlineStr">
        <is>
          <t>Carlos Silva</t>
        </is>
      </c>
      <c r="K4386" s="70" t="n">
        <v>482</v>
      </c>
      <c r="L4386" s="71" t="n">
        <v>428.86</v>
      </c>
      <c r="M4386" s="71" t="n">
        <v>206710.52</v>
      </c>
      <c r="N4386" s="71" t="n">
        <v>41342.1</v>
      </c>
      <c r="O4386" s="71" t="n">
        <v>165368.42</v>
      </c>
      <c r="P4386" s="71" t="n">
        <v>36384.09</v>
      </c>
      <c r="Q4386" s="71" t="n">
        <v>128984.33</v>
      </c>
      <c r="R4386" t="inlineStr">
        <is>
          <t>Cardiology</t>
        </is>
      </c>
      <c r="S4386" s="70" t="n">
        <v>442</v>
      </c>
      <c r="T4386" s="71" t="n">
        <v>41685.2</v>
      </c>
      <c r="U4386" t="inlineStr">
        <is>
          <t>High</t>
        </is>
      </c>
      <c r="V4386">
        <f>IF(AND(OR(Dashboard!$C$6="All",E4386=Dashboard!$C$6),OR(Dashboard!$F$6="All",G4386=Dashboard!$F$6),OR(Dashboard!$I$6="All",H4386=Dashboard!$I$6)),1,0)</f>
        <v/>
      </c>
    </row>
    <row r="4387">
      <c r="A4387" t="inlineStr">
        <is>
          <t>PF104378</t>
        </is>
      </c>
      <c r="B4387" s="68" t="n">
        <v>46184</v>
      </c>
      <c r="C4387" s="69" t="n">
        <v>2026</v>
      </c>
      <c r="D4387" t="inlineStr">
        <is>
          <t>Jun</t>
        </is>
      </c>
      <c r="E4387" t="inlineStr">
        <is>
          <t>United States</t>
        </is>
      </c>
      <c r="F4387" t="inlineStr">
        <is>
          <t>USA</t>
        </is>
      </c>
      <c r="G4387" t="inlineStr">
        <is>
          <t>Comirnaty</t>
        </is>
      </c>
      <c r="H4387" t="inlineStr">
        <is>
          <t>Hospital</t>
        </is>
      </c>
      <c r="I4387" t="inlineStr">
        <is>
          <t>Private insurer</t>
        </is>
      </c>
      <c r="J4387" t="inlineStr">
        <is>
          <t>Liam O'Brien</t>
        </is>
      </c>
      <c r="K4387" s="70" t="n">
        <v>1873</v>
      </c>
      <c r="L4387" s="71" t="n">
        <v>154.41</v>
      </c>
      <c r="M4387" s="71" t="n">
        <v>289209.93</v>
      </c>
      <c r="N4387" s="71" t="n">
        <v>101223.48</v>
      </c>
      <c r="O4387" s="71" t="n">
        <v>187986.45</v>
      </c>
      <c r="P4387" s="71" t="n">
        <v>72344.28999999999</v>
      </c>
      <c r="Q4387" s="71" t="n">
        <v>115642.16</v>
      </c>
      <c r="R4387" t="inlineStr">
        <is>
          <t>Vaccines</t>
        </is>
      </c>
      <c r="S4387" s="70" t="n">
        <v>1746</v>
      </c>
      <c r="T4387" s="71" t="n">
        <v>63314.25</v>
      </c>
      <c r="U4387" t="inlineStr">
        <is>
          <t>Low</t>
        </is>
      </c>
      <c r="V4387">
        <f>IF(AND(OR(Dashboard!$C$6="All",E4387=Dashboard!$C$6),OR(Dashboard!$F$6="All",G4387=Dashboard!$F$6),OR(Dashboard!$I$6="All",H4387=Dashboard!$I$6)),1,0)</f>
        <v/>
      </c>
    </row>
    <row r="4388">
      <c r="A4388" t="inlineStr">
        <is>
          <t>PF104379</t>
        </is>
      </c>
      <c r="B4388" s="68" t="n">
        <v>46185</v>
      </c>
      <c r="C4388" s="69" t="n">
        <v>2026</v>
      </c>
      <c r="D4388" t="inlineStr">
        <is>
          <t>Jun</t>
        </is>
      </c>
      <c r="E4388" t="inlineStr">
        <is>
          <t>Europe</t>
        </is>
      </c>
      <c r="F4388" t="inlineStr">
        <is>
          <t>Germany</t>
        </is>
      </c>
      <c r="G4388" t="inlineStr">
        <is>
          <t>Eliquis</t>
        </is>
      </c>
      <c r="H4388" t="inlineStr">
        <is>
          <t>Government / tender</t>
        </is>
      </c>
      <c r="I4388" t="inlineStr">
        <is>
          <t>Public payer</t>
        </is>
      </c>
      <c r="J4388" t="inlineStr">
        <is>
          <t>Ravindra Patil</t>
        </is>
      </c>
      <c r="K4388" s="70" t="n">
        <v>2410</v>
      </c>
      <c r="L4388" s="71" t="n">
        <v>415.61</v>
      </c>
      <c r="M4388" s="71" t="n">
        <v>1001620.1</v>
      </c>
      <c r="N4388" s="71" t="n">
        <v>150243.01</v>
      </c>
      <c r="O4388" s="71" t="n">
        <v>851377.09</v>
      </c>
      <c r="P4388" s="71" t="n">
        <v>175988.2</v>
      </c>
      <c r="Q4388" s="71" t="n">
        <v>675388.89</v>
      </c>
      <c r="R4388" t="inlineStr">
        <is>
          <t>Cardiology</t>
        </is>
      </c>
      <c r="S4388" s="70" t="n">
        <v>1911</v>
      </c>
      <c r="T4388" s="71" t="n">
        <v>159711.06</v>
      </c>
      <c r="U4388" t="inlineStr">
        <is>
          <t>High</t>
        </is>
      </c>
      <c r="V4388">
        <f>IF(AND(OR(Dashboard!$C$6="All",E4388=Dashboard!$C$6),OR(Dashboard!$F$6="All",G4388=Dashboard!$F$6),OR(Dashboard!$I$6="All",H4388=Dashboard!$I$6)),1,0)</f>
        <v/>
      </c>
    </row>
    <row r="4389">
      <c r="A4389" t="inlineStr">
        <is>
          <t>PF104380</t>
        </is>
      </c>
      <c r="B4389" s="68" t="n">
        <v>46185</v>
      </c>
      <c r="C4389" s="69" t="n">
        <v>2026</v>
      </c>
      <c r="D4389" t="inlineStr">
        <is>
          <t>Jun</t>
        </is>
      </c>
      <c r="E4389" t="inlineStr">
        <is>
          <t>International developed</t>
        </is>
      </c>
      <c r="F4389" t="inlineStr">
        <is>
          <t>Australia</t>
        </is>
      </c>
      <c r="G4389" t="inlineStr">
        <is>
          <t>Comirnaty</t>
        </is>
      </c>
      <c r="H4389" t="inlineStr">
        <is>
          <t>Retail pharmacy</t>
        </is>
      </c>
      <c r="I4389" t="inlineStr">
        <is>
          <t>Self-pay</t>
        </is>
      </c>
      <c r="J4389" t="inlineStr">
        <is>
          <t>Omar Haddad</t>
        </is>
      </c>
      <c r="K4389" s="70" t="n">
        <v>602</v>
      </c>
      <c r="L4389" s="71" t="n">
        <v>82.61</v>
      </c>
      <c r="M4389" s="71" t="n">
        <v>49731.22</v>
      </c>
      <c r="N4389" s="71" t="n">
        <v>4973.12</v>
      </c>
      <c r="O4389" s="71" t="n">
        <v>44758.1</v>
      </c>
      <c r="P4389" s="71" t="n">
        <v>23091.9</v>
      </c>
      <c r="Q4389" s="71" t="n">
        <v>21666.2</v>
      </c>
      <c r="R4389" t="inlineStr">
        <is>
          <t>Vaccines</t>
        </is>
      </c>
      <c r="S4389" s="70" t="n">
        <v>492</v>
      </c>
      <c r="T4389" s="71" t="n">
        <v>11558.14</v>
      </c>
      <c r="U4389" t="inlineStr">
        <is>
          <t>Low</t>
        </is>
      </c>
      <c r="V4389">
        <f>IF(AND(OR(Dashboard!$C$6="All",E4389=Dashboard!$C$6),OR(Dashboard!$F$6="All",G4389=Dashboard!$F$6),OR(Dashboard!$I$6="All",H4389=Dashboard!$I$6)),1,0)</f>
        <v/>
      </c>
    </row>
    <row r="4390">
      <c r="A4390" t="inlineStr">
        <is>
          <t>PF104381</t>
        </is>
      </c>
      <c r="B4390" s="68" t="n">
        <v>46185</v>
      </c>
      <c r="C4390" s="69" t="n">
        <v>2026</v>
      </c>
      <c r="D4390" t="inlineStr">
        <is>
          <t>Jun</t>
        </is>
      </c>
      <c r="E4390" t="inlineStr">
        <is>
          <t>International developed</t>
        </is>
      </c>
      <c r="F4390" t="inlineStr">
        <is>
          <t>Australia</t>
        </is>
      </c>
      <c r="G4390" t="inlineStr">
        <is>
          <t>Paxlovid</t>
        </is>
      </c>
      <c r="H4390" t="inlineStr">
        <is>
          <t>Government / tender</t>
        </is>
      </c>
      <c r="I4390" t="inlineStr">
        <is>
          <t>Private insurer</t>
        </is>
      </c>
      <c r="J4390" t="inlineStr">
        <is>
          <t>Mei Lin</t>
        </is>
      </c>
      <c r="K4390" s="70" t="n">
        <v>871</v>
      </c>
      <c r="L4390" s="71" t="n">
        <v>847.87</v>
      </c>
      <c r="M4390" s="71" t="n">
        <v>738494.77</v>
      </c>
      <c r="N4390" s="71" t="n">
        <v>73849.48</v>
      </c>
      <c r="O4390" s="71" t="n">
        <v>664645.29</v>
      </c>
      <c r="P4390" s="71" t="n">
        <v>230959.28</v>
      </c>
      <c r="Q4390" s="71" t="n">
        <v>433686.01</v>
      </c>
      <c r="R4390" t="inlineStr">
        <is>
          <t>Antiviral</t>
        </is>
      </c>
      <c r="S4390" s="70" t="n">
        <v>663</v>
      </c>
      <c r="T4390" s="71" t="n">
        <v>190219.9</v>
      </c>
      <c r="U4390" t="inlineStr">
        <is>
          <t>Low</t>
        </is>
      </c>
      <c r="V4390">
        <f>IF(AND(OR(Dashboard!$C$6="All",E4390=Dashboard!$C$6),OR(Dashboard!$F$6="All",G4390=Dashboard!$F$6),OR(Dashboard!$I$6="All",H4390=Dashboard!$I$6)),1,0)</f>
        <v/>
      </c>
    </row>
    <row r="4391">
      <c r="A4391" t="inlineStr">
        <is>
          <t>PF104382</t>
        </is>
      </c>
      <c r="B4391" s="68" t="n">
        <v>46185</v>
      </c>
      <c r="C4391" s="69" t="n">
        <v>2026</v>
      </c>
      <c r="D4391" t="inlineStr">
        <is>
          <t>Jun</t>
        </is>
      </c>
      <c r="E4391" t="inlineStr">
        <is>
          <t>Europe</t>
        </is>
      </c>
      <c r="F4391" t="inlineStr">
        <is>
          <t>Spain</t>
        </is>
      </c>
      <c r="G4391" t="inlineStr">
        <is>
          <t>Ibrance</t>
        </is>
      </c>
      <c r="H4391" t="inlineStr">
        <is>
          <t>Hospital</t>
        </is>
      </c>
      <c r="I4391" t="inlineStr">
        <is>
          <t>Private insurer</t>
        </is>
      </c>
      <c r="J4391" t="inlineStr">
        <is>
          <t>Amir Khan</t>
        </is>
      </c>
      <c r="K4391" s="70" t="n">
        <v>625</v>
      </c>
      <c r="L4391" s="71" t="n">
        <v>2789.59</v>
      </c>
      <c r="M4391" s="71" t="n">
        <v>1743493.75</v>
      </c>
      <c r="N4391" s="71" t="n">
        <v>174349.38</v>
      </c>
      <c r="O4391" s="71" t="n">
        <v>1569144.37</v>
      </c>
      <c r="P4391" s="71" t="n">
        <v>267244.69</v>
      </c>
      <c r="Q4391" s="71" t="n">
        <v>1301899.68</v>
      </c>
      <c r="R4391" t="inlineStr">
        <is>
          <t>Oncology</t>
        </is>
      </c>
      <c r="S4391" s="70" t="n">
        <v>602</v>
      </c>
      <c r="T4391" s="71" t="n">
        <v>228699.2</v>
      </c>
      <c r="U4391" t="inlineStr">
        <is>
          <t>High</t>
        </is>
      </c>
      <c r="V4391">
        <f>IF(AND(OR(Dashboard!$C$6="All",E4391=Dashboard!$C$6),OR(Dashboard!$F$6="All",G4391=Dashboard!$F$6),OR(Dashboard!$I$6="All",H4391=Dashboard!$I$6)),1,0)</f>
        <v/>
      </c>
    </row>
    <row r="4392">
      <c r="A4392" t="inlineStr">
        <is>
          <t>PF104383</t>
        </is>
      </c>
      <c r="B4392" s="68" t="n">
        <v>46185</v>
      </c>
      <c r="C4392" s="69" t="n">
        <v>2026</v>
      </c>
      <c r="D4392" t="inlineStr">
        <is>
          <t>Jun</t>
        </is>
      </c>
      <c r="E4392" t="inlineStr">
        <is>
          <t>Emerging markets</t>
        </is>
      </c>
      <c r="F4392" t="inlineStr">
        <is>
          <t>Brazil</t>
        </is>
      </c>
      <c r="G4392" t="inlineStr">
        <is>
          <t>Eliquis</t>
        </is>
      </c>
      <c r="H4392" t="inlineStr">
        <is>
          <t>Hospital</t>
        </is>
      </c>
      <c r="I4392" t="inlineStr">
        <is>
          <t>Private insurer</t>
        </is>
      </c>
      <c r="J4392" t="inlineStr">
        <is>
          <t>Ruhi Shaikh</t>
        </is>
      </c>
      <c r="K4392" s="70" t="n">
        <v>316</v>
      </c>
      <c r="L4392" s="71" t="n">
        <v>469.36</v>
      </c>
      <c r="M4392" s="71" t="n">
        <v>148317.76</v>
      </c>
      <c r="N4392" s="71" t="n">
        <v>37079.44</v>
      </c>
      <c r="O4392" s="71" t="n">
        <v>111238.32</v>
      </c>
      <c r="P4392" s="71" t="n">
        <v>24547.19</v>
      </c>
      <c r="Q4392" s="71" t="n">
        <v>86691.13</v>
      </c>
      <c r="R4392" t="inlineStr">
        <is>
          <t>Cardiology</t>
        </is>
      </c>
      <c r="S4392" s="70" t="n">
        <v>221</v>
      </c>
      <c r="T4392" s="71" t="n">
        <v>29472.82</v>
      </c>
      <c r="U4392" t="inlineStr">
        <is>
          <t>High</t>
        </is>
      </c>
      <c r="V4392">
        <f>IF(AND(OR(Dashboard!$C$6="All",E4392=Dashboard!$C$6),OR(Dashboard!$F$6="All",G4392=Dashboard!$F$6),OR(Dashboard!$I$6="All",H4392=Dashboard!$I$6)),1,0)</f>
        <v/>
      </c>
    </row>
    <row r="4393">
      <c r="A4393" t="inlineStr">
        <is>
          <t>PF104384</t>
        </is>
      </c>
      <c r="B4393" s="68" t="n">
        <v>46185</v>
      </c>
      <c r="C4393" s="69" t="n">
        <v>2026</v>
      </c>
      <c r="D4393" t="inlineStr">
        <is>
          <t>Jun</t>
        </is>
      </c>
      <c r="E4393" t="inlineStr">
        <is>
          <t>United States</t>
        </is>
      </c>
      <c r="F4393" t="inlineStr">
        <is>
          <t>USA</t>
        </is>
      </c>
      <c r="G4393" t="inlineStr">
        <is>
          <t>Eliquis</t>
        </is>
      </c>
      <c r="H4393" t="inlineStr">
        <is>
          <t>Retail pharmacy</t>
        </is>
      </c>
      <c r="I4393" t="inlineStr">
        <is>
          <t>Private insurer</t>
        </is>
      </c>
      <c r="J4393" t="inlineStr">
        <is>
          <t>Zoya Ahmed</t>
        </is>
      </c>
      <c r="K4393" s="70" t="n">
        <v>1245</v>
      </c>
      <c r="L4393" s="71" t="n">
        <v>687.8099999999999</v>
      </c>
      <c r="M4393" s="71" t="n">
        <v>856323.45</v>
      </c>
      <c r="N4393" s="71" t="n">
        <v>171264.69</v>
      </c>
      <c r="O4393" s="71" t="n">
        <v>685058.76</v>
      </c>
      <c r="P4393" s="71" t="n">
        <v>91126.8</v>
      </c>
      <c r="Q4393" s="71" t="n">
        <v>593931.96</v>
      </c>
      <c r="R4393" t="inlineStr">
        <is>
          <t>Cardiology</t>
        </is>
      </c>
      <c r="S4393" s="70" t="n">
        <v>1088</v>
      </c>
      <c r="T4393" s="71" t="n">
        <v>150384.55</v>
      </c>
      <c r="U4393" t="inlineStr">
        <is>
          <t>High</t>
        </is>
      </c>
      <c r="V4393">
        <f>IF(AND(OR(Dashboard!$C$6="All",E4393=Dashboard!$C$6),OR(Dashboard!$F$6="All",G4393=Dashboard!$F$6),OR(Dashboard!$I$6="All",H4393=Dashboard!$I$6)),1,0)</f>
        <v/>
      </c>
    </row>
    <row r="4394">
      <c r="A4394" t="inlineStr">
        <is>
          <t>PF104385</t>
        </is>
      </c>
      <c r="B4394" s="68" t="n">
        <v>46185</v>
      </c>
      <c r="C4394" s="69" t="n">
        <v>2026</v>
      </c>
      <c r="D4394" t="inlineStr">
        <is>
          <t>Jun</t>
        </is>
      </c>
      <c r="E4394" t="inlineStr">
        <is>
          <t>Emerging markets</t>
        </is>
      </c>
      <c r="F4394" t="inlineStr">
        <is>
          <t>India</t>
        </is>
      </c>
      <c r="G4394" t="inlineStr">
        <is>
          <t>Paxlovid</t>
        </is>
      </c>
      <c r="H4394" t="inlineStr">
        <is>
          <t>Retail pharmacy</t>
        </is>
      </c>
      <c r="I4394" t="inlineStr">
        <is>
          <t>Public payer</t>
        </is>
      </c>
      <c r="J4394" t="inlineStr">
        <is>
          <t>Sara Rossi</t>
        </is>
      </c>
      <c r="K4394" s="70" t="n">
        <v>960</v>
      </c>
      <c r="L4394" s="71" t="n">
        <v>938.92</v>
      </c>
      <c r="M4394" s="71" t="n">
        <v>901363.2</v>
      </c>
      <c r="N4394" s="71" t="n">
        <v>135204.48</v>
      </c>
      <c r="O4394" s="71" t="n">
        <v>766158.72</v>
      </c>
      <c r="P4394" s="71" t="n">
        <v>256547.23</v>
      </c>
      <c r="Q4394" s="71" t="n">
        <v>509611.49</v>
      </c>
      <c r="R4394" t="inlineStr">
        <is>
          <t>Antiviral</t>
        </is>
      </c>
      <c r="S4394" s="70" t="n">
        <v>788</v>
      </c>
      <c r="T4394" s="71" t="n">
        <v>174477.3</v>
      </c>
      <c r="U4394" t="inlineStr">
        <is>
          <t>Low</t>
        </is>
      </c>
      <c r="V4394">
        <f>IF(AND(OR(Dashboard!$C$6="All",E4394=Dashboard!$C$6),OR(Dashboard!$F$6="All",G4394=Dashboard!$F$6),OR(Dashboard!$I$6="All",H4394=Dashboard!$I$6)),1,0)</f>
        <v/>
      </c>
    </row>
    <row r="4395">
      <c r="A4395" t="inlineStr">
        <is>
          <t>PF104386</t>
        </is>
      </c>
      <c r="B4395" s="68" t="n">
        <v>46185</v>
      </c>
      <c r="C4395" s="69" t="n">
        <v>2026</v>
      </c>
      <c r="D4395" t="inlineStr">
        <is>
          <t>Jun</t>
        </is>
      </c>
      <c r="E4395" t="inlineStr">
        <is>
          <t>United States</t>
        </is>
      </c>
      <c r="F4395" t="inlineStr">
        <is>
          <t>USA</t>
        </is>
      </c>
      <c r="G4395" t="inlineStr">
        <is>
          <t>Eliquis</t>
        </is>
      </c>
      <c r="H4395" t="inlineStr">
        <is>
          <t>Retail pharmacy</t>
        </is>
      </c>
      <c r="I4395" t="inlineStr">
        <is>
          <t>Self-pay</t>
        </is>
      </c>
      <c r="J4395" t="inlineStr">
        <is>
          <t>Omar Haddad</t>
        </is>
      </c>
      <c r="K4395" s="70" t="n">
        <v>2445</v>
      </c>
      <c r="L4395" s="71" t="n">
        <v>683.0700000000001</v>
      </c>
      <c r="M4395" s="71" t="n">
        <v>1670106.15</v>
      </c>
      <c r="N4395" s="71" t="n">
        <v>250515.92</v>
      </c>
      <c r="O4395" s="71" t="n">
        <v>1419590.23</v>
      </c>
      <c r="P4395" s="71" t="n">
        <v>178959.83</v>
      </c>
      <c r="Q4395" s="71" t="n">
        <v>1240630.4</v>
      </c>
      <c r="R4395" t="inlineStr">
        <is>
          <t>Cardiology</t>
        </is>
      </c>
      <c r="S4395" s="70" t="n">
        <v>2320</v>
      </c>
      <c r="T4395" s="71" t="n">
        <v>208163.53</v>
      </c>
      <c r="U4395" t="inlineStr">
        <is>
          <t>High</t>
        </is>
      </c>
      <c r="V4395">
        <f>IF(AND(OR(Dashboard!$C$6="All",E4395=Dashboard!$C$6),OR(Dashboard!$F$6="All",G4395=Dashboard!$F$6),OR(Dashboard!$I$6="All",H4395=Dashboard!$I$6)),1,0)</f>
        <v/>
      </c>
    </row>
    <row r="4396">
      <c r="A4396" t="inlineStr">
        <is>
          <t>PF104387</t>
        </is>
      </c>
      <c r="B4396" s="68" t="n">
        <v>46185</v>
      </c>
      <c r="C4396" s="69" t="n">
        <v>2026</v>
      </c>
      <c r="D4396" t="inlineStr">
        <is>
          <t>Jun</t>
        </is>
      </c>
      <c r="E4396" t="inlineStr">
        <is>
          <t>Emerging markets</t>
        </is>
      </c>
      <c r="F4396" t="inlineStr">
        <is>
          <t>India</t>
        </is>
      </c>
      <c r="G4396" t="inlineStr">
        <is>
          <t>Comirnaty</t>
        </is>
      </c>
      <c r="H4396" t="inlineStr">
        <is>
          <t>Government / tender</t>
        </is>
      </c>
      <c r="I4396" t="inlineStr">
        <is>
          <t>Public payer</t>
        </is>
      </c>
      <c r="J4396" t="inlineStr">
        <is>
          <t>Noah Smith</t>
        </is>
      </c>
      <c r="K4396" s="70" t="n">
        <v>1282</v>
      </c>
      <c r="L4396" s="71" t="n">
        <v>89.84999999999999</v>
      </c>
      <c r="M4396" s="71" t="n">
        <v>115187.7</v>
      </c>
      <c r="N4396" s="71" t="n">
        <v>23037.54</v>
      </c>
      <c r="O4396" s="71" t="n">
        <v>92150.16</v>
      </c>
      <c r="P4396" s="71" t="n">
        <v>49521.2</v>
      </c>
      <c r="Q4396" s="71" t="n">
        <v>42628.96</v>
      </c>
      <c r="R4396" t="inlineStr">
        <is>
          <t>Vaccines</t>
        </is>
      </c>
      <c r="S4396" s="70" t="n">
        <v>805</v>
      </c>
      <c r="T4396" s="71" t="n">
        <v>22826.93</v>
      </c>
      <c r="U4396" t="inlineStr">
        <is>
          <t>Low</t>
        </is>
      </c>
      <c r="V4396">
        <f>IF(AND(OR(Dashboard!$C$6="All",E4396=Dashboard!$C$6),OR(Dashboard!$F$6="All",G4396=Dashboard!$F$6),OR(Dashboard!$I$6="All",H4396=Dashboard!$I$6)),1,0)</f>
        <v/>
      </c>
    </row>
    <row r="4397">
      <c r="A4397" t="inlineStr">
        <is>
          <t>PF104388</t>
        </is>
      </c>
      <c r="B4397" s="68" t="n">
        <v>46185</v>
      </c>
      <c r="C4397" s="69" t="n">
        <v>2026</v>
      </c>
      <c r="D4397" t="inlineStr">
        <is>
          <t>Jun</t>
        </is>
      </c>
      <c r="E4397" t="inlineStr">
        <is>
          <t>United States</t>
        </is>
      </c>
      <c r="F4397" t="inlineStr">
        <is>
          <t>USA</t>
        </is>
      </c>
      <c r="G4397" t="inlineStr">
        <is>
          <t>Comirnaty</t>
        </is>
      </c>
      <c r="H4397" t="inlineStr">
        <is>
          <t>Retail pharmacy</t>
        </is>
      </c>
      <c r="I4397" t="inlineStr">
        <is>
          <t>Public payer</t>
        </is>
      </c>
      <c r="J4397" t="inlineStr">
        <is>
          <t>Sophie Müller</t>
        </is>
      </c>
      <c r="K4397" s="70" t="n">
        <v>291</v>
      </c>
      <c r="L4397" s="71" t="n">
        <v>135.03</v>
      </c>
      <c r="M4397" s="71" t="n">
        <v>39293.73</v>
      </c>
      <c r="N4397" s="71" t="n">
        <v>9823.43</v>
      </c>
      <c r="O4397" s="71" t="n">
        <v>29470.3</v>
      </c>
      <c r="P4397" s="71" t="n">
        <v>11467.98</v>
      </c>
      <c r="Q4397" s="71" t="n">
        <v>18002.32</v>
      </c>
      <c r="R4397" t="inlineStr">
        <is>
          <t>Vaccines</t>
        </is>
      </c>
      <c r="S4397" s="70" t="n">
        <v>265</v>
      </c>
      <c r="T4397" s="71" t="n">
        <v>7411.31</v>
      </c>
      <c r="U4397" t="inlineStr">
        <is>
          <t>Low</t>
        </is>
      </c>
      <c r="V4397">
        <f>IF(AND(OR(Dashboard!$C$6="All",E4397=Dashboard!$C$6),OR(Dashboard!$F$6="All",G4397=Dashboard!$F$6),OR(Dashboard!$I$6="All",H4397=Dashboard!$I$6)),1,0)</f>
        <v/>
      </c>
    </row>
    <row r="4398">
      <c r="A4398" t="inlineStr">
        <is>
          <t>PF104389</t>
        </is>
      </c>
      <c r="B4398" s="68" t="n">
        <v>46185</v>
      </c>
      <c r="C4398" s="69" t="n">
        <v>2026</v>
      </c>
      <c r="D4398" t="inlineStr">
        <is>
          <t>Jun</t>
        </is>
      </c>
      <c r="E4398" t="inlineStr">
        <is>
          <t>International developed</t>
        </is>
      </c>
      <c r="F4398" t="inlineStr">
        <is>
          <t>Canada</t>
        </is>
      </c>
      <c r="G4398" t="inlineStr">
        <is>
          <t>Xeljanz</t>
        </is>
      </c>
      <c r="H4398" t="inlineStr">
        <is>
          <t>Retail pharmacy</t>
        </is>
      </c>
      <c r="I4398" t="inlineStr">
        <is>
          <t>Private insurer</t>
        </is>
      </c>
      <c r="J4398" t="inlineStr">
        <is>
          <t>Ravindra Patil</t>
        </is>
      </c>
      <c r="K4398" s="70" t="n">
        <v>1713</v>
      </c>
      <c r="L4398" s="71" t="n">
        <v>1431.48</v>
      </c>
      <c r="M4398" s="71" t="n">
        <v>2452125.24</v>
      </c>
      <c r="N4398" s="71" t="n">
        <v>367818.79</v>
      </c>
      <c r="O4398" s="71" t="n">
        <v>2084306.45</v>
      </c>
      <c r="P4398" s="71" t="n">
        <v>441495.17</v>
      </c>
      <c r="Q4398" s="71" t="n">
        <v>1642811.28</v>
      </c>
      <c r="R4398" t="inlineStr">
        <is>
          <t>Inflammation</t>
        </is>
      </c>
      <c r="S4398" s="70" t="n">
        <v>1649</v>
      </c>
      <c r="T4398" s="71" t="n">
        <v>358591.41</v>
      </c>
      <c r="U4398" t="inlineStr">
        <is>
          <t>High</t>
        </is>
      </c>
      <c r="V4398">
        <f>IF(AND(OR(Dashboard!$C$6="All",E4398=Dashboard!$C$6),OR(Dashboard!$F$6="All",G4398=Dashboard!$F$6),OR(Dashboard!$I$6="All",H4398=Dashboard!$I$6)),1,0)</f>
        <v/>
      </c>
    </row>
    <row r="4399">
      <c r="A4399" t="inlineStr">
        <is>
          <t>PF104390</t>
        </is>
      </c>
      <c r="B4399" s="68" t="n">
        <v>46185</v>
      </c>
      <c r="C4399" s="69" t="n">
        <v>2026</v>
      </c>
      <c r="D4399" t="inlineStr">
        <is>
          <t>Jun</t>
        </is>
      </c>
      <c r="E4399" t="inlineStr">
        <is>
          <t>United States</t>
        </is>
      </c>
      <c r="F4399" t="inlineStr">
        <is>
          <t>USA</t>
        </is>
      </c>
      <c r="G4399" t="inlineStr">
        <is>
          <t>Xeljanz</t>
        </is>
      </c>
      <c r="H4399" t="inlineStr">
        <is>
          <t>Government / tender</t>
        </is>
      </c>
      <c r="I4399" t="inlineStr">
        <is>
          <t>Private insurer</t>
        </is>
      </c>
      <c r="J4399" t="inlineStr">
        <is>
          <t>Yuki Sato</t>
        </is>
      </c>
      <c r="K4399" s="70" t="n">
        <v>395</v>
      </c>
      <c r="L4399" s="71" t="n">
        <v>2346.52</v>
      </c>
      <c r="M4399" s="71" t="n">
        <v>926875.4</v>
      </c>
      <c r="N4399" s="71" t="n">
        <v>185375.08</v>
      </c>
      <c r="O4399" s="71" t="n">
        <v>741500.3199999999</v>
      </c>
      <c r="P4399" s="71" t="n">
        <v>100797.02</v>
      </c>
      <c r="Q4399" s="71" t="n">
        <v>640703.3</v>
      </c>
      <c r="R4399" t="inlineStr">
        <is>
          <t>Inflammation</t>
        </is>
      </c>
      <c r="S4399" s="70" t="n">
        <v>334</v>
      </c>
      <c r="T4399" s="71" t="n">
        <v>152037.34</v>
      </c>
      <c r="U4399" t="inlineStr">
        <is>
          <t>High</t>
        </is>
      </c>
      <c r="V4399">
        <f>IF(AND(OR(Dashboard!$C$6="All",E4399=Dashboard!$C$6),OR(Dashboard!$F$6="All",G4399=Dashboard!$F$6),OR(Dashboard!$I$6="All",H4399=Dashboard!$I$6)),1,0)</f>
        <v/>
      </c>
    </row>
    <row r="4400">
      <c r="A4400" t="inlineStr">
        <is>
          <t>PF104391</t>
        </is>
      </c>
      <c r="B4400" s="68" t="n">
        <v>46186</v>
      </c>
      <c r="C4400" s="69" t="n">
        <v>2026</v>
      </c>
      <c r="D4400" t="inlineStr">
        <is>
          <t>Jun</t>
        </is>
      </c>
      <c r="E4400" t="inlineStr">
        <is>
          <t>Europe</t>
        </is>
      </c>
      <c r="F4400" t="inlineStr">
        <is>
          <t>UK</t>
        </is>
      </c>
      <c r="G4400" t="inlineStr">
        <is>
          <t>Vyndaqel</t>
        </is>
      </c>
      <c r="H4400" t="inlineStr">
        <is>
          <t>Retail pharmacy</t>
        </is>
      </c>
      <c r="I4400" t="inlineStr">
        <is>
          <t>Self-pay</t>
        </is>
      </c>
      <c r="J4400" t="inlineStr">
        <is>
          <t>Ravindra Patil</t>
        </is>
      </c>
      <c r="K4400" s="70" t="n">
        <v>3184</v>
      </c>
      <c r="L4400" s="71" t="n">
        <v>5883.44</v>
      </c>
      <c r="M4400" s="71" t="n">
        <v>18732872.96</v>
      </c>
      <c r="N4400" s="71" t="n">
        <v>936643.65</v>
      </c>
      <c r="O4400" s="71" t="n">
        <v>17796229.31</v>
      </c>
      <c r="P4400" s="71" t="n">
        <v>2017692.1</v>
      </c>
      <c r="Q4400" s="71" t="n">
        <v>15778537.21</v>
      </c>
      <c r="R4400" t="inlineStr">
        <is>
          <t>Rare disease</t>
        </is>
      </c>
      <c r="S4400" s="70" t="n">
        <v>2033</v>
      </c>
      <c r="T4400" s="71" t="n">
        <v>3631764.55</v>
      </c>
      <c r="U4400" t="inlineStr">
        <is>
          <t>Medium</t>
        </is>
      </c>
      <c r="V4400">
        <f>IF(AND(OR(Dashboard!$C$6="All",E4400=Dashboard!$C$6),OR(Dashboard!$F$6="All",G4400=Dashboard!$F$6),OR(Dashboard!$I$6="All",H4400=Dashboard!$I$6)),1,0)</f>
        <v/>
      </c>
    </row>
    <row r="4401">
      <c r="A4401" t="inlineStr">
        <is>
          <t>PF104392</t>
        </is>
      </c>
      <c r="B4401" s="68" t="n">
        <v>46186</v>
      </c>
      <c r="C4401" s="69" t="n">
        <v>2026</v>
      </c>
      <c r="D4401" t="inlineStr">
        <is>
          <t>Jun</t>
        </is>
      </c>
      <c r="E4401" t="inlineStr">
        <is>
          <t>United States</t>
        </is>
      </c>
      <c r="F4401" t="inlineStr">
        <is>
          <t>USA</t>
        </is>
      </c>
      <c r="G4401" t="inlineStr">
        <is>
          <t>Vyndaqel</t>
        </is>
      </c>
      <c r="H4401" t="inlineStr">
        <is>
          <t>Government / tender</t>
        </is>
      </c>
      <c r="I4401" t="inlineStr">
        <is>
          <t>Private insurer</t>
        </is>
      </c>
      <c r="J4401" t="inlineStr">
        <is>
          <t>Zoya Ahmed</t>
        </is>
      </c>
      <c r="K4401" s="70" t="n">
        <v>484</v>
      </c>
      <c r="L4401" s="71" t="n">
        <v>9655.639999999999</v>
      </c>
      <c r="M4401" s="71" t="n">
        <v>4673329.76</v>
      </c>
      <c r="N4401" s="71" t="n">
        <v>700999.46</v>
      </c>
      <c r="O4401" s="71" t="n">
        <v>3972330.3</v>
      </c>
      <c r="P4401" s="71" t="n">
        <v>305203.88</v>
      </c>
      <c r="Q4401" s="71" t="n">
        <v>3667126.42</v>
      </c>
      <c r="R4401" t="inlineStr">
        <is>
          <t>Rare disease</t>
        </is>
      </c>
      <c r="S4401" s="70" t="n">
        <v>355</v>
      </c>
      <c r="T4401" s="71" t="n">
        <v>920022.38</v>
      </c>
      <c r="U4401" t="inlineStr">
        <is>
          <t>Medium</t>
        </is>
      </c>
      <c r="V4401">
        <f>IF(AND(OR(Dashboard!$C$6="All",E4401=Dashboard!$C$6),OR(Dashboard!$F$6="All",G4401=Dashboard!$F$6),OR(Dashboard!$I$6="All",H4401=Dashboard!$I$6)),1,0)</f>
        <v/>
      </c>
    </row>
    <row r="4402">
      <c r="A4402" t="inlineStr">
        <is>
          <t>PF104393</t>
        </is>
      </c>
      <c r="B4402" s="68" t="n">
        <v>46186</v>
      </c>
      <c r="C4402" s="69" t="n">
        <v>2026</v>
      </c>
      <c r="D4402" t="inlineStr">
        <is>
          <t>Jun</t>
        </is>
      </c>
      <c r="E4402" t="inlineStr">
        <is>
          <t>Europe</t>
        </is>
      </c>
      <c r="F4402" t="inlineStr">
        <is>
          <t>Spain</t>
        </is>
      </c>
      <c r="G4402" t="inlineStr">
        <is>
          <t>Eliquis</t>
        </is>
      </c>
      <c r="H4402" t="inlineStr">
        <is>
          <t>Government / tender</t>
        </is>
      </c>
      <c r="I4402" t="inlineStr">
        <is>
          <t>Public payer</t>
        </is>
      </c>
      <c r="J4402" t="inlineStr">
        <is>
          <t>Ravindra Patil</t>
        </is>
      </c>
      <c r="K4402" s="70" t="n">
        <v>536</v>
      </c>
      <c r="L4402" s="71" t="n">
        <v>458.9</v>
      </c>
      <c r="M4402" s="71" t="n">
        <v>245970.4</v>
      </c>
      <c r="N4402" s="71" t="n">
        <v>61492.6</v>
      </c>
      <c r="O4402" s="71" t="n">
        <v>184477.8</v>
      </c>
      <c r="P4402" s="71" t="n">
        <v>41250.42</v>
      </c>
      <c r="Q4402" s="71" t="n">
        <v>143227.38</v>
      </c>
      <c r="R4402" t="inlineStr">
        <is>
          <t>Cardiology</t>
        </is>
      </c>
      <c r="S4402" s="70" t="n">
        <v>374</v>
      </c>
      <c r="T4402" s="71" t="n">
        <v>47921.04</v>
      </c>
      <c r="U4402" t="inlineStr">
        <is>
          <t>High</t>
        </is>
      </c>
      <c r="V4402">
        <f>IF(AND(OR(Dashboard!$C$6="All",E4402=Dashboard!$C$6),OR(Dashboard!$F$6="All",G4402=Dashboard!$F$6),OR(Dashboard!$I$6="All",H4402=Dashboard!$I$6)),1,0)</f>
        <v/>
      </c>
    </row>
    <row r="4403">
      <c r="A4403" t="inlineStr">
        <is>
          <t>PF104394</t>
        </is>
      </c>
      <c r="B4403" s="68" t="n">
        <v>46186</v>
      </c>
      <c r="C4403" s="69" t="n">
        <v>2026</v>
      </c>
      <c r="D4403" t="inlineStr">
        <is>
          <t>Jun</t>
        </is>
      </c>
      <c r="E4403" t="inlineStr">
        <is>
          <t>Europe</t>
        </is>
      </c>
      <c r="F4403" t="inlineStr">
        <is>
          <t>Spain</t>
        </is>
      </c>
      <c r="G4403" t="inlineStr">
        <is>
          <t>Eliquis</t>
        </is>
      </c>
      <c r="H4403" t="inlineStr">
        <is>
          <t>Government / tender</t>
        </is>
      </c>
      <c r="I4403" t="inlineStr">
        <is>
          <t>Private insurer</t>
        </is>
      </c>
      <c r="J4403" t="inlineStr">
        <is>
          <t>Kofi Mensah</t>
        </is>
      </c>
      <c r="K4403" s="70" t="n">
        <v>3068</v>
      </c>
      <c r="L4403" s="71" t="n">
        <v>389.81</v>
      </c>
      <c r="M4403" s="71" t="n">
        <v>1195937.08</v>
      </c>
      <c r="N4403" s="71" t="n">
        <v>59796.85</v>
      </c>
      <c r="O4403" s="71" t="n">
        <v>1136140.23</v>
      </c>
      <c r="P4403" s="71" t="n">
        <v>222674.47</v>
      </c>
      <c r="Q4403" s="71" t="n">
        <v>913465.76</v>
      </c>
      <c r="R4403" t="inlineStr">
        <is>
          <t>Cardiology</t>
        </is>
      </c>
      <c r="S4403" s="70" t="n">
        <v>2626</v>
      </c>
      <c r="T4403" s="71" t="n">
        <v>162620.3</v>
      </c>
      <c r="U4403" t="inlineStr">
        <is>
          <t>High</t>
        </is>
      </c>
      <c r="V4403">
        <f>IF(AND(OR(Dashboard!$C$6="All",E4403=Dashboard!$C$6),OR(Dashboard!$F$6="All",G4403=Dashboard!$F$6),OR(Dashboard!$I$6="All",H4403=Dashboard!$I$6)),1,0)</f>
        <v/>
      </c>
    </row>
    <row r="4404">
      <c r="A4404" t="inlineStr">
        <is>
          <t>PF104395</t>
        </is>
      </c>
      <c r="B4404" s="68" t="n">
        <v>46186</v>
      </c>
      <c r="C4404" s="69" t="n">
        <v>2026</v>
      </c>
      <c r="D4404" t="inlineStr">
        <is>
          <t>Jun</t>
        </is>
      </c>
      <c r="E4404" t="inlineStr">
        <is>
          <t>United States</t>
        </is>
      </c>
      <c r="F4404" t="inlineStr">
        <is>
          <t>USA</t>
        </is>
      </c>
      <c r="G4404" t="inlineStr">
        <is>
          <t>Prevnar 20</t>
        </is>
      </c>
      <c r="H4404" t="inlineStr">
        <is>
          <t>Government / tender</t>
        </is>
      </c>
      <c r="I4404" t="inlineStr">
        <is>
          <t>Self-pay</t>
        </is>
      </c>
      <c r="J4404" t="inlineStr">
        <is>
          <t>Carlos Silva</t>
        </is>
      </c>
      <c r="K4404" s="70" t="n">
        <v>364</v>
      </c>
      <c r="L4404" s="71" t="n">
        <v>384.91</v>
      </c>
      <c r="M4404" s="71" t="n">
        <v>140107.24</v>
      </c>
      <c r="N4404" s="71" t="n">
        <v>28021.45</v>
      </c>
      <c r="O4404" s="71" t="n">
        <v>112085.79</v>
      </c>
      <c r="P4404" s="71" t="n">
        <v>24144.27</v>
      </c>
      <c r="Q4404" s="71" t="n">
        <v>87941.52</v>
      </c>
      <c r="R4404" t="inlineStr">
        <is>
          <t>Vaccines</t>
        </is>
      </c>
      <c r="S4404" s="70" t="n">
        <v>282</v>
      </c>
      <c r="T4404" s="71" t="n">
        <v>27049.41</v>
      </c>
      <c r="U4404" t="inlineStr">
        <is>
          <t>Low</t>
        </is>
      </c>
      <c r="V4404">
        <f>IF(AND(OR(Dashboard!$C$6="All",E4404=Dashboard!$C$6),OR(Dashboard!$F$6="All",G4404=Dashboard!$F$6),OR(Dashboard!$I$6="All",H4404=Dashboard!$I$6)),1,0)</f>
        <v/>
      </c>
    </row>
    <row r="4405">
      <c r="A4405" t="inlineStr">
        <is>
          <t>PF104396</t>
        </is>
      </c>
      <c r="B4405" s="68" t="n">
        <v>46186</v>
      </c>
      <c r="C4405" s="69" t="n">
        <v>2026</v>
      </c>
      <c r="D4405" t="inlineStr">
        <is>
          <t>Jun</t>
        </is>
      </c>
      <c r="E4405" t="inlineStr">
        <is>
          <t>United States</t>
        </is>
      </c>
      <c r="F4405" t="inlineStr">
        <is>
          <t>USA</t>
        </is>
      </c>
      <c r="G4405" t="inlineStr">
        <is>
          <t>Abrysvo</t>
        </is>
      </c>
      <c r="H4405" t="inlineStr">
        <is>
          <t>Retail pharmacy</t>
        </is>
      </c>
      <c r="I4405" t="inlineStr">
        <is>
          <t>Public payer</t>
        </is>
      </c>
      <c r="J4405" t="inlineStr">
        <is>
          <t>Kofi Mensah</t>
        </is>
      </c>
      <c r="K4405" s="70" t="n">
        <v>1885</v>
      </c>
      <c r="L4405" s="71" t="n">
        <v>482.16</v>
      </c>
      <c r="M4405" s="71" t="n">
        <v>908871.6</v>
      </c>
      <c r="N4405" s="71" t="n">
        <v>272661.48</v>
      </c>
      <c r="O4405" s="71" t="n">
        <v>636210.12</v>
      </c>
      <c r="P4405" s="71" t="n">
        <v>155464.87</v>
      </c>
      <c r="Q4405" s="71" t="n">
        <v>480745.25</v>
      </c>
      <c r="R4405" t="inlineStr">
        <is>
          <t>Vaccines</t>
        </is>
      </c>
      <c r="S4405" s="70" t="n">
        <v>1463</v>
      </c>
      <c r="T4405" s="71" t="n">
        <v>99073.3</v>
      </c>
      <c r="U4405" t="inlineStr">
        <is>
          <t>Low</t>
        </is>
      </c>
      <c r="V4405">
        <f>IF(AND(OR(Dashboard!$C$6="All",E4405=Dashboard!$C$6),OR(Dashboard!$F$6="All",G4405=Dashboard!$F$6),OR(Dashboard!$I$6="All",H4405=Dashboard!$I$6)),1,0)</f>
        <v/>
      </c>
    </row>
    <row r="4406">
      <c r="A4406" t="inlineStr">
        <is>
          <t>PF104397</t>
        </is>
      </c>
      <c r="B4406" s="68" t="n">
        <v>46186</v>
      </c>
      <c r="C4406" s="69" t="n">
        <v>2026</v>
      </c>
      <c r="D4406" t="inlineStr">
        <is>
          <t>Jun</t>
        </is>
      </c>
      <c r="E4406" t="inlineStr">
        <is>
          <t>Emerging markets</t>
        </is>
      </c>
      <c r="F4406" t="inlineStr">
        <is>
          <t>Mexico</t>
        </is>
      </c>
      <c r="G4406" t="inlineStr">
        <is>
          <t>Comirnaty</t>
        </is>
      </c>
      <c r="H4406" t="inlineStr">
        <is>
          <t>Government / tender</t>
        </is>
      </c>
      <c r="I4406" t="inlineStr">
        <is>
          <t>Private insurer</t>
        </is>
      </c>
      <c r="J4406" t="inlineStr">
        <is>
          <t>Ravindra Patil</t>
        </is>
      </c>
      <c r="K4406" s="70" t="n">
        <v>1060</v>
      </c>
      <c r="L4406" s="71" t="n">
        <v>96.13</v>
      </c>
      <c r="M4406" s="71" t="n">
        <v>101897.8</v>
      </c>
      <c r="N4406" s="71" t="n">
        <v>25474.45</v>
      </c>
      <c r="O4406" s="71" t="n">
        <v>76423.35000000001</v>
      </c>
      <c r="P4406" s="71" t="n">
        <v>41473.04</v>
      </c>
      <c r="Q4406" s="71" t="n">
        <v>34950.31</v>
      </c>
      <c r="R4406" t="inlineStr">
        <is>
          <t>Vaccines</t>
        </is>
      </c>
      <c r="S4406" s="70" t="n">
        <v>771</v>
      </c>
      <c r="T4406" s="71" t="n">
        <v>21504.76</v>
      </c>
      <c r="U4406" t="inlineStr">
        <is>
          <t>Low</t>
        </is>
      </c>
      <c r="V4406">
        <f>IF(AND(OR(Dashboard!$C$6="All",E4406=Dashboard!$C$6),OR(Dashboard!$F$6="All",G4406=Dashboard!$F$6),OR(Dashboard!$I$6="All",H4406=Dashboard!$I$6)),1,0)</f>
        <v/>
      </c>
    </row>
    <row r="4407">
      <c r="A4407" t="inlineStr">
        <is>
          <t>PF104398</t>
        </is>
      </c>
      <c r="B4407" s="68" t="n">
        <v>46186</v>
      </c>
      <c r="C4407" s="69" t="n">
        <v>2026</v>
      </c>
      <c r="D4407" t="inlineStr">
        <is>
          <t>Jun</t>
        </is>
      </c>
      <c r="E4407" t="inlineStr">
        <is>
          <t>Emerging markets</t>
        </is>
      </c>
      <c r="F4407" t="inlineStr">
        <is>
          <t>China</t>
        </is>
      </c>
      <c r="G4407" t="inlineStr">
        <is>
          <t>Eliquis</t>
        </is>
      </c>
      <c r="H4407" t="inlineStr">
        <is>
          <t>Government / tender</t>
        </is>
      </c>
      <c r="I4407" t="inlineStr">
        <is>
          <t>Self-pay</t>
        </is>
      </c>
      <c r="J4407" t="inlineStr">
        <is>
          <t>Lucas Martin</t>
        </is>
      </c>
      <c r="K4407" s="70" t="n">
        <v>1071</v>
      </c>
      <c r="L4407" s="71" t="n">
        <v>413.25</v>
      </c>
      <c r="M4407" s="71" t="n">
        <v>442590.75</v>
      </c>
      <c r="N4407" s="71" t="n">
        <v>22129.54</v>
      </c>
      <c r="O4407" s="71" t="n">
        <v>420461.21</v>
      </c>
      <c r="P4407" s="71" t="n">
        <v>81681.16</v>
      </c>
      <c r="Q4407" s="71" t="n">
        <v>338780.05</v>
      </c>
      <c r="R4407" t="inlineStr">
        <is>
          <t>Cardiology</t>
        </is>
      </c>
      <c r="S4407" s="70" t="n">
        <v>1000</v>
      </c>
      <c r="T4407" s="71" t="n">
        <v>62808.95</v>
      </c>
      <c r="U4407" t="inlineStr">
        <is>
          <t>High</t>
        </is>
      </c>
      <c r="V4407">
        <f>IF(AND(OR(Dashboard!$C$6="All",E4407=Dashboard!$C$6),OR(Dashboard!$F$6="All",G4407=Dashboard!$F$6),OR(Dashboard!$I$6="All",H4407=Dashboard!$I$6)),1,0)</f>
        <v/>
      </c>
    </row>
    <row r="4408">
      <c r="A4408" t="inlineStr">
        <is>
          <t>PF104399</t>
        </is>
      </c>
      <c r="B4408" s="68" t="n">
        <v>46187</v>
      </c>
      <c r="C4408" s="69" t="n">
        <v>2026</v>
      </c>
      <c r="D4408" t="inlineStr">
        <is>
          <t>Jun</t>
        </is>
      </c>
      <c r="E4408" t="inlineStr">
        <is>
          <t>United States</t>
        </is>
      </c>
      <c r="F4408" t="inlineStr">
        <is>
          <t>USA</t>
        </is>
      </c>
      <c r="G4408" t="inlineStr">
        <is>
          <t>Vyndaqel</t>
        </is>
      </c>
      <c r="H4408" t="inlineStr">
        <is>
          <t>Hospital</t>
        </is>
      </c>
      <c r="I4408" t="inlineStr">
        <is>
          <t>Private insurer</t>
        </is>
      </c>
      <c r="J4408" t="inlineStr">
        <is>
          <t>Amir Khan</t>
        </is>
      </c>
      <c r="K4408" s="70" t="n">
        <v>560</v>
      </c>
      <c r="L4408" s="71" t="n">
        <v>9584.879999999999</v>
      </c>
      <c r="M4408" s="71" t="n">
        <v>5367532.8</v>
      </c>
      <c r="N4408" s="71" t="n">
        <v>805129.92</v>
      </c>
      <c r="O4408" s="71" t="n">
        <v>4562402.88</v>
      </c>
      <c r="P4408" s="71" t="n">
        <v>356397.18</v>
      </c>
      <c r="Q4408" s="71" t="n">
        <v>4206005.7</v>
      </c>
      <c r="R4408" t="inlineStr">
        <is>
          <t>Rare disease</t>
        </is>
      </c>
      <c r="S4408" s="70" t="n">
        <v>542</v>
      </c>
      <c r="T4408" s="71" t="n">
        <v>862032.53</v>
      </c>
      <c r="U4408" t="inlineStr">
        <is>
          <t>Medium</t>
        </is>
      </c>
      <c r="V4408">
        <f>IF(AND(OR(Dashboard!$C$6="All",E4408=Dashboard!$C$6),OR(Dashboard!$F$6="All",G4408=Dashboard!$F$6),OR(Dashboard!$I$6="All",H4408=Dashboard!$I$6)),1,0)</f>
        <v/>
      </c>
    </row>
    <row r="4409">
      <c r="A4409" t="inlineStr">
        <is>
          <t>PF104400</t>
        </is>
      </c>
      <c r="B4409" s="68" t="n">
        <v>46187</v>
      </c>
      <c r="C4409" s="69" t="n">
        <v>2026</v>
      </c>
      <c r="D4409" t="inlineStr">
        <is>
          <t>Jun</t>
        </is>
      </c>
      <c r="E4409" t="inlineStr">
        <is>
          <t>United States</t>
        </is>
      </c>
      <c r="F4409" t="inlineStr">
        <is>
          <t>USA</t>
        </is>
      </c>
      <c r="G4409" t="inlineStr">
        <is>
          <t>Comirnaty</t>
        </is>
      </c>
      <c r="H4409" t="inlineStr">
        <is>
          <t>Hospital</t>
        </is>
      </c>
      <c r="I4409" t="inlineStr">
        <is>
          <t>Public payer</t>
        </is>
      </c>
      <c r="J4409" t="inlineStr">
        <is>
          <t>Zoya Ahmed</t>
        </is>
      </c>
      <c r="K4409" s="70" t="n">
        <v>517</v>
      </c>
      <c r="L4409" s="71" t="n">
        <v>153.89</v>
      </c>
      <c r="M4409" s="71" t="n">
        <v>79561.13</v>
      </c>
      <c r="N4409" s="71" t="n">
        <v>19890.28</v>
      </c>
      <c r="O4409" s="71" t="n">
        <v>59670.85</v>
      </c>
      <c r="P4409" s="71" t="n">
        <v>19201.1</v>
      </c>
      <c r="Q4409" s="71" t="n">
        <v>40469.75</v>
      </c>
      <c r="R4409" t="inlineStr">
        <is>
          <t>Vaccines</t>
        </is>
      </c>
      <c r="S4409" s="70" t="n">
        <v>389</v>
      </c>
      <c r="T4409" s="71" t="n">
        <v>17156.79</v>
      </c>
      <c r="U4409" t="inlineStr">
        <is>
          <t>Low</t>
        </is>
      </c>
      <c r="V4409">
        <f>IF(AND(OR(Dashboard!$C$6="All",E4409=Dashboard!$C$6),OR(Dashboard!$F$6="All",G4409=Dashboard!$F$6),OR(Dashboard!$I$6="All",H4409=Dashboard!$I$6)),1,0)</f>
        <v/>
      </c>
    </row>
    <row r="4410">
      <c r="A4410" t="inlineStr">
        <is>
          <t>PF104401</t>
        </is>
      </c>
      <c r="B4410" s="68" t="n">
        <v>46187</v>
      </c>
      <c r="C4410" s="69" t="n">
        <v>2026</v>
      </c>
      <c r="D4410" t="inlineStr">
        <is>
          <t>Jun</t>
        </is>
      </c>
      <c r="E4410" t="inlineStr">
        <is>
          <t>United States</t>
        </is>
      </c>
      <c r="F4410" t="inlineStr">
        <is>
          <t>USA</t>
        </is>
      </c>
      <c r="G4410" t="inlineStr">
        <is>
          <t>Ibrance</t>
        </is>
      </c>
      <c r="H4410" t="inlineStr">
        <is>
          <t>Retail pharmacy</t>
        </is>
      </c>
      <c r="I4410" t="inlineStr">
        <is>
          <t>Private insurer</t>
        </is>
      </c>
      <c r="J4410" t="inlineStr">
        <is>
          <t>Lucas Martin</t>
        </is>
      </c>
      <c r="K4410" s="70" t="n">
        <v>2658</v>
      </c>
      <c r="L4410" s="71" t="n">
        <v>4354.15</v>
      </c>
      <c r="M4410" s="71" t="n">
        <v>11573330.7</v>
      </c>
      <c r="N4410" s="71" t="n">
        <v>1735999.61</v>
      </c>
      <c r="O4410" s="71" t="n">
        <v>9837331.09</v>
      </c>
      <c r="P4410" s="71" t="n">
        <v>1179132.25</v>
      </c>
      <c r="Q4410" s="71" t="n">
        <v>8658198.84</v>
      </c>
      <c r="R4410" t="inlineStr">
        <is>
          <t>Oncology</t>
        </is>
      </c>
      <c r="S4410" s="70" t="n">
        <v>2061</v>
      </c>
      <c r="T4410" s="71" t="n">
        <v>1754259.45</v>
      </c>
      <c r="U4410" t="inlineStr">
        <is>
          <t>High</t>
        </is>
      </c>
      <c r="V4410">
        <f>IF(AND(OR(Dashboard!$C$6="All",E4410=Dashboard!$C$6),OR(Dashboard!$F$6="All",G4410=Dashboard!$F$6),OR(Dashboard!$I$6="All",H4410=Dashboard!$I$6)),1,0)</f>
        <v/>
      </c>
    </row>
    <row r="4411">
      <c r="A4411" t="inlineStr">
        <is>
          <t>PF104402</t>
        </is>
      </c>
      <c r="B4411" s="68" t="n">
        <v>46187</v>
      </c>
      <c r="C4411" s="69" t="n">
        <v>2026</v>
      </c>
      <c r="D4411" t="inlineStr">
        <is>
          <t>Jun</t>
        </is>
      </c>
      <c r="E4411" t="inlineStr">
        <is>
          <t>International developed</t>
        </is>
      </c>
      <c r="F4411" t="inlineStr">
        <is>
          <t>Canada</t>
        </is>
      </c>
      <c r="G4411" t="inlineStr">
        <is>
          <t>Eliquis</t>
        </is>
      </c>
      <c r="H4411" t="inlineStr">
        <is>
          <t>Government / tender</t>
        </is>
      </c>
      <c r="I4411" t="inlineStr">
        <is>
          <t>Self-pay</t>
        </is>
      </c>
      <c r="J4411" t="inlineStr">
        <is>
          <t>Arjun Mehta</t>
        </is>
      </c>
      <c r="K4411" s="70" t="n">
        <v>1326</v>
      </c>
      <c r="L4411" s="71" t="n">
        <v>434.59</v>
      </c>
      <c r="M4411" s="71" t="n">
        <v>576266.34</v>
      </c>
      <c r="N4411" s="71" t="n">
        <v>115253.27</v>
      </c>
      <c r="O4411" s="71" t="n">
        <v>461013.07</v>
      </c>
      <c r="P4411" s="71" t="n">
        <v>102843.31</v>
      </c>
      <c r="Q4411" s="71" t="n">
        <v>358169.76</v>
      </c>
      <c r="R4411" t="inlineStr">
        <is>
          <t>Cardiology</t>
        </is>
      </c>
      <c r="S4411" s="70" t="n">
        <v>1017</v>
      </c>
      <c r="T4411" s="71" t="n">
        <v>123058.2</v>
      </c>
      <c r="U4411" t="inlineStr">
        <is>
          <t>High</t>
        </is>
      </c>
      <c r="V4411">
        <f>IF(AND(OR(Dashboard!$C$6="All",E4411=Dashboard!$C$6),OR(Dashboard!$F$6="All",G4411=Dashboard!$F$6),OR(Dashboard!$I$6="All",H4411=Dashboard!$I$6)),1,0)</f>
        <v/>
      </c>
    </row>
    <row r="4412">
      <c r="A4412" t="inlineStr">
        <is>
          <t>PF104403</t>
        </is>
      </c>
      <c r="B4412" s="68" t="n">
        <v>46187</v>
      </c>
      <c r="C4412" s="69" t="n">
        <v>2026</v>
      </c>
      <c r="D4412" t="inlineStr">
        <is>
          <t>Jun</t>
        </is>
      </c>
      <c r="E4412" t="inlineStr">
        <is>
          <t>United States</t>
        </is>
      </c>
      <c r="F4412" t="inlineStr">
        <is>
          <t>USA</t>
        </is>
      </c>
      <c r="G4412" t="inlineStr">
        <is>
          <t>Prevnar 20</t>
        </is>
      </c>
      <c r="H4412" t="inlineStr">
        <is>
          <t>Hospital</t>
        </is>
      </c>
      <c r="I4412" t="inlineStr">
        <is>
          <t>Public payer</t>
        </is>
      </c>
      <c r="J4412" t="inlineStr">
        <is>
          <t>Zoya Ahmed</t>
        </is>
      </c>
      <c r="K4412" s="70" t="n">
        <v>2130</v>
      </c>
      <c r="L4412" s="71" t="n">
        <v>350.98</v>
      </c>
      <c r="M4412" s="71" t="n">
        <v>747587.4</v>
      </c>
      <c r="N4412" s="71" t="n">
        <v>261655.59</v>
      </c>
      <c r="O4412" s="71" t="n">
        <v>485931.81</v>
      </c>
      <c r="P4412" s="71" t="n">
        <v>151019.16</v>
      </c>
      <c r="Q4412" s="71" t="n">
        <v>334912.65</v>
      </c>
      <c r="R4412" t="inlineStr">
        <is>
          <t>Vaccines</t>
        </is>
      </c>
      <c r="S4412" s="70" t="n">
        <v>1623</v>
      </c>
      <c r="T4412" s="71" t="n">
        <v>141489.63</v>
      </c>
      <c r="U4412" t="inlineStr">
        <is>
          <t>Low</t>
        </is>
      </c>
      <c r="V4412">
        <f>IF(AND(OR(Dashboard!$C$6="All",E4412=Dashboard!$C$6),OR(Dashboard!$F$6="All",G4412=Dashboard!$F$6),OR(Dashboard!$I$6="All",H4412=Dashboard!$I$6)),1,0)</f>
        <v/>
      </c>
    </row>
    <row r="4413">
      <c r="A4413" t="inlineStr">
        <is>
          <t>PF104404</t>
        </is>
      </c>
      <c r="B4413" s="68" t="n">
        <v>46187</v>
      </c>
      <c r="C4413" s="69" t="n">
        <v>2026</v>
      </c>
      <c r="D4413" t="inlineStr">
        <is>
          <t>Jun</t>
        </is>
      </c>
      <c r="E4413" t="inlineStr">
        <is>
          <t>Europe</t>
        </is>
      </c>
      <c r="F4413" t="inlineStr">
        <is>
          <t>Italy</t>
        </is>
      </c>
      <c r="G4413" t="inlineStr">
        <is>
          <t>Comirnaty</t>
        </is>
      </c>
      <c r="H4413" t="inlineStr">
        <is>
          <t>Hospital</t>
        </is>
      </c>
      <c r="I4413" t="inlineStr">
        <is>
          <t>Private insurer</t>
        </is>
      </c>
      <c r="J4413" t="inlineStr">
        <is>
          <t>Sophie Müller</t>
        </is>
      </c>
      <c r="K4413" s="70" t="n">
        <v>2028</v>
      </c>
      <c r="L4413" s="71" t="n">
        <v>90.93000000000001</v>
      </c>
      <c r="M4413" s="71" t="n">
        <v>184406.04</v>
      </c>
      <c r="N4413" s="71" t="n">
        <v>18440.6</v>
      </c>
      <c r="O4413" s="71" t="n">
        <v>165965.44</v>
      </c>
      <c r="P4413" s="71" t="n">
        <v>79650.98</v>
      </c>
      <c r="Q4413" s="71" t="n">
        <v>86314.46000000001</v>
      </c>
      <c r="R4413" t="inlineStr">
        <is>
          <t>Vaccines</t>
        </is>
      </c>
      <c r="S4413" s="70" t="n">
        <v>1398</v>
      </c>
      <c r="T4413" s="71" t="n">
        <v>49589.32</v>
      </c>
      <c r="U4413" t="inlineStr">
        <is>
          <t>Low</t>
        </is>
      </c>
      <c r="V4413">
        <f>IF(AND(OR(Dashboard!$C$6="All",E4413=Dashboard!$C$6),OR(Dashboard!$F$6="All",G4413=Dashboard!$F$6),OR(Dashboard!$I$6="All",H4413=Dashboard!$I$6)),1,0)</f>
        <v/>
      </c>
    </row>
    <row r="4414">
      <c r="A4414" t="inlineStr">
        <is>
          <t>PF104405</t>
        </is>
      </c>
      <c r="B4414" s="68" t="n">
        <v>46187</v>
      </c>
      <c r="C4414" s="69" t="n">
        <v>2026</v>
      </c>
      <c r="D4414" t="inlineStr">
        <is>
          <t>Jun</t>
        </is>
      </c>
      <c r="E4414" t="inlineStr">
        <is>
          <t>United States</t>
        </is>
      </c>
      <c r="F4414" t="inlineStr">
        <is>
          <t>USA</t>
        </is>
      </c>
      <c r="G4414" t="inlineStr">
        <is>
          <t>Eliquis</t>
        </is>
      </c>
      <c r="H4414" t="inlineStr">
        <is>
          <t>Retail pharmacy</t>
        </is>
      </c>
      <c r="I4414" t="inlineStr">
        <is>
          <t>Self-pay</t>
        </is>
      </c>
      <c r="J4414" t="inlineStr">
        <is>
          <t>Arjun Mehta</t>
        </is>
      </c>
      <c r="K4414" s="70" t="n">
        <v>1048</v>
      </c>
      <c r="L4414" s="71" t="n">
        <v>653.09</v>
      </c>
      <c r="M4414" s="71" t="n">
        <v>684438.3199999999</v>
      </c>
      <c r="N4414" s="71" t="n">
        <v>102665.75</v>
      </c>
      <c r="O4414" s="71" t="n">
        <v>581772.5699999999</v>
      </c>
      <c r="P4414" s="71" t="n">
        <v>79905.95</v>
      </c>
      <c r="Q4414" s="71" t="n">
        <v>501866.62</v>
      </c>
      <c r="R4414" t="inlineStr">
        <is>
          <t>Cardiology</t>
        </is>
      </c>
      <c r="S4414" s="70" t="n">
        <v>992</v>
      </c>
      <c r="T4414" s="71" t="n">
        <v>94775.58</v>
      </c>
      <c r="U4414" t="inlineStr">
        <is>
          <t>High</t>
        </is>
      </c>
      <c r="V4414">
        <f>IF(AND(OR(Dashboard!$C$6="All",E4414=Dashboard!$C$6),OR(Dashboard!$F$6="All",G4414=Dashboard!$F$6),OR(Dashboard!$I$6="All",H4414=Dashboard!$I$6)),1,0)</f>
        <v/>
      </c>
    </row>
    <row r="4415">
      <c r="A4415" t="inlineStr">
        <is>
          <t>PF104406</t>
        </is>
      </c>
      <c r="B4415" s="68" t="n">
        <v>46187</v>
      </c>
      <c r="C4415" s="69" t="n">
        <v>2026</v>
      </c>
      <c r="D4415" t="inlineStr">
        <is>
          <t>Jun</t>
        </is>
      </c>
      <c r="E4415" t="inlineStr">
        <is>
          <t>Emerging markets</t>
        </is>
      </c>
      <c r="F4415" t="inlineStr">
        <is>
          <t>Brazil</t>
        </is>
      </c>
      <c r="G4415" t="inlineStr">
        <is>
          <t>Paxlovid</t>
        </is>
      </c>
      <c r="H4415" t="inlineStr">
        <is>
          <t>Government / tender</t>
        </is>
      </c>
      <c r="I4415" t="inlineStr">
        <is>
          <t>Private insurer</t>
        </is>
      </c>
      <c r="J4415" t="inlineStr">
        <is>
          <t>Ravindra Patil</t>
        </is>
      </c>
      <c r="K4415" s="70" t="n">
        <v>943</v>
      </c>
      <c r="L4415" s="71" t="n">
        <v>932.03</v>
      </c>
      <c r="M4415" s="71" t="n">
        <v>878904.29</v>
      </c>
      <c r="N4415" s="71" t="n">
        <v>175780.86</v>
      </c>
      <c r="O4415" s="71" t="n">
        <v>703123.4300000001</v>
      </c>
      <c r="P4415" s="71" t="n">
        <v>264584.85</v>
      </c>
      <c r="Q4415" s="71" t="n">
        <v>438538.58</v>
      </c>
      <c r="R4415" t="inlineStr">
        <is>
          <t>Antiviral</t>
        </is>
      </c>
      <c r="S4415" s="70" t="n">
        <v>815</v>
      </c>
      <c r="T4415" s="71" t="n">
        <v>174469.52</v>
      </c>
      <c r="U4415" t="inlineStr">
        <is>
          <t>Low</t>
        </is>
      </c>
      <c r="V4415">
        <f>IF(AND(OR(Dashboard!$C$6="All",E4415=Dashboard!$C$6),OR(Dashboard!$F$6="All",G4415=Dashboard!$F$6),OR(Dashboard!$I$6="All",H4415=Dashboard!$I$6)),1,0)</f>
        <v/>
      </c>
    </row>
    <row r="4416">
      <c r="A4416" t="inlineStr">
        <is>
          <t>PF104407</t>
        </is>
      </c>
      <c r="B4416" s="68" t="n">
        <v>46187</v>
      </c>
      <c r="C4416" s="69" t="n">
        <v>2026</v>
      </c>
      <c r="D4416" t="inlineStr">
        <is>
          <t>Jun</t>
        </is>
      </c>
      <c r="E4416" t="inlineStr">
        <is>
          <t>Emerging markets</t>
        </is>
      </c>
      <c r="F4416" t="inlineStr">
        <is>
          <t>China</t>
        </is>
      </c>
      <c r="G4416" t="inlineStr">
        <is>
          <t>Eliquis</t>
        </is>
      </c>
      <c r="H4416" t="inlineStr">
        <is>
          <t>Hospital</t>
        </is>
      </c>
      <c r="I4416" t="inlineStr">
        <is>
          <t>Private insurer</t>
        </is>
      </c>
      <c r="J4416" t="inlineStr">
        <is>
          <t>Ravindra Patil</t>
        </is>
      </c>
      <c r="K4416" s="70" t="n">
        <v>315</v>
      </c>
      <c r="L4416" s="71" t="n">
        <v>474.96</v>
      </c>
      <c r="M4416" s="71" t="n">
        <v>149612.4</v>
      </c>
      <c r="N4416" s="71" t="n">
        <v>22441.86</v>
      </c>
      <c r="O4416" s="71" t="n">
        <v>127170.54</v>
      </c>
      <c r="P4416" s="71" t="n">
        <v>24099.73</v>
      </c>
      <c r="Q4416" s="71" t="n">
        <v>103070.81</v>
      </c>
      <c r="R4416" t="inlineStr">
        <is>
          <t>Cardiology</t>
        </is>
      </c>
      <c r="S4416" s="70" t="n">
        <v>259</v>
      </c>
      <c r="T4416" s="71" t="n">
        <v>28550.89</v>
      </c>
      <c r="U4416" t="inlineStr">
        <is>
          <t>High</t>
        </is>
      </c>
      <c r="V4416">
        <f>IF(AND(OR(Dashboard!$C$6="All",E4416=Dashboard!$C$6),OR(Dashboard!$F$6="All",G4416=Dashboard!$F$6),OR(Dashboard!$I$6="All",H4416=Dashboard!$I$6)),1,0)</f>
        <v/>
      </c>
    </row>
    <row r="4417">
      <c r="A4417" t="inlineStr">
        <is>
          <t>PF104408</t>
        </is>
      </c>
      <c r="B4417" s="68" t="n">
        <v>46187</v>
      </c>
      <c r="C4417" s="69" t="n">
        <v>2026</v>
      </c>
      <c r="D4417" t="inlineStr">
        <is>
          <t>Jun</t>
        </is>
      </c>
      <c r="E4417" t="inlineStr">
        <is>
          <t>United States</t>
        </is>
      </c>
      <c r="F4417" t="inlineStr">
        <is>
          <t>USA</t>
        </is>
      </c>
      <c r="G4417" t="inlineStr">
        <is>
          <t>Xeljanz</t>
        </is>
      </c>
      <c r="H4417" t="inlineStr">
        <is>
          <t>Retail pharmacy</t>
        </is>
      </c>
      <c r="I4417" t="inlineStr">
        <is>
          <t>Private insurer</t>
        </is>
      </c>
      <c r="J4417" t="inlineStr">
        <is>
          <t>Noah Smith</t>
        </is>
      </c>
      <c r="K4417" s="70" t="n">
        <v>2721</v>
      </c>
      <c r="L4417" s="71" t="n">
        <v>2025.2</v>
      </c>
      <c r="M4417" s="71" t="n">
        <v>5510569.2</v>
      </c>
      <c r="N4417" s="71" t="n">
        <v>1653170.76</v>
      </c>
      <c r="O4417" s="71" t="n">
        <v>3857398.44</v>
      </c>
      <c r="P4417" s="71" t="n">
        <v>692590.61</v>
      </c>
      <c r="Q4417" s="71" t="n">
        <v>3164807.83</v>
      </c>
      <c r="R4417" t="inlineStr">
        <is>
          <t>Inflammation</t>
        </is>
      </c>
      <c r="S4417" s="70" t="n">
        <v>1777</v>
      </c>
      <c r="T4417" s="71" t="n">
        <v>774009.16</v>
      </c>
      <c r="U4417" t="inlineStr">
        <is>
          <t>High</t>
        </is>
      </c>
      <c r="V4417">
        <f>IF(AND(OR(Dashboard!$C$6="All",E4417=Dashboard!$C$6),OR(Dashboard!$F$6="All",G4417=Dashboard!$F$6),OR(Dashboard!$I$6="All",H4417=Dashboard!$I$6)),1,0)</f>
        <v/>
      </c>
    </row>
    <row r="4418">
      <c r="A4418" t="inlineStr">
        <is>
          <t>PF104409</t>
        </is>
      </c>
      <c r="B4418" s="68" t="n">
        <v>46188</v>
      </c>
      <c r="C4418" s="69" t="n">
        <v>2026</v>
      </c>
      <c r="D4418" t="inlineStr">
        <is>
          <t>Jun</t>
        </is>
      </c>
      <c r="E4418" t="inlineStr">
        <is>
          <t>United States</t>
        </is>
      </c>
      <c r="F4418" t="inlineStr">
        <is>
          <t>USA</t>
        </is>
      </c>
      <c r="G4418" t="inlineStr">
        <is>
          <t>Vyndaqel</t>
        </is>
      </c>
      <c r="H4418" t="inlineStr">
        <is>
          <t>Retail pharmacy</t>
        </is>
      </c>
      <c r="I4418" t="inlineStr">
        <is>
          <t>Private insurer</t>
        </is>
      </c>
      <c r="J4418" t="inlineStr">
        <is>
          <t>Aisha Bello</t>
        </is>
      </c>
      <c r="K4418" s="70" t="n">
        <v>2395</v>
      </c>
      <c r="L4418" s="71" t="n">
        <v>9901.92</v>
      </c>
      <c r="M4418" s="71" t="n">
        <v>23715098.4</v>
      </c>
      <c r="N4418" s="71" t="n">
        <v>7114529.52</v>
      </c>
      <c r="O4418" s="71" t="n">
        <v>16600568.88</v>
      </c>
      <c r="P4418" s="71" t="n">
        <v>1478297.95</v>
      </c>
      <c r="Q4418" s="71" t="n">
        <v>15122270.93</v>
      </c>
      <c r="R4418" t="inlineStr">
        <is>
          <t>Rare disease</t>
        </is>
      </c>
      <c r="S4418" s="70" t="n">
        <v>1950</v>
      </c>
      <c r="T4418" s="71" t="n">
        <v>4425174.92</v>
      </c>
      <c r="U4418" t="inlineStr">
        <is>
          <t>Medium</t>
        </is>
      </c>
      <c r="V4418">
        <f>IF(AND(OR(Dashboard!$C$6="All",E4418=Dashboard!$C$6),OR(Dashboard!$F$6="All",G4418=Dashboard!$F$6),OR(Dashboard!$I$6="All",H4418=Dashboard!$I$6)),1,0)</f>
        <v/>
      </c>
    </row>
    <row r="4419">
      <c r="A4419" t="inlineStr">
        <is>
          <t>PF104410</t>
        </is>
      </c>
      <c r="B4419" s="68" t="n">
        <v>46188</v>
      </c>
      <c r="C4419" s="69" t="n">
        <v>2026</v>
      </c>
      <c r="D4419" t="inlineStr">
        <is>
          <t>Jun</t>
        </is>
      </c>
      <c r="E4419" t="inlineStr">
        <is>
          <t>United States</t>
        </is>
      </c>
      <c r="F4419" t="inlineStr">
        <is>
          <t>USA</t>
        </is>
      </c>
      <c r="G4419" t="inlineStr">
        <is>
          <t>Prevnar 20</t>
        </is>
      </c>
      <c r="H4419" t="inlineStr">
        <is>
          <t>Government / tender</t>
        </is>
      </c>
      <c r="I4419" t="inlineStr">
        <is>
          <t>Public payer</t>
        </is>
      </c>
      <c r="J4419" t="inlineStr">
        <is>
          <t>Noah Smith</t>
        </is>
      </c>
      <c r="K4419" s="70" t="n">
        <v>465</v>
      </c>
      <c r="L4419" s="71" t="n">
        <v>343.19</v>
      </c>
      <c r="M4419" s="71" t="n">
        <v>159583.35</v>
      </c>
      <c r="N4419" s="71" t="n">
        <v>39895.84</v>
      </c>
      <c r="O4419" s="71" t="n">
        <v>119687.51</v>
      </c>
      <c r="P4419" s="71" t="n">
        <v>31455.43</v>
      </c>
      <c r="Q4419" s="71" t="n">
        <v>88232.08</v>
      </c>
      <c r="R4419" t="inlineStr">
        <is>
          <t>Vaccines</t>
        </is>
      </c>
      <c r="S4419" s="70" t="n">
        <v>355</v>
      </c>
      <c r="T4419" s="71" t="n">
        <v>30057.42</v>
      </c>
      <c r="U4419" t="inlineStr">
        <is>
          <t>Low</t>
        </is>
      </c>
      <c r="V4419">
        <f>IF(AND(OR(Dashboard!$C$6="All",E4419=Dashboard!$C$6),OR(Dashboard!$F$6="All",G4419=Dashboard!$F$6),OR(Dashboard!$I$6="All",H4419=Dashboard!$I$6)),1,0)</f>
        <v/>
      </c>
    </row>
    <row r="4420">
      <c r="A4420" t="inlineStr">
        <is>
          <t>PF104411</t>
        </is>
      </c>
      <c r="B4420" s="68" t="n">
        <v>46188</v>
      </c>
      <c r="C4420" s="69" t="n">
        <v>2026</v>
      </c>
      <c r="D4420" t="inlineStr">
        <is>
          <t>Jun</t>
        </is>
      </c>
      <c r="E4420" t="inlineStr">
        <is>
          <t>United States</t>
        </is>
      </c>
      <c r="F4420" t="inlineStr">
        <is>
          <t>USA</t>
        </is>
      </c>
      <c r="G4420" t="inlineStr">
        <is>
          <t>Ibrance</t>
        </is>
      </c>
      <c r="H4420" t="inlineStr">
        <is>
          <t>Hospital</t>
        </is>
      </c>
      <c r="I4420" t="inlineStr">
        <is>
          <t>Private insurer</t>
        </is>
      </c>
      <c r="J4420" t="inlineStr">
        <is>
          <t>Mei Lin</t>
        </is>
      </c>
      <c r="K4420" s="70" t="n">
        <v>1545</v>
      </c>
      <c r="L4420" s="71" t="n">
        <v>4159.49</v>
      </c>
      <c r="M4420" s="71" t="n">
        <v>6426412.05</v>
      </c>
      <c r="N4420" s="71" t="n">
        <v>2249244.22</v>
      </c>
      <c r="O4420" s="71" t="n">
        <v>4177167.83</v>
      </c>
      <c r="P4420" s="71" t="n">
        <v>671326.66</v>
      </c>
      <c r="Q4420" s="71" t="n">
        <v>3505841.17</v>
      </c>
      <c r="R4420" t="inlineStr">
        <is>
          <t>Oncology</t>
        </is>
      </c>
      <c r="S4420" s="70" t="n">
        <v>1426</v>
      </c>
      <c r="T4420" s="71" t="n">
        <v>888379.11</v>
      </c>
      <c r="U4420" t="inlineStr">
        <is>
          <t>High</t>
        </is>
      </c>
      <c r="V4420">
        <f>IF(AND(OR(Dashboard!$C$6="All",E4420=Dashboard!$C$6),OR(Dashboard!$F$6="All",G4420=Dashboard!$F$6),OR(Dashboard!$I$6="All",H4420=Dashboard!$I$6)),1,0)</f>
        <v/>
      </c>
    </row>
    <row r="4421">
      <c r="A4421" t="inlineStr">
        <is>
          <t>PF104412</t>
        </is>
      </c>
      <c r="B4421" s="68" t="n">
        <v>46188</v>
      </c>
      <c r="C4421" s="69" t="n">
        <v>2026</v>
      </c>
      <c r="D4421" t="inlineStr">
        <is>
          <t>Jun</t>
        </is>
      </c>
      <c r="E4421" t="inlineStr">
        <is>
          <t>United States</t>
        </is>
      </c>
      <c r="F4421" t="inlineStr">
        <is>
          <t>USA</t>
        </is>
      </c>
      <c r="G4421" t="inlineStr">
        <is>
          <t>Eliquis</t>
        </is>
      </c>
      <c r="H4421" t="inlineStr">
        <is>
          <t>Retail pharmacy</t>
        </is>
      </c>
      <c r="I4421" t="inlineStr">
        <is>
          <t>Public payer</t>
        </is>
      </c>
      <c r="J4421" t="inlineStr">
        <is>
          <t>Olivia Brown</t>
        </is>
      </c>
      <c r="K4421" s="70" t="n">
        <v>917</v>
      </c>
      <c r="L4421" s="71" t="n">
        <v>691.13</v>
      </c>
      <c r="M4421" s="71" t="n">
        <v>633766.21</v>
      </c>
      <c r="N4421" s="71" t="n">
        <v>158441.55</v>
      </c>
      <c r="O4421" s="71" t="n">
        <v>475324.66</v>
      </c>
      <c r="P4421" s="71" t="n">
        <v>68746.17999999999</v>
      </c>
      <c r="Q4421" s="71" t="n">
        <v>406578.48</v>
      </c>
      <c r="R4421" t="inlineStr">
        <is>
          <t>Cardiology</t>
        </is>
      </c>
      <c r="S4421" s="70" t="n">
        <v>661</v>
      </c>
      <c r="T4421" s="71" t="n">
        <v>114795.91</v>
      </c>
      <c r="U4421" t="inlineStr">
        <is>
          <t>High</t>
        </is>
      </c>
      <c r="V4421">
        <f>IF(AND(OR(Dashboard!$C$6="All",E4421=Dashboard!$C$6),OR(Dashboard!$F$6="All",G4421=Dashboard!$F$6),OR(Dashboard!$I$6="All",H4421=Dashboard!$I$6)),1,0)</f>
        <v/>
      </c>
    </row>
    <row r="4422">
      <c r="A4422" t="inlineStr">
        <is>
          <t>PF104413</t>
        </is>
      </c>
      <c r="B4422" s="68" t="n">
        <v>46188</v>
      </c>
      <c r="C4422" s="69" t="n">
        <v>2026</v>
      </c>
      <c r="D4422" t="inlineStr">
        <is>
          <t>Jun</t>
        </is>
      </c>
      <c r="E4422" t="inlineStr">
        <is>
          <t>International developed</t>
        </is>
      </c>
      <c r="F4422" t="inlineStr">
        <is>
          <t>Australia</t>
        </is>
      </c>
      <c r="G4422" t="inlineStr">
        <is>
          <t>Paxlovid</t>
        </is>
      </c>
      <c r="H4422" t="inlineStr">
        <is>
          <t>Hospital</t>
        </is>
      </c>
      <c r="I4422" t="inlineStr">
        <is>
          <t>Public payer</t>
        </is>
      </c>
      <c r="J4422" t="inlineStr">
        <is>
          <t>Zoya Ahmed</t>
        </is>
      </c>
      <c r="K4422" s="70" t="n">
        <v>1585</v>
      </c>
      <c r="L4422" s="71" t="n">
        <v>835.87</v>
      </c>
      <c r="M4422" s="71" t="n">
        <v>1324853.95</v>
      </c>
      <c r="N4422" s="71" t="n">
        <v>198728.09</v>
      </c>
      <c r="O4422" s="71" t="n">
        <v>1126125.86</v>
      </c>
      <c r="P4422" s="71" t="n">
        <v>449288.61</v>
      </c>
      <c r="Q4422" s="71" t="n">
        <v>676837.25</v>
      </c>
      <c r="R4422" t="inlineStr">
        <is>
          <t>Antiviral</t>
        </is>
      </c>
      <c r="S4422" s="70" t="n">
        <v>1018</v>
      </c>
      <c r="T4422" s="71" t="n">
        <v>190352.35</v>
      </c>
      <c r="U4422" t="inlineStr">
        <is>
          <t>Low</t>
        </is>
      </c>
      <c r="V4422">
        <f>IF(AND(OR(Dashboard!$C$6="All",E4422=Dashboard!$C$6),OR(Dashboard!$F$6="All",G4422=Dashboard!$F$6),OR(Dashboard!$I$6="All",H4422=Dashboard!$I$6)),1,0)</f>
        <v/>
      </c>
    </row>
    <row r="4423">
      <c r="A4423" t="inlineStr">
        <is>
          <t>PF104414</t>
        </is>
      </c>
      <c r="B4423" s="68" t="n">
        <v>46188</v>
      </c>
      <c r="C4423" s="69" t="n">
        <v>2026</v>
      </c>
      <c r="D4423" t="inlineStr">
        <is>
          <t>Jun</t>
        </is>
      </c>
      <c r="E4423" t="inlineStr">
        <is>
          <t>United States</t>
        </is>
      </c>
      <c r="F4423" t="inlineStr">
        <is>
          <t>USA</t>
        </is>
      </c>
      <c r="G4423" t="inlineStr">
        <is>
          <t>Paxlovid</t>
        </is>
      </c>
      <c r="H4423" t="inlineStr">
        <is>
          <t>Hospital</t>
        </is>
      </c>
      <c r="I4423" t="inlineStr">
        <is>
          <t>Self-pay</t>
        </is>
      </c>
      <c r="J4423" t="inlineStr">
        <is>
          <t>Arjun Mehta</t>
        </is>
      </c>
      <c r="K4423" s="70" t="n">
        <v>2010</v>
      </c>
      <c r="L4423" s="71" t="n">
        <v>1515.31</v>
      </c>
      <c r="M4423" s="71" t="n">
        <v>3045773.1</v>
      </c>
      <c r="N4423" s="71" t="n">
        <v>609154.62</v>
      </c>
      <c r="O4423" s="71" t="n">
        <v>2436618.48</v>
      </c>
      <c r="P4423" s="71" t="n">
        <v>555375.6800000001</v>
      </c>
      <c r="Q4423" s="71" t="n">
        <v>1881242.8</v>
      </c>
      <c r="R4423" t="inlineStr">
        <is>
          <t>Antiviral</t>
        </is>
      </c>
      <c r="S4423" s="70" t="n">
        <v>1467</v>
      </c>
      <c r="T4423" s="71" t="n">
        <v>575010.36</v>
      </c>
      <c r="U4423" t="inlineStr">
        <is>
          <t>Low</t>
        </is>
      </c>
      <c r="V4423">
        <f>IF(AND(OR(Dashboard!$C$6="All",E4423=Dashboard!$C$6),OR(Dashboard!$F$6="All",G4423=Dashboard!$F$6),OR(Dashboard!$I$6="All",H4423=Dashboard!$I$6)),1,0)</f>
        <v/>
      </c>
    </row>
    <row r="4424">
      <c r="A4424" t="inlineStr">
        <is>
          <t>PF104415</t>
        </is>
      </c>
      <c r="B4424" s="68" t="n">
        <v>46188</v>
      </c>
      <c r="C4424" s="69" t="n">
        <v>2026</v>
      </c>
      <c r="D4424" t="inlineStr">
        <is>
          <t>Jun</t>
        </is>
      </c>
      <c r="E4424" t="inlineStr">
        <is>
          <t>Emerging markets</t>
        </is>
      </c>
      <c r="F4424" t="inlineStr">
        <is>
          <t>Mexico</t>
        </is>
      </c>
      <c r="G4424" t="inlineStr">
        <is>
          <t>Eliquis</t>
        </is>
      </c>
      <c r="H4424" t="inlineStr">
        <is>
          <t>Retail pharmacy</t>
        </is>
      </c>
      <c r="I4424" t="inlineStr">
        <is>
          <t>Self-pay</t>
        </is>
      </c>
      <c r="J4424" t="inlineStr">
        <is>
          <t>Zoya Ahmed</t>
        </is>
      </c>
      <c r="K4424" s="70" t="n">
        <v>1150</v>
      </c>
      <c r="L4424" s="71" t="n">
        <v>426.48</v>
      </c>
      <c r="M4424" s="71" t="n">
        <v>490452</v>
      </c>
      <c r="N4424" s="71" t="n">
        <v>49045.2</v>
      </c>
      <c r="O4424" s="71" t="n">
        <v>441406.8</v>
      </c>
      <c r="P4424" s="71" t="n">
        <v>86332.5</v>
      </c>
      <c r="Q4424" s="71" t="n">
        <v>355074.3</v>
      </c>
      <c r="R4424" t="inlineStr">
        <is>
          <t>Cardiology</t>
        </is>
      </c>
      <c r="S4424" s="70" t="n">
        <v>1082</v>
      </c>
      <c r="T4424" s="71" t="n">
        <v>88126.31</v>
      </c>
      <c r="U4424" t="inlineStr">
        <is>
          <t>High</t>
        </is>
      </c>
      <c r="V4424">
        <f>IF(AND(OR(Dashboard!$C$6="All",E4424=Dashboard!$C$6),OR(Dashboard!$F$6="All",G4424=Dashboard!$F$6),OR(Dashboard!$I$6="All",H4424=Dashboard!$I$6)),1,0)</f>
        <v/>
      </c>
    </row>
    <row r="4425">
      <c r="A4425" t="inlineStr">
        <is>
          <t>PF104416</t>
        </is>
      </c>
      <c r="B4425" s="68" t="n">
        <v>46188</v>
      </c>
      <c r="C4425" s="69" t="n">
        <v>2026</v>
      </c>
      <c r="D4425" t="inlineStr">
        <is>
          <t>Jun</t>
        </is>
      </c>
      <c r="E4425" t="inlineStr">
        <is>
          <t>International developed</t>
        </is>
      </c>
      <c r="F4425" t="inlineStr">
        <is>
          <t>Japan</t>
        </is>
      </c>
      <c r="G4425" t="inlineStr">
        <is>
          <t>Paxlovid</t>
        </is>
      </c>
      <c r="H4425" t="inlineStr">
        <is>
          <t>Retail pharmacy</t>
        </is>
      </c>
      <c r="I4425" t="inlineStr">
        <is>
          <t>Private insurer</t>
        </is>
      </c>
      <c r="J4425" t="inlineStr">
        <is>
          <t>Kofi Mensah</t>
        </is>
      </c>
      <c r="K4425" s="70" t="n">
        <v>883</v>
      </c>
      <c r="L4425" s="71" t="n">
        <v>928.65</v>
      </c>
      <c r="M4425" s="71" t="n">
        <v>819997.95</v>
      </c>
      <c r="N4425" s="71" t="n">
        <v>81999.78999999999</v>
      </c>
      <c r="O4425" s="71" t="n">
        <v>737998.16</v>
      </c>
      <c r="P4425" s="71" t="n">
        <v>241212.44</v>
      </c>
      <c r="Q4425" s="71" t="n">
        <v>496785.72</v>
      </c>
      <c r="R4425" t="inlineStr">
        <is>
          <t>Antiviral</t>
        </is>
      </c>
      <c r="S4425" s="70" t="n">
        <v>662</v>
      </c>
      <c r="T4425" s="71" t="n">
        <v>139193.25</v>
      </c>
      <c r="U4425" t="inlineStr">
        <is>
          <t>Low</t>
        </is>
      </c>
      <c r="V4425">
        <f>IF(AND(OR(Dashboard!$C$6="All",E4425=Dashboard!$C$6),OR(Dashboard!$F$6="All",G4425=Dashboard!$F$6),OR(Dashboard!$I$6="All",H4425=Dashboard!$I$6)),1,0)</f>
        <v/>
      </c>
    </row>
    <row r="4426">
      <c r="A4426" t="inlineStr">
        <is>
          <t>PF104417</t>
        </is>
      </c>
      <c r="B4426" s="68" t="n">
        <v>46188</v>
      </c>
      <c r="C4426" s="69" t="n">
        <v>2026</v>
      </c>
      <c r="D4426" t="inlineStr">
        <is>
          <t>Jun</t>
        </is>
      </c>
      <c r="E4426" t="inlineStr">
        <is>
          <t>Europe</t>
        </is>
      </c>
      <c r="F4426" t="inlineStr">
        <is>
          <t>Germany</t>
        </is>
      </c>
      <c r="G4426" t="inlineStr">
        <is>
          <t>Prevnar 20</t>
        </is>
      </c>
      <c r="H4426" t="inlineStr">
        <is>
          <t>Government / tender</t>
        </is>
      </c>
      <c r="I4426" t="inlineStr">
        <is>
          <t>Public payer</t>
        </is>
      </c>
      <c r="J4426" t="inlineStr">
        <is>
          <t>Lucas Martin</t>
        </is>
      </c>
      <c r="K4426" s="70" t="n">
        <v>2248</v>
      </c>
      <c r="L4426" s="71" t="n">
        <v>252.45</v>
      </c>
      <c r="M4426" s="71" t="n">
        <v>567507.6</v>
      </c>
      <c r="N4426" s="71" t="n">
        <v>85126.14</v>
      </c>
      <c r="O4426" s="71" t="n">
        <v>482381.46</v>
      </c>
      <c r="P4426" s="71" t="n">
        <v>155872.92</v>
      </c>
      <c r="Q4426" s="71" t="n">
        <v>326508.54</v>
      </c>
      <c r="R4426" t="inlineStr">
        <is>
          <t>Vaccines</t>
        </is>
      </c>
      <c r="S4426" s="70" t="n">
        <v>2139</v>
      </c>
      <c r="T4426" s="71" t="n">
        <v>99676.74000000001</v>
      </c>
      <c r="U4426" t="inlineStr">
        <is>
          <t>Low</t>
        </is>
      </c>
      <c r="V4426">
        <f>IF(AND(OR(Dashboard!$C$6="All",E4426=Dashboard!$C$6),OR(Dashboard!$F$6="All",G4426=Dashboard!$F$6),OR(Dashboard!$I$6="All",H4426=Dashboard!$I$6)),1,0)</f>
        <v/>
      </c>
    </row>
    <row r="4427">
      <c r="A4427" t="inlineStr">
        <is>
          <t>PF104418</t>
        </is>
      </c>
      <c r="B4427" s="68" t="n">
        <v>46189</v>
      </c>
      <c r="C4427" s="69" t="n">
        <v>2026</v>
      </c>
      <c r="D4427" t="inlineStr">
        <is>
          <t>Jun</t>
        </is>
      </c>
      <c r="E4427" t="inlineStr">
        <is>
          <t>International developed</t>
        </is>
      </c>
      <c r="F4427" t="inlineStr">
        <is>
          <t>Canada</t>
        </is>
      </c>
      <c r="G4427" t="inlineStr">
        <is>
          <t>Xeljanz</t>
        </is>
      </c>
      <c r="H4427" t="inlineStr">
        <is>
          <t>Hospital</t>
        </is>
      </c>
      <c r="I4427" t="inlineStr">
        <is>
          <t>Public payer</t>
        </is>
      </c>
      <c r="J4427" t="inlineStr">
        <is>
          <t>Arjun Mehta</t>
        </is>
      </c>
      <c r="K4427" s="70" t="n">
        <v>575</v>
      </c>
      <c r="L4427" s="71" t="n">
        <v>1215.73</v>
      </c>
      <c r="M4427" s="71" t="n">
        <v>699044.75</v>
      </c>
      <c r="N4427" s="71" t="n">
        <v>174761.19</v>
      </c>
      <c r="O4427" s="71" t="n">
        <v>524283.56</v>
      </c>
      <c r="P4427" s="71" t="n">
        <v>140817.35</v>
      </c>
      <c r="Q4427" s="71" t="n">
        <v>383466.21</v>
      </c>
      <c r="R4427" t="inlineStr">
        <is>
          <t>Inflammation</t>
        </is>
      </c>
      <c r="S4427" s="70" t="n">
        <v>412</v>
      </c>
      <c r="T4427" s="71" t="n">
        <v>118693.49</v>
      </c>
      <c r="U4427" t="inlineStr">
        <is>
          <t>High</t>
        </is>
      </c>
      <c r="V4427">
        <f>IF(AND(OR(Dashboard!$C$6="All",E4427=Dashboard!$C$6),OR(Dashboard!$F$6="All",G4427=Dashboard!$F$6),OR(Dashboard!$I$6="All",H4427=Dashboard!$I$6)),1,0)</f>
        <v/>
      </c>
    </row>
    <row r="4428">
      <c r="A4428" t="inlineStr">
        <is>
          <t>PF104419</t>
        </is>
      </c>
      <c r="B4428" s="68" t="n">
        <v>46189</v>
      </c>
      <c r="C4428" s="69" t="n">
        <v>2026</v>
      </c>
      <c r="D4428" t="inlineStr">
        <is>
          <t>Jun</t>
        </is>
      </c>
      <c r="E4428" t="inlineStr">
        <is>
          <t>International developed</t>
        </is>
      </c>
      <c r="F4428" t="inlineStr">
        <is>
          <t>Canada</t>
        </is>
      </c>
      <c r="G4428" t="inlineStr">
        <is>
          <t>Xeljanz</t>
        </is>
      </c>
      <c r="H4428" t="inlineStr">
        <is>
          <t>Retail pharmacy</t>
        </is>
      </c>
      <c r="I4428" t="inlineStr">
        <is>
          <t>Private insurer</t>
        </is>
      </c>
      <c r="J4428" t="inlineStr">
        <is>
          <t>Amir Khan</t>
        </is>
      </c>
      <c r="K4428" s="70" t="n">
        <v>1327</v>
      </c>
      <c r="L4428" s="71" t="n">
        <v>1463.63</v>
      </c>
      <c r="M4428" s="71" t="n">
        <v>1942237.01</v>
      </c>
      <c r="N4428" s="71" t="n">
        <v>485559.25</v>
      </c>
      <c r="O4428" s="71" t="n">
        <v>1456677.76</v>
      </c>
      <c r="P4428" s="71" t="n">
        <v>324946.79</v>
      </c>
      <c r="Q4428" s="71" t="n">
        <v>1131730.97</v>
      </c>
      <c r="R4428" t="inlineStr">
        <is>
          <t>Inflammation</t>
        </is>
      </c>
      <c r="S4428" s="70" t="n">
        <v>1080</v>
      </c>
      <c r="T4428" s="71" t="n">
        <v>300352.72</v>
      </c>
      <c r="U4428" t="inlineStr">
        <is>
          <t>High</t>
        </is>
      </c>
      <c r="V4428">
        <f>IF(AND(OR(Dashboard!$C$6="All",E4428=Dashboard!$C$6),OR(Dashboard!$F$6="All",G4428=Dashboard!$F$6),OR(Dashboard!$I$6="All",H4428=Dashboard!$I$6)),1,0)</f>
        <v/>
      </c>
    </row>
    <row r="4429">
      <c r="A4429" t="inlineStr">
        <is>
          <t>PF104420</t>
        </is>
      </c>
      <c r="B4429" s="68" t="n">
        <v>46189</v>
      </c>
      <c r="C4429" s="69" t="n">
        <v>2026</v>
      </c>
      <c r="D4429" t="inlineStr">
        <is>
          <t>Jun</t>
        </is>
      </c>
      <c r="E4429" t="inlineStr">
        <is>
          <t>Europe</t>
        </is>
      </c>
      <c r="F4429" t="inlineStr">
        <is>
          <t>Spain</t>
        </is>
      </c>
      <c r="G4429" t="inlineStr">
        <is>
          <t>Paxlovid</t>
        </is>
      </c>
      <c r="H4429" t="inlineStr">
        <is>
          <t>Hospital</t>
        </is>
      </c>
      <c r="I4429" t="inlineStr">
        <is>
          <t>Private insurer</t>
        </is>
      </c>
      <c r="J4429" t="inlineStr">
        <is>
          <t>Aisha Bello</t>
        </is>
      </c>
      <c r="K4429" s="70" t="n">
        <v>207</v>
      </c>
      <c r="L4429" s="71" t="n">
        <v>857.89</v>
      </c>
      <c r="M4429" s="71" t="n">
        <v>177583.23</v>
      </c>
      <c r="N4429" s="71" t="n">
        <v>44395.81</v>
      </c>
      <c r="O4429" s="71" t="n">
        <v>133187.42</v>
      </c>
      <c r="P4429" s="71" t="n">
        <v>56113.99</v>
      </c>
      <c r="Q4429" s="71" t="n">
        <v>77073.42999999999</v>
      </c>
      <c r="R4429" t="inlineStr">
        <is>
          <t>Antiviral</t>
        </is>
      </c>
      <c r="S4429" s="70" t="n">
        <v>206</v>
      </c>
      <c r="T4429" s="71" t="n">
        <v>45286.8</v>
      </c>
      <c r="U4429" t="inlineStr">
        <is>
          <t>Low</t>
        </is>
      </c>
      <c r="V4429">
        <f>IF(AND(OR(Dashboard!$C$6="All",E4429=Dashboard!$C$6),OR(Dashboard!$F$6="All",G4429=Dashboard!$F$6),OR(Dashboard!$I$6="All",H4429=Dashboard!$I$6)),1,0)</f>
        <v/>
      </c>
    </row>
    <row r="4430">
      <c r="A4430" t="inlineStr">
        <is>
          <t>PF104421</t>
        </is>
      </c>
      <c r="B4430" s="68" t="n">
        <v>46189</v>
      </c>
      <c r="C4430" s="69" t="n">
        <v>2026</v>
      </c>
      <c r="D4430" t="inlineStr">
        <is>
          <t>Jun</t>
        </is>
      </c>
      <c r="E4430" t="inlineStr">
        <is>
          <t>Emerging markets</t>
        </is>
      </c>
      <c r="F4430" t="inlineStr">
        <is>
          <t>China</t>
        </is>
      </c>
      <c r="G4430" t="inlineStr">
        <is>
          <t>Ibrance</t>
        </is>
      </c>
      <c r="H4430" t="inlineStr">
        <is>
          <t>Retail pharmacy</t>
        </is>
      </c>
      <c r="I4430" t="inlineStr">
        <is>
          <t>Public payer</t>
        </is>
      </c>
      <c r="J4430" t="inlineStr">
        <is>
          <t>Omar Haddad</t>
        </is>
      </c>
      <c r="K4430" s="70" t="n">
        <v>312</v>
      </c>
      <c r="L4430" s="71" t="n">
        <v>2886.3</v>
      </c>
      <c r="M4430" s="71" t="n">
        <v>900525.6</v>
      </c>
      <c r="N4430" s="71" t="n">
        <v>45026.28</v>
      </c>
      <c r="O4430" s="71" t="n">
        <v>855499.3199999999</v>
      </c>
      <c r="P4430" s="71" t="n">
        <v>140475.69</v>
      </c>
      <c r="Q4430" s="71" t="n">
        <v>715023.63</v>
      </c>
      <c r="R4430" t="inlineStr">
        <is>
          <t>Oncology</t>
        </is>
      </c>
      <c r="S4430" s="70" t="n">
        <v>235</v>
      </c>
      <c r="T4430" s="71" t="n">
        <v>139735.66</v>
      </c>
      <c r="U4430" t="inlineStr">
        <is>
          <t>High</t>
        </is>
      </c>
      <c r="V4430">
        <f>IF(AND(OR(Dashboard!$C$6="All",E4430=Dashboard!$C$6),OR(Dashboard!$F$6="All",G4430=Dashboard!$F$6),OR(Dashboard!$I$6="All",H4430=Dashboard!$I$6)),1,0)</f>
        <v/>
      </c>
    </row>
    <row r="4431">
      <c r="A4431" t="inlineStr">
        <is>
          <t>PF104422</t>
        </is>
      </c>
      <c r="B4431" s="68" t="n">
        <v>46189</v>
      </c>
      <c r="C4431" s="69" t="n">
        <v>2026</v>
      </c>
      <c r="D4431" t="inlineStr">
        <is>
          <t>Jun</t>
        </is>
      </c>
      <c r="E4431" t="inlineStr">
        <is>
          <t>International developed</t>
        </is>
      </c>
      <c r="F4431" t="inlineStr">
        <is>
          <t>Japan</t>
        </is>
      </c>
      <c r="G4431" t="inlineStr">
        <is>
          <t>Abrysvo</t>
        </is>
      </c>
      <c r="H4431" t="inlineStr">
        <is>
          <t>Retail pharmacy</t>
        </is>
      </c>
      <c r="I4431" t="inlineStr">
        <is>
          <t>Private insurer</t>
        </is>
      </c>
      <c r="J4431" t="inlineStr">
        <is>
          <t>Sophie Müller</t>
        </is>
      </c>
      <c r="K4431" s="70" t="n">
        <v>901</v>
      </c>
      <c r="L4431" s="71" t="n">
        <v>331.14</v>
      </c>
      <c r="M4431" s="71" t="n">
        <v>298357.14</v>
      </c>
      <c r="N4431" s="71" t="n">
        <v>29835.71</v>
      </c>
      <c r="O4431" s="71" t="n">
        <v>268521.43</v>
      </c>
      <c r="P4431" s="71" t="n">
        <v>76774.27</v>
      </c>
      <c r="Q4431" s="71" t="n">
        <v>191747.16</v>
      </c>
      <c r="R4431" t="inlineStr">
        <is>
          <t>Vaccines</t>
        </is>
      </c>
      <c r="S4431" s="70" t="n">
        <v>631</v>
      </c>
      <c r="T4431" s="71" t="n">
        <v>42231.35</v>
      </c>
      <c r="U4431" t="inlineStr">
        <is>
          <t>Low</t>
        </is>
      </c>
      <c r="V4431">
        <f>IF(AND(OR(Dashboard!$C$6="All",E4431=Dashboard!$C$6),OR(Dashboard!$F$6="All",G4431=Dashboard!$F$6),OR(Dashboard!$I$6="All",H4431=Dashboard!$I$6)),1,0)</f>
        <v/>
      </c>
    </row>
    <row r="4432">
      <c r="A4432" t="inlineStr">
        <is>
          <t>PF104423</t>
        </is>
      </c>
      <c r="B4432" s="68" t="n">
        <v>46189</v>
      </c>
      <c r="C4432" s="69" t="n">
        <v>2026</v>
      </c>
      <c r="D4432" t="inlineStr">
        <is>
          <t>Jun</t>
        </is>
      </c>
      <c r="E4432" t="inlineStr">
        <is>
          <t>United States</t>
        </is>
      </c>
      <c r="F4432" t="inlineStr">
        <is>
          <t>USA</t>
        </is>
      </c>
      <c r="G4432" t="inlineStr">
        <is>
          <t>Eliquis</t>
        </is>
      </c>
      <c r="H4432" t="inlineStr">
        <is>
          <t>Retail pharmacy</t>
        </is>
      </c>
      <c r="I4432" t="inlineStr">
        <is>
          <t>Public payer</t>
        </is>
      </c>
      <c r="J4432" t="inlineStr">
        <is>
          <t>Liam O'Brien</t>
        </is>
      </c>
      <c r="K4432" s="70" t="n">
        <v>2527</v>
      </c>
      <c r="L4432" s="71" t="n">
        <v>739.64</v>
      </c>
      <c r="M4432" s="71" t="n">
        <v>1869070.28</v>
      </c>
      <c r="N4432" s="71" t="n">
        <v>654174.6</v>
      </c>
      <c r="O4432" s="71" t="n">
        <v>1214895.68</v>
      </c>
      <c r="P4432" s="71" t="n">
        <v>192950.2</v>
      </c>
      <c r="Q4432" s="71" t="n">
        <v>1021945.48</v>
      </c>
      <c r="R4432" t="inlineStr">
        <is>
          <t>Cardiology</t>
        </is>
      </c>
      <c r="S4432" s="70" t="n">
        <v>1988</v>
      </c>
      <c r="T4432" s="71" t="n">
        <v>218648.5</v>
      </c>
      <c r="U4432" t="inlineStr">
        <is>
          <t>High</t>
        </is>
      </c>
      <c r="V4432">
        <f>IF(AND(OR(Dashboard!$C$6="All",E4432=Dashboard!$C$6),OR(Dashboard!$F$6="All",G4432=Dashboard!$F$6),OR(Dashboard!$I$6="All",H4432=Dashboard!$I$6)),1,0)</f>
        <v/>
      </c>
    </row>
    <row r="4433">
      <c r="A4433" t="inlineStr">
        <is>
          <t>PF104424</t>
        </is>
      </c>
      <c r="B4433" s="68" t="n">
        <v>46189</v>
      </c>
      <c r="C4433" s="69" t="n">
        <v>2026</v>
      </c>
      <c r="D4433" t="inlineStr">
        <is>
          <t>Jun</t>
        </is>
      </c>
      <c r="E4433" t="inlineStr">
        <is>
          <t>United States</t>
        </is>
      </c>
      <c r="F4433" t="inlineStr">
        <is>
          <t>USA</t>
        </is>
      </c>
      <c r="G4433" t="inlineStr">
        <is>
          <t>Paxlovid</t>
        </is>
      </c>
      <c r="H4433" t="inlineStr">
        <is>
          <t>Government / tender</t>
        </is>
      </c>
      <c r="I4433" t="inlineStr">
        <is>
          <t>Public payer</t>
        </is>
      </c>
      <c r="J4433" t="inlineStr">
        <is>
          <t>Aisha Bello</t>
        </is>
      </c>
      <c r="K4433" s="70" t="n">
        <v>1229</v>
      </c>
      <c r="L4433" s="71" t="n">
        <v>1445.99</v>
      </c>
      <c r="M4433" s="71" t="n">
        <v>1777121.71</v>
      </c>
      <c r="N4433" s="71" t="n">
        <v>533136.51</v>
      </c>
      <c r="O4433" s="71" t="n">
        <v>1243985.2</v>
      </c>
      <c r="P4433" s="71" t="n">
        <v>344449.68</v>
      </c>
      <c r="Q4433" s="71" t="n">
        <v>899535.52</v>
      </c>
      <c r="R4433" t="inlineStr">
        <is>
          <t>Antiviral</t>
        </is>
      </c>
      <c r="S4433" s="70" t="n">
        <v>1020</v>
      </c>
      <c r="T4433" s="71" t="n">
        <v>445563.69</v>
      </c>
      <c r="U4433" t="inlineStr">
        <is>
          <t>Low</t>
        </is>
      </c>
      <c r="V4433">
        <f>IF(AND(OR(Dashboard!$C$6="All",E4433=Dashboard!$C$6),OR(Dashboard!$F$6="All",G4433=Dashboard!$F$6),OR(Dashboard!$I$6="All",H4433=Dashboard!$I$6)),1,0)</f>
        <v/>
      </c>
    </row>
    <row r="4434">
      <c r="A4434" t="inlineStr">
        <is>
          <t>PF104425</t>
        </is>
      </c>
      <c r="B4434" s="68" t="n">
        <v>46189</v>
      </c>
      <c r="C4434" s="69" t="n">
        <v>2026</v>
      </c>
      <c r="D4434" t="inlineStr">
        <is>
          <t>Jun</t>
        </is>
      </c>
      <c r="E4434" t="inlineStr">
        <is>
          <t>United States</t>
        </is>
      </c>
      <c r="F4434" t="inlineStr">
        <is>
          <t>USA</t>
        </is>
      </c>
      <c r="G4434" t="inlineStr">
        <is>
          <t>Eliquis</t>
        </is>
      </c>
      <c r="H4434" t="inlineStr">
        <is>
          <t>Retail pharmacy</t>
        </is>
      </c>
      <c r="I4434" t="inlineStr">
        <is>
          <t>Private insurer</t>
        </is>
      </c>
      <c r="J4434" t="inlineStr">
        <is>
          <t>Kofi Mensah</t>
        </is>
      </c>
      <c r="K4434" s="70" t="n">
        <v>432</v>
      </c>
      <c r="L4434" s="71" t="n">
        <v>691.97</v>
      </c>
      <c r="M4434" s="71" t="n">
        <v>298931.04</v>
      </c>
      <c r="N4434" s="71" t="n">
        <v>104625.86</v>
      </c>
      <c r="O4434" s="71" t="n">
        <v>194305.18</v>
      </c>
      <c r="P4434" s="71" t="n">
        <v>31989.18</v>
      </c>
      <c r="Q4434" s="71" t="n">
        <v>162316</v>
      </c>
      <c r="R4434" t="inlineStr">
        <is>
          <t>Cardiology</t>
        </is>
      </c>
      <c r="S4434" s="70" t="n">
        <v>354</v>
      </c>
      <c r="T4434" s="71" t="n">
        <v>42244.77</v>
      </c>
      <c r="U4434" t="inlineStr">
        <is>
          <t>High</t>
        </is>
      </c>
      <c r="V4434">
        <f>IF(AND(OR(Dashboard!$C$6="All",E4434=Dashboard!$C$6),OR(Dashboard!$F$6="All",G4434=Dashboard!$F$6),OR(Dashboard!$I$6="All",H4434=Dashboard!$I$6)),1,0)</f>
        <v/>
      </c>
    </row>
    <row r="4435">
      <c r="A4435" t="inlineStr">
        <is>
          <t>PF104426</t>
        </is>
      </c>
      <c r="B4435" s="68" t="n">
        <v>46189</v>
      </c>
      <c r="C4435" s="69" t="n">
        <v>2026</v>
      </c>
      <c r="D4435" t="inlineStr">
        <is>
          <t>Jun</t>
        </is>
      </c>
      <c r="E4435" t="inlineStr">
        <is>
          <t>United States</t>
        </is>
      </c>
      <c r="F4435" t="inlineStr">
        <is>
          <t>USA</t>
        </is>
      </c>
      <c r="G4435" t="inlineStr">
        <is>
          <t>Ibrance</t>
        </is>
      </c>
      <c r="H4435" t="inlineStr">
        <is>
          <t>Retail pharmacy</t>
        </is>
      </c>
      <c r="I4435" t="inlineStr">
        <is>
          <t>Public payer</t>
        </is>
      </c>
      <c r="J4435" t="inlineStr">
        <is>
          <t>Sara Rossi</t>
        </is>
      </c>
      <c r="K4435" s="70" t="n">
        <v>531</v>
      </c>
      <c r="L4435" s="71" t="n">
        <v>4506.35</v>
      </c>
      <c r="M4435" s="71" t="n">
        <v>2392871.85</v>
      </c>
      <c r="N4435" s="71" t="n">
        <v>358930.78</v>
      </c>
      <c r="O4435" s="71" t="n">
        <v>2033941.07</v>
      </c>
      <c r="P4435" s="71" t="n">
        <v>239914.82</v>
      </c>
      <c r="Q4435" s="71" t="n">
        <v>1794026.25</v>
      </c>
      <c r="R4435" t="inlineStr">
        <is>
          <t>Oncology</t>
        </is>
      </c>
      <c r="S4435" s="70" t="n">
        <v>335</v>
      </c>
      <c r="T4435" s="71" t="n">
        <v>405078.54</v>
      </c>
      <c r="U4435" t="inlineStr">
        <is>
          <t>High</t>
        </is>
      </c>
      <c r="V4435">
        <f>IF(AND(OR(Dashboard!$C$6="All",E4435=Dashboard!$C$6),OR(Dashboard!$F$6="All",G4435=Dashboard!$F$6),OR(Dashboard!$I$6="All",H4435=Dashboard!$I$6)),1,0)</f>
        <v/>
      </c>
    </row>
    <row r="4436">
      <c r="A4436" t="inlineStr">
        <is>
          <t>PF104427</t>
        </is>
      </c>
      <c r="B4436" s="68" t="n">
        <v>46190</v>
      </c>
      <c r="C4436" s="69" t="n">
        <v>2026</v>
      </c>
      <c r="D4436" t="inlineStr">
        <is>
          <t>Jun</t>
        </is>
      </c>
      <c r="E4436" t="inlineStr">
        <is>
          <t>United States</t>
        </is>
      </c>
      <c r="F4436" t="inlineStr">
        <is>
          <t>USA</t>
        </is>
      </c>
      <c r="G4436" t="inlineStr">
        <is>
          <t>Vyndaqel</t>
        </is>
      </c>
      <c r="H4436" t="inlineStr">
        <is>
          <t>Retail pharmacy</t>
        </is>
      </c>
      <c r="I4436" t="inlineStr">
        <is>
          <t>Self-pay</t>
        </is>
      </c>
      <c r="J4436" t="inlineStr">
        <is>
          <t>Hiroshi Tanaka</t>
        </is>
      </c>
      <c r="K4436" s="70" t="n">
        <v>2698</v>
      </c>
      <c r="L4436" s="71" t="n">
        <v>8685.01</v>
      </c>
      <c r="M4436" s="71" t="n">
        <v>23432156.98</v>
      </c>
      <c r="N4436" s="71" t="n">
        <v>8201254.94</v>
      </c>
      <c r="O4436" s="71" t="n">
        <v>15230902.04</v>
      </c>
      <c r="P4436" s="71" t="n">
        <v>1703850.17</v>
      </c>
      <c r="Q4436" s="71" t="n">
        <v>13527051.87</v>
      </c>
      <c r="R4436" t="inlineStr">
        <is>
          <t>Rare disease</t>
        </is>
      </c>
      <c r="S4436" s="70" t="n">
        <v>2351</v>
      </c>
      <c r="T4436" s="71" t="n">
        <v>4146592.21</v>
      </c>
      <c r="U4436" t="inlineStr">
        <is>
          <t>Medium</t>
        </is>
      </c>
      <c r="V4436">
        <f>IF(AND(OR(Dashboard!$C$6="All",E4436=Dashboard!$C$6),OR(Dashboard!$F$6="All",G4436=Dashboard!$F$6),OR(Dashboard!$I$6="All",H4436=Dashboard!$I$6)),1,0)</f>
        <v/>
      </c>
    </row>
    <row r="4437">
      <c r="A4437" t="inlineStr">
        <is>
          <t>PF104428</t>
        </is>
      </c>
      <c r="B4437" s="68" t="n">
        <v>46190</v>
      </c>
      <c r="C4437" s="69" t="n">
        <v>2026</v>
      </c>
      <c r="D4437" t="inlineStr">
        <is>
          <t>Jun</t>
        </is>
      </c>
      <c r="E4437" t="inlineStr">
        <is>
          <t>United States</t>
        </is>
      </c>
      <c r="F4437" t="inlineStr">
        <is>
          <t>USA</t>
        </is>
      </c>
      <c r="G4437" t="inlineStr">
        <is>
          <t>Prevnar 20</t>
        </is>
      </c>
      <c r="H4437" t="inlineStr">
        <is>
          <t>Hospital</t>
        </is>
      </c>
      <c r="I4437" t="inlineStr">
        <is>
          <t>Private insurer</t>
        </is>
      </c>
      <c r="J4437" t="inlineStr">
        <is>
          <t>Ana Costa</t>
        </is>
      </c>
      <c r="K4437" s="70" t="n">
        <v>1092</v>
      </c>
      <c r="L4437" s="71" t="n">
        <v>354.11</v>
      </c>
      <c r="M4437" s="71" t="n">
        <v>386688.12</v>
      </c>
      <c r="N4437" s="71" t="n">
        <v>96672.03</v>
      </c>
      <c r="O4437" s="71" t="n">
        <v>290016.09</v>
      </c>
      <c r="P4437" s="71" t="n">
        <v>77864.07000000001</v>
      </c>
      <c r="Q4437" s="71" t="n">
        <v>212152.02</v>
      </c>
      <c r="R4437" t="inlineStr">
        <is>
          <t>Vaccines</t>
        </is>
      </c>
      <c r="S4437" s="70" t="n">
        <v>849</v>
      </c>
      <c r="T4437" s="71" t="n">
        <v>64475.64</v>
      </c>
      <c r="U4437" t="inlineStr">
        <is>
          <t>Low</t>
        </is>
      </c>
      <c r="V4437">
        <f>IF(AND(OR(Dashboard!$C$6="All",E4437=Dashboard!$C$6),OR(Dashboard!$F$6="All",G4437=Dashboard!$F$6),OR(Dashboard!$I$6="All",H4437=Dashboard!$I$6)),1,0)</f>
        <v/>
      </c>
    </row>
    <row r="4438">
      <c r="A4438" t="inlineStr">
        <is>
          <t>PF104429</t>
        </is>
      </c>
      <c r="B4438" s="68" t="n">
        <v>46190</v>
      </c>
      <c r="C4438" s="69" t="n">
        <v>2026</v>
      </c>
      <c r="D4438" t="inlineStr">
        <is>
          <t>Jun</t>
        </is>
      </c>
      <c r="E4438" t="inlineStr">
        <is>
          <t>United States</t>
        </is>
      </c>
      <c r="F4438" t="inlineStr">
        <is>
          <t>USA</t>
        </is>
      </c>
      <c r="G4438" t="inlineStr">
        <is>
          <t>Prevnar 20</t>
        </is>
      </c>
      <c r="H4438" t="inlineStr">
        <is>
          <t>Retail pharmacy</t>
        </is>
      </c>
      <c r="I4438" t="inlineStr">
        <is>
          <t>Public payer</t>
        </is>
      </c>
      <c r="J4438" t="inlineStr">
        <is>
          <t>Lucas Martin</t>
        </is>
      </c>
      <c r="K4438" s="70" t="n">
        <v>864</v>
      </c>
      <c r="L4438" s="71" t="n">
        <v>409.36</v>
      </c>
      <c r="M4438" s="71" t="n">
        <v>353687.04</v>
      </c>
      <c r="N4438" s="71" t="n">
        <v>88421.75999999999</v>
      </c>
      <c r="O4438" s="71" t="n">
        <v>265265.28</v>
      </c>
      <c r="P4438" s="71" t="n">
        <v>59780.34</v>
      </c>
      <c r="Q4438" s="71" t="n">
        <v>205484.94</v>
      </c>
      <c r="R4438" t="inlineStr">
        <is>
          <t>Vaccines</t>
        </is>
      </c>
      <c r="S4438" s="70" t="n">
        <v>655</v>
      </c>
      <c r="T4438" s="71" t="n">
        <v>57880.06</v>
      </c>
      <c r="U4438" t="inlineStr">
        <is>
          <t>Low</t>
        </is>
      </c>
      <c r="V4438">
        <f>IF(AND(OR(Dashboard!$C$6="All",E4438=Dashboard!$C$6),OR(Dashboard!$F$6="All",G4438=Dashboard!$F$6),OR(Dashboard!$I$6="All",H4438=Dashboard!$I$6)),1,0)</f>
        <v/>
      </c>
    </row>
    <row r="4439">
      <c r="A4439" t="inlineStr">
        <is>
          <t>PF104430</t>
        </is>
      </c>
      <c r="B4439" s="68" t="n">
        <v>46190</v>
      </c>
      <c r="C4439" s="69" t="n">
        <v>2026</v>
      </c>
      <c r="D4439" t="inlineStr">
        <is>
          <t>Jun</t>
        </is>
      </c>
      <c r="E4439" t="inlineStr">
        <is>
          <t>United States</t>
        </is>
      </c>
      <c r="F4439" t="inlineStr">
        <is>
          <t>USA</t>
        </is>
      </c>
      <c r="G4439" t="inlineStr">
        <is>
          <t>Vyndaqel</t>
        </is>
      </c>
      <c r="H4439" t="inlineStr">
        <is>
          <t>Retail pharmacy</t>
        </is>
      </c>
      <c r="I4439" t="inlineStr">
        <is>
          <t>Private insurer</t>
        </is>
      </c>
      <c r="J4439" t="inlineStr">
        <is>
          <t>Fatima Al-Saud</t>
        </is>
      </c>
      <c r="K4439" s="70" t="n">
        <v>2624</v>
      </c>
      <c r="L4439" s="71" t="n">
        <v>8752.26</v>
      </c>
      <c r="M4439" s="71" t="n">
        <v>22965930.24</v>
      </c>
      <c r="N4439" s="71" t="n">
        <v>5741482.56</v>
      </c>
      <c r="O4439" s="71" t="n">
        <v>17224447.68</v>
      </c>
      <c r="P4439" s="71" t="n">
        <v>1621619.03</v>
      </c>
      <c r="Q4439" s="71" t="n">
        <v>15602828.65</v>
      </c>
      <c r="R4439" t="inlineStr">
        <is>
          <t>Rare disease</t>
        </is>
      </c>
      <c r="S4439" s="70" t="n">
        <v>2287</v>
      </c>
      <c r="T4439" s="71" t="n">
        <v>3101086.51</v>
      </c>
      <c r="U4439" t="inlineStr">
        <is>
          <t>Medium</t>
        </is>
      </c>
      <c r="V4439">
        <f>IF(AND(OR(Dashboard!$C$6="All",E4439=Dashboard!$C$6),OR(Dashboard!$F$6="All",G4439=Dashboard!$F$6),OR(Dashboard!$I$6="All",H4439=Dashboard!$I$6)),1,0)</f>
        <v/>
      </c>
    </row>
    <row r="4440">
      <c r="A4440" t="inlineStr">
        <is>
          <t>PF104431</t>
        </is>
      </c>
      <c r="B4440" s="68" t="n">
        <v>46190</v>
      </c>
      <c r="C4440" s="69" t="n">
        <v>2026</v>
      </c>
      <c r="D4440" t="inlineStr">
        <is>
          <t>Jun</t>
        </is>
      </c>
      <c r="E4440" t="inlineStr">
        <is>
          <t>United States</t>
        </is>
      </c>
      <c r="F4440" t="inlineStr">
        <is>
          <t>USA</t>
        </is>
      </c>
      <c r="G4440" t="inlineStr">
        <is>
          <t>Paxlovid</t>
        </is>
      </c>
      <c r="H4440" t="inlineStr">
        <is>
          <t>Hospital</t>
        </is>
      </c>
      <c r="I4440" t="inlineStr">
        <is>
          <t>Self-pay</t>
        </is>
      </c>
      <c r="J4440" t="inlineStr">
        <is>
          <t>Olivia Brown</t>
        </is>
      </c>
      <c r="K4440" s="70" t="n">
        <v>2361</v>
      </c>
      <c r="L4440" s="71" t="n">
        <v>1400.12</v>
      </c>
      <c r="M4440" s="71" t="n">
        <v>3305683.32</v>
      </c>
      <c r="N4440" s="71" t="n">
        <v>661136.66</v>
      </c>
      <c r="O4440" s="71" t="n">
        <v>2644546.66</v>
      </c>
      <c r="P4440" s="71" t="n">
        <v>643320.71</v>
      </c>
      <c r="Q4440" s="71" t="n">
        <v>2001225.95</v>
      </c>
      <c r="R4440" t="inlineStr">
        <is>
          <t>Antiviral</t>
        </is>
      </c>
      <c r="S4440" s="70" t="n">
        <v>1511</v>
      </c>
      <c r="T4440" s="71" t="n">
        <v>709903.04</v>
      </c>
      <c r="U4440" t="inlineStr">
        <is>
          <t>Low</t>
        </is>
      </c>
      <c r="V4440">
        <f>IF(AND(OR(Dashboard!$C$6="All",E4440=Dashboard!$C$6),OR(Dashboard!$F$6="All",G4440=Dashboard!$F$6),OR(Dashboard!$I$6="All",H4440=Dashboard!$I$6)),1,0)</f>
        <v/>
      </c>
    </row>
    <row r="4441">
      <c r="A4441" t="inlineStr">
        <is>
          <t>PF104432</t>
        </is>
      </c>
      <c r="B4441" s="68" t="n">
        <v>46190</v>
      </c>
      <c r="C4441" s="69" t="n">
        <v>2026</v>
      </c>
      <c r="D4441" t="inlineStr">
        <is>
          <t>Jun</t>
        </is>
      </c>
      <c r="E4441" t="inlineStr">
        <is>
          <t>International developed</t>
        </is>
      </c>
      <c r="F4441" t="inlineStr">
        <is>
          <t>Australia</t>
        </is>
      </c>
      <c r="G4441" t="inlineStr">
        <is>
          <t>Prevnar 20</t>
        </is>
      </c>
      <c r="H4441" t="inlineStr">
        <is>
          <t>Hospital</t>
        </is>
      </c>
      <c r="I4441" t="inlineStr">
        <is>
          <t>Public payer</t>
        </is>
      </c>
      <c r="J4441" t="inlineStr">
        <is>
          <t>Amir Khan</t>
        </is>
      </c>
      <c r="K4441" s="70" t="n">
        <v>1502</v>
      </c>
      <c r="L4441" s="71" t="n">
        <v>239.31</v>
      </c>
      <c r="M4441" s="71" t="n">
        <v>359443.62</v>
      </c>
      <c r="N4441" s="71" t="n">
        <v>17972.18</v>
      </c>
      <c r="O4441" s="71" t="n">
        <v>341471.44</v>
      </c>
      <c r="P4441" s="71" t="n">
        <v>103179.17</v>
      </c>
      <c r="Q4441" s="71" t="n">
        <v>238292.27</v>
      </c>
      <c r="R4441" t="inlineStr">
        <is>
          <t>Vaccines</t>
        </is>
      </c>
      <c r="S4441" s="70" t="n">
        <v>1110</v>
      </c>
      <c r="T4441" s="71" t="n">
        <v>70673.99000000001</v>
      </c>
      <c r="U4441" t="inlineStr">
        <is>
          <t>Low</t>
        </is>
      </c>
      <c r="V4441">
        <f>IF(AND(OR(Dashboard!$C$6="All",E4441=Dashboard!$C$6),OR(Dashboard!$F$6="All",G4441=Dashboard!$F$6),OR(Dashboard!$I$6="All",H4441=Dashboard!$I$6)),1,0)</f>
        <v/>
      </c>
    </row>
    <row r="4442">
      <c r="A4442" t="inlineStr">
        <is>
          <t>PF104433</t>
        </is>
      </c>
      <c r="B4442" s="68" t="n">
        <v>46190</v>
      </c>
      <c r="C4442" s="69" t="n">
        <v>2026</v>
      </c>
      <c r="D4442" t="inlineStr">
        <is>
          <t>Jun</t>
        </is>
      </c>
      <c r="E4442" t="inlineStr">
        <is>
          <t>Europe</t>
        </is>
      </c>
      <c r="F4442" t="inlineStr">
        <is>
          <t>UK</t>
        </is>
      </c>
      <c r="G4442" t="inlineStr">
        <is>
          <t>Prevnar 20</t>
        </is>
      </c>
      <c r="H4442" t="inlineStr">
        <is>
          <t>Retail pharmacy</t>
        </is>
      </c>
      <c r="I4442" t="inlineStr">
        <is>
          <t>Private insurer</t>
        </is>
      </c>
      <c r="J4442" t="inlineStr">
        <is>
          <t>Ruhi Shaikh</t>
        </is>
      </c>
      <c r="K4442" s="70" t="n">
        <v>697</v>
      </c>
      <c r="L4442" s="71" t="n">
        <v>215.16</v>
      </c>
      <c r="M4442" s="71" t="n">
        <v>149966.52</v>
      </c>
      <c r="N4442" s="71" t="n">
        <v>22494.98</v>
      </c>
      <c r="O4442" s="71" t="n">
        <v>127471.54</v>
      </c>
      <c r="P4442" s="71" t="n">
        <v>49673.22</v>
      </c>
      <c r="Q4442" s="71" t="n">
        <v>77798.32000000001</v>
      </c>
      <c r="R4442" t="inlineStr">
        <is>
          <t>Vaccines</t>
        </is>
      </c>
      <c r="S4442" s="70" t="n">
        <v>569</v>
      </c>
      <c r="T4442" s="71" t="n">
        <v>31115.46</v>
      </c>
      <c r="U4442" t="inlineStr">
        <is>
          <t>Low</t>
        </is>
      </c>
      <c r="V4442">
        <f>IF(AND(OR(Dashboard!$C$6="All",E4442=Dashboard!$C$6),OR(Dashboard!$F$6="All",G4442=Dashboard!$F$6),OR(Dashboard!$I$6="All",H4442=Dashboard!$I$6)),1,0)</f>
        <v/>
      </c>
    </row>
    <row r="4443">
      <c r="A4443" t="inlineStr">
        <is>
          <t>PF104434</t>
        </is>
      </c>
      <c r="B4443" s="68" t="n">
        <v>46190</v>
      </c>
      <c r="C4443" s="69" t="n">
        <v>2026</v>
      </c>
      <c r="D4443" t="inlineStr">
        <is>
          <t>Jun</t>
        </is>
      </c>
      <c r="E4443" t="inlineStr">
        <is>
          <t>United States</t>
        </is>
      </c>
      <c r="F4443" t="inlineStr">
        <is>
          <t>USA</t>
        </is>
      </c>
      <c r="G4443" t="inlineStr">
        <is>
          <t>Prevnar 20</t>
        </is>
      </c>
      <c r="H4443" t="inlineStr">
        <is>
          <t>Government / tender</t>
        </is>
      </c>
      <c r="I4443" t="inlineStr">
        <is>
          <t>Public payer</t>
        </is>
      </c>
      <c r="J4443" t="inlineStr">
        <is>
          <t>Ruhi Shaikh</t>
        </is>
      </c>
      <c r="K4443" s="70" t="n">
        <v>1771</v>
      </c>
      <c r="L4443" s="71" t="n">
        <v>403.38</v>
      </c>
      <c r="M4443" s="71" t="n">
        <v>714385.98</v>
      </c>
      <c r="N4443" s="71" t="n">
        <v>107157.9</v>
      </c>
      <c r="O4443" s="71" t="n">
        <v>607228.08</v>
      </c>
      <c r="P4443" s="71" t="n">
        <v>122747.43</v>
      </c>
      <c r="Q4443" s="71" t="n">
        <v>484480.65</v>
      </c>
      <c r="R4443" t="inlineStr">
        <is>
          <t>Vaccines</t>
        </is>
      </c>
      <c r="S4443" s="70" t="n">
        <v>1672</v>
      </c>
      <c r="T4443" s="71" t="n">
        <v>97580.10000000001</v>
      </c>
      <c r="U4443" t="inlineStr">
        <is>
          <t>Low</t>
        </is>
      </c>
      <c r="V4443">
        <f>IF(AND(OR(Dashboard!$C$6="All",E4443=Dashboard!$C$6),OR(Dashboard!$F$6="All",G4443=Dashboard!$F$6),OR(Dashboard!$I$6="All",H4443=Dashboard!$I$6)),1,0)</f>
        <v/>
      </c>
    </row>
    <row r="4444">
      <c r="A4444" t="inlineStr">
        <is>
          <t>PF104435</t>
        </is>
      </c>
      <c r="B4444" s="68" t="n">
        <v>46190</v>
      </c>
      <c r="C4444" s="69" t="n">
        <v>2026</v>
      </c>
      <c r="D4444" t="inlineStr">
        <is>
          <t>Jun</t>
        </is>
      </c>
      <c r="E4444" t="inlineStr">
        <is>
          <t>United States</t>
        </is>
      </c>
      <c r="F4444" t="inlineStr">
        <is>
          <t>USA</t>
        </is>
      </c>
      <c r="G4444" t="inlineStr">
        <is>
          <t>Paxlovid</t>
        </is>
      </c>
      <c r="H4444" t="inlineStr">
        <is>
          <t>Retail pharmacy</t>
        </is>
      </c>
      <c r="I4444" t="inlineStr">
        <is>
          <t>Private insurer</t>
        </is>
      </c>
      <c r="J4444" t="inlineStr">
        <is>
          <t>Sophie Müller</t>
        </is>
      </c>
      <c r="K4444" s="70" t="n">
        <v>323</v>
      </c>
      <c r="L4444" s="71" t="n">
        <v>1529.37</v>
      </c>
      <c r="M4444" s="71" t="n">
        <v>493986.51</v>
      </c>
      <c r="N4444" s="71" t="n">
        <v>172895.28</v>
      </c>
      <c r="O4444" s="71" t="n">
        <v>321091.23</v>
      </c>
      <c r="P4444" s="71" t="n">
        <v>87480.92</v>
      </c>
      <c r="Q4444" s="71" t="n">
        <v>233610.31</v>
      </c>
      <c r="R4444" t="inlineStr">
        <is>
          <t>Antiviral</t>
        </is>
      </c>
      <c r="S4444" s="70" t="n">
        <v>208</v>
      </c>
      <c r="T4444" s="71" t="n">
        <v>74335.62</v>
      </c>
      <c r="U4444" t="inlineStr">
        <is>
          <t>Low</t>
        </is>
      </c>
      <c r="V4444">
        <f>IF(AND(OR(Dashboard!$C$6="All",E4444=Dashboard!$C$6),OR(Dashboard!$F$6="All",G4444=Dashboard!$F$6),OR(Dashboard!$I$6="All",H4444=Dashboard!$I$6)),1,0)</f>
        <v/>
      </c>
    </row>
    <row r="4445">
      <c r="A4445" t="inlineStr">
        <is>
          <t>PF104436</t>
        </is>
      </c>
      <c r="B4445" s="68" t="n">
        <v>46191</v>
      </c>
      <c r="C4445" s="69" t="n">
        <v>2026</v>
      </c>
      <c r="D4445" t="inlineStr">
        <is>
          <t>Jun</t>
        </is>
      </c>
      <c r="E4445" t="inlineStr">
        <is>
          <t>International developed</t>
        </is>
      </c>
      <c r="F4445" t="inlineStr">
        <is>
          <t>Japan</t>
        </is>
      </c>
      <c r="G4445" t="inlineStr">
        <is>
          <t>Prevnar 20</t>
        </is>
      </c>
      <c r="H4445" t="inlineStr">
        <is>
          <t>Retail pharmacy</t>
        </is>
      </c>
      <c r="I4445" t="inlineStr">
        <is>
          <t>Public payer</t>
        </is>
      </c>
      <c r="J4445" t="inlineStr">
        <is>
          <t>Zoya Ahmed</t>
        </is>
      </c>
      <c r="K4445" s="70" t="n">
        <v>684</v>
      </c>
      <c r="L4445" s="71" t="n">
        <v>215.35</v>
      </c>
      <c r="M4445" s="71" t="n">
        <v>147299.4</v>
      </c>
      <c r="N4445" s="71" t="n">
        <v>22094.91</v>
      </c>
      <c r="O4445" s="71" t="n">
        <v>125204.49</v>
      </c>
      <c r="P4445" s="71" t="n">
        <v>47255.12</v>
      </c>
      <c r="Q4445" s="71" t="n">
        <v>77949.37</v>
      </c>
      <c r="R4445" t="inlineStr">
        <is>
          <t>Vaccines</t>
        </is>
      </c>
      <c r="S4445" s="70" t="n">
        <v>454</v>
      </c>
      <c r="T4445" s="71" t="n">
        <v>28041.24</v>
      </c>
      <c r="U4445" t="inlineStr">
        <is>
          <t>Low</t>
        </is>
      </c>
      <c r="V4445">
        <f>IF(AND(OR(Dashboard!$C$6="All",E4445=Dashboard!$C$6),OR(Dashboard!$F$6="All",G4445=Dashboard!$F$6),OR(Dashboard!$I$6="All",H4445=Dashboard!$I$6)),1,0)</f>
        <v/>
      </c>
    </row>
    <row r="4446">
      <c r="A4446" t="inlineStr">
        <is>
          <t>PF104437</t>
        </is>
      </c>
      <c r="B4446" s="68" t="n">
        <v>46191</v>
      </c>
      <c r="C4446" s="69" t="n">
        <v>2026</v>
      </c>
      <c r="D4446" t="inlineStr">
        <is>
          <t>Jun</t>
        </is>
      </c>
      <c r="E4446" t="inlineStr">
        <is>
          <t>International developed</t>
        </is>
      </c>
      <c r="F4446" t="inlineStr">
        <is>
          <t>Australia</t>
        </is>
      </c>
      <c r="G4446" t="inlineStr">
        <is>
          <t>Eliquis</t>
        </is>
      </c>
      <c r="H4446" t="inlineStr">
        <is>
          <t>Hospital</t>
        </is>
      </c>
      <c r="I4446" t="inlineStr">
        <is>
          <t>Self-pay</t>
        </is>
      </c>
      <c r="J4446" t="inlineStr">
        <is>
          <t>Ruhi Shaikh</t>
        </is>
      </c>
      <c r="K4446" s="70" t="n">
        <v>2582</v>
      </c>
      <c r="L4446" s="71" t="n">
        <v>426.39</v>
      </c>
      <c r="M4446" s="71" t="n">
        <v>1100938.98</v>
      </c>
      <c r="N4446" s="71" t="n">
        <v>55046.95</v>
      </c>
      <c r="O4446" s="71" t="n">
        <v>1045892.03</v>
      </c>
      <c r="P4446" s="71" t="n">
        <v>202821.35</v>
      </c>
      <c r="Q4446" s="71" t="n">
        <v>843070.6800000001</v>
      </c>
      <c r="R4446" t="inlineStr">
        <is>
          <t>Cardiology</t>
        </is>
      </c>
      <c r="S4446" s="70" t="n">
        <v>1700</v>
      </c>
      <c r="T4446" s="71" t="n">
        <v>216266.2</v>
      </c>
      <c r="U4446" t="inlineStr">
        <is>
          <t>High</t>
        </is>
      </c>
      <c r="V4446">
        <f>IF(AND(OR(Dashboard!$C$6="All",E4446=Dashboard!$C$6),OR(Dashboard!$F$6="All",G4446=Dashboard!$F$6),OR(Dashboard!$I$6="All",H4446=Dashboard!$I$6)),1,0)</f>
        <v/>
      </c>
    </row>
    <row r="4447">
      <c r="A4447" t="inlineStr">
        <is>
          <t>PF104438</t>
        </is>
      </c>
      <c r="B4447" s="68" t="n">
        <v>46191</v>
      </c>
      <c r="C4447" s="69" t="n">
        <v>2026</v>
      </c>
      <c r="D4447" t="inlineStr">
        <is>
          <t>Jun</t>
        </is>
      </c>
      <c r="E4447" t="inlineStr">
        <is>
          <t>Europe</t>
        </is>
      </c>
      <c r="F4447" t="inlineStr">
        <is>
          <t>Italy</t>
        </is>
      </c>
      <c r="G4447" t="inlineStr">
        <is>
          <t>Abrysvo</t>
        </is>
      </c>
      <c r="H4447" t="inlineStr">
        <is>
          <t>Government / tender</t>
        </is>
      </c>
      <c r="I4447" t="inlineStr">
        <is>
          <t>Private insurer</t>
        </is>
      </c>
      <c r="J4447" t="inlineStr">
        <is>
          <t>Omar Haddad</t>
        </is>
      </c>
      <c r="K4447" s="70" t="n">
        <v>235</v>
      </c>
      <c r="L4447" s="71" t="n">
        <v>331.08</v>
      </c>
      <c r="M4447" s="71" t="n">
        <v>77803.8</v>
      </c>
      <c r="N4447" s="71" t="n">
        <v>7780.38</v>
      </c>
      <c r="O4447" s="71" t="n">
        <v>70023.42</v>
      </c>
      <c r="P4447" s="71" t="n">
        <v>19260.84</v>
      </c>
      <c r="Q4447" s="71" t="n">
        <v>50762.58</v>
      </c>
      <c r="R4447" t="inlineStr">
        <is>
          <t>Vaccines</t>
        </is>
      </c>
      <c r="S4447" s="70" t="n">
        <v>214</v>
      </c>
      <c r="T4447" s="71" t="n">
        <v>10261.71</v>
      </c>
      <c r="U4447" t="inlineStr">
        <is>
          <t>Low</t>
        </is>
      </c>
      <c r="V4447">
        <f>IF(AND(OR(Dashboard!$C$6="All",E4447=Dashboard!$C$6),OR(Dashboard!$F$6="All",G4447=Dashboard!$F$6),OR(Dashboard!$I$6="All",H4447=Dashboard!$I$6)),1,0)</f>
        <v/>
      </c>
    </row>
    <row r="4448">
      <c r="A4448" t="inlineStr">
        <is>
          <t>PF104439</t>
        </is>
      </c>
      <c r="B4448" s="68" t="n">
        <v>46191</v>
      </c>
      <c r="C4448" s="69" t="n">
        <v>2026</v>
      </c>
      <c r="D4448" t="inlineStr">
        <is>
          <t>Jun</t>
        </is>
      </c>
      <c r="E4448" t="inlineStr">
        <is>
          <t>United States</t>
        </is>
      </c>
      <c r="F4448" t="inlineStr">
        <is>
          <t>USA</t>
        </is>
      </c>
      <c r="G4448" t="inlineStr">
        <is>
          <t>Prevnar 20</t>
        </is>
      </c>
      <c r="H4448" t="inlineStr">
        <is>
          <t>Retail pharmacy</t>
        </is>
      </c>
      <c r="I4448" t="inlineStr">
        <is>
          <t>Private insurer</t>
        </is>
      </c>
      <c r="J4448" t="inlineStr">
        <is>
          <t>Noah Smith</t>
        </is>
      </c>
      <c r="K4448" s="70" t="n">
        <v>1030</v>
      </c>
      <c r="L4448" s="71" t="n">
        <v>390.93</v>
      </c>
      <c r="M4448" s="71" t="n">
        <v>402657.9</v>
      </c>
      <c r="N4448" s="71" t="n">
        <v>120797.37</v>
      </c>
      <c r="O4448" s="71" t="n">
        <v>281860.53</v>
      </c>
      <c r="P4448" s="71" t="n">
        <v>71751.73</v>
      </c>
      <c r="Q4448" s="71" t="n">
        <v>210108.8</v>
      </c>
      <c r="R4448" t="inlineStr">
        <is>
          <t>Vaccines</t>
        </is>
      </c>
      <c r="S4448" s="70" t="n">
        <v>916</v>
      </c>
      <c r="T4448" s="71" t="n">
        <v>56334.88</v>
      </c>
      <c r="U4448" t="inlineStr">
        <is>
          <t>Low</t>
        </is>
      </c>
      <c r="V4448">
        <f>IF(AND(OR(Dashboard!$C$6="All",E4448=Dashboard!$C$6),OR(Dashboard!$F$6="All",G4448=Dashboard!$F$6),OR(Dashboard!$I$6="All",H4448=Dashboard!$I$6)),1,0)</f>
        <v/>
      </c>
    </row>
    <row r="4449">
      <c r="A4449" t="inlineStr">
        <is>
          <t>PF104440</t>
        </is>
      </c>
      <c r="B4449" s="68" t="n">
        <v>46191</v>
      </c>
      <c r="C4449" s="69" t="n">
        <v>2026</v>
      </c>
      <c r="D4449" t="inlineStr">
        <is>
          <t>Jun</t>
        </is>
      </c>
      <c r="E4449" t="inlineStr">
        <is>
          <t>United States</t>
        </is>
      </c>
      <c r="F4449" t="inlineStr">
        <is>
          <t>USA</t>
        </is>
      </c>
      <c r="G4449" t="inlineStr">
        <is>
          <t>Ibrance</t>
        </is>
      </c>
      <c r="H4449" t="inlineStr">
        <is>
          <t>Hospital</t>
        </is>
      </c>
      <c r="I4449" t="inlineStr">
        <is>
          <t>Private insurer</t>
        </is>
      </c>
      <c r="J4449" t="inlineStr">
        <is>
          <t>Liam O'Brien</t>
        </is>
      </c>
      <c r="K4449" s="70" t="n">
        <v>1213</v>
      </c>
      <c r="L4449" s="71" t="n">
        <v>4972.11</v>
      </c>
      <c r="M4449" s="71" t="n">
        <v>6031169.43</v>
      </c>
      <c r="N4449" s="71" t="n">
        <v>1206233.89</v>
      </c>
      <c r="O4449" s="71" t="n">
        <v>4824935.54</v>
      </c>
      <c r="P4449" s="71" t="n">
        <v>538822.77</v>
      </c>
      <c r="Q4449" s="71" t="n">
        <v>4286112.77</v>
      </c>
      <c r="R4449" t="inlineStr">
        <is>
          <t>Oncology</t>
        </is>
      </c>
      <c r="S4449" s="70" t="n">
        <v>1056</v>
      </c>
      <c r="T4449" s="71" t="n">
        <v>993755.02</v>
      </c>
      <c r="U4449" t="inlineStr">
        <is>
          <t>High</t>
        </is>
      </c>
      <c r="V4449">
        <f>IF(AND(OR(Dashboard!$C$6="All",E4449=Dashboard!$C$6),OR(Dashboard!$F$6="All",G4449=Dashboard!$F$6),OR(Dashboard!$I$6="All",H4449=Dashboard!$I$6)),1,0)</f>
        <v/>
      </c>
    </row>
    <row r="4450">
      <c r="A4450" t="inlineStr">
        <is>
          <t>PF104441</t>
        </is>
      </c>
      <c r="B4450" s="68" t="n">
        <v>46191</v>
      </c>
      <c r="C4450" s="69" t="n">
        <v>2026</v>
      </c>
      <c r="D4450" t="inlineStr">
        <is>
          <t>Jun</t>
        </is>
      </c>
      <c r="E4450" t="inlineStr">
        <is>
          <t>United States</t>
        </is>
      </c>
      <c r="F4450" t="inlineStr">
        <is>
          <t>USA</t>
        </is>
      </c>
      <c r="G4450" t="inlineStr">
        <is>
          <t>Xeljanz</t>
        </is>
      </c>
      <c r="H4450" t="inlineStr">
        <is>
          <t>Retail pharmacy</t>
        </is>
      </c>
      <c r="I4450" t="inlineStr">
        <is>
          <t>Public payer</t>
        </is>
      </c>
      <c r="J4450" t="inlineStr">
        <is>
          <t>Wei Chen</t>
        </is>
      </c>
      <c r="K4450" s="70" t="n">
        <v>155</v>
      </c>
      <c r="L4450" s="71" t="n">
        <v>2122.9</v>
      </c>
      <c r="M4450" s="71" t="n">
        <v>329049.5</v>
      </c>
      <c r="N4450" s="71" t="n">
        <v>49357.43</v>
      </c>
      <c r="O4450" s="71" t="n">
        <v>279692.07</v>
      </c>
      <c r="P4450" s="71" t="n">
        <v>37596.26</v>
      </c>
      <c r="Q4450" s="71" t="n">
        <v>242095.81</v>
      </c>
      <c r="R4450" t="inlineStr">
        <is>
          <t>Inflammation</t>
        </is>
      </c>
      <c r="S4450" s="70" t="n">
        <v>99</v>
      </c>
      <c r="T4450" s="71" t="n">
        <v>41245.02</v>
      </c>
      <c r="U4450" t="inlineStr">
        <is>
          <t>High</t>
        </is>
      </c>
      <c r="V4450">
        <f>IF(AND(OR(Dashboard!$C$6="All",E4450=Dashboard!$C$6),OR(Dashboard!$F$6="All",G4450=Dashboard!$F$6),OR(Dashboard!$I$6="All",H4450=Dashboard!$I$6)),1,0)</f>
        <v/>
      </c>
    </row>
    <row r="4451">
      <c r="A4451" t="inlineStr">
        <is>
          <t>PF104442</t>
        </is>
      </c>
      <c r="B4451" s="68" t="n">
        <v>46191</v>
      </c>
      <c r="C4451" s="69" t="n">
        <v>2026</v>
      </c>
      <c r="D4451" t="inlineStr">
        <is>
          <t>Jun</t>
        </is>
      </c>
      <c r="E4451" t="inlineStr">
        <is>
          <t>United States</t>
        </is>
      </c>
      <c r="F4451" t="inlineStr">
        <is>
          <t>USA</t>
        </is>
      </c>
      <c r="G4451" t="inlineStr">
        <is>
          <t>Prevnar 20</t>
        </is>
      </c>
      <c r="H4451" t="inlineStr">
        <is>
          <t>Retail pharmacy</t>
        </is>
      </c>
      <c r="I4451" t="inlineStr">
        <is>
          <t>Self-pay</t>
        </is>
      </c>
      <c r="J4451" t="inlineStr">
        <is>
          <t>Priya Nair</t>
        </is>
      </c>
      <c r="K4451" s="70" t="n">
        <v>506</v>
      </c>
      <c r="L4451" s="71" t="n">
        <v>342.3</v>
      </c>
      <c r="M4451" s="71" t="n">
        <v>173203.8</v>
      </c>
      <c r="N4451" s="71" t="n">
        <v>60621.33</v>
      </c>
      <c r="O4451" s="71" t="n">
        <v>112582.47</v>
      </c>
      <c r="P4451" s="71" t="n">
        <v>34233.36</v>
      </c>
      <c r="Q4451" s="71" t="n">
        <v>78349.11</v>
      </c>
      <c r="R4451" t="inlineStr">
        <is>
          <t>Vaccines</t>
        </is>
      </c>
      <c r="S4451" s="70" t="n">
        <v>339</v>
      </c>
      <c r="T4451" s="71" t="n">
        <v>20814.13</v>
      </c>
      <c r="U4451" t="inlineStr">
        <is>
          <t>Low</t>
        </is>
      </c>
      <c r="V4451">
        <f>IF(AND(OR(Dashboard!$C$6="All",E4451=Dashboard!$C$6),OR(Dashboard!$F$6="All",G4451=Dashboard!$F$6),OR(Dashboard!$I$6="All",H4451=Dashboard!$I$6)),1,0)</f>
        <v/>
      </c>
    </row>
    <row r="4452">
      <c r="A4452" t="inlineStr">
        <is>
          <t>PF104443</t>
        </is>
      </c>
      <c r="B4452" s="68" t="n">
        <v>46191</v>
      </c>
      <c r="C4452" s="69" t="n">
        <v>2026</v>
      </c>
      <c r="D4452" t="inlineStr">
        <is>
          <t>Jun</t>
        </is>
      </c>
      <c r="E4452" t="inlineStr">
        <is>
          <t>United States</t>
        </is>
      </c>
      <c r="F4452" t="inlineStr">
        <is>
          <t>USA</t>
        </is>
      </c>
      <c r="G4452" t="inlineStr">
        <is>
          <t>Ibrance</t>
        </is>
      </c>
      <c r="H4452" t="inlineStr">
        <is>
          <t>Retail pharmacy</t>
        </is>
      </c>
      <c r="I4452" t="inlineStr">
        <is>
          <t>Private insurer</t>
        </is>
      </c>
      <c r="J4452" t="inlineStr">
        <is>
          <t>Ravindra Patil</t>
        </is>
      </c>
      <c r="K4452" s="70" t="n">
        <v>2886</v>
      </c>
      <c r="L4452" s="71" t="n">
        <v>4201.26</v>
      </c>
      <c r="M4452" s="71" t="n">
        <v>12124836.36</v>
      </c>
      <c r="N4452" s="71" t="n">
        <v>1818725.45</v>
      </c>
      <c r="O4452" s="71" t="n">
        <v>10306110.91</v>
      </c>
      <c r="P4452" s="71" t="n">
        <v>1255428.09</v>
      </c>
      <c r="Q4452" s="71" t="n">
        <v>9050682.82</v>
      </c>
      <c r="R4452" t="inlineStr">
        <is>
          <t>Oncology</t>
        </is>
      </c>
      <c r="S4452" s="70" t="n">
        <v>2856</v>
      </c>
      <c r="T4452" s="71" t="n">
        <v>2428418.83</v>
      </c>
      <c r="U4452" t="inlineStr">
        <is>
          <t>High</t>
        </is>
      </c>
      <c r="V4452">
        <f>IF(AND(OR(Dashboard!$C$6="All",E4452=Dashboard!$C$6),OR(Dashboard!$F$6="All",G4452=Dashboard!$F$6),OR(Dashboard!$I$6="All",H4452=Dashboard!$I$6)),1,0)</f>
        <v/>
      </c>
    </row>
    <row r="4453">
      <c r="A4453" t="inlineStr">
        <is>
          <t>PF104444</t>
        </is>
      </c>
      <c r="B4453" s="68" t="n">
        <v>46192</v>
      </c>
      <c r="C4453" s="69" t="n">
        <v>2026</v>
      </c>
      <c r="D4453" t="inlineStr">
        <is>
          <t>Jun</t>
        </is>
      </c>
      <c r="E4453" t="inlineStr">
        <is>
          <t>United States</t>
        </is>
      </c>
      <c r="F4453" t="inlineStr">
        <is>
          <t>USA</t>
        </is>
      </c>
      <c r="G4453" t="inlineStr">
        <is>
          <t>Prevnar 20</t>
        </is>
      </c>
      <c r="H4453" t="inlineStr">
        <is>
          <t>Hospital</t>
        </is>
      </c>
      <c r="I4453" t="inlineStr">
        <is>
          <t>Public payer</t>
        </is>
      </c>
      <c r="J4453" t="inlineStr">
        <is>
          <t>Zoya Ahmed</t>
        </is>
      </c>
      <c r="K4453" s="70" t="n">
        <v>2743</v>
      </c>
      <c r="L4453" s="71" t="n">
        <v>411.45</v>
      </c>
      <c r="M4453" s="71" t="n">
        <v>1128607.35</v>
      </c>
      <c r="N4453" s="71" t="n">
        <v>169291.1</v>
      </c>
      <c r="O4453" s="71" t="n">
        <v>959316.25</v>
      </c>
      <c r="P4453" s="71" t="n">
        <v>183950.45</v>
      </c>
      <c r="Q4453" s="71" t="n">
        <v>775365.8</v>
      </c>
      <c r="R4453" t="inlineStr">
        <is>
          <t>Vaccines</t>
        </is>
      </c>
      <c r="S4453" s="70" t="n">
        <v>2063</v>
      </c>
      <c r="T4453" s="71" t="n">
        <v>193563.69</v>
      </c>
      <c r="U4453" t="inlineStr">
        <is>
          <t>Low</t>
        </is>
      </c>
      <c r="V4453">
        <f>IF(AND(OR(Dashboard!$C$6="All",E4453=Dashboard!$C$6),OR(Dashboard!$F$6="All",G4453=Dashboard!$F$6),OR(Dashboard!$I$6="All",H4453=Dashboard!$I$6)),1,0)</f>
        <v/>
      </c>
    </row>
    <row r="4454">
      <c r="A4454" t="inlineStr">
        <is>
          <t>PF104445</t>
        </is>
      </c>
      <c r="B4454" s="68" t="n">
        <v>46192</v>
      </c>
      <c r="C4454" s="69" t="n">
        <v>2026</v>
      </c>
      <c r="D4454" t="inlineStr">
        <is>
          <t>Jun</t>
        </is>
      </c>
      <c r="E4454" t="inlineStr">
        <is>
          <t>United States</t>
        </is>
      </c>
      <c r="F4454" t="inlineStr">
        <is>
          <t>USA</t>
        </is>
      </c>
      <c r="G4454" t="inlineStr">
        <is>
          <t>Abrysvo</t>
        </is>
      </c>
      <c r="H4454" t="inlineStr">
        <is>
          <t>Government / tender</t>
        </is>
      </c>
      <c r="I4454" t="inlineStr">
        <is>
          <t>Public payer</t>
        </is>
      </c>
      <c r="J4454" t="inlineStr">
        <is>
          <t>Carlos Silva</t>
        </is>
      </c>
      <c r="K4454" s="70" t="n">
        <v>1473</v>
      </c>
      <c r="L4454" s="71" t="n">
        <v>546.03</v>
      </c>
      <c r="M4454" s="71" t="n">
        <v>804302.1899999999</v>
      </c>
      <c r="N4454" s="71" t="n">
        <v>201075.55</v>
      </c>
      <c r="O4454" s="71" t="n">
        <v>603226.64</v>
      </c>
      <c r="P4454" s="71" t="n">
        <v>123536.61</v>
      </c>
      <c r="Q4454" s="71" t="n">
        <v>479690.03</v>
      </c>
      <c r="R4454" t="inlineStr">
        <is>
          <t>Vaccines</t>
        </is>
      </c>
      <c r="S4454" s="70" t="n">
        <v>1307</v>
      </c>
      <c r="T4454" s="71" t="n">
        <v>109123.44</v>
      </c>
      <c r="U4454" t="inlineStr">
        <is>
          <t>Low</t>
        </is>
      </c>
      <c r="V4454">
        <f>IF(AND(OR(Dashboard!$C$6="All",E4454=Dashboard!$C$6),OR(Dashboard!$F$6="All",G4454=Dashboard!$F$6),OR(Dashboard!$I$6="All",H4454=Dashboard!$I$6)),1,0)</f>
        <v/>
      </c>
    </row>
    <row r="4455">
      <c r="A4455" t="inlineStr">
        <is>
          <t>PF104446</t>
        </is>
      </c>
      <c r="B4455" s="68" t="n">
        <v>46192</v>
      </c>
      <c r="C4455" s="69" t="n">
        <v>2026</v>
      </c>
      <c r="D4455" t="inlineStr">
        <is>
          <t>Jun</t>
        </is>
      </c>
      <c r="E4455" t="inlineStr">
        <is>
          <t>United States</t>
        </is>
      </c>
      <c r="F4455" t="inlineStr">
        <is>
          <t>USA</t>
        </is>
      </c>
      <c r="G4455" t="inlineStr">
        <is>
          <t>Prevnar 20</t>
        </is>
      </c>
      <c r="H4455" t="inlineStr">
        <is>
          <t>Retail pharmacy</t>
        </is>
      </c>
      <c r="I4455" t="inlineStr">
        <is>
          <t>Public payer</t>
        </is>
      </c>
      <c r="J4455" t="inlineStr">
        <is>
          <t>Priya Nair</t>
        </is>
      </c>
      <c r="K4455" s="70" t="n">
        <v>2628</v>
      </c>
      <c r="L4455" s="71" t="n">
        <v>339.45</v>
      </c>
      <c r="M4455" s="71" t="n">
        <v>892074.6</v>
      </c>
      <c r="N4455" s="71" t="n">
        <v>178414.92</v>
      </c>
      <c r="O4455" s="71" t="n">
        <v>713659.6800000001</v>
      </c>
      <c r="P4455" s="71" t="n">
        <v>175273.5</v>
      </c>
      <c r="Q4455" s="71" t="n">
        <v>538386.1800000001</v>
      </c>
      <c r="R4455" t="inlineStr">
        <is>
          <t>Vaccines</t>
        </is>
      </c>
      <c r="S4455" s="70" t="n">
        <v>1897</v>
      </c>
      <c r="T4455" s="71" t="n">
        <v>150160.01</v>
      </c>
      <c r="U4455" t="inlineStr">
        <is>
          <t>Low</t>
        </is>
      </c>
      <c r="V4455">
        <f>IF(AND(OR(Dashboard!$C$6="All",E4455=Dashboard!$C$6),OR(Dashboard!$F$6="All",G4455=Dashboard!$F$6),OR(Dashboard!$I$6="All",H4455=Dashboard!$I$6)),1,0)</f>
        <v/>
      </c>
    </row>
    <row r="4456">
      <c r="A4456" t="inlineStr">
        <is>
          <t>PF104447</t>
        </is>
      </c>
      <c r="B4456" s="68" t="n">
        <v>46192</v>
      </c>
      <c r="C4456" s="69" t="n">
        <v>2026</v>
      </c>
      <c r="D4456" t="inlineStr">
        <is>
          <t>Jun</t>
        </is>
      </c>
      <c r="E4456" t="inlineStr">
        <is>
          <t>Emerging markets</t>
        </is>
      </c>
      <c r="F4456" t="inlineStr">
        <is>
          <t>Mexico</t>
        </is>
      </c>
      <c r="G4456" t="inlineStr">
        <is>
          <t>Vyndaqel</t>
        </is>
      </c>
      <c r="H4456" t="inlineStr">
        <is>
          <t>Government / tender</t>
        </is>
      </c>
      <c r="I4456" t="inlineStr">
        <is>
          <t>Private insurer</t>
        </is>
      </c>
      <c r="J4456" t="inlineStr">
        <is>
          <t>Ruhi Shaikh</t>
        </is>
      </c>
      <c r="K4456" s="70" t="n">
        <v>2127</v>
      </c>
      <c r="L4456" s="71" t="n">
        <v>5977.44</v>
      </c>
      <c r="M4456" s="71" t="n">
        <v>12714014.88</v>
      </c>
      <c r="N4456" s="71" t="n">
        <v>3178503.72</v>
      </c>
      <c r="O4456" s="71" t="n">
        <v>9535511.16</v>
      </c>
      <c r="P4456" s="71" t="n">
        <v>1311440.69</v>
      </c>
      <c r="Q4456" s="71" t="n">
        <v>8224070.47</v>
      </c>
      <c r="R4456" t="inlineStr">
        <is>
          <t>Rare disease</t>
        </is>
      </c>
      <c r="S4456" s="70" t="n">
        <v>1541</v>
      </c>
      <c r="T4456" s="71" t="n">
        <v>1972235.69</v>
      </c>
      <c r="U4456" t="inlineStr">
        <is>
          <t>Medium</t>
        </is>
      </c>
      <c r="V4456">
        <f>IF(AND(OR(Dashboard!$C$6="All",E4456=Dashboard!$C$6),OR(Dashboard!$F$6="All",G4456=Dashboard!$F$6),OR(Dashboard!$I$6="All",H4456=Dashboard!$I$6)),1,0)</f>
        <v/>
      </c>
    </row>
    <row r="4457">
      <c r="A4457" t="inlineStr">
        <is>
          <t>PF104448</t>
        </is>
      </c>
      <c r="B4457" s="68" t="n">
        <v>46192</v>
      </c>
      <c r="C4457" s="69" t="n">
        <v>2026</v>
      </c>
      <c r="D4457" t="inlineStr">
        <is>
          <t>Jun</t>
        </is>
      </c>
      <c r="E4457" t="inlineStr">
        <is>
          <t>United States</t>
        </is>
      </c>
      <c r="F4457" t="inlineStr">
        <is>
          <t>USA</t>
        </is>
      </c>
      <c r="G4457" t="inlineStr">
        <is>
          <t>Xeljanz</t>
        </is>
      </c>
      <c r="H4457" t="inlineStr">
        <is>
          <t>Government / tender</t>
        </is>
      </c>
      <c r="I4457" t="inlineStr">
        <is>
          <t>Private insurer</t>
        </is>
      </c>
      <c r="J4457" t="inlineStr">
        <is>
          <t>Kofi Mensah</t>
        </is>
      </c>
      <c r="K4457" s="70" t="n">
        <v>2067</v>
      </c>
      <c r="L4457" s="71" t="n">
        <v>1959</v>
      </c>
      <c r="M4457" s="71" t="n">
        <v>4049253</v>
      </c>
      <c r="N4457" s="71" t="n">
        <v>607387.95</v>
      </c>
      <c r="O4457" s="71" t="n">
        <v>3441865.05</v>
      </c>
      <c r="P4457" s="71" t="n">
        <v>532305.6</v>
      </c>
      <c r="Q4457" s="71" t="n">
        <v>2909559.45</v>
      </c>
      <c r="R4457" t="inlineStr">
        <is>
          <t>Inflammation</t>
        </is>
      </c>
      <c r="S4457" s="70" t="n">
        <v>1809</v>
      </c>
      <c r="T4457" s="71" t="n">
        <v>777856.75</v>
      </c>
      <c r="U4457" t="inlineStr">
        <is>
          <t>High</t>
        </is>
      </c>
      <c r="V4457">
        <f>IF(AND(OR(Dashboard!$C$6="All",E4457=Dashboard!$C$6),OR(Dashboard!$F$6="All",G4457=Dashboard!$F$6),OR(Dashboard!$I$6="All",H4457=Dashboard!$I$6)),1,0)</f>
        <v/>
      </c>
    </row>
    <row r="4458">
      <c r="A4458" t="inlineStr">
        <is>
          <t>PF104449</t>
        </is>
      </c>
      <c r="B4458" s="68" t="n">
        <v>46192</v>
      </c>
      <c r="C4458" s="69" t="n">
        <v>2026</v>
      </c>
      <c r="D4458" t="inlineStr">
        <is>
          <t>Jun</t>
        </is>
      </c>
      <c r="E4458" t="inlineStr">
        <is>
          <t>International developed</t>
        </is>
      </c>
      <c r="F4458" t="inlineStr">
        <is>
          <t>Japan</t>
        </is>
      </c>
      <c r="G4458" t="inlineStr">
        <is>
          <t>Eliquis</t>
        </is>
      </c>
      <c r="H4458" t="inlineStr">
        <is>
          <t>Hospital</t>
        </is>
      </c>
      <c r="I4458" t="inlineStr">
        <is>
          <t>Public payer</t>
        </is>
      </c>
      <c r="J4458" t="inlineStr">
        <is>
          <t>Ana Costa</t>
        </is>
      </c>
      <c r="K4458" s="70" t="n">
        <v>1744</v>
      </c>
      <c r="L4458" s="71" t="n">
        <v>453.47</v>
      </c>
      <c r="M4458" s="71" t="n">
        <v>790851.6800000001</v>
      </c>
      <c r="N4458" s="71" t="n">
        <v>39542.58</v>
      </c>
      <c r="O4458" s="71" t="n">
        <v>751309.1</v>
      </c>
      <c r="P4458" s="71" t="n">
        <v>133136.97</v>
      </c>
      <c r="Q4458" s="71" t="n">
        <v>618172.13</v>
      </c>
      <c r="R4458" t="inlineStr">
        <is>
          <t>Cardiology</t>
        </is>
      </c>
      <c r="S4458" s="70" t="n">
        <v>1286</v>
      </c>
      <c r="T4458" s="71" t="n">
        <v>122228.96</v>
      </c>
      <c r="U4458" t="inlineStr">
        <is>
          <t>High</t>
        </is>
      </c>
      <c r="V4458">
        <f>IF(AND(OR(Dashboard!$C$6="All",E4458=Dashboard!$C$6),OR(Dashboard!$F$6="All",G4458=Dashboard!$F$6),OR(Dashboard!$I$6="All",H4458=Dashboard!$I$6)),1,0)</f>
        <v/>
      </c>
    </row>
    <row r="4459">
      <c r="A4459" t="inlineStr">
        <is>
          <t>PF104450</t>
        </is>
      </c>
      <c r="B4459" s="68" t="n">
        <v>46192</v>
      </c>
      <c r="C4459" s="69" t="n">
        <v>2026</v>
      </c>
      <c r="D4459" t="inlineStr">
        <is>
          <t>Jun</t>
        </is>
      </c>
      <c r="E4459" t="inlineStr">
        <is>
          <t>United States</t>
        </is>
      </c>
      <c r="F4459" t="inlineStr">
        <is>
          <t>USA</t>
        </is>
      </c>
      <c r="G4459" t="inlineStr">
        <is>
          <t>Comirnaty</t>
        </is>
      </c>
      <c r="H4459" t="inlineStr">
        <is>
          <t>Government / tender</t>
        </is>
      </c>
      <c r="I4459" t="inlineStr">
        <is>
          <t>Public payer</t>
        </is>
      </c>
      <c r="J4459" t="inlineStr">
        <is>
          <t>Sara Rossi</t>
        </is>
      </c>
      <c r="K4459" s="70" t="n">
        <v>2062</v>
      </c>
      <c r="L4459" s="71" t="n">
        <v>136.84</v>
      </c>
      <c r="M4459" s="71" t="n">
        <v>282164.08</v>
      </c>
      <c r="N4459" s="71" t="n">
        <v>84649.22</v>
      </c>
      <c r="O4459" s="71" t="n">
        <v>197514.86</v>
      </c>
      <c r="P4459" s="71" t="n">
        <v>81296.58</v>
      </c>
      <c r="Q4459" s="71" t="n">
        <v>116218.28</v>
      </c>
      <c r="R4459" t="inlineStr">
        <is>
          <t>Vaccines</t>
        </is>
      </c>
      <c r="S4459" s="70" t="n">
        <v>1307</v>
      </c>
      <c r="T4459" s="71" t="n">
        <v>63969.95</v>
      </c>
      <c r="U4459" t="inlineStr">
        <is>
          <t>Low</t>
        </is>
      </c>
      <c r="V4459">
        <f>IF(AND(OR(Dashboard!$C$6="All",E4459=Dashboard!$C$6),OR(Dashboard!$F$6="All",G4459=Dashboard!$F$6),OR(Dashboard!$I$6="All",H4459=Dashboard!$I$6)),1,0)</f>
        <v/>
      </c>
    </row>
    <row r="4460">
      <c r="A4460" t="inlineStr">
        <is>
          <t>PF104451</t>
        </is>
      </c>
      <c r="B4460" s="68" t="n">
        <v>46192</v>
      </c>
      <c r="C4460" s="69" t="n">
        <v>2026</v>
      </c>
      <c r="D4460" t="inlineStr">
        <is>
          <t>Jun</t>
        </is>
      </c>
      <c r="E4460" t="inlineStr">
        <is>
          <t>Europe</t>
        </is>
      </c>
      <c r="F4460" t="inlineStr">
        <is>
          <t>France</t>
        </is>
      </c>
      <c r="G4460" t="inlineStr">
        <is>
          <t>Ibrance</t>
        </is>
      </c>
      <c r="H4460" t="inlineStr">
        <is>
          <t>Retail pharmacy</t>
        </is>
      </c>
      <c r="I4460" t="inlineStr">
        <is>
          <t>Public payer</t>
        </is>
      </c>
      <c r="J4460" t="inlineStr">
        <is>
          <t>Shraddha Kulkarni</t>
        </is>
      </c>
      <c r="K4460" s="70" t="n">
        <v>701</v>
      </c>
      <c r="L4460" s="71" t="n">
        <v>2706.06</v>
      </c>
      <c r="M4460" s="71" t="n">
        <v>1896948.06</v>
      </c>
      <c r="N4460" s="71" t="n">
        <v>284542.21</v>
      </c>
      <c r="O4460" s="71" t="n">
        <v>1612405.85</v>
      </c>
      <c r="P4460" s="71" t="n">
        <v>307447.17</v>
      </c>
      <c r="Q4460" s="71" t="n">
        <v>1304958.68</v>
      </c>
      <c r="R4460" t="inlineStr">
        <is>
          <t>Oncology</t>
        </is>
      </c>
      <c r="S4460" s="70" t="n">
        <v>516</v>
      </c>
      <c r="T4460" s="71" t="n">
        <v>368563.51</v>
      </c>
      <c r="U4460" t="inlineStr">
        <is>
          <t>High</t>
        </is>
      </c>
      <c r="V4460">
        <f>IF(AND(OR(Dashboard!$C$6="All",E4460=Dashboard!$C$6),OR(Dashboard!$F$6="All",G4460=Dashboard!$F$6),OR(Dashboard!$I$6="All",H4460=Dashboard!$I$6)),1,0)</f>
        <v/>
      </c>
    </row>
    <row r="4461">
      <c r="A4461" t="inlineStr">
        <is>
          <t>PF104452</t>
        </is>
      </c>
      <c r="B4461" s="68" t="n">
        <v>46192</v>
      </c>
      <c r="C4461" s="69" t="n">
        <v>2026</v>
      </c>
      <c r="D4461" t="inlineStr">
        <is>
          <t>Jun</t>
        </is>
      </c>
      <c r="E4461" t="inlineStr">
        <is>
          <t>United States</t>
        </is>
      </c>
      <c r="F4461" t="inlineStr">
        <is>
          <t>USA</t>
        </is>
      </c>
      <c r="G4461" t="inlineStr">
        <is>
          <t>Abrysvo</t>
        </is>
      </c>
      <c r="H4461" t="inlineStr">
        <is>
          <t>Hospital</t>
        </is>
      </c>
      <c r="I4461" t="inlineStr">
        <is>
          <t>Private insurer</t>
        </is>
      </c>
      <c r="J4461" t="inlineStr">
        <is>
          <t>Mei Lin</t>
        </is>
      </c>
      <c r="K4461" s="70" t="n">
        <v>2210</v>
      </c>
      <c r="L4461" s="71" t="n">
        <v>547.4</v>
      </c>
      <c r="M4461" s="71" t="n">
        <v>1209754</v>
      </c>
      <c r="N4461" s="71" t="n">
        <v>423413.9</v>
      </c>
      <c r="O4461" s="71" t="n">
        <v>786340.1</v>
      </c>
      <c r="P4461" s="71" t="n">
        <v>191998.5</v>
      </c>
      <c r="Q4461" s="71" t="n">
        <v>594341.6</v>
      </c>
      <c r="R4461" t="inlineStr">
        <is>
          <t>Vaccines</t>
        </is>
      </c>
      <c r="S4461" s="70" t="n">
        <v>2080</v>
      </c>
      <c r="T4461" s="71" t="n">
        <v>201797.54</v>
      </c>
      <c r="U4461" t="inlineStr">
        <is>
          <t>Low</t>
        </is>
      </c>
      <c r="V4461">
        <f>IF(AND(OR(Dashboard!$C$6="All",E4461=Dashboard!$C$6),OR(Dashboard!$F$6="All",G4461=Dashboard!$F$6),OR(Dashboard!$I$6="All",H4461=Dashboard!$I$6)),1,0)</f>
        <v/>
      </c>
    </row>
    <row r="4462">
      <c r="A4462" t="inlineStr">
        <is>
          <t>PF104453</t>
        </is>
      </c>
      <c r="B4462" s="68" t="n">
        <v>46193</v>
      </c>
      <c r="C4462" s="69" t="n">
        <v>2026</v>
      </c>
      <c r="D4462" t="inlineStr">
        <is>
          <t>Jun</t>
        </is>
      </c>
      <c r="E4462" t="inlineStr">
        <is>
          <t>International developed</t>
        </is>
      </c>
      <c r="F4462" t="inlineStr">
        <is>
          <t>Australia</t>
        </is>
      </c>
      <c r="G4462" t="inlineStr">
        <is>
          <t>Prevnar 20</t>
        </is>
      </c>
      <c r="H4462" t="inlineStr">
        <is>
          <t>Hospital</t>
        </is>
      </c>
      <c r="I4462" t="inlineStr">
        <is>
          <t>Public payer</t>
        </is>
      </c>
      <c r="J4462" t="inlineStr">
        <is>
          <t>Fatima Al-Saud</t>
        </is>
      </c>
      <c r="K4462" s="70" t="n">
        <v>2023</v>
      </c>
      <c r="L4462" s="71" t="n">
        <v>226.78</v>
      </c>
      <c r="M4462" s="71" t="n">
        <v>458775.94</v>
      </c>
      <c r="N4462" s="71" t="n">
        <v>45877.59</v>
      </c>
      <c r="O4462" s="71" t="n">
        <v>412898.35</v>
      </c>
      <c r="P4462" s="71" t="n">
        <v>137712.7</v>
      </c>
      <c r="Q4462" s="71" t="n">
        <v>275185.65</v>
      </c>
      <c r="R4462" t="inlineStr">
        <is>
          <t>Vaccines</t>
        </is>
      </c>
      <c r="S4462" s="70" t="n">
        <v>1938</v>
      </c>
      <c r="T4462" s="71" t="n">
        <v>93772.09</v>
      </c>
      <c r="U4462" t="inlineStr">
        <is>
          <t>Low</t>
        </is>
      </c>
      <c r="V4462">
        <f>IF(AND(OR(Dashboard!$C$6="All",E4462=Dashboard!$C$6),OR(Dashboard!$F$6="All",G4462=Dashboard!$F$6),OR(Dashboard!$I$6="All",H4462=Dashboard!$I$6)),1,0)</f>
        <v/>
      </c>
    </row>
    <row r="4463">
      <c r="A4463" t="inlineStr">
        <is>
          <t>PF104454</t>
        </is>
      </c>
      <c r="B4463" s="68" t="n">
        <v>46193</v>
      </c>
      <c r="C4463" s="69" t="n">
        <v>2026</v>
      </c>
      <c r="D4463" t="inlineStr">
        <is>
          <t>Jun</t>
        </is>
      </c>
      <c r="E4463" t="inlineStr">
        <is>
          <t>United States</t>
        </is>
      </c>
      <c r="F4463" t="inlineStr">
        <is>
          <t>USA</t>
        </is>
      </c>
      <c r="G4463" t="inlineStr">
        <is>
          <t>Eliquis</t>
        </is>
      </c>
      <c r="H4463" t="inlineStr">
        <is>
          <t>Government / tender</t>
        </is>
      </c>
      <c r="I4463" t="inlineStr">
        <is>
          <t>Public payer</t>
        </is>
      </c>
      <c r="J4463" t="inlineStr">
        <is>
          <t>Priya Nair</t>
        </is>
      </c>
      <c r="K4463" s="70" t="n">
        <v>2661</v>
      </c>
      <c r="L4463" s="71" t="n">
        <v>662.51</v>
      </c>
      <c r="M4463" s="71" t="n">
        <v>1762939.11</v>
      </c>
      <c r="N4463" s="71" t="n">
        <v>264440.87</v>
      </c>
      <c r="O4463" s="71" t="n">
        <v>1498498.24</v>
      </c>
      <c r="P4463" s="71" t="n">
        <v>205341.68</v>
      </c>
      <c r="Q4463" s="71" t="n">
        <v>1293156.56</v>
      </c>
      <c r="R4463" t="inlineStr">
        <is>
          <t>Cardiology</t>
        </is>
      </c>
      <c r="S4463" s="70" t="n">
        <v>2137</v>
      </c>
      <c r="T4463" s="71" t="n">
        <v>234953.85</v>
      </c>
      <c r="U4463" t="inlineStr">
        <is>
          <t>High</t>
        </is>
      </c>
      <c r="V4463">
        <f>IF(AND(OR(Dashboard!$C$6="All",E4463=Dashboard!$C$6),OR(Dashboard!$F$6="All",G4463=Dashboard!$F$6),OR(Dashboard!$I$6="All",H4463=Dashboard!$I$6)),1,0)</f>
        <v/>
      </c>
    </row>
    <row r="4464">
      <c r="A4464" t="inlineStr">
        <is>
          <t>PF104455</t>
        </is>
      </c>
      <c r="B4464" s="68" t="n">
        <v>46193</v>
      </c>
      <c r="C4464" s="69" t="n">
        <v>2026</v>
      </c>
      <c r="D4464" t="inlineStr">
        <is>
          <t>Jun</t>
        </is>
      </c>
      <c r="E4464" t="inlineStr">
        <is>
          <t>United States</t>
        </is>
      </c>
      <c r="F4464" t="inlineStr">
        <is>
          <t>USA</t>
        </is>
      </c>
      <c r="G4464" t="inlineStr">
        <is>
          <t>Abrysvo</t>
        </is>
      </c>
      <c r="H4464" t="inlineStr">
        <is>
          <t>Retail pharmacy</t>
        </is>
      </c>
      <c r="I4464" t="inlineStr">
        <is>
          <t>Public payer</t>
        </is>
      </c>
      <c r="J4464" t="inlineStr">
        <is>
          <t>Ruhi Shaikh</t>
        </is>
      </c>
      <c r="K4464" s="70" t="n">
        <v>2059</v>
      </c>
      <c r="L4464" s="71" t="n">
        <v>476.02</v>
      </c>
      <c r="M4464" s="71" t="n">
        <v>980125.1800000001</v>
      </c>
      <c r="N4464" s="71" t="n">
        <v>147018.78</v>
      </c>
      <c r="O4464" s="71" t="n">
        <v>833106.4</v>
      </c>
      <c r="P4464" s="71" t="n">
        <v>168456.23</v>
      </c>
      <c r="Q4464" s="71" t="n">
        <v>664650.17</v>
      </c>
      <c r="R4464" t="inlineStr">
        <is>
          <t>Vaccines</t>
        </is>
      </c>
      <c r="S4464" s="70" t="n">
        <v>1494</v>
      </c>
      <c r="T4464" s="71" t="n">
        <v>150504.3</v>
      </c>
      <c r="U4464" t="inlineStr">
        <is>
          <t>Low</t>
        </is>
      </c>
      <c r="V4464">
        <f>IF(AND(OR(Dashboard!$C$6="All",E4464=Dashboard!$C$6),OR(Dashboard!$F$6="All",G4464=Dashboard!$F$6),OR(Dashboard!$I$6="All",H4464=Dashboard!$I$6)),1,0)</f>
        <v/>
      </c>
    </row>
    <row r="4465">
      <c r="A4465" t="inlineStr">
        <is>
          <t>PF104456</t>
        </is>
      </c>
      <c r="B4465" s="68" t="n">
        <v>46193</v>
      </c>
      <c r="C4465" s="69" t="n">
        <v>2026</v>
      </c>
      <c r="D4465" t="inlineStr">
        <is>
          <t>Jun</t>
        </is>
      </c>
      <c r="E4465" t="inlineStr">
        <is>
          <t>United States</t>
        </is>
      </c>
      <c r="F4465" t="inlineStr">
        <is>
          <t>USA</t>
        </is>
      </c>
      <c r="G4465" t="inlineStr">
        <is>
          <t>Comirnaty</t>
        </is>
      </c>
      <c r="H4465" t="inlineStr">
        <is>
          <t>Retail pharmacy</t>
        </is>
      </c>
      <c r="I4465" t="inlineStr">
        <is>
          <t>Public payer</t>
        </is>
      </c>
      <c r="J4465" t="inlineStr">
        <is>
          <t>Liam O'Brien</t>
        </is>
      </c>
      <c r="K4465" s="70" t="n">
        <v>1807</v>
      </c>
      <c r="L4465" s="71" t="n">
        <v>155.2</v>
      </c>
      <c r="M4465" s="71" t="n">
        <v>280446.4</v>
      </c>
      <c r="N4465" s="71" t="n">
        <v>98156.24000000001</v>
      </c>
      <c r="O4465" s="71" t="n">
        <v>182290.16</v>
      </c>
      <c r="P4465" s="71" t="n">
        <v>67483.63</v>
      </c>
      <c r="Q4465" s="71" t="n">
        <v>114806.53</v>
      </c>
      <c r="R4465" t="inlineStr">
        <is>
          <t>Vaccines</t>
        </is>
      </c>
      <c r="S4465" s="70" t="n">
        <v>1476</v>
      </c>
      <c r="T4465" s="71" t="n">
        <v>56062.94</v>
      </c>
      <c r="U4465" t="inlineStr">
        <is>
          <t>Low</t>
        </is>
      </c>
      <c r="V4465">
        <f>IF(AND(OR(Dashboard!$C$6="All",E4465=Dashboard!$C$6),OR(Dashboard!$F$6="All",G4465=Dashboard!$F$6),OR(Dashboard!$I$6="All",H4465=Dashboard!$I$6)),1,0)</f>
        <v/>
      </c>
    </row>
    <row r="4466">
      <c r="A4466" t="inlineStr">
        <is>
          <t>PF104457</t>
        </is>
      </c>
      <c r="B4466" s="68" t="n">
        <v>46193</v>
      </c>
      <c r="C4466" s="69" t="n">
        <v>2026</v>
      </c>
      <c r="D4466" t="inlineStr">
        <is>
          <t>Jun</t>
        </is>
      </c>
      <c r="E4466" t="inlineStr">
        <is>
          <t>Emerging markets</t>
        </is>
      </c>
      <c r="F4466" t="inlineStr">
        <is>
          <t>China</t>
        </is>
      </c>
      <c r="G4466" t="inlineStr">
        <is>
          <t>Paxlovid</t>
        </is>
      </c>
      <c r="H4466" t="inlineStr">
        <is>
          <t>Retail pharmacy</t>
        </is>
      </c>
      <c r="I4466" t="inlineStr">
        <is>
          <t>Public payer</t>
        </is>
      </c>
      <c r="J4466" t="inlineStr">
        <is>
          <t>Sophie Müller</t>
        </is>
      </c>
      <c r="K4466" s="70" t="n">
        <v>1232</v>
      </c>
      <c r="L4466" s="71" t="n">
        <v>935.6900000000001</v>
      </c>
      <c r="M4466" s="71" t="n">
        <v>1152770.08</v>
      </c>
      <c r="N4466" s="71" t="n">
        <v>57638.5</v>
      </c>
      <c r="O4466" s="71" t="n">
        <v>1095131.58</v>
      </c>
      <c r="P4466" s="71" t="n">
        <v>326031.99</v>
      </c>
      <c r="Q4466" s="71" t="n">
        <v>769099.59</v>
      </c>
      <c r="R4466" t="inlineStr">
        <is>
          <t>Antiviral</t>
        </is>
      </c>
      <c r="S4466" s="70" t="n">
        <v>920</v>
      </c>
      <c r="T4466" s="71" t="n">
        <v>236673.16</v>
      </c>
      <c r="U4466" t="inlineStr">
        <is>
          <t>Low</t>
        </is>
      </c>
      <c r="V4466">
        <f>IF(AND(OR(Dashboard!$C$6="All",E4466=Dashboard!$C$6),OR(Dashboard!$F$6="All",G4466=Dashboard!$F$6),OR(Dashboard!$I$6="All",H4466=Dashboard!$I$6)),1,0)</f>
        <v/>
      </c>
    </row>
    <row r="4467">
      <c r="A4467" t="inlineStr">
        <is>
          <t>PF104458</t>
        </is>
      </c>
      <c r="B4467" s="68" t="n">
        <v>46193</v>
      </c>
      <c r="C4467" s="69" t="n">
        <v>2026</v>
      </c>
      <c r="D4467" t="inlineStr">
        <is>
          <t>Jun</t>
        </is>
      </c>
      <c r="E4467" t="inlineStr">
        <is>
          <t>United States</t>
        </is>
      </c>
      <c r="F4467" t="inlineStr">
        <is>
          <t>USA</t>
        </is>
      </c>
      <c r="G4467" t="inlineStr">
        <is>
          <t>Eliquis</t>
        </is>
      </c>
      <c r="H4467" t="inlineStr">
        <is>
          <t>Retail pharmacy</t>
        </is>
      </c>
      <c r="I4467" t="inlineStr">
        <is>
          <t>Private insurer</t>
        </is>
      </c>
      <c r="J4467" t="inlineStr">
        <is>
          <t>Wei Chen</t>
        </is>
      </c>
      <c r="K4467" s="70" t="n">
        <v>1434</v>
      </c>
      <c r="L4467" s="71" t="n">
        <v>627.8200000000001</v>
      </c>
      <c r="M4467" s="71" t="n">
        <v>900293.88</v>
      </c>
      <c r="N4467" s="71" t="n">
        <v>135044.08</v>
      </c>
      <c r="O4467" s="71" t="n">
        <v>765249.8</v>
      </c>
      <c r="P4467" s="71" t="n">
        <v>105757.63</v>
      </c>
      <c r="Q4467" s="71" t="n">
        <v>659492.17</v>
      </c>
      <c r="R4467" t="inlineStr">
        <is>
          <t>Cardiology</t>
        </is>
      </c>
      <c r="S4467" s="70" t="n">
        <v>1267</v>
      </c>
      <c r="T4467" s="71" t="n">
        <v>143512.86</v>
      </c>
      <c r="U4467" t="inlineStr">
        <is>
          <t>High</t>
        </is>
      </c>
      <c r="V4467">
        <f>IF(AND(OR(Dashboard!$C$6="All",E4467=Dashboard!$C$6),OR(Dashboard!$F$6="All",G4467=Dashboard!$F$6),OR(Dashboard!$I$6="All",H4467=Dashboard!$I$6)),1,0)</f>
        <v/>
      </c>
    </row>
    <row r="4468">
      <c r="A4468" t="inlineStr">
        <is>
          <t>PF104459</t>
        </is>
      </c>
      <c r="B4468" s="68" t="n">
        <v>46193</v>
      </c>
      <c r="C4468" s="69" t="n">
        <v>2026</v>
      </c>
      <c r="D4468" t="inlineStr">
        <is>
          <t>Jun</t>
        </is>
      </c>
      <c r="E4468" t="inlineStr">
        <is>
          <t>United States</t>
        </is>
      </c>
      <c r="F4468" t="inlineStr">
        <is>
          <t>USA</t>
        </is>
      </c>
      <c r="G4468" t="inlineStr">
        <is>
          <t>Comirnaty</t>
        </is>
      </c>
      <c r="H4468" t="inlineStr">
        <is>
          <t>Government / tender</t>
        </is>
      </c>
      <c r="I4468" t="inlineStr">
        <is>
          <t>Private insurer</t>
        </is>
      </c>
      <c r="J4468" t="inlineStr">
        <is>
          <t>Ravindra Patil</t>
        </is>
      </c>
      <c r="K4468" s="70" t="n">
        <v>399</v>
      </c>
      <c r="L4468" s="71" t="n">
        <v>133.25</v>
      </c>
      <c r="M4468" s="71" t="n">
        <v>53166.75</v>
      </c>
      <c r="N4468" s="71" t="n">
        <v>18608.36</v>
      </c>
      <c r="O4468" s="71" t="n">
        <v>34558.39</v>
      </c>
      <c r="P4468" s="71" t="n">
        <v>15824.75</v>
      </c>
      <c r="Q4468" s="71" t="n">
        <v>18733.64</v>
      </c>
      <c r="R4468" t="inlineStr">
        <is>
          <t>Vaccines</t>
        </is>
      </c>
      <c r="S4468" s="70" t="n">
        <v>392</v>
      </c>
      <c r="T4468" s="71" t="n">
        <v>11021.87</v>
      </c>
      <c r="U4468" t="inlineStr">
        <is>
          <t>Low</t>
        </is>
      </c>
      <c r="V4468">
        <f>IF(AND(OR(Dashboard!$C$6="All",E4468=Dashboard!$C$6),OR(Dashboard!$F$6="All",G4468=Dashboard!$F$6),OR(Dashboard!$I$6="All",H4468=Dashboard!$I$6)),1,0)</f>
        <v/>
      </c>
    </row>
    <row r="4469">
      <c r="A4469" t="inlineStr">
        <is>
          <t>PF104460</t>
        </is>
      </c>
      <c r="B4469" s="68" t="n">
        <v>46193</v>
      </c>
      <c r="C4469" s="69" t="n">
        <v>2026</v>
      </c>
      <c r="D4469" t="inlineStr">
        <is>
          <t>Jun</t>
        </is>
      </c>
      <c r="E4469" t="inlineStr">
        <is>
          <t>United States</t>
        </is>
      </c>
      <c r="F4469" t="inlineStr">
        <is>
          <t>USA</t>
        </is>
      </c>
      <c r="G4469" t="inlineStr">
        <is>
          <t>Prevnar 20</t>
        </is>
      </c>
      <c r="H4469" t="inlineStr">
        <is>
          <t>Hospital</t>
        </is>
      </c>
      <c r="I4469" t="inlineStr">
        <is>
          <t>Private insurer</t>
        </is>
      </c>
      <c r="J4469" t="inlineStr">
        <is>
          <t>Arjun Mehta</t>
        </is>
      </c>
      <c r="K4469" s="70" t="n">
        <v>215</v>
      </c>
      <c r="L4469" s="71" t="n">
        <v>338.88</v>
      </c>
      <c r="M4469" s="71" t="n">
        <v>72859.2</v>
      </c>
      <c r="N4469" s="71" t="n">
        <v>14571.84</v>
      </c>
      <c r="O4469" s="71" t="n">
        <v>58287.36</v>
      </c>
      <c r="P4469" s="71" t="n">
        <v>14648.02</v>
      </c>
      <c r="Q4469" s="71" t="n">
        <v>43639.34</v>
      </c>
      <c r="R4469" t="inlineStr">
        <is>
          <t>Vaccines</t>
        </is>
      </c>
      <c r="S4469" s="70" t="n">
        <v>172</v>
      </c>
      <c r="T4469" s="71" t="n">
        <v>14151.49</v>
      </c>
      <c r="U4469" t="inlineStr">
        <is>
          <t>Low</t>
        </is>
      </c>
      <c r="V4469">
        <f>IF(AND(OR(Dashboard!$C$6="All",E4469=Dashboard!$C$6),OR(Dashboard!$F$6="All",G4469=Dashboard!$F$6),OR(Dashboard!$I$6="All",H4469=Dashboard!$I$6)),1,0)</f>
        <v/>
      </c>
    </row>
    <row r="4470">
      <c r="A4470" t="inlineStr">
        <is>
          <t>PF104461</t>
        </is>
      </c>
      <c r="B4470" s="68" t="n">
        <v>46193</v>
      </c>
      <c r="C4470" s="69" t="n">
        <v>2026</v>
      </c>
      <c r="D4470" t="inlineStr">
        <is>
          <t>Jun</t>
        </is>
      </c>
      <c r="E4470" t="inlineStr">
        <is>
          <t>Emerging markets</t>
        </is>
      </c>
      <c r="F4470" t="inlineStr">
        <is>
          <t>India</t>
        </is>
      </c>
      <c r="G4470" t="inlineStr">
        <is>
          <t>Eliquis</t>
        </is>
      </c>
      <c r="H4470" t="inlineStr">
        <is>
          <t>Retail pharmacy</t>
        </is>
      </c>
      <c r="I4470" t="inlineStr">
        <is>
          <t>Public payer</t>
        </is>
      </c>
      <c r="J4470" t="inlineStr">
        <is>
          <t>Noah Smith</t>
        </is>
      </c>
      <c r="K4470" s="70" t="n">
        <v>2334</v>
      </c>
      <c r="L4470" s="71" t="n">
        <v>449.64</v>
      </c>
      <c r="M4470" s="71" t="n">
        <v>1049459.76</v>
      </c>
      <c r="N4470" s="71" t="n">
        <v>104945.98</v>
      </c>
      <c r="O4470" s="71" t="n">
        <v>944513.78</v>
      </c>
      <c r="P4470" s="71" t="n">
        <v>174855.2</v>
      </c>
      <c r="Q4470" s="71" t="n">
        <v>769658.58</v>
      </c>
      <c r="R4470" t="inlineStr">
        <is>
          <t>Cardiology</t>
        </is>
      </c>
      <c r="S4470" s="70" t="n">
        <v>1544</v>
      </c>
      <c r="T4470" s="71" t="n">
        <v>152429.41</v>
      </c>
      <c r="U4470" t="inlineStr">
        <is>
          <t>High</t>
        </is>
      </c>
      <c r="V4470">
        <f>IF(AND(OR(Dashboard!$C$6="All",E4470=Dashboard!$C$6),OR(Dashboard!$F$6="All",G4470=Dashboard!$F$6),OR(Dashboard!$I$6="All",H4470=Dashboard!$I$6)),1,0)</f>
        <v/>
      </c>
    </row>
    <row r="4471">
      <c r="A4471" t="inlineStr">
        <is>
          <t>PF104462</t>
        </is>
      </c>
      <c r="B4471" s="68" t="n">
        <v>46193</v>
      </c>
      <c r="C4471" s="69" t="n">
        <v>2026</v>
      </c>
      <c r="D4471" t="inlineStr">
        <is>
          <t>Jun</t>
        </is>
      </c>
      <c r="E4471" t="inlineStr">
        <is>
          <t>United States</t>
        </is>
      </c>
      <c r="F4471" t="inlineStr">
        <is>
          <t>USA</t>
        </is>
      </c>
      <c r="G4471" t="inlineStr">
        <is>
          <t>Prevnar 20</t>
        </is>
      </c>
      <c r="H4471" t="inlineStr">
        <is>
          <t>Government / tender</t>
        </is>
      </c>
      <c r="I4471" t="inlineStr">
        <is>
          <t>Private insurer</t>
        </is>
      </c>
      <c r="J4471" t="inlineStr">
        <is>
          <t>Omar Haddad</t>
        </is>
      </c>
      <c r="K4471" s="70" t="n">
        <v>1366</v>
      </c>
      <c r="L4471" s="71" t="n">
        <v>357.67</v>
      </c>
      <c r="M4471" s="71" t="n">
        <v>488577.22</v>
      </c>
      <c r="N4471" s="71" t="n">
        <v>73286.58</v>
      </c>
      <c r="O4471" s="71" t="n">
        <v>415290.64</v>
      </c>
      <c r="P4471" s="71" t="n">
        <v>95529.85000000001</v>
      </c>
      <c r="Q4471" s="71" t="n">
        <v>319760.79</v>
      </c>
      <c r="R4471" t="inlineStr">
        <is>
          <t>Vaccines</t>
        </is>
      </c>
      <c r="S4471" s="70" t="n">
        <v>1106</v>
      </c>
      <c r="T4471" s="71" t="n">
        <v>81683.42999999999</v>
      </c>
      <c r="U4471" t="inlineStr">
        <is>
          <t>Low</t>
        </is>
      </c>
      <c r="V4471">
        <f>IF(AND(OR(Dashboard!$C$6="All",E4471=Dashboard!$C$6),OR(Dashboard!$F$6="All",G4471=Dashboard!$F$6),OR(Dashboard!$I$6="All",H4471=Dashboard!$I$6)),1,0)</f>
        <v/>
      </c>
    </row>
    <row r="4472">
      <c r="A4472" t="inlineStr">
        <is>
          <t>PF104463</t>
        </is>
      </c>
      <c r="B4472" s="68" t="n">
        <v>46193</v>
      </c>
      <c r="C4472" s="69" t="n">
        <v>2026</v>
      </c>
      <c r="D4472" t="inlineStr">
        <is>
          <t>Jun</t>
        </is>
      </c>
      <c r="E4472" t="inlineStr">
        <is>
          <t>United States</t>
        </is>
      </c>
      <c r="F4472" t="inlineStr">
        <is>
          <t>USA</t>
        </is>
      </c>
      <c r="G4472" t="inlineStr">
        <is>
          <t>Comirnaty</t>
        </is>
      </c>
      <c r="H4472" t="inlineStr">
        <is>
          <t>Hospital</t>
        </is>
      </c>
      <c r="I4472" t="inlineStr">
        <is>
          <t>Public payer</t>
        </is>
      </c>
      <c r="J4472" t="inlineStr">
        <is>
          <t>Shraddha Kulkarni</t>
        </is>
      </c>
      <c r="K4472" s="70" t="n">
        <v>2049</v>
      </c>
      <c r="L4472" s="71" t="n">
        <v>137.03</v>
      </c>
      <c r="M4472" s="71" t="n">
        <v>280774.47</v>
      </c>
      <c r="N4472" s="71" t="n">
        <v>98271.06</v>
      </c>
      <c r="O4472" s="71" t="n">
        <v>182503.41</v>
      </c>
      <c r="P4472" s="71" t="n">
        <v>80333.38</v>
      </c>
      <c r="Q4472" s="71" t="n">
        <v>102170.03</v>
      </c>
      <c r="R4472" t="inlineStr">
        <is>
          <t>Vaccines</t>
        </is>
      </c>
      <c r="S4472" s="70" t="n">
        <v>2032</v>
      </c>
      <c r="T4472" s="71" t="n">
        <v>42111.24</v>
      </c>
      <c r="U4472" t="inlineStr">
        <is>
          <t>Low</t>
        </is>
      </c>
      <c r="V4472">
        <f>IF(AND(OR(Dashboard!$C$6="All",E4472=Dashboard!$C$6),OR(Dashboard!$F$6="All",G4472=Dashboard!$F$6),OR(Dashboard!$I$6="All",H4472=Dashboard!$I$6)),1,0)</f>
        <v/>
      </c>
    </row>
    <row r="4473">
      <c r="A4473" t="inlineStr">
        <is>
          <t>PF104464</t>
        </is>
      </c>
      <c r="B4473" s="68" t="n">
        <v>46193</v>
      </c>
      <c r="C4473" s="69" t="n">
        <v>2026</v>
      </c>
      <c r="D4473" t="inlineStr">
        <is>
          <t>Jun</t>
        </is>
      </c>
      <c r="E4473" t="inlineStr">
        <is>
          <t>United States</t>
        </is>
      </c>
      <c r="F4473" t="inlineStr">
        <is>
          <t>USA</t>
        </is>
      </c>
      <c r="G4473" t="inlineStr">
        <is>
          <t>Prevnar 20</t>
        </is>
      </c>
      <c r="H4473" t="inlineStr">
        <is>
          <t>Retail pharmacy</t>
        </is>
      </c>
      <c r="I4473" t="inlineStr">
        <is>
          <t>Private insurer</t>
        </is>
      </c>
      <c r="J4473" t="inlineStr">
        <is>
          <t>Ravindra Patil</t>
        </is>
      </c>
      <c r="K4473" s="70" t="n">
        <v>2397</v>
      </c>
      <c r="L4473" s="71" t="n">
        <v>338.06</v>
      </c>
      <c r="M4473" s="71" t="n">
        <v>810329.8199999999</v>
      </c>
      <c r="N4473" s="71" t="n">
        <v>202582.45</v>
      </c>
      <c r="O4473" s="71" t="n">
        <v>607747.37</v>
      </c>
      <c r="P4473" s="71" t="n">
        <v>163797.71</v>
      </c>
      <c r="Q4473" s="71" t="n">
        <v>443949.66</v>
      </c>
      <c r="R4473" t="inlineStr">
        <is>
          <t>Vaccines</t>
        </is>
      </c>
      <c r="S4473" s="70" t="n">
        <v>2260</v>
      </c>
      <c r="T4473" s="71" t="n">
        <v>142632.07</v>
      </c>
      <c r="U4473" t="inlineStr">
        <is>
          <t>Low</t>
        </is>
      </c>
      <c r="V4473">
        <f>IF(AND(OR(Dashboard!$C$6="All",E4473=Dashboard!$C$6),OR(Dashboard!$F$6="All",G4473=Dashboard!$F$6),OR(Dashboard!$I$6="All",H4473=Dashboard!$I$6)),1,0)</f>
        <v/>
      </c>
    </row>
    <row r="4474">
      <c r="A4474" t="inlineStr">
        <is>
          <t>PF104465</t>
        </is>
      </c>
      <c r="B4474" s="68" t="n">
        <v>46194</v>
      </c>
      <c r="C4474" s="69" t="n">
        <v>2026</v>
      </c>
      <c r="D4474" t="inlineStr">
        <is>
          <t>Jun</t>
        </is>
      </c>
      <c r="E4474" t="inlineStr">
        <is>
          <t>Europe</t>
        </is>
      </c>
      <c r="F4474" t="inlineStr">
        <is>
          <t>France</t>
        </is>
      </c>
      <c r="G4474" t="inlineStr">
        <is>
          <t>Comirnaty</t>
        </is>
      </c>
      <c r="H4474" t="inlineStr">
        <is>
          <t>Retail pharmacy</t>
        </is>
      </c>
      <c r="I4474" t="inlineStr">
        <is>
          <t>Private insurer</t>
        </is>
      </c>
      <c r="J4474" t="inlineStr">
        <is>
          <t>Hiroshi Tanaka</t>
        </is>
      </c>
      <c r="K4474" s="70" t="n">
        <v>942</v>
      </c>
      <c r="L4474" s="71" t="n">
        <v>94.84</v>
      </c>
      <c r="M4474" s="71" t="n">
        <v>89339.28</v>
      </c>
      <c r="N4474" s="71" t="n">
        <v>4466.96</v>
      </c>
      <c r="O4474" s="71" t="n">
        <v>84872.32000000001</v>
      </c>
      <c r="P4474" s="71" t="n">
        <v>34881.72</v>
      </c>
      <c r="Q4474" s="71" t="n">
        <v>49990.6</v>
      </c>
      <c r="R4474" t="inlineStr">
        <is>
          <t>Vaccines</t>
        </is>
      </c>
      <c r="S4474" s="70" t="n">
        <v>704</v>
      </c>
      <c r="T4474" s="71" t="n">
        <v>23724.52</v>
      </c>
      <c r="U4474" t="inlineStr">
        <is>
          <t>Low</t>
        </is>
      </c>
      <c r="V4474">
        <f>IF(AND(OR(Dashboard!$C$6="All",E4474=Dashboard!$C$6),OR(Dashboard!$F$6="All",G4474=Dashboard!$F$6),OR(Dashboard!$I$6="All",H4474=Dashboard!$I$6)),1,0)</f>
        <v/>
      </c>
    </row>
    <row r="4475">
      <c r="A4475" t="inlineStr">
        <is>
          <t>PF104466</t>
        </is>
      </c>
      <c r="B4475" s="68" t="n">
        <v>46194</v>
      </c>
      <c r="C4475" s="69" t="n">
        <v>2026</v>
      </c>
      <c r="D4475" t="inlineStr">
        <is>
          <t>Jun</t>
        </is>
      </c>
      <c r="E4475" t="inlineStr">
        <is>
          <t>United States</t>
        </is>
      </c>
      <c r="F4475" t="inlineStr">
        <is>
          <t>USA</t>
        </is>
      </c>
      <c r="G4475" t="inlineStr">
        <is>
          <t>Eliquis</t>
        </is>
      </c>
      <c r="H4475" t="inlineStr">
        <is>
          <t>Retail pharmacy</t>
        </is>
      </c>
      <c r="I4475" t="inlineStr">
        <is>
          <t>Self-pay</t>
        </is>
      </c>
      <c r="J4475" t="inlineStr">
        <is>
          <t>Lucas Martin</t>
        </is>
      </c>
      <c r="K4475" s="70" t="n">
        <v>2807</v>
      </c>
      <c r="L4475" s="71" t="n">
        <v>645.08</v>
      </c>
      <c r="M4475" s="71" t="n">
        <v>1810739.56</v>
      </c>
      <c r="N4475" s="71" t="n">
        <v>362147.91</v>
      </c>
      <c r="O4475" s="71" t="n">
        <v>1448591.65</v>
      </c>
      <c r="P4475" s="71" t="n">
        <v>205117.93</v>
      </c>
      <c r="Q4475" s="71" t="n">
        <v>1243473.72</v>
      </c>
      <c r="R4475" t="inlineStr">
        <is>
          <t>Cardiology</t>
        </is>
      </c>
      <c r="S4475" s="70" t="n">
        <v>2729</v>
      </c>
      <c r="T4475" s="71" t="n">
        <v>290412.75</v>
      </c>
      <c r="U4475" t="inlineStr">
        <is>
          <t>High</t>
        </is>
      </c>
      <c r="V4475">
        <f>IF(AND(OR(Dashboard!$C$6="All",E4475=Dashboard!$C$6),OR(Dashboard!$F$6="All",G4475=Dashboard!$F$6),OR(Dashboard!$I$6="All",H4475=Dashboard!$I$6)),1,0)</f>
        <v/>
      </c>
    </row>
    <row r="4476">
      <c r="A4476" t="inlineStr">
        <is>
          <t>PF104467</t>
        </is>
      </c>
      <c r="B4476" s="68" t="n">
        <v>46194</v>
      </c>
      <c r="C4476" s="69" t="n">
        <v>2026</v>
      </c>
      <c r="D4476" t="inlineStr">
        <is>
          <t>Jun</t>
        </is>
      </c>
      <c r="E4476" t="inlineStr">
        <is>
          <t>United States</t>
        </is>
      </c>
      <c r="F4476" t="inlineStr">
        <is>
          <t>USA</t>
        </is>
      </c>
      <c r="G4476" t="inlineStr">
        <is>
          <t>Prevnar 20</t>
        </is>
      </c>
      <c r="H4476" t="inlineStr">
        <is>
          <t>Retail pharmacy</t>
        </is>
      </c>
      <c r="I4476" t="inlineStr">
        <is>
          <t>Private insurer</t>
        </is>
      </c>
      <c r="J4476" t="inlineStr">
        <is>
          <t>Wei Chen</t>
        </is>
      </c>
      <c r="K4476" s="70" t="n">
        <v>2005</v>
      </c>
      <c r="L4476" s="71" t="n">
        <v>412.31</v>
      </c>
      <c r="M4476" s="71" t="n">
        <v>826681.55</v>
      </c>
      <c r="N4476" s="71" t="n">
        <v>124002.23</v>
      </c>
      <c r="O4476" s="71" t="n">
        <v>702679.3199999999</v>
      </c>
      <c r="P4476" s="71" t="n">
        <v>141744.92</v>
      </c>
      <c r="Q4476" s="71" t="n">
        <v>560934.4</v>
      </c>
      <c r="R4476" t="inlineStr">
        <is>
          <t>Vaccines</t>
        </is>
      </c>
      <c r="S4476" s="70" t="n">
        <v>1660</v>
      </c>
      <c r="T4476" s="71" t="n">
        <v>109903.52</v>
      </c>
      <c r="U4476" t="inlineStr">
        <is>
          <t>Low</t>
        </is>
      </c>
      <c r="V4476">
        <f>IF(AND(OR(Dashboard!$C$6="All",E4476=Dashboard!$C$6),OR(Dashboard!$F$6="All",G4476=Dashboard!$F$6),OR(Dashboard!$I$6="All",H4476=Dashboard!$I$6)),1,0)</f>
        <v/>
      </c>
    </row>
    <row r="4477">
      <c r="A4477" t="inlineStr">
        <is>
          <t>PF104468</t>
        </is>
      </c>
      <c r="B4477" s="68" t="n">
        <v>46194</v>
      </c>
      <c r="C4477" s="69" t="n">
        <v>2026</v>
      </c>
      <c r="D4477" t="inlineStr">
        <is>
          <t>Jun</t>
        </is>
      </c>
      <c r="E4477" t="inlineStr">
        <is>
          <t>Europe</t>
        </is>
      </c>
      <c r="F4477" t="inlineStr">
        <is>
          <t>France</t>
        </is>
      </c>
      <c r="G4477" t="inlineStr">
        <is>
          <t>Eliquis</t>
        </is>
      </c>
      <c r="H4477" t="inlineStr">
        <is>
          <t>Retail pharmacy</t>
        </is>
      </c>
      <c r="I4477" t="inlineStr">
        <is>
          <t>Private insurer</t>
        </is>
      </c>
      <c r="J4477" t="inlineStr">
        <is>
          <t>Carlos Silva</t>
        </is>
      </c>
      <c r="K4477" s="70" t="n">
        <v>457</v>
      </c>
      <c r="L4477" s="71" t="n">
        <v>426.93</v>
      </c>
      <c r="M4477" s="71" t="n">
        <v>195107.01</v>
      </c>
      <c r="N4477" s="71" t="n">
        <v>48776.75</v>
      </c>
      <c r="O4477" s="71" t="n">
        <v>146330.26</v>
      </c>
      <c r="P4477" s="71" t="n">
        <v>33948.87</v>
      </c>
      <c r="Q4477" s="71" t="n">
        <v>112381.39</v>
      </c>
      <c r="R4477" t="inlineStr">
        <is>
          <t>Cardiology</t>
        </is>
      </c>
      <c r="S4477" s="70" t="n">
        <v>364</v>
      </c>
      <c r="T4477" s="71" t="n">
        <v>30460.91</v>
      </c>
      <c r="U4477" t="inlineStr">
        <is>
          <t>High</t>
        </is>
      </c>
      <c r="V4477">
        <f>IF(AND(OR(Dashboard!$C$6="All",E4477=Dashboard!$C$6),OR(Dashboard!$F$6="All",G4477=Dashboard!$F$6),OR(Dashboard!$I$6="All",H4477=Dashboard!$I$6)),1,0)</f>
        <v/>
      </c>
    </row>
    <row r="4478">
      <c r="A4478" t="inlineStr">
        <is>
          <t>PF104469</t>
        </is>
      </c>
      <c r="B4478" s="68" t="n">
        <v>46194</v>
      </c>
      <c r="C4478" s="69" t="n">
        <v>2026</v>
      </c>
      <c r="D4478" t="inlineStr">
        <is>
          <t>Jun</t>
        </is>
      </c>
      <c r="E4478" t="inlineStr">
        <is>
          <t>Emerging markets</t>
        </is>
      </c>
      <c r="F4478" t="inlineStr">
        <is>
          <t>China</t>
        </is>
      </c>
      <c r="G4478" t="inlineStr">
        <is>
          <t>Prevnar 20</t>
        </is>
      </c>
      <c r="H4478" t="inlineStr">
        <is>
          <t>Government / tender</t>
        </is>
      </c>
      <c r="I4478" t="inlineStr">
        <is>
          <t>Private insurer</t>
        </is>
      </c>
      <c r="J4478" t="inlineStr">
        <is>
          <t>Kofi Mensah</t>
        </is>
      </c>
      <c r="K4478" s="70" t="n">
        <v>1795</v>
      </c>
      <c r="L4478" s="71" t="n">
        <v>235.63</v>
      </c>
      <c r="M4478" s="71" t="n">
        <v>422955.85</v>
      </c>
      <c r="N4478" s="71" t="n">
        <v>21147.79</v>
      </c>
      <c r="O4478" s="71" t="n">
        <v>401808.06</v>
      </c>
      <c r="P4478" s="71" t="n">
        <v>120928.95</v>
      </c>
      <c r="Q4478" s="71" t="n">
        <v>280879.11</v>
      </c>
      <c r="R4478" t="inlineStr">
        <is>
          <t>Vaccines</t>
        </is>
      </c>
      <c r="S4478" s="70" t="n">
        <v>1750</v>
      </c>
      <c r="T4478" s="71" t="n">
        <v>72926.55</v>
      </c>
      <c r="U4478" t="inlineStr">
        <is>
          <t>Low</t>
        </is>
      </c>
      <c r="V4478">
        <f>IF(AND(OR(Dashboard!$C$6="All",E4478=Dashboard!$C$6),OR(Dashboard!$F$6="All",G4478=Dashboard!$F$6),OR(Dashboard!$I$6="All",H4478=Dashboard!$I$6)),1,0)</f>
        <v/>
      </c>
    </row>
    <row r="4479">
      <c r="A4479" t="inlineStr">
        <is>
          <t>PF104470</t>
        </is>
      </c>
      <c r="B4479" s="68" t="n">
        <v>46194</v>
      </c>
      <c r="C4479" s="69" t="n">
        <v>2026</v>
      </c>
      <c r="D4479" t="inlineStr">
        <is>
          <t>Jun</t>
        </is>
      </c>
      <c r="E4479" t="inlineStr">
        <is>
          <t>United States</t>
        </is>
      </c>
      <c r="F4479" t="inlineStr">
        <is>
          <t>USA</t>
        </is>
      </c>
      <c r="G4479" t="inlineStr">
        <is>
          <t>Vyndaqel</t>
        </is>
      </c>
      <c r="H4479" t="inlineStr">
        <is>
          <t>Retail pharmacy</t>
        </is>
      </c>
      <c r="I4479" t="inlineStr">
        <is>
          <t>Private insurer</t>
        </is>
      </c>
      <c r="J4479" t="inlineStr">
        <is>
          <t>Kofi Mensah</t>
        </is>
      </c>
      <c r="K4479" s="70" t="n">
        <v>2281</v>
      </c>
      <c r="L4479" s="71" t="n">
        <v>8481.360000000001</v>
      </c>
      <c r="M4479" s="71" t="n">
        <v>19345982.16</v>
      </c>
      <c r="N4479" s="71" t="n">
        <v>4836495.54</v>
      </c>
      <c r="O4479" s="71" t="n">
        <v>14509486.62</v>
      </c>
      <c r="P4479" s="71" t="n">
        <v>1405930.78</v>
      </c>
      <c r="Q4479" s="71" t="n">
        <v>13103555.84</v>
      </c>
      <c r="R4479" t="inlineStr">
        <is>
          <t>Rare disease</t>
        </is>
      </c>
      <c r="S4479" s="70" t="n">
        <v>2188</v>
      </c>
      <c r="T4479" s="71" t="n">
        <v>2777106</v>
      </c>
      <c r="U4479" t="inlineStr">
        <is>
          <t>Medium</t>
        </is>
      </c>
      <c r="V4479">
        <f>IF(AND(OR(Dashboard!$C$6="All",E4479=Dashboard!$C$6),OR(Dashboard!$F$6="All",G4479=Dashboard!$F$6),OR(Dashboard!$I$6="All",H4479=Dashboard!$I$6)),1,0)</f>
        <v/>
      </c>
    </row>
    <row r="4480">
      <c r="A4480" t="inlineStr">
        <is>
          <t>PF104471</t>
        </is>
      </c>
      <c r="B4480" s="68" t="n">
        <v>46194</v>
      </c>
      <c r="C4480" s="69" t="n">
        <v>2026</v>
      </c>
      <c r="D4480" t="inlineStr">
        <is>
          <t>Jun</t>
        </is>
      </c>
      <c r="E4480" t="inlineStr">
        <is>
          <t>Emerging markets</t>
        </is>
      </c>
      <c r="F4480" t="inlineStr">
        <is>
          <t>Mexico</t>
        </is>
      </c>
      <c r="G4480" t="inlineStr">
        <is>
          <t>Abrysvo</t>
        </is>
      </c>
      <c r="H4480" t="inlineStr">
        <is>
          <t>Hospital</t>
        </is>
      </c>
      <c r="I4480" t="inlineStr">
        <is>
          <t>Private insurer</t>
        </is>
      </c>
      <c r="J4480" t="inlineStr">
        <is>
          <t>Aisha Bello</t>
        </is>
      </c>
      <c r="K4480" s="70" t="n">
        <v>2194</v>
      </c>
      <c r="L4480" s="71" t="n">
        <v>329.83</v>
      </c>
      <c r="M4480" s="71" t="n">
        <v>723647.02</v>
      </c>
      <c r="N4480" s="71" t="n">
        <v>144729.4</v>
      </c>
      <c r="O4480" s="71" t="n">
        <v>578917.62</v>
      </c>
      <c r="P4480" s="71" t="n">
        <v>177552.5</v>
      </c>
      <c r="Q4480" s="71" t="n">
        <v>401365.12</v>
      </c>
      <c r="R4480" t="inlineStr">
        <is>
          <t>Vaccines</t>
        </is>
      </c>
      <c r="S4480" s="70" t="n">
        <v>1606</v>
      </c>
      <c r="T4480" s="71" t="n">
        <v>95243.02</v>
      </c>
      <c r="U4480" t="inlineStr">
        <is>
          <t>Low</t>
        </is>
      </c>
      <c r="V4480">
        <f>IF(AND(OR(Dashboard!$C$6="All",E4480=Dashboard!$C$6),OR(Dashboard!$F$6="All",G4480=Dashboard!$F$6),OR(Dashboard!$I$6="All",H4480=Dashboard!$I$6)),1,0)</f>
        <v/>
      </c>
    </row>
    <row r="4481">
      <c r="A4481" t="inlineStr">
        <is>
          <t>PF104472</t>
        </is>
      </c>
      <c r="B4481" s="68" t="n">
        <v>46194</v>
      </c>
      <c r="C4481" s="69" t="n">
        <v>2026</v>
      </c>
      <c r="D4481" t="inlineStr">
        <is>
          <t>Jun</t>
        </is>
      </c>
      <c r="E4481" t="inlineStr">
        <is>
          <t>Europe</t>
        </is>
      </c>
      <c r="F4481" t="inlineStr">
        <is>
          <t>Spain</t>
        </is>
      </c>
      <c r="G4481" t="inlineStr">
        <is>
          <t>Ibrance</t>
        </is>
      </c>
      <c r="H4481" t="inlineStr">
        <is>
          <t>Retail pharmacy</t>
        </is>
      </c>
      <c r="I4481" t="inlineStr">
        <is>
          <t>Private insurer</t>
        </is>
      </c>
      <c r="J4481" t="inlineStr">
        <is>
          <t>Shraddha Kulkarni</t>
        </is>
      </c>
      <c r="K4481" s="70" t="n">
        <v>606</v>
      </c>
      <c r="L4481" s="71" t="n">
        <v>2719.79</v>
      </c>
      <c r="M4481" s="71" t="n">
        <v>1648192.74</v>
      </c>
      <c r="N4481" s="71" t="n">
        <v>412048.18</v>
      </c>
      <c r="O4481" s="71" t="n">
        <v>1236144.56</v>
      </c>
      <c r="P4481" s="71" t="n">
        <v>257589.15</v>
      </c>
      <c r="Q4481" s="71" t="n">
        <v>978555.41</v>
      </c>
      <c r="R4481" t="inlineStr">
        <is>
          <t>Oncology</t>
        </is>
      </c>
      <c r="S4481" s="70" t="n">
        <v>512</v>
      </c>
      <c r="T4481" s="71" t="n">
        <v>280464.56</v>
      </c>
      <c r="U4481" t="inlineStr">
        <is>
          <t>High</t>
        </is>
      </c>
      <c r="V4481">
        <f>IF(AND(OR(Dashboard!$C$6="All",E4481=Dashboard!$C$6),OR(Dashboard!$F$6="All",G4481=Dashboard!$F$6),OR(Dashboard!$I$6="All",H4481=Dashboard!$I$6)),1,0)</f>
        <v/>
      </c>
    </row>
    <row r="4482">
      <c r="A4482" t="inlineStr">
        <is>
          <t>PF104473</t>
        </is>
      </c>
      <c r="B4482" s="68" t="n">
        <v>46194</v>
      </c>
      <c r="C4482" s="69" t="n">
        <v>2026</v>
      </c>
      <c r="D4482" t="inlineStr">
        <is>
          <t>Jun</t>
        </is>
      </c>
      <c r="E4482" t="inlineStr">
        <is>
          <t>Emerging markets</t>
        </is>
      </c>
      <c r="F4482" t="inlineStr">
        <is>
          <t>Brazil</t>
        </is>
      </c>
      <c r="G4482" t="inlineStr">
        <is>
          <t>Eliquis</t>
        </is>
      </c>
      <c r="H4482" t="inlineStr">
        <is>
          <t>Government / tender</t>
        </is>
      </c>
      <c r="I4482" t="inlineStr">
        <is>
          <t>Public payer</t>
        </is>
      </c>
      <c r="J4482" t="inlineStr">
        <is>
          <t>Carlos Silva</t>
        </is>
      </c>
      <c r="K4482" s="70" t="n">
        <v>1748</v>
      </c>
      <c r="L4482" s="71" t="n">
        <v>391.47</v>
      </c>
      <c r="M4482" s="71" t="n">
        <v>684289.5600000001</v>
      </c>
      <c r="N4482" s="71" t="n">
        <v>102643.43</v>
      </c>
      <c r="O4482" s="71" t="n">
        <v>581646.13</v>
      </c>
      <c r="P4482" s="71" t="n">
        <v>133709.31</v>
      </c>
      <c r="Q4482" s="71" t="n">
        <v>447936.82</v>
      </c>
      <c r="R4482" t="inlineStr">
        <is>
          <t>Cardiology</t>
        </is>
      </c>
      <c r="S4482" s="70" t="n">
        <v>1712</v>
      </c>
      <c r="T4482" s="71" t="n">
        <v>143575.84</v>
      </c>
      <c r="U4482" t="inlineStr">
        <is>
          <t>High</t>
        </is>
      </c>
      <c r="V4482">
        <f>IF(AND(OR(Dashboard!$C$6="All",E4482=Dashboard!$C$6),OR(Dashboard!$F$6="All",G4482=Dashboard!$F$6),OR(Dashboard!$I$6="All",H4482=Dashboard!$I$6)),1,0)</f>
        <v/>
      </c>
    </row>
    <row r="4483">
      <c r="A4483" t="inlineStr">
        <is>
          <t>PF104474</t>
        </is>
      </c>
      <c r="B4483" s="68" t="n">
        <v>46195</v>
      </c>
      <c r="C4483" s="69" t="n">
        <v>2026</v>
      </c>
      <c r="D4483" t="inlineStr">
        <is>
          <t>Jun</t>
        </is>
      </c>
      <c r="E4483" t="inlineStr">
        <is>
          <t>Europe</t>
        </is>
      </c>
      <c r="F4483" t="inlineStr">
        <is>
          <t>Germany</t>
        </is>
      </c>
      <c r="G4483" t="inlineStr">
        <is>
          <t>Prevnar 20</t>
        </is>
      </c>
      <c r="H4483" t="inlineStr">
        <is>
          <t>Government / tender</t>
        </is>
      </c>
      <c r="I4483" t="inlineStr">
        <is>
          <t>Private insurer</t>
        </is>
      </c>
      <c r="J4483" t="inlineStr">
        <is>
          <t>Aisha Bello</t>
        </is>
      </c>
      <c r="K4483" s="70" t="n">
        <v>1961</v>
      </c>
      <c r="L4483" s="71" t="n">
        <v>216.3</v>
      </c>
      <c r="M4483" s="71" t="n">
        <v>424164.3</v>
      </c>
      <c r="N4483" s="71" t="n">
        <v>106041.07</v>
      </c>
      <c r="O4483" s="71" t="n">
        <v>318123.23</v>
      </c>
      <c r="P4483" s="71" t="n">
        <v>132087.42</v>
      </c>
      <c r="Q4483" s="71" t="n">
        <v>186035.81</v>
      </c>
      <c r="R4483" t="inlineStr">
        <is>
          <t>Vaccines</t>
        </is>
      </c>
      <c r="S4483" s="70" t="n">
        <v>1452</v>
      </c>
      <c r="T4483" s="71" t="n">
        <v>60054.25</v>
      </c>
      <c r="U4483" t="inlineStr">
        <is>
          <t>Low</t>
        </is>
      </c>
      <c r="V4483">
        <f>IF(AND(OR(Dashboard!$C$6="All",E4483=Dashboard!$C$6),OR(Dashboard!$F$6="All",G4483=Dashboard!$F$6),OR(Dashboard!$I$6="All",H4483=Dashboard!$I$6)),1,0)</f>
        <v/>
      </c>
    </row>
    <row r="4484">
      <c r="A4484" t="inlineStr">
        <is>
          <t>PF104475</t>
        </is>
      </c>
      <c r="B4484" s="68" t="n">
        <v>46195</v>
      </c>
      <c r="C4484" s="69" t="n">
        <v>2026</v>
      </c>
      <c r="D4484" t="inlineStr">
        <is>
          <t>Jun</t>
        </is>
      </c>
      <c r="E4484" t="inlineStr">
        <is>
          <t>United States</t>
        </is>
      </c>
      <c r="F4484" t="inlineStr">
        <is>
          <t>USA</t>
        </is>
      </c>
      <c r="G4484" t="inlineStr">
        <is>
          <t>Paxlovid</t>
        </is>
      </c>
      <c r="H4484" t="inlineStr">
        <is>
          <t>Hospital</t>
        </is>
      </c>
      <c r="I4484" t="inlineStr">
        <is>
          <t>Private insurer</t>
        </is>
      </c>
      <c r="J4484" t="inlineStr">
        <is>
          <t>Wei Chen</t>
        </is>
      </c>
      <c r="K4484" s="70" t="n">
        <v>140</v>
      </c>
      <c r="L4484" s="71" t="n">
        <v>1548.74</v>
      </c>
      <c r="M4484" s="71" t="n">
        <v>216823.6</v>
      </c>
      <c r="N4484" s="71" t="n">
        <v>54205.9</v>
      </c>
      <c r="O4484" s="71" t="n">
        <v>162617.7</v>
      </c>
      <c r="P4484" s="71" t="n">
        <v>37168.31</v>
      </c>
      <c r="Q4484" s="71" t="n">
        <v>125449.39</v>
      </c>
      <c r="R4484" t="inlineStr">
        <is>
          <t>Antiviral</t>
        </is>
      </c>
      <c r="S4484" s="70" t="n">
        <v>135</v>
      </c>
      <c r="T4484" s="71" t="n">
        <v>31867.97</v>
      </c>
      <c r="U4484" t="inlineStr">
        <is>
          <t>Low</t>
        </is>
      </c>
      <c r="V4484">
        <f>IF(AND(OR(Dashboard!$C$6="All",E4484=Dashboard!$C$6),OR(Dashboard!$F$6="All",G4484=Dashboard!$F$6),OR(Dashboard!$I$6="All",H4484=Dashboard!$I$6)),1,0)</f>
        <v/>
      </c>
    </row>
    <row r="4485">
      <c r="A4485" t="inlineStr">
        <is>
          <t>PF104476</t>
        </is>
      </c>
      <c r="B4485" s="68" t="n">
        <v>46195</v>
      </c>
      <c r="C4485" s="69" t="n">
        <v>2026</v>
      </c>
      <c r="D4485" t="inlineStr">
        <is>
          <t>Jun</t>
        </is>
      </c>
      <c r="E4485" t="inlineStr">
        <is>
          <t>United States</t>
        </is>
      </c>
      <c r="F4485" t="inlineStr">
        <is>
          <t>USA</t>
        </is>
      </c>
      <c r="G4485" t="inlineStr">
        <is>
          <t>Ibrance</t>
        </is>
      </c>
      <c r="H4485" t="inlineStr">
        <is>
          <t>Retail pharmacy</t>
        </is>
      </c>
      <c r="I4485" t="inlineStr">
        <is>
          <t>Private insurer</t>
        </is>
      </c>
      <c r="J4485" t="inlineStr">
        <is>
          <t>Yuki Sato</t>
        </is>
      </c>
      <c r="K4485" s="70" t="n">
        <v>1127</v>
      </c>
      <c r="L4485" s="71" t="n">
        <v>4285.92</v>
      </c>
      <c r="M4485" s="71" t="n">
        <v>4830231.84</v>
      </c>
      <c r="N4485" s="71" t="n">
        <v>1690581.14</v>
      </c>
      <c r="O4485" s="71" t="n">
        <v>3139650.7</v>
      </c>
      <c r="P4485" s="71" t="n">
        <v>470869.81</v>
      </c>
      <c r="Q4485" s="71" t="n">
        <v>2668780.89</v>
      </c>
      <c r="R4485" t="inlineStr">
        <is>
          <t>Oncology</t>
        </is>
      </c>
      <c r="S4485" s="70" t="n">
        <v>960</v>
      </c>
      <c r="T4485" s="71" t="n">
        <v>759594.0600000001</v>
      </c>
      <c r="U4485" t="inlineStr">
        <is>
          <t>High</t>
        </is>
      </c>
      <c r="V4485">
        <f>IF(AND(OR(Dashboard!$C$6="All",E4485=Dashboard!$C$6),OR(Dashboard!$F$6="All",G4485=Dashboard!$F$6),OR(Dashboard!$I$6="All",H4485=Dashboard!$I$6)),1,0)</f>
        <v/>
      </c>
    </row>
    <row r="4486">
      <c r="A4486" t="inlineStr">
        <is>
          <t>PF104477</t>
        </is>
      </c>
      <c r="B4486" s="68" t="n">
        <v>46195</v>
      </c>
      <c r="C4486" s="69" t="n">
        <v>2026</v>
      </c>
      <c r="D4486" t="inlineStr">
        <is>
          <t>Jun</t>
        </is>
      </c>
      <c r="E4486" t="inlineStr">
        <is>
          <t>Emerging markets</t>
        </is>
      </c>
      <c r="F4486" t="inlineStr">
        <is>
          <t>Mexico</t>
        </is>
      </c>
      <c r="G4486" t="inlineStr">
        <is>
          <t>Prevnar 20</t>
        </is>
      </c>
      <c r="H4486" t="inlineStr">
        <is>
          <t>Retail pharmacy</t>
        </is>
      </c>
      <c r="I4486" t="inlineStr">
        <is>
          <t>Private insurer</t>
        </is>
      </c>
      <c r="J4486" t="inlineStr">
        <is>
          <t>Ana Costa</t>
        </is>
      </c>
      <c r="K4486" s="70" t="n">
        <v>2554</v>
      </c>
      <c r="L4486" s="71" t="n">
        <v>248.61</v>
      </c>
      <c r="M4486" s="71" t="n">
        <v>634949.9399999999</v>
      </c>
      <c r="N4486" s="71" t="n">
        <v>63494.99</v>
      </c>
      <c r="O4486" s="71" t="n">
        <v>571454.95</v>
      </c>
      <c r="P4486" s="71" t="n">
        <v>182896.73</v>
      </c>
      <c r="Q4486" s="71" t="n">
        <v>388558.22</v>
      </c>
      <c r="R4486" t="inlineStr">
        <is>
          <t>Vaccines</t>
        </is>
      </c>
      <c r="S4486" s="70" t="n">
        <v>2511</v>
      </c>
      <c r="T4486" s="71" t="n">
        <v>101220.25</v>
      </c>
      <c r="U4486" t="inlineStr">
        <is>
          <t>Low</t>
        </is>
      </c>
      <c r="V4486">
        <f>IF(AND(OR(Dashboard!$C$6="All",E4486=Dashboard!$C$6),OR(Dashboard!$F$6="All",G4486=Dashboard!$F$6),OR(Dashboard!$I$6="All",H4486=Dashboard!$I$6)),1,0)</f>
        <v/>
      </c>
    </row>
    <row r="4487">
      <c r="A4487" t="inlineStr">
        <is>
          <t>PF104478</t>
        </is>
      </c>
      <c r="B4487" s="68" t="n">
        <v>46195</v>
      </c>
      <c r="C4487" s="69" t="n">
        <v>2026</v>
      </c>
      <c r="D4487" t="inlineStr">
        <is>
          <t>Jun</t>
        </is>
      </c>
      <c r="E4487" t="inlineStr">
        <is>
          <t>Europe</t>
        </is>
      </c>
      <c r="F4487" t="inlineStr">
        <is>
          <t>Italy</t>
        </is>
      </c>
      <c r="G4487" t="inlineStr">
        <is>
          <t>Xeljanz</t>
        </is>
      </c>
      <c r="H4487" t="inlineStr">
        <is>
          <t>Retail pharmacy</t>
        </is>
      </c>
      <c r="I4487" t="inlineStr">
        <is>
          <t>Private insurer</t>
        </is>
      </c>
      <c r="J4487" t="inlineStr">
        <is>
          <t>Shraddha Kulkarni</t>
        </is>
      </c>
      <c r="K4487" s="70" t="n">
        <v>1173</v>
      </c>
      <c r="L4487" s="71" t="n">
        <v>1449.72</v>
      </c>
      <c r="M4487" s="71" t="n">
        <v>1700521.56</v>
      </c>
      <c r="N4487" s="71" t="n">
        <v>85026.08</v>
      </c>
      <c r="O4487" s="71" t="n">
        <v>1615495.48</v>
      </c>
      <c r="P4487" s="71" t="n">
        <v>295735.21</v>
      </c>
      <c r="Q4487" s="71" t="n">
        <v>1319760.27</v>
      </c>
      <c r="R4487" t="inlineStr">
        <is>
          <t>Inflammation</t>
        </is>
      </c>
      <c r="S4487" s="70" t="n">
        <v>860</v>
      </c>
      <c r="T4487" s="71" t="n">
        <v>346156.17</v>
      </c>
      <c r="U4487" t="inlineStr">
        <is>
          <t>High</t>
        </is>
      </c>
      <c r="V4487">
        <f>IF(AND(OR(Dashboard!$C$6="All",E4487=Dashboard!$C$6),OR(Dashboard!$F$6="All",G4487=Dashboard!$F$6),OR(Dashboard!$I$6="All",H4487=Dashboard!$I$6)),1,0)</f>
        <v/>
      </c>
    </row>
    <row r="4488">
      <c r="A4488" t="inlineStr">
        <is>
          <t>PF104479</t>
        </is>
      </c>
      <c r="B4488" s="68" t="n">
        <v>46195</v>
      </c>
      <c r="C4488" s="69" t="n">
        <v>2026</v>
      </c>
      <c r="D4488" t="inlineStr">
        <is>
          <t>Jun</t>
        </is>
      </c>
      <c r="E4488" t="inlineStr">
        <is>
          <t>United States</t>
        </is>
      </c>
      <c r="F4488" t="inlineStr">
        <is>
          <t>USA</t>
        </is>
      </c>
      <c r="G4488" t="inlineStr">
        <is>
          <t>Eliquis</t>
        </is>
      </c>
      <c r="H4488" t="inlineStr">
        <is>
          <t>Hospital</t>
        </is>
      </c>
      <c r="I4488" t="inlineStr">
        <is>
          <t>Private insurer</t>
        </is>
      </c>
      <c r="J4488" t="inlineStr">
        <is>
          <t>Kofi Mensah</t>
        </is>
      </c>
      <c r="K4488" s="70" t="n">
        <v>561</v>
      </c>
      <c r="L4488" s="71" t="n">
        <v>684.5599999999999</v>
      </c>
      <c r="M4488" s="71" t="n">
        <v>384038.16</v>
      </c>
      <c r="N4488" s="71" t="n">
        <v>96009.53999999999</v>
      </c>
      <c r="O4488" s="71" t="n">
        <v>288028.62</v>
      </c>
      <c r="P4488" s="71" t="n">
        <v>42676.04</v>
      </c>
      <c r="Q4488" s="71" t="n">
        <v>245352.58</v>
      </c>
      <c r="R4488" t="inlineStr">
        <is>
          <t>Cardiology</t>
        </is>
      </c>
      <c r="S4488" s="70" t="n">
        <v>544</v>
      </c>
      <c r="T4488" s="71" t="n">
        <v>65446</v>
      </c>
      <c r="U4488" t="inlineStr">
        <is>
          <t>High</t>
        </is>
      </c>
      <c r="V4488">
        <f>IF(AND(OR(Dashboard!$C$6="All",E4488=Dashboard!$C$6),OR(Dashboard!$F$6="All",G4488=Dashboard!$F$6),OR(Dashboard!$I$6="All",H4488=Dashboard!$I$6)),1,0)</f>
        <v/>
      </c>
    </row>
    <row r="4489">
      <c r="A4489" t="inlineStr">
        <is>
          <t>PF104480</t>
        </is>
      </c>
      <c r="B4489" s="68" t="n">
        <v>46195</v>
      </c>
      <c r="C4489" s="69" t="n">
        <v>2026</v>
      </c>
      <c r="D4489" t="inlineStr">
        <is>
          <t>Jun</t>
        </is>
      </c>
      <c r="E4489" t="inlineStr">
        <is>
          <t>United States</t>
        </is>
      </c>
      <c r="F4489" t="inlineStr">
        <is>
          <t>USA</t>
        </is>
      </c>
      <c r="G4489" t="inlineStr">
        <is>
          <t>Comirnaty</t>
        </is>
      </c>
      <c r="H4489" t="inlineStr">
        <is>
          <t>Government / tender</t>
        </is>
      </c>
      <c r="I4489" t="inlineStr">
        <is>
          <t>Public payer</t>
        </is>
      </c>
      <c r="J4489" t="inlineStr">
        <is>
          <t>Ana Costa</t>
        </is>
      </c>
      <c r="K4489" s="70" t="n">
        <v>641</v>
      </c>
      <c r="L4489" s="71" t="n">
        <v>137.6</v>
      </c>
      <c r="M4489" s="71" t="n">
        <v>88201.60000000001</v>
      </c>
      <c r="N4489" s="71" t="n">
        <v>22050.4</v>
      </c>
      <c r="O4489" s="71" t="n">
        <v>66151.2</v>
      </c>
      <c r="P4489" s="71" t="n">
        <v>24075.09</v>
      </c>
      <c r="Q4489" s="71" t="n">
        <v>42076.11</v>
      </c>
      <c r="R4489" t="inlineStr">
        <is>
          <t>Vaccines</t>
        </is>
      </c>
      <c r="S4489" s="70" t="n">
        <v>584</v>
      </c>
      <c r="T4489" s="71" t="n">
        <v>16614.16</v>
      </c>
      <c r="U4489" t="inlineStr">
        <is>
          <t>Low</t>
        </is>
      </c>
      <c r="V4489">
        <f>IF(AND(OR(Dashboard!$C$6="All",E4489=Dashboard!$C$6),OR(Dashboard!$F$6="All",G4489=Dashboard!$F$6),OR(Dashboard!$I$6="All",H4489=Dashboard!$I$6)),1,0)</f>
        <v/>
      </c>
    </row>
    <row r="4490">
      <c r="A4490" t="inlineStr">
        <is>
          <t>PF104481</t>
        </is>
      </c>
      <c r="B4490" s="68" t="n">
        <v>46195</v>
      </c>
      <c r="C4490" s="69" t="n">
        <v>2026</v>
      </c>
      <c r="D4490" t="inlineStr">
        <is>
          <t>Jun</t>
        </is>
      </c>
      <c r="E4490" t="inlineStr">
        <is>
          <t>Europe</t>
        </is>
      </c>
      <c r="F4490" t="inlineStr">
        <is>
          <t>France</t>
        </is>
      </c>
      <c r="G4490" t="inlineStr">
        <is>
          <t>Xeljanz</t>
        </is>
      </c>
      <c r="H4490" t="inlineStr">
        <is>
          <t>Retail pharmacy</t>
        </is>
      </c>
      <c r="I4490" t="inlineStr">
        <is>
          <t>Private insurer</t>
        </is>
      </c>
      <c r="J4490" t="inlineStr">
        <is>
          <t>Noah Smith</t>
        </is>
      </c>
      <c r="K4490" s="70" t="n">
        <v>1154</v>
      </c>
      <c r="L4490" s="71" t="n">
        <v>1460.34</v>
      </c>
      <c r="M4490" s="71" t="n">
        <v>1685232.36</v>
      </c>
      <c r="N4490" s="71" t="n">
        <v>421308.09</v>
      </c>
      <c r="O4490" s="71" t="n">
        <v>1263924.27</v>
      </c>
      <c r="P4490" s="71" t="n">
        <v>282641.04</v>
      </c>
      <c r="Q4490" s="71" t="n">
        <v>981283.23</v>
      </c>
      <c r="R4490" t="inlineStr">
        <is>
          <t>Inflammation</t>
        </is>
      </c>
      <c r="S4490" s="70" t="n">
        <v>807</v>
      </c>
      <c r="T4490" s="71" t="n">
        <v>287725.83</v>
      </c>
      <c r="U4490" t="inlineStr">
        <is>
          <t>High</t>
        </is>
      </c>
      <c r="V4490">
        <f>IF(AND(OR(Dashboard!$C$6="All",E4490=Dashboard!$C$6),OR(Dashboard!$F$6="All",G4490=Dashboard!$F$6),OR(Dashboard!$I$6="All",H4490=Dashboard!$I$6)),1,0)</f>
        <v/>
      </c>
    </row>
    <row r="4491">
      <c r="A4491" t="inlineStr">
        <is>
          <t>PF104482</t>
        </is>
      </c>
      <c r="B4491" s="68" t="n">
        <v>46195</v>
      </c>
      <c r="C4491" s="69" t="n">
        <v>2026</v>
      </c>
      <c r="D4491" t="inlineStr">
        <is>
          <t>Jun</t>
        </is>
      </c>
      <c r="E4491" t="inlineStr">
        <is>
          <t>Emerging markets</t>
        </is>
      </c>
      <c r="F4491" t="inlineStr">
        <is>
          <t>China</t>
        </is>
      </c>
      <c r="G4491" t="inlineStr">
        <is>
          <t>Eliquis</t>
        </is>
      </c>
      <c r="H4491" t="inlineStr">
        <is>
          <t>Retail pharmacy</t>
        </is>
      </c>
      <c r="I4491" t="inlineStr">
        <is>
          <t>Public payer</t>
        </is>
      </c>
      <c r="J4491" t="inlineStr">
        <is>
          <t>Omar Haddad</t>
        </is>
      </c>
      <c r="K4491" s="70" t="n">
        <v>1909</v>
      </c>
      <c r="L4491" s="71" t="n">
        <v>428.94</v>
      </c>
      <c r="M4491" s="71" t="n">
        <v>818846.46</v>
      </c>
      <c r="N4491" s="71" t="n">
        <v>122826.97</v>
      </c>
      <c r="O4491" s="71" t="n">
        <v>696019.49</v>
      </c>
      <c r="P4491" s="71" t="n">
        <v>143467.74</v>
      </c>
      <c r="Q4491" s="71" t="n">
        <v>552551.75</v>
      </c>
      <c r="R4491" t="inlineStr">
        <is>
          <t>Cardiology</t>
        </is>
      </c>
      <c r="S4491" s="70" t="n">
        <v>1469</v>
      </c>
      <c r="T4491" s="71" t="n">
        <v>149419.77</v>
      </c>
      <c r="U4491" t="inlineStr">
        <is>
          <t>High</t>
        </is>
      </c>
      <c r="V4491">
        <f>IF(AND(OR(Dashboard!$C$6="All",E4491=Dashboard!$C$6),OR(Dashboard!$F$6="All",G4491=Dashboard!$F$6),OR(Dashboard!$I$6="All",H4491=Dashboard!$I$6)),1,0)</f>
        <v/>
      </c>
    </row>
    <row r="4492">
      <c r="A4492" t="inlineStr">
        <is>
          <t>PF104483</t>
        </is>
      </c>
      <c r="B4492" s="68" t="n">
        <v>46195</v>
      </c>
      <c r="C4492" s="69" t="n">
        <v>2026</v>
      </c>
      <c r="D4492" t="inlineStr">
        <is>
          <t>Jun</t>
        </is>
      </c>
      <c r="E4492" t="inlineStr">
        <is>
          <t>International developed</t>
        </is>
      </c>
      <c r="F4492" t="inlineStr">
        <is>
          <t>Australia</t>
        </is>
      </c>
      <c r="G4492" t="inlineStr">
        <is>
          <t>Prevnar 20</t>
        </is>
      </c>
      <c r="H4492" t="inlineStr">
        <is>
          <t>Government / tender</t>
        </is>
      </c>
      <c r="I4492" t="inlineStr">
        <is>
          <t>Public payer</t>
        </is>
      </c>
      <c r="J4492" t="inlineStr">
        <is>
          <t>Wei Chen</t>
        </is>
      </c>
      <c r="K4492" s="70" t="n">
        <v>677</v>
      </c>
      <c r="L4492" s="71" t="n">
        <v>236.19</v>
      </c>
      <c r="M4492" s="71" t="n">
        <v>159900.63</v>
      </c>
      <c r="N4492" s="71" t="n">
        <v>31980.13</v>
      </c>
      <c r="O4492" s="71" t="n">
        <v>127920.5</v>
      </c>
      <c r="P4492" s="71" t="n">
        <v>45057.26</v>
      </c>
      <c r="Q4492" s="71" t="n">
        <v>82863.24000000001</v>
      </c>
      <c r="R4492" t="inlineStr">
        <is>
          <t>Vaccines</t>
        </is>
      </c>
      <c r="S4492" s="70" t="n">
        <v>580</v>
      </c>
      <c r="T4492" s="71" t="n">
        <v>20723.37</v>
      </c>
      <c r="U4492" t="inlineStr">
        <is>
          <t>Low</t>
        </is>
      </c>
      <c r="V4492">
        <f>IF(AND(OR(Dashboard!$C$6="All",E4492=Dashboard!$C$6),OR(Dashboard!$F$6="All",G4492=Dashboard!$F$6),OR(Dashboard!$I$6="All",H4492=Dashboard!$I$6)),1,0)</f>
        <v/>
      </c>
    </row>
    <row r="4493">
      <c r="A4493" t="inlineStr">
        <is>
          <t>PF104484</t>
        </is>
      </c>
      <c r="B4493" s="68" t="n">
        <v>46196</v>
      </c>
      <c r="C4493" s="69" t="n">
        <v>2026</v>
      </c>
      <c r="D4493" t="inlineStr">
        <is>
          <t>Jun</t>
        </is>
      </c>
      <c r="E4493" t="inlineStr">
        <is>
          <t>Emerging markets</t>
        </is>
      </c>
      <c r="F4493" t="inlineStr">
        <is>
          <t>China</t>
        </is>
      </c>
      <c r="G4493" t="inlineStr">
        <is>
          <t>Eliquis</t>
        </is>
      </c>
      <c r="H4493" t="inlineStr">
        <is>
          <t>Retail pharmacy</t>
        </is>
      </c>
      <c r="I4493" t="inlineStr">
        <is>
          <t>Public payer</t>
        </is>
      </c>
      <c r="J4493" t="inlineStr">
        <is>
          <t>Aisha Bello</t>
        </is>
      </c>
      <c r="K4493" s="70" t="n">
        <v>188</v>
      </c>
      <c r="L4493" s="71" t="n">
        <v>444.34</v>
      </c>
      <c r="M4493" s="71" t="n">
        <v>83535.92</v>
      </c>
      <c r="N4493" s="71" t="n">
        <v>8353.59</v>
      </c>
      <c r="O4493" s="71" t="n">
        <v>75182.33</v>
      </c>
      <c r="P4493" s="71" t="n">
        <v>14310.68</v>
      </c>
      <c r="Q4493" s="71" t="n">
        <v>60871.65</v>
      </c>
      <c r="R4493" t="inlineStr">
        <is>
          <t>Cardiology</t>
        </is>
      </c>
      <c r="S4493" s="70" t="n">
        <v>139</v>
      </c>
      <c r="T4493" s="71" t="n">
        <v>13540.85</v>
      </c>
      <c r="U4493" t="inlineStr">
        <is>
          <t>High</t>
        </is>
      </c>
      <c r="V4493">
        <f>IF(AND(OR(Dashboard!$C$6="All",E4493=Dashboard!$C$6),OR(Dashboard!$F$6="All",G4493=Dashboard!$F$6),OR(Dashboard!$I$6="All",H4493=Dashboard!$I$6)),1,0)</f>
        <v/>
      </c>
    </row>
    <row r="4494">
      <c r="A4494" t="inlineStr">
        <is>
          <t>PF104485</t>
        </is>
      </c>
      <c r="B4494" s="68" t="n">
        <v>46196</v>
      </c>
      <c r="C4494" s="69" t="n">
        <v>2026</v>
      </c>
      <c r="D4494" t="inlineStr">
        <is>
          <t>Jun</t>
        </is>
      </c>
      <c r="E4494" t="inlineStr">
        <is>
          <t>Emerging markets</t>
        </is>
      </c>
      <c r="F4494" t="inlineStr">
        <is>
          <t>India</t>
        </is>
      </c>
      <c r="G4494" t="inlineStr">
        <is>
          <t>Prevnar 20</t>
        </is>
      </c>
      <c r="H4494" t="inlineStr">
        <is>
          <t>Retail pharmacy</t>
        </is>
      </c>
      <c r="I4494" t="inlineStr">
        <is>
          <t>Public payer</t>
        </is>
      </c>
      <c r="J4494" t="inlineStr">
        <is>
          <t>Zoya Ahmed</t>
        </is>
      </c>
      <c r="K4494" s="70" t="n">
        <v>2067</v>
      </c>
      <c r="L4494" s="71" t="n">
        <v>236.8</v>
      </c>
      <c r="M4494" s="71" t="n">
        <v>489465.6</v>
      </c>
      <c r="N4494" s="71" t="n">
        <v>73419.84</v>
      </c>
      <c r="O4494" s="71" t="n">
        <v>416045.76</v>
      </c>
      <c r="P4494" s="71" t="n">
        <v>146743.43</v>
      </c>
      <c r="Q4494" s="71" t="n">
        <v>269302.33</v>
      </c>
      <c r="R4494" t="inlineStr">
        <is>
          <t>Vaccines</t>
        </is>
      </c>
      <c r="S4494" s="70" t="n">
        <v>1983</v>
      </c>
      <c r="T4494" s="71" t="n">
        <v>105266.51</v>
      </c>
      <c r="U4494" t="inlineStr">
        <is>
          <t>Low</t>
        </is>
      </c>
      <c r="V4494">
        <f>IF(AND(OR(Dashboard!$C$6="All",E4494=Dashboard!$C$6),OR(Dashboard!$F$6="All",G4494=Dashboard!$F$6),OR(Dashboard!$I$6="All",H4494=Dashboard!$I$6)),1,0)</f>
        <v/>
      </c>
    </row>
    <row r="4495">
      <c r="A4495" t="inlineStr">
        <is>
          <t>PF104486</t>
        </is>
      </c>
      <c r="B4495" s="68" t="n">
        <v>46196</v>
      </c>
      <c r="C4495" s="69" t="n">
        <v>2026</v>
      </c>
      <c r="D4495" t="inlineStr">
        <is>
          <t>Jun</t>
        </is>
      </c>
      <c r="E4495" t="inlineStr">
        <is>
          <t>Emerging markets</t>
        </is>
      </c>
      <c r="F4495" t="inlineStr">
        <is>
          <t>India</t>
        </is>
      </c>
      <c r="G4495" t="inlineStr">
        <is>
          <t>Paxlovid</t>
        </is>
      </c>
      <c r="H4495" t="inlineStr">
        <is>
          <t>Retail pharmacy</t>
        </is>
      </c>
      <c r="I4495" t="inlineStr">
        <is>
          <t>Public payer</t>
        </is>
      </c>
      <c r="J4495" t="inlineStr">
        <is>
          <t>Aisha Bello</t>
        </is>
      </c>
      <c r="K4495" s="70" t="n">
        <v>1392</v>
      </c>
      <c r="L4495" s="71" t="n">
        <v>902.17</v>
      </c>
      <c r="M4495" s="71" t="n">
        <v>1255820.64</v>
      </c>
      <c r="N4495" s="71" t="n">
        <v>125582.06</v>
      </c>
      <c r="O4495" s="71" t="n">
        <v>1130238.58</v>
      </c>
      <c r="P4495" s="71" t="n">
        <v>391707.66</v>
      </c>
      <c r="Q4495" s="71" t="n">
        <v>738530.92</v>
      </c>
      <c r="R4495" t="inlineStr">
        <is>
          <t>Antiviral</t>
        </is>
      </c>
      <c r="S4495" s="70" t="n">
        <v>925</v>
      </c>
      <c r="T4495" s="71" t="n">
        <v>258156.96</v>
      </c>
      <c r="U4495" t="inlineStr">
        <is>
          <t>Low</t>
        </is>
      </c>
      <c r="V4495">
        <f>IF(AND(OR(Dashboard!$C$6="All",E4495=Dashboard!$C$6),OR(Dashboard!$F$6="All",G4495=Dashboard!$F$6),OR(Dashboard!$I$6="All",H4495=Dashboard!$I$6)),1,0)</f>
        <v/>
      </c>
    </row>
    <row r="4496">
      <c r="A4496" t="inlineStr">
        <is>
          <t>PF104487</t>
        </is>
      </c>
      <c r="B4496" s="68" t="n">
        <v>46196</v>
      </c>
      <c r="C4496" s="69" t="n">
        <v>2026</v>
      </c>
      <c r="D4496" t="inlineStr">
        <is>
          <t>Jun</t>
        </is>
      </c>
      <c r="E4496" t="inlineStr">
        <is>
          <t>United States</t>
        </is>
      </c>
      <c r="F4496" t="inlineStr">
        <is>
          <t>USA</t>
        </is>
      </c>
      <c r="G4496" t="inlineStr">
        <is>
          <t>Prevnar 20</t>
        </is>
      </c>
      <c r="H4496" t="inlineStr">
        <is>
          <t>Retail pharmacy</t>
        </is>
      </c>
      <c r="I4496" t="inlineStr">
        <is>
          <t>Public payer</t>
        </is>
      </c>
      <c r="J4496" t="inlineStr">
        <is>
          <t>Ruhi Shaikh</t>
        </is>
      </c>
      <c r="K4496" s="70" t="n">
        <v>2733</v>
      </c>
      <c r="L4496" s="71" t="n">
        <v>356.72</v>
      </c>
      <c r="M4496" s="71" t="n">
        <v>974915.76</v>
      </c>
      <c r="N4496" s="71" t="n">
        <v>292474.73</v>
      </c>
      <c r="O4496" s="71" t="n">
        <v>682441.03</v>
      </c>
      <c r="P4496" s="71" t="n">
        <v>182942.79</v>
      </c>
      <c r="Q4496" s="71" t="n">
        <v>499498.24</v>
      </c>
      <c r="R4496" t="inlineStr">
        <is>
          <t>Vaccines</t>
        </is>
      </c>
      <c r="S4496" s="70" t="n">
        <v>1878</v>
      </c>
      <c r="T4496" s="71" t="n">
        <v>186728.72</v>
      </c>
      <c r="U4496" t="inlineStr">
        <is>
          <t>Low</t>
        </is>
      </c>
      <c r="V4496">
        <f>IF(AND(OR(Dashboard!$C$6="All",E4496=Dashboard!$C$6),OR(Dashboard!$F$6="All",G4496=Dashboard!$F$6),OR(Dashboard!$I$6="All",H4496=Dashboard!$I$6)),1,0)</f>
        <v/>
      </c>
    </row>
    <row r="4497">
      <c r="A4497" t="inlineStr">
        <is>
          <t>PF104488</t>
        </is>
      </c>
      <c r="B4497" s="68" t="n">
        <v>46196</v>
      </c>
      <c r="C4497" s="69" t="n">
        <v>2026</v>
      </c>
      <c r="D4497" t="inlineStr">
        <is>
          <t>Jun</t>
        </is>
      </c>
      <c r="E4497" t="inlineStr">
        <is>
          <t>United States</t>
        </is>
      </c>
      <c r="F4497" t="inlineStr">
        <is>
          <t>USA</t>
        </is>
      </c>
      <c r="G4497" t="inlineStr">
        <is>
          <t>Paxlovid</t>
        </is>
      </c>
      <c r="H4497" t="inlineStr">
        <is>
          <t>Retail pharmacy</t>
        </is>
      </c>
      <c r="I4497" t="inlineStr">
        <is>
          <t>Public payer</t>
        </is>
      </c>
      <c r="J4497" t="inlineStr">
        <is>
          <t>Aisha Bello</t>
        </is>
      </c>
      <c r="K4497" s="70" t="n">
        <v>442</v>
      </c>
      <c r="L4497" s="71" t="n">
        <v>1596.59</v>
      </c>
      <c r="M4497" s="71" t="n">
        <v>705692.78</v>
      </c>
      <c r="N4497" s="71" t="n">
        <v>176423.2</v>
      </c>
      <c r="O4497" s="71" t="n">
        <v>529269.58</v>
      </c>
      <c r="P4497" s="71" t="n">
        <v>121086.22</v>
      </c>
      <c r="Q4497" s="71" t="n">
        <v>408183.36</v>
      </c>
      <c r="R4497" t="inlineStr">
        <is>
          <t>Antiviral</t>
        </is>
      </c>
      <c r="S4497" s="70" t="n">
        <v>405</v>
      </c>
      <c r="T4497" s="71" t="n">
        <v>146196.16</v>
      </c>
      <c r="U4497" t="inlineStr">
        <is>
          <t>Low</t>
        </is>
      </c>
      <c r="V4497">
        <f>IF(AND(OR(Dashboard!$C$6="All",E4497=Dashboard!$C$6),OR(Dashboard!$F$6="All",G4497=Dashboard!$F$6),OR(Dashboard!$I$6="All",H4497=Dashboard!$I$6)),1,0)</f>
        <v/>
      </c>
    </row>
    <row r="4498">
      <c r="A4498" t="inlineStr">
        <is>
          <t>PF104489</t>
        </is>
      </c>
      <c r="B4498" s="68" t="n">
        <v>46196</v>
      </c>
      <c r="C4498" s="69" t="n">
        <v>2026</v>
      </c>
      <c r="D4498" t="inlineStr">
        <is>
          <t>Jun</t>
        </is>
      </c>
      <c r="E4498" t="inlineStr">
        <is>
          <t>International developed</t>
        </is>
      </c>
      <c r="F4498" t="inlineStr">
        <is>
          <t>Japan</t>
        </is>
      </c>
      <c r="G4498" t="inlineStr">
        <is>
          <t>Eliquis</t>
        </is>
      </c>
      <c r="H4498" t="inlineStr">
        <is>
          <t>Retail pharmacy</t>
        </is>
      </c>
      <c r="I4498" t="inlineStr">
        <is>
          <t>Private insurer</t>
        </is>
      </c>
      <c r="J4498" t="inlineStr">
        <is>
          <t>Priya Nair</t>
        </is>
      </c>
      <c r="K4498" s="70" t="n">
        <v>2855</v>
      </c>
      <c r="L4498" s="71" t="n">
        <v>404.44</v>
      </c>
      <c r="M4498" s="71" t="n">
        <v>1154676.2</v>
      </c>
      <c r="N4498" s="71" t="n">
        <v>173201.43</v>
      </c>
      <c r="O4498" s="71" t="n">
        <v>981474.77</v>
      </c>
      <c r="P4498" s="71" t="n">
        <v>216485.39</v>
      </c>
      <c r="Q4498" s="71" t="n">
        <v>764989.38</v>
      </c>
      <c r="R4498" t="inlineStr">
        <is>
          <t>Cardiology</t>
        </is>
      </c>
      <c r="S4498" s="70" t="n">
        <v>2362</v>
      </c>
      <c r="T4498" s="71" t="n">
        <v>151909.51</v>
      </c>
      <c r="U4498" t="inlineStr">
        <is>
          <t>High</t>
        </is>
      </c>
      <c r="V4498">
        <f>IF(AND(OR(Dashboard!$C$6="All",E4498=Dashboard!$C$6),OR(Dashboard!$F$6="All",G4498=Dashboard!$F$6),OR(Dashboard!$I$6="All",H4498=Dashboard!$I$6)),1,0)</f>
        <v/>
      </c>
    </row>
    <row r="4499">
      <c r="A4499" t="inlineStr">
        <is>
          <t>PF104490</t>
        </is>
      </c>
      <c r="B4499" s="68" t="n">
        <v>46197</v>
      </c>
      <c r="C4499" s="69" t="n">
        <v>2026</v>
      </c>
      <c r="D4499" t="inlineStr">
        <is>
          <t>Jun</t>
        </is>
      </c>
      <c r="E4499" t="inlineStr">
        <is>
          <t>United States</t>
        </is>
      </c>
      <c r="F4499" t="inlineStr">
        <is>
          <t>USA</t>
        </is>
      </c>
      <c r="G4499" t="inlineStr">
        <is>
          <t>Abrysvo</t>
        </is>
      </c>
      <c r="H4499" t="inlineStr">
        <is>
          <t>Government / tender</t>
        </is>
      </c>
      <c r="I4499" t="inlineStr">
        <is>
          <t>Public payer</t>
        </is>
      </c>
      <c r="J4499" t="inlineStr">
        <is>
          <t>Fatima Al-Saud</t>
        </is>
      </c>
      <c r="K4499" s="70" t="n">
        <v>1311</v>
      </c>
      <c r="L4499" s="71" t="n">
        <v>500.42</v>
      </c>
      <c r="M4499" s="71" t="n">
        <v>656050.62</v>
      </c>
      <c r="N4499" s="71" t="n">
        <v>229617.72</v>
      </c>
      <c r="O4499" s="71" t="n">
        <v>426432.9</v>
      </c>
      <c r="P4499" s="71" t="n">
        <v>110340.44</v>
      </c>
      <c r="Q4499" s="71" t="n">
        <v>316092.46</v>
      </c>
      <c r="R4499" t="inlineStr">
        <is>
          <t>Vaccines</t>
        </is>
      </c>
      <c r="S4499" s="70" t="n">
        <v>1231</v>
      </c>
      <c r="T4499" s="71" t="n">
        <v>94135.89999999999</v>
      </c>
      <c r="U4499" t="inlineStr">
        <is>
          <t>Low</t>
        </is>
      </c>
      <c r="V4499">
        <f>IF(AND(OR(Dashboard!$C$6="All",E4499=Dashboard!$C$6),OR(Dashboard!$F$6="All",G4499=Dashboard!$F$6),OR(Dashboard!$I$6="All",H4499=Dashboard!$I$6)),1,0)</f>
        <v/>
      </c>
    </row>
    <row r="4500">
      <c r="A4500" t="inlineStr">
        <is>
          <t>PF104491</t>
        </is>
      </c>
      <c r="B4500" s="68" t="n">
        <v>46197</v>
      </c>
      <c r="C4500" s="69" t="n">
        <v>2026</v>
      </c>
      <c r="D4500" t="inlineStr">
        <is>
          <t>Jun</t>
        </is>
      </c>
      <c r="E4500" t="inlineStr">
        <is>
          <t>Europe</t>
        </is>
      </c>
      <c r="F4500" t="inlineStr">
        <is>
          <t>Germany</t>
        </is>
      </c>
      <c r="G4500" t="inlineStr">
        <is>
          <t>Ibrance</t>
        </is>
      </c>
      <c r="H4500" t="inlineStr">
        <is>
          <t>Retail pharmacy</t>
        </is>
      </c>
      <c r="I4500" t="inlineStr">
        <is>
          <t>Public payer</t>
        </is>
      </c>
      <c r="J4500" t="inlineStr">
        <is>
          <t>Olivia Brown</t>
        </is>
      </c>
      <c r="K4500" s="70" t="n">
        <v>380</v>
      </c>
      <c r="L4500" s="71" t="n">
        <v>2807.94</v>
      </c>
      <c r="M4500" s="71" t="n">
        <v>1067017.2</v>
      </c>
      <c r="N4500" s="71" t="n">
        <v>160052.58</v>
      </c>
      <c r="O4500" s="71" t="n">
        <v>906964.62</v>
      </c>
      <c r="P4500" s="71" t="n">
        <v>161158.94</v>
      </c>
      <c r="Q4500" s="71" t="n">
        <v>745805.6800000001</v>
      </c>
      <c r="R4500" t="inlineStr">
        <is>
          <t>Oncology</t>
        </is>
      </c>
      <c r="S4500" s="70" t="n">
        <v>322</v>
      </c>
      <c r="T4500" s="71" t="n">
        <v>138667.56</v>
      </c>
      <c r="U4500" t="inlineStr">
        <is>
          <t>High</t>
        </is>
      </c>
      <c r="V4500">
        <f>IF(AND(OR(Dashboard!$C$6="All",E4500=Dashboard!$C$6),OR(Dashboard!$F$6="All",G4500=Dashboard!$F$6),OR(Dashboard!$I$6="All",H4500=Dashboard!$I$6)),1,0)</f>
        <v/>
      </c>
    </row>
    <row r="4501">
      <c r="A4501" t="inlineStr">
        <is>
          <t>PF104492</t>
        </is>
      </c>
      <c r="B4501" s="68" t="n">
        <v>46197</v>
      </c>
      <c r="C4501" s="69" t="n">
        <v>2026</v>
      </c>
      <c r="D4501" t="inlineStr">
        <is>
          <t>Jun</t>
        </is>
      </c>
      <c r="E4501" t="inlineStr">
        <is>
          <t>United States</t>
        </is>
      </c>
      <c r="F4501" t="inlineStr">
        <is>
          <t>USA</t>
        </is>
      </c>
      <c r="G4501" t="inlineStr">
        <is>
          <t>Paxlovid</t>
        </is>
      </c>
      <c r="H4501" t="inlineStr">
        <is>
          <t>Retail pharmacy</t>
        </is>
      </c>
      <c r="I4501" t="inlineStr">
        <is>
          <t>Public payer</t>
        </is>
      </c>
      <c r="J4501" t="inlineStr">
        <is>
          <t>Yuki Sato</t>
        </is>
      </c>
      <c r="K4501" s="70" t="n">
        <v>1968</v>
      </c>
      <c r="L4501" s="71" t="n">
        <v>1434.01</v>
      </c>
      <c r="M4501" s="71" t="n">
        <v>2822131.68</v>
      </c>
      <c r="N4501" s="71" t="n">
        <v>987746.09</v>
      </c>
      <c r="O4501" s="71" t="n">
        <v>1834385.59</v>
      </c>
      <c r="P4501" s="71" t="n">
        <v>519698.21</v>
      </c>
      <c r="Q4501" s="71" t="n">
        <v>1314687.38</v>
      </c>
      <c r="R4501" t="inlineStr">
        <is>
          <t>Antiviral</t>
        </is>
      </c>
      <c r="S4501" s="70" t="n">
        <v>1762</v>
      </c>
      <c r="T4501" s="71" t="n">
        <v>459413.84</v>
      </c>
      <c r="U4501" t="inlineStr">
        <is>
          <t>Low</t>
        </is>
      </c>
      <c r="V4501">
        <f>IF(AND(OR(Dashboard!$C$6="All",E4501=Dashboard!$C$6),OR(Dashboard!$F$6="All",G4501=Dashboard!$F$6),OR(Dashboard!$I$6="All",H4501=Dashboard!$I$6)),1,0)</f>
        <v/>
      </c>
    </row>
    <row r="4502">
      <c r="A4502" t="inlineStr">
        <is>
          <t>PF104493</t>
        </is>
      </c>
      <c r="B4502" s="68" t="n">
        <v>46197</v>
      </c>
      <c r="C4502" s="69" t="n">
        <v>2026</v>
      </c>
      <c r="D4502" t="inlineStr">
        <is>
          <t>Jun</t>
        </is>
      </c>
      <c r="E4502" t="inlineStr">
        <is>
          <t>Emerging markets</t>
        </is>
      </c>
      <c r="F4502" t="inlineStr">
        <is>
          <t>Mexico</t>
        </is>
      </c>
      <c r="G4502" t="inlineStr">
        <is>
          <t>Ibrance</t>
        </is>
      </c>
      <c r="H4502" t="inlineStr">
        <is>
          <t>Hospital</t>
        </is>
      </c>
      <c r="I4502" t="inlineStr">
        <is>
          <t>Private insurer</t>
        </is>
      </c>
      <c r="J4502" t="inlineStr">
        <is>
          <t>Omar Haddad</t>
        </is>
      </c>
      <c r="K4502" s="70" t="n">
        <v>1206</v>
      </c>
      <c r="L4502" s="71" t="n">
        <v>2792.61</v>
      </c>
      <c r="M4502" s="71" t="n">
        <v>3367887.66</v>
      </c>
      <c r="N4502" s="71" t="n">
        <v>336788.77</v>
      </c>
      <c r="O4502" s="71" t="n">
        <v>3031098.89</v>
      </c>
      <c r="P4502" s="71" t="n">
        <v>514766.71</v>
      </c>
      <c r="Q4502" s="71" t="n">
        <v>2516332.18</v>
      </c>
      <c r="R4502" t="inlineStr">
        <is>
          <t>Oncology</t>
        </is>
      </c>
      <c r="S4502" s="70" t="n">
        <v>762</v>
      </c>
      <c r="T4502" s="71" t="n">
        <v>543604.63</v>
      </c>
      <c r="U4502" t="inlineStr">
        <is>
          <t>High</t>
        </is>
      </c>
      <c r="V4502">
        <f>IF(AND(OR(Dashboard!$C$6="All",E4502=Dashboard!$C$6),OR(Dashboard!$F$6="All",G4502=Dashboard!$F$6),OR(Dashboard!$I$6="All",H4502=Dashboard!$I$6)),1,0)</f>
        <v/>
      </c>
    </row>
    <row r="4503">
      <c r="A4503" t="inlineStr">
        <is>
          <t>PF104494</t>
        </is>
      </c>
      <c r="B4503" s="68" t="n">
        <v>46197</v>
      </c>
      <c r="C4503" s="69" t="n">
        <v>2026</v>
      </c>
      <c r="D4503" t="inlineStr">
        <is>
          <t>Jun</t>
        </is>
      </c>
      <c r="E4503" t="inlineStr">
        <is>
          <t>United States</t>
        </is>
      </c>
      <c r="F4503" t="inlineStr">
        <is>
          <t>USA</t>
        </is>
      </c>
      <c r="G4503" t="inlineStr">
        <is>
          <t>Eliquis</t>
        </is>
      </c>
      <c r="H4503" t="inlineStr">
        <is>
          <t>Retail pharmacy</t>
        </is>
      </c>
      <c r="I4503" t="inlineStr">
        <is>
          <t>Public payer</t>
        </is>
      </c>
      <c r="J4503" t="inlineStr">
        <is>
          <t>Sophie Müller</t>
        </is>
      </c>
      <c r="K4503" s="70" t="n">
        <v>2710</v>
      </c>
      <c r="L4503" s="71" t="n">
        <v>709.51</v>
      </c>
      <c r="M4503" s="71" t="n">
        <v>1922772.1</v>
      </c>
      <c r="N4503" s="71" t="n">
        <v>288415.82</v>
      </c>
      <c r="O4503" s="71" t="n">
        <v>1634356.28</v>
      </c>
      <c r="P4503" s="71" t="n">
        <v>207970.56</v>
      </c>
      <c r="Q4503" s="71" t="n">
        <v>1426385.72</v>
      </c>
      <c r="R4503" t="inlineStr">
        <is>
          <t>Cardiology</t>
        </is>
      </c>
      <c r="S4503" s="70" t="n">
        <v>2008</v>
      </c>
      <c r="T4503" s="71" t="n">
        <v>306573.86</v>
      </c>
      <c r="U4503" t="inlineStr">
        <is>
          <t>High</t>
        </is>
      </c>
      <c r="V4503">
        <f>IF(AND(OR(Dashboard!$C$6="All",E4503=Dashboard!$C$6),OR(Dashboard!$F$6="All",G4503=Dashboard!$F$6),OR(Dashboard!$I$6="All",H4503=Dashboard!$I$6)),1,0)</f>
        <v/>
      </c>
    </row>
    <row r="4504">
      <c r="A4504" t="inlineStr">
        <is>
          <t>PF104495</t>
        </is>
      </c>
      <c r="B4504" s="68" t="n">
        <v>46197</v>
      </c>
      <c r="C4504" s="69" t="n">
        <v>2026</v>
      </c>
      <c r="D4504" t="inlineStr">
        <is>
          <t>Jun</t>
        </is>
      </c>
      <c r="E4504" t="inlineStr">
        <is>
          <t>International developed</t>
        </is>
      </c>
      <c r="F4504" t="inlineStr">
        <is>
          <t>Japan</t>
        </is>
      </c>
      <c r="G4504" t="inlineStr">
        <is>
          <t>Paxlovid</t>
        </is>
      </c>
      <c r="H4504" t="inlineStr">
        <is>
          <t>Hospital</t>
        </is>
      </c>
      <c r="I4504" t="inlineStr">
        <is>
          <t>Public payer</t>
        </is>
      </c>
      <c r="J4504" t="inlineStr">
        <is>
          <t>Olivia Brown</t>
        </is>
      </c>
      <c r="K4504" s="70" t="n">
        <v>653</v>
      </c>
      <c r="L4504" s="71" t="n">
        <v>924.8099999999999</v>
      </c>
      <c r="M4504" s="71" t="n">
        <v>603900.9300000001</v>
      </c>
      <c r="N4504" s="71" t="n">
        <v>60390.09</v>
      </c>
      <c r="O4504" s="71" t="n">
        <v>543510.84</v>
      </c>
      <c r="P4504" s="71" t="n">
        <v>177812.15</v>
      </c>
      <c r="Q4504" s="71" t="n">
        <v>365698.69</v>
      </c>
      <c r="R4504" t="inlineStr">
        <is>
          <t>Antiviral</t>
        </is>
      </c>
      <c r="S4504" s="70" t="n">
        <v>516</v>
      </c>
      <c r="T4504" s="71" t="n">
        <v>146454.55</v>
      </c>
      <c r="U4504" t="inlineStr">
        <is>
          <t>Low</t>
        </is>
      </c>
      <c r="V4504">
        <f>IF(AND(OR(Dashboard!$C$6="All",E4504=Dashboard!$C$6),OR(Dashboard!$F$6="All",G4504=Dashboard!$F$6),OR(Dashboard!$I$6="All",H4504=Dashboard!$I$6)),1,0)</f>
        <v/>
      </c>
    </row>
    <row r="4505">
      <c r="A4505" t="inlineStr">
        <is>
          <t>PF104496</t>
        </is>
      </c>
      <c r="B4505" s="68" t="n">
        <v>46197</v>
      </c>
      <c r="C4505" s="69" t="n">
        <v>2026</v>
      </c>
      <c r="D4505" t="inlineStr">
        <is>
          <t>Jun</t>
        </is>
      </c>
      <c r="E4505" t="inlineStr">
        <is>
          <t>United States</t>
        </is>
      </c>
      <c r="F4505" t="inlineStr">
        <is>
          <t>USA</t>
        </is>
      </c>
      <c r="G4505" t="inlineStr">
        <is>
          <t>Vyndaqel</t>
        </is>
      </c>
      <c r="H4505" t="inlineStr">
        <is>
          <t>Retail pharmacy</t>
        </is>
      </c>
      <c r="I4505" t="inlineStr">
        <is>
          <t>Public payer</t>
        </is>
      </c>
      <c r="J4505" t="inlineStr">
        <is>
          <t>Noah Smith</t>
        </is>
      </c>
      <c r="K4505" s="70" t="n">
        <v>178</v>
      </c>
      <c r="L4505" s="71" t="n">
        <v>9909.040000000001</v>
      </c>
      <c r="M4505" s="71" t="n">
        <v>1763809.12</v>
      </c>
      <c r="N4505" s="71" t="n">
        <v>264571.37</v>
      </c>
      <c r="O4505" s="71" t="n">
        <v>1499237.75</v>
      </c>
      <c r="P4505" s="71" t="n">
        <v>114009.27</v>
      </c>
      <c r="Q4505" s="71" t="n">
        <v>1385228.48</v>
      </c>
      <c r="R4505" t="inlineStr">
        <is>
          <t>Rare disease</t>
        </is>
      </c>
      <c r="S4505" s="70" t="n">
        <v>172</v>
      </c>
      <c r="T4505" s="71" t="n">
        <v>309579.41</v>
      </c>
      <c r="U4505" t="inlineStr">
        <is>
          <t>Medium</t>
        </is>
      </c>
      <c r="V4505">
        <f>IF(AND(OR(Dashboard!$C$6="All",E4505=Dashboard!$C$6),OR(Dashboard!$F$6="All",G4505=Dashboard!$F$6),OR(Dashboard!$I$6="All",H4505=Dashboard!$I$6)),1,0)</f>
        <v/>
      </c>
    </row>
    <row r="4506">
      <c r="A4506" t="inlineStr">
        <is>
          <t>PF104497</t>
        </is>
      </c>
      <c r="B4506" s="68" t="n">
        <v>46198</v>
      </c>
      <c r="C4506" s="69" t="n">
        <v>2026</v>
      </c>
      <c r="D4506" t="inlineStr">
        <is>
          <t>Jun</t>
        </is>
      </c>
      <c r="E4506" t="inlineStr">
        <is>
          <t>International developed</t>
        </is>
      </c>
      <c r="F4506" t="inlineStr">
        <is>
          <t>Japan</t>
        </is>
      </c>
      <c r="G4506" t="inlineStr">
        <is>
          <t>Paxlovid</t>
        </is>
      </c>
      <c r="H4506" t="inlineStr">
        <is>
          <t>Government / tender</t>
        </is>
      </c>
      <c r="I4506" t="inlineStr">
        <is>
          <t>Public payer</t>
        </is>
      </c>
      <c r="J4506" t="inlineStr">
        <is>
          <t>Mei Lin</t>
        </is>
      </c>
      <c r="K4506" s="70" t="n">
        <v>153</v>
      </c>
      <c r="L4506" s="71" t="n">
        <v>874.63</v>
      </c>
      <c r="M4506" s="71" t="n">
        <v>133818.39</v>
      </c>
      <c r="N4506" s="71" t="n">
        <v>6690.92</v>
      </c>
      <c r="O4506" s="71" t="n">
        <v>127127.47</v>
      </c>
      <c r="P4506" s="71" t="n">
        <v>42641.75</v>
      </c>
      <c r="Q4506" s="71" t="n">
        <v>84485.72</v>
      </c>
      <c r="R4506" t="inlineStr">
        <is>
          <t>Antiviral</t>
        </is>
      </c>
      <c r="S4506" s="70" t="n">
        <v>108</v>
      </c>
      <c r="T4506" s="71" t="n">
        <v>20944.7</v>
      </c>
      <c r="U4506" t="inlineStr">
        <is>
          <t>Low</t>
        </is>
      </c>
      <c r="V4506">
        <f>IF(AND(OR(Dashboard!$C$6="All",E4506=Dashboard!$C$6),OR(Dashboard!$F$6="All",G4506=Dashboard!$F$6),OR(Dashboard!$I$6="All",H4506=Dashboard!$I$6)),1,0)</f>
        <v/>
      </c>
    </row>
    <row r="4507">
      <c r="A4507" t="inlineStr">
        <is>
          <t>PF104498</t>
        </is>
      </c>
      <c r="B4507" s="68" t="n">
        <v>46198</v>
      </c>
      <c r="C4507" s="69" t="n">
        <v>2026</v>
      </c>
      <c r="D4507" t="inlineStr">
        <is>
          <t>Jun</t>
        </is>
      </c>
      <c r="E4507" t="inlineStr">
        <is>
          <t>Emerging markets</t>
        </is>
      </c>
      <c r="F4507" t="inlineStr">
        <is>
          <t>India</t>
        </is>
      </c>
      <c r="G4507" t="inlineStr">
        <is>
          <t>Vyndaqel</t>
        </is>
      </c>
      <c r="H4507" t="inlineStr">
        <is>
          <t>Government / tender</t>
        </is>
      </c>
      <c r="I4507" t="inlineStr">
        <is>
          <t>Public payer</t>
        </is>
      </c>
      <c r="J4507" t="inlineStr">
        <is>
          <t>Ana Costa</t>
        </is>
      </c>
      <c r="K4507" s="70" t="n">
        <v>862</v>
      </c>
      <c r="L4507" s="71" t="n">
        <v>5734.77</v>
      </c>
      <c r="M4507" s="71" t="n">
        <v>4943371.74</v>
      </c>
      <c r="N4507" s="71" t="n">
        <v>741505.76</v>
      </c>
      <c r="O4507" s="71" t="n">
        <v>4201865.98</v>
      </c>
      <c r="P4507" s="71" t="n">
        <v>534043.9300000001</v>
      </c>
      <c r="Q4507" s="71" t="n">
        <v>3667822.05</v>
      </c>
      <c r="R4507" t="inlineStr">
        <is>
          <t>Rare disease</t>
        </is>
      </c>
      <c r="S4507" s="70" t="n">
        <v>860</v>
      </c>
      <c r="T4507" s="71" t="n">
        <v>569464.6</v>
      </c>
      <c r="U4507" t="inlineStr">
        <is>
          <t>Medium</t>
        </is>
      </c>
      <c r="V4507">
        <f>IF(AND(OR(Dashboard!$C$6="All",E4507=Dashboard!$C$6),OR(Dashboard!$F$6="All",G4507=Dashboard!$F$6),OR(Dashboard!$I$6="All",H4507=Dashboard!$I$6)),1,0)</f>
        <v/>
      </c>
    </row>
    <row r="4508">
      <c r="A4508" t="inlineStr">
        <is>
          <t>PF104499</t>
        </is>
      </c>
      <c r="B4508" s="68" t="n">
        <v>46198</v>
      </c>
      <c r="C4508" s="69" t="n">
        <v>2026</v>
      </c>
      <c r="D4508" t="inlineStr">
        <is>
          <t>Jun</t>
        </is>
      </c>
      <c r="E4508" t="inlineStr">
        <is>
          <t>International developed</t>
        </is>
      </c>
      <c r="F4508" t="inlineStr">
        <is>
          <t>Japan</t>
        </is>
      </c>
      <c r="G4508" t="inlineStr">
        <is>
          <t>Prevnar 20</t>
        </is>
      </c>
      <c r="H4508" t="inlineStr">
        <is>
          <t>Government / tender</t>
        </is>
      </c>
      <c r="I4508" t="inlineStr">
        <is>
          <t>Public payer</t>
        </is>
      </c>
      <c r="J4508" t="inlineStr">
        <is>
          <t>Olivia Brown</t>
        </is>
      </c>
      <c r="K4508" s="70" t="n">
        <v>1658</v>
      </c>
      <c r="L4508" s="71" t="n">
        <v>257.49</v>
      </c>
      <c r="M4508" s="71" t="n">
        <v>426918.42</v>
      </c>
      <c r="N4508" s="71" t="n">
        <v>106729.6</v>
      </c>
      <c r="O4508" s="71" t="n">
        <v>320188.82</v>
      </c>
      <c r="P4508" s="71" t="n">
        <v>115328.48</v>
      </c>
      <c r="Q4508" s="71" t="n">
        <v>204860.34</v>
      </c>
      <c r="R4508" t="inlineStr">
        <is>
          <t>Vaccines</t>
        </is>
      </c>
      <c r="S4508" s="70" t="n">
        <v>1103</v>
      </c>
      <c r="T4508" s="71" t="n">
        <v>70108.95</v>
      </c>
      <c r="U4508" t="inlineStr">
        <is>
          <t>Low</t>
        </is>
      </c>
      <c r="V4508">
        <f>IF(AND(OR(Dashboard!$C$6="All",E4508=Dashboard!$C$6),OR(Dashboard!$F$6="All",G4508=Dashboard!$F$6),OR(Dashboard!$I$6="All",H4508=Dashboard!$I$6)),1,0)</f>
        <v/>
      </c>
    </row>
    <row r="4509">
      <c r="A4509" t="inlineStr">
        <is>
          <t>PF104500</t>
        </is>
      </c>
      <c r="B4509" s="68" t="n">
        <v>46198</v>
      </c>
      <c r="C4509" s="69" t="n">
        <v>2026</v>
      </c>
      <c r="D4509" t="inlineStr">
        <is>
          <t>Jun</t>
        </is>
      </c>
      <c r="E4509" t="inlineStr">
        <is>
          <t>United States</t>
        </is>
      </c>
      <c r="F4509" t="inlineStr">
        <is>
          <t>USA</t>
        </is>
      </c>
      <c r="G4509" t="inlineStr">
        <is>
          <t>Prevnar 20</t>
        </is>
      </c>
      <c r="H4509" t="inlineStr">
        <is>
          <t>Retail pharmacy</t>
        </is>
      </c>
      <c r="I4509" t="inlineStr">
        <is>
          <t>Private insurer</t>
        </is>
      </c>
      <c r="J4509" t="inlineStr">
        <is>
          <t>Fatima Al-Saud</t>
        </is>
      </c>
      <c r="K4509" s="70" t="n">
        <v>1429</v>
      </c>
      <c r="L4509" s="71" t="n">
        <v>404.38</v>
      </c>
      <c r="M4509" s="71" t="n">
        <v>577859.02</v>
      </c>
      <c r="N4509" s="71" t="n">
        <v>173357.71</v>
      </c>
      <c r="O4509" s="71" t="n">
        <v>404501.31</v>
      </c>
      <c r="P4509" s="71" t="n">
        <v>96237.95</v>
      </c>
      <c r="Q4509" s="71" t="n">
        <v>308263.36</v>
      </c>
      <c r="R4509" t="inlineStr">
        <is>
          <t>Vaccines</t>
        </is>
      </c>
      <c r="S4509" s="70" t="n">
        <v>1062</v>
      </c>
      <c r="T4509" s="71" t="n">
        <v>103576.33</v>
      </c>
      <c r="U4509" t="inlineStr">
        <is>
          <t>Low</t>
        </is>
      </c>
      <c r="V4509">
        <f>IF(AND(OR(Dashboard!$C$6="All",E4509=Dashboard!$C$6),OR(Dashboard!$F$6="All",G4509=Dashboard!$F$6),OR(Dashboard!$I$6="All",H4509=Dashboard!$I$6)),1,0)</f>
        <v/>
      </c>
    </row>
    <row r="4510">
      <c r="A4510" t="inlineStr">
        <is>
          <t>PF104501</t>
        </is>
      </c>
      <c r="B4510" s="68" t="n">
        <v>46198</v>
      </c>
      <c r="C4510" s="69" t="n">
        <v>2026</v>
      </c>
      <c r="D4510" t="inlineStr">
        <is>
          <t>Jun</t>
        </is>
      </c>
      <c r="E4510" t="inlineStr">
        <is>
          <t>Emerging markets</t>
        </is>
      </c>
      <c r="F4510" t="inlineStr">
        <is>
          <t>China</t>
        </is>
      </c>
      <c r="G4510" t="inlineStr">
        <is>
          <t>Prevnar 20</t>
        </is>
      </c>
      <c r="H4510" t="inlineStr">
        <is>
          <t>Retail pharmacy</t>
        </is>
      </c>
      <c r="I4510" t="inlineStr">
        <is>
          <t>Private insurer</t>
        </is>
      </c>
      <c r="J4510" t="inlineStr">
        <is>
          <t>Kofi Mensah</t>
        </is>
      </c>
      <c r="K4510" s="70" t="n">
        <v>2932</v>
      </c>
      <c r="L4510" s="71" t="n">
        <v>246.47</v>
      </c>
      <c r="M4510" s="71" t="n">
        <v>722650.04</v>
      </c>
      <c r="N4510" s="71" t="n">
        <v>180662.51</v>
      </c>
      <c r="O4510" s="71" t="n">
        <v>541987.53</v>
      </c>
      <c r="P4510" s="71" t="n">
        <v>206838.43</v>
      </c>
      <c r="Q4510" s="71" t="n">
        <v>335149.1</v>
      </c>
      <c r="R4510" t="inlineStr">
        <is>
          <t>Vaccines</t>
        </is>
      </c>
      <c r="S4510" s="70" t="n">
        <v>2189</v>
      </c>
      <c r="T4510" s="71" t="n">
        <v>118495.34</v>
      </c>
      <c r="U4510" t="inlineStr">
        <is>
          <t>Low</t>
        </is>
      </c>
      <c r="V4510">
        <f>IF(AND(OR(Dashboard!$C$6="All",E4510=Dashboard!$C$6),OR(Dashboard!$F$6="All",G4510=Dashboard!$F$6),OR(Dashboard!$I$6="All",H4510=Dashboard!$I$6)),1,0)</f>
        <v/>
      </c>
    </row>
    <row r="4511">
      <c r="A4511" t="inlineStr">
        <is>
          <t>PF104502</t>
        </is>
      </c>
      <c r="B4511" s="68" t="n">
        <v>46198</v>
      </c>
      <c r="C4511" s="69" t="n">
        <v>2026</v>
      </c>
      <c r="D4511" t="inlineStr">
        <is>
          <t>Jun</t>
        </is>
      </c>
      <c r="E4511" t="inlineStr">
        <is>
          <t>United States</t>
        </is>
      </c>
      <c r="F4511" t="inlineStr">
        <is>
          <t>USA</t>
        </is>
      </c>
      <c r="G4511" t="inlineStr">
        <is>
          <t>Ibrance</t>
        </is>
      </c>
      <c r="H4511" t="inlineStr">
        <is>
          <t>Hospital</t>
        </is>
      </c>
      <c r="I4511" t="inlineStr">
        <is>
          <t>Private insurer</t>
        </is>
      </c>
      <c r="J4511" t="inlineStr">
        <is>
          <t>Carlos Silva</t>
        </is>
      </c>
      <c r="K4511" s="70" t="n">
        <v>661</v>
      </c>
      <c r="L4511" s="71" t="n">
        <v>4640.82</v>
      </c>
      <c r="M4511" s="71" t="n">
        <v>3067582.02</v>
      </c>
      <c r="N4511" s="71" t="n">
        <v>766895.51</v>
      </c>
      <c r="O4511" s="71" t="n">
        <v>2300686.51</v>
      </c>
      <c r="P4511" s="71" t="n">
        <v>277319.17</v>
      </c>
      <c r="Q4511" s="71" t="n">
        <v>2023367.34</v>
      </c>
      <c r="R4511" t="inlineStr">
        <is>
          <t>Oncology</t>
        </is>
      </c>
      <c r="S4511" s="70" t="n">
        <v>441</v>
      </c>
      <c r="T4511" s="71" t="n">
        <v>426255.99</v>
      </c>
      <c r="U4511" t="inlineStr">
        <is>
          <t>High</t>
        </is>
      </c>
      <c r="V4511">
        <f>IF(AND(OR(Dashboard!$C$6="All",E4511=Dashboard!$C$6),OR(Dashboard!$F$6="All",G4511=Dashboard!$F$6),OR(Dashboard!$I$6="All",H4511=Dashboard!$I$6)),1,0)</f>
        <v/>
      </c>
    </row>
    <row r="4512">
      <c r="A4512" t="inlineStr">
        <is>
          <t>PF104503</t>
        </is>
      </c>
      <c r="B4512" s="68" t="n">
        <v>46198</v>
      </c>
      <c r="C4512" s="69" t="n">
        <v>2026</v>
      </c>
      <c r="D4512" t="inlineStr">
        <is>
          <t>Jun</t>
        </is>
      </c>
      <c r="E4512" t="inlineStr">
        <is>
          <t>Europe</t>
        </is>
      </c>
      <c r="F4512" t="inlineStr">
        <is>
          <t>Spain</t>
        </is>
      </c>
      <c r="G4512" t="inlineStr">
        <is>
          <t>Xeljanz</t>
        </is>
      </c>
      <c r="H4512" t="inlineStr">
        <is>
          <t>Hospital</t>
        </is>
      </c>
      <c r="I4512" t="inlineStr">
        <is>
          <t>Public payer</t>
        </is>
      </c>
      <c r="J4512" t="inlineStr">
        <is>
          <t>Liam O'Brien</t>
        </is>
      </c>
      <c r="K4512" s="70" t="n">
        <v>2406</v>
      </c>
      <c r="L4512" s="71" t="n">
        <v>1228.35</v>
      </c>
      <c r="M4512" s="71" t="n">
        <v>2955410.1</v>
      </c>
      <c r="N4512" s="71" t="n">
        <v>443311.52</v>
      </c>
      <c r="O4512" s="71" t="n">
        <v>2512098.58</v>
      </c>
      <c r="P4512" s="71" t="n">
        <v>593965.4300000001</v>
      </c>
      <c r="Q4512" s="71" t="n">
        <v>1918133.15</v>
      </c>
      <c r="R4512" t="inlineStr">
        <is>
          <t>Inflammation</t>
        </is>
      </c>
      <c r="S4512" s="70" t="n">
        <v>1713</v>
      </c>
      <c r="T4512" s="71" t="n">
        <v>613363.74</v>
      </c>
      <c r="U4512" t="inlineStr">
        <is>
          <t>High</t>
        </is>
      </c>
      <c r="V4512">
        <f>IF(AND(OR(Dashboard!$C$6="All",E4512=Dashboard!$C$6),OR(Dashboard!$F$6="All",G4512=Dashboard!$F$6),OR(Dashboard!$I$6="All",H4512=Dashboard!$I$6)),1,0)</f>
        <v/>
      </c>
    </row>
    <row r="4513">
      <c r="A4513" t="inlineStr">
        <is>
          <t>PF104504</t>
        </is>
      </c>
      <c r="B4513" s="68" t="n">
        <v>46198</v>
      </c>
      <c r="C4513" s="69" t="n">
        <v>2026</v>
      </c>
      <c r="D4513" t="inlineStr">
        <is>
          <t>Jun</t>
        </is>
      </c>
      <c r="E4513" t="inlineStr">
        <is>
          <t>United States</t>
        </is>
      </c>
      <c r="F4513" t="inlineStr">
        <is>
          <t>USA</t>
        </is>
      </c>
      <c r="G4513" t="inlineStr">
        <is>
          <t>Prevnar 20</t>
        </is>
      </c>
      <c r="H4513" t="inlineStr">
        <is>
          <t>Retail pharmacy</t>
        </is>
      </c>
      <c r="I4513" t="inlineStr">
        <is>
          <t>Self-pay</t>
        </is>
      </c>
      <c r="J4513" t="inlineStr">
        <is>
          <t>Fatima Al-Saud</t>
        </is>
      </c>
      <c r="K4513" s="70" t="n">
        <v>171</v>
      </c>
      <c r="L4513" s="71" t="n">
        <v>394.28</v>
      </c>
      <c r="M4513" s="71" t="n">
        <v>67421.88</v>
      </c>
      <c r="N4513" s="71" t="n">
        <v>23597.66</v>
      </c>
      <c r="O4513" s="71" t="n">
        <v>43824.22</v>
      </c>
      <c r="P4513" s="71" t="n">
        <v>11684.93</v>
      </c>
      <c r="Q4513" s="71" t="n">
        <v>32139.29</v>
      </c>
      <c r="R4513" t="inlineStr">
        <is>
          <t>Vaccines</t>
        </is>
      </c>
      <c r="S4513" s="70" t="n">
        <v>115</v>
      </c>
      <c r="T4513" s="71" t="n">
        <v>8665.129999999999</v>
      </c>
      <c r="U4513" t="inlineStr">
        <is>
          <t>Low</t>
        </is>
      </c>
      <c r="V4513">
        <f>IF(AND(OR(Dashboard!$C$6="All",E4513=Dashboard!$C$6),OR(Dashboard!$F$6="All",G4513=Dashboard!$F$6),OR(Dashboard!$I$6="All",H4513=Dashboard!$I$6)),1,0)</f>
        <v/>
      </c>
    </row>
    <row r="4514">
      <c r="A4514" t="inlineStr">
        <is>
          <t>PF104505</t>
        </is>
      </c>
      <c r="B4514" s="68" t="n">
        <v>46198</v>
      </c>
      <c r="C4514" s="69" t="n">
        <v>2026</v>
      </c>
      <c r="D4514" t="inlineStr">
        <is>
          <t>Jun</t>
        </is>
      </c>
      <c r="E4514" t="inlineStr">
        <is>
          <t>Emerging markets</t>
        </is>
      </c>
      <c r="F4514" t="inlineStr">
        <is>
          <t>Brazil</t>
        </is>
      </c>
      <c r="G4514" t="inlineStr">
        <is>
          <t>Vyndaqel</t>
        </is>
      </c>
      <c r="H4514" t="inlineStr">
        <is>
          <t>Hospital</t>
        </is>
      </c>
      <c r="I4514" t="inlineStr">
        <is>
          <t>Private insurer</t>
        </is>
      </c>
      <c r="J4514" t="inlineStr">
        <is>
          <t>Emma Clarke</t>
        </is>
      </c>
      <c r="K4514" s="70" t="n">
        <v>926</v>
      </c>
      <c r="L4514" s="71" t="n">
        <v>5662.36</v>
      </c>
      <c r="M4514" s="71" t="n">
        <v>5243345.36</v>
      </c>
      <c r="N4514" s="71" t="n">
        <v>786501.8</v>
      </c>
      <c r="O4514" s="71" t="n">
        <v>4456843.56</v>
      </c>
      <c r="P4514" s="71" t="n">
        <v>563756.74</v>
      </c>
      <c r="Q4514" s="71" t="n">
        <v>3893086.82</v>
      </c>
      <c r="R4514" t="inlineStr">
        <is>
          <t>Rare disease</t>
        </is>
      </c>
      <c r="S4514" s="70" t="n">
        <v>818</v>
      </c>
      <c r="T4514" s="71" t="n">
        <v>703962.73</v>
      </c>
      <c r="U4514" t="inlineStr">
        <is>
          <t>Medium</t>
        </is>
      </c>
      <c r="V4514">
        <f>IF(AND(OR(Dashboard!$C$6="All",E4514=Dashboard!$C$6),OR(Dashboard!$F$6="All",G4514=Dashboard!$F$6),OR(Dashboard!$I$6="All",H4514=Dashboard!$I$6)),1,0)</f>
        <v/>
      </c>
    </row>
    <row r="4515">
      <c r="A4515" t="inlineStr">
        <is>
          <t>PF104506</t>
        </is>
      </c>
      <c r="B4515" s="68" t="n">
        <v>46198</v>
      </c>
      <c r="C4515" s="69" t="n">
        <v>2026</v>
      </c>
      <c r="D4515" t="inlineStr">
        <is>
          <t>Jun</t>
        </is>
      </c>
      <c r="E4515" t="inlineStr">
        <is>
          <t>Europe</t>
        </is>
      </c>
      <c r="F4515" t="inlineStr">
        <is>
          <t>Italy</t>
        </is>
      </c>
      <c r="G4515" t="inlineStr">
        <is>
          <t>Xeljanz</t>
        </is>
      </c>
      <c r="H4515" t="inlineStr">
        <is>
          <t>Government / tender</t>
        </is>
      </c>
      <c r="I4515" t="inlineStr">
        <is>
          <t>Private insurer</t>
        </is>
      </c>
      <c r="J4515" t="inlineStr">
        <is>
          <t>Ruhi Shaikh</t>
        </is>
      </c>
      <c r="K4515" s="70" t="n">
        <v>2734</v>
      </c>
      <c r="L4515" s="71" t="n">
        <v>1459.58</v>
      </c>
      <c r="M4515" s="71" t="n">
        <v>3990491.72</v>
      </c>
      <c r="N4515" s="71" t="n">
        <v>598573.76</v>
      </c>
      <c r="O4515" s="71" t="n">
        <v>3391917.96</v>
      </c>
      <c r="P4515" s="71" t="n">
        <v>704562.8100000001</v>
      </c>
      <c r="Q4515" s="71" t="n">
        <v>2687355.15</v>
      </c>
      <c r="R4515" t="inlineStr">
        <is>
          <t>Inflammation</t>
        </is>
      </c>
      <c r="S4515" s="70" t="n">
        <v>2163</v>
      </c>
      <c r="T4515" s="71" t="n">
        <v>525217.73</v>
      </c>
      <c r="U4515" t="inlineStr">
        <is>
          <t>High</t>
        </is>
      </c>
      <c r="V4515">
        <f>IF(AND(OR(Dashboard!$C$6="All",E4515=Dashboard!$C$6),OR(Dashboard!$F$6="All",G4515=Dashboard!$F$6),OR(Dashboard!$I$6="All",H4515=Dashboard!$I$6)),1,0)</f>
        <v/>
      </c>
    </row>
    <row r="4516">
      <c r="A4516" t="inlineStr">
        <is>
          <t>PF104507</t>
        </is>
      </c>
      <c r="B4516" s="68" t="n">
        <v>46198</v>
      </c>
      <c r="C4516" s="69" t="n">
        <v>2026</v>
      </c>
      <c r="D4516" t="inlineStr">
        <is>
          <t>Jun</t>
        </is>
      </c>
      <c r="E4516" t="inlineStr">
        <is>
          <t>United States</t>
        </is>
      </c>
      <c r="F4516" t="inlineStr">
        <is>
          <t>USA</t>
        </is>
      </c>
      <c r="G4516" t="inlineStr">
        <is>
          <t>Comirnaty</t>
        </is>
      </c>
      <c r="H4516" t="inlineStr">
        <is>
          <t>Retail pharmacy</t>
        </is>
      </c>
      <c r="I4516" t="inlineStr">
        <is>
          <t>Public payer</t>
        </is>
      </c>
      <c r="J4516" t="inlineStr">
        <is>
          <t>Noah Smith</t>
        </is>
      </c>
      <c r="K4516" s="70" t="n">
        <v>418</v>
      </c>
      <c r="L4516" s="71" t="n">
        <v>148.86</v>
      </c>
      <c r="M4516" s="71" t="n">
        <v>62223.48</v>
      </c>
      <c r="N4516" s="71" t="n">
        <v>18667.04</v>
      </c>
      <c r="O4516" s="71" t="n">
        <v>43556.44</v>
      </c>
      <c r="P4516" s="71" t="n">
        <v>16290.68</v>
      </c>
      <c r="Q4516" s="71" t="n">
        <v>27265.76</v>
      </c>
      <c r="R4516" t="inlineStr">
        <is>
          <t>Vaccines</t>
        </is>
      </c>
      <c r="S4516" s="70" t="n">
        <v>390</v>
      </c>
      <c r="T4516" s="71" t="n">
        <v>10890.01</v>
      </c>
      <c r="U4516" t="inlineStr">
        <is>
          <t>Low</t>
        </is>
      </c>
      <c r="V4516">
        <f>IF(AND(OR(Dashboard!$C$6="All",E4516=Dashboard!$C$6),OR(Dashboard!$F$6="All",G4516=Dashboard!$F$6),OR(Dashboard!$I$6="All",H4516=Dashboard!$I$6)),1,0)</f>
        <v/>
      </c>
    </row>
    <row r="4517">
      <c r="A4517" t="inlineStr">
        <is>
          <t>PF104508</t>
        </is>
      </c>
      <c r="B4517" s="68" t="n">
        <v>46198</v>
      </c>
      <c r="C4517" s="69" t="n">
        <v>2026</v>
      </c>
      <c r="D4517" t="inlineStr">
        <is>
          <t>Jun</t>
        </is>
      </c>
      <c r="E4517" t="inlineStr">
        <is>
          <t>United States</t>
        </is>
      </c>
      <c r="F4517" t="inlineStr">
        <is>
          <t>USA</t>
        </is>
      </c>
      <c r="G4517" t="inlineStr">
        <is>
          <t>Ibrance</t>
        </is>
      </c>
      <c r="H4517" t="inlineStr">
        <is>
          <t>Government / tender</t>
        </is>
      </c>
      <c r="I4517" t="inlineStr">
        <is>
          <t>Private insurer</t>
        </is>
      </c>
      <c r="J4517" t="inlineStr">
        <is>
          <t>Shraddha Kulkarni</t>
        </is>
      </c>
      <c r="K4517" s="70" t="n">
        <v>2578</v>
      </c>
      <c r="L4517" s="71" t="n">
        <v>4687.6</v>
      </c>
      <c r="M4517" s="71" t="n">
        <v>12084632.8</v>
      </c>
      <c r="N4517" s="71" t="n">
        <v>3021158.2</v>
      </c>
      <c r="O4517" s="71" t="n">
        <v>9063474.6</v>
      </c>
      <c r="P4517" s="71" t="n">
        <v>1108517.42</v>
      </c>
      <c r="Q4517" s="71" t="n">
        <v>7954957.18</v>
      </c>
      <c r="R4517" t="inlineStr">
        <is>
          <t>Oncology</t>
        </is>
      </c>
      <c r="S4517" s="70" t="n">
        <v>1747</v>
      </c>
      <c r="T4517" s="71" t="n">
        <v>2492581.83</v>
      </c>
      <c r="U4517" t="inlineStr">
        <is>
          <t>High</t>
        </is>
      </c>
      <c r="V4517">
        <f>IF(AND(OR(Dashboard!$C$6="All",E4517=Dashboard!$C$6),OR(Dashboard!$F$6="All",G4517=Dashboard!$F$6),OR(Dashboard!$I$6="All",H4517=Dashboard!$I$6)),1,0)</f>
        <v/>
      </c>
    </row>
    <row r="4518">
      <c r="A4518" t="inlineStr">
        <is>
          <t>PF104509</t>
        </is>
      </c>
      <c r="B4518" s="68" t="n">
        <v>46198</v>
      </c>
      <c r="C4518" s="69" t="n">
        <v>2026</v>
      </c>
      <c r="D4518" t="inlineStr">
        <is>
          <t>Jun</t>
        </is>
      </c>
      <c r="E4518" t="inlineStr">
        <is>
          <t>International developed</t>
        </is>
      </c>
      <c r="F4518" t="inlineStr">
        <is>
          <t>Canada</t>
        </is>
      </c>
      <c r="G4518" t="inlineStr">
        <is>
          <t>Ibrance</t>
        </is>
      </c>
      <c r="H4518" t="inlineStr">
        <is>
          <t>Retail pharmacy</t>
        </is>
      </c>
      <c r="I4518" t="inlineStr">
        <is>
          <t>Public payer</t>
        </is>
      </c>
      <c r="J4518" t="inlineStr">
        <is>
          <t>Sophie Müller</t>
        </is>
      </c>
      <c r="K4518" s="70" t="n">
        <v>1169</v>
      </c>
      <c r="L4518" s="71" t="n">
        <v>2978.07</v>
      </c>
      <c r="M4518" s="71" t="n">
        <v>3481363.83</v>
      </c>
      <c r="N4518" s="71" t="n">
        <v>174068.19</v>
      </c>
      <c r="O4518" s="71" t="n">
        <v>3307295.64</v>
      </c>
      <c r="P4518" s="71" t="n">
        <v>497023.77</v>
      </c>
      <c r="Q4518" s="71" t="n">
        <v>2810271.87</v>
      </c>
      <c r="R4518" t="inlineStr">
        <is>
          <t>Oncology</t>
        </is>
      </c>
      <c r="S4518" s="70" t="n">
        <v>1003</v>
      </c>
      <c r="T4518" s="71" t="n">
        <v>457450.21</v>
      </c>
      <c r="U4518" t="inlineStr">
        <is>
          <t>High</t>
        </is>
      </c>
      <c r="V4518">
        <f>IF(AND(OR(Dashboard!$C$6="All",E4518=Dashboard!$C$6),OR(Dashboard!$F$6="All",G4518=Dashboard!$F$6),OR(Dashboard!$I$6="All",H4518=Dashboard!$I$6)),1,0)</f>
        <v/>
      </c>
    </row>
    <row r="4519">
      <c r="A4519" t="inlineStr">
        <is>
          <t>PF104510</t>
        </is>
      </c>
      <c r="B4519" s="68" t="n">
        <v>46198</v>
      </c>
      <c r="C4519" s="69" t="n">
        <v>2026</v>
      </c>
      <c r="D4519" t="inlineStr">
        <is>
          <t>Jun</t>
        </is>
      </c>
      <c r="E4519" t="inlineStr">
        <is>
          <t>United States</t>
        </is>
      </c>
      <c r="F4519" t="inlineStr">
        <is>
          <t>USA</t>
        </is>
      </c>
      <c r="G4519" t="inlineStr">
        <is>
          <t>Eliquis</t>
        </is>
      </c>
      <c r="H4519" t="inlineStr">
        <is>
          <t>Government / tender</t>
        </is>
      </c>
      <c r="I4519" t="inlineStr">
        <is>
          <t>Public payer</t>
        </is>
      </c>
      <c r="J4519" t="inlineStr">
        <is>
          <t>Priya Nair</t>
        </is>
      </c>
      <c r="K4519" s="70" t="n">
        <v>170</v>
      </c>
      <c r="L4519" s="71" t="n">
        <v>671.21</v>
      </c>
      <c r="M4519" s="71" t="n">
        <v>114105.7</v>
      </c>
      <c r="N4519" s="71" t="n">
        <v>28526.42</v>
      </c>
      <c r="O4519" s="71" t="n">
        <v>85579.28</v>
      </c>
      <c r="P4519" s="71" t="n">
        <v>12799.47</v>
      </c>
      <c r="Q4519" s="71" t="n">
        <v>72779.81</v>
      </c>
      <c r="R4519" t="inlineStr">
        <is>
          <t>Cardiology</t>
        </is>
      </c>
      <c r="S4519" s="70" t="n">
        <v>129</v>
      </c>
      <c r="T4519" s="71" t="n">
        <v>19049.34</v>
      </c>
      <c r="U4519" t="inlineStr">
        <is>
          <t>High</t>
        </is>
      </c>
      <c r="V4519">
        <f>IF(AND(OR(Dashboard!$C$6="All",E4519=Dashboard!$C$6),OR(Dashboard!$F$6="All",G4519=Dashboard!$F$6),OR(Dashboard!$I$6="All",H4519=Dashboard!$I$6)),1,0)</f>
        <v/>
      </c>
    </row>
    <row r="4520">
      <c r="A4520" t="inlineStr">
        <is>
          <t>PF104511</t>
        </is>
      </c>
      <c r="B4520" s="68" t="n">
        <v>46199</v>
      </c>
      <c r="C4520" s="69" t="n">
        <v>2026</v>
      </c>
      <c r="D4520" t="inlineStr">
        <is>
          <t>Jun</t>
        </is>
      </c>
      <c r="E4520" t="inlineStr">
        <is>
          <t>United States</t>
        </is>
      </c>
      <c r="F4520" t="inlineStr">
        <is>
          <t>USA</t>
        </is>
      </c>
      <c r="G4520" t="inlineStr">
        <is>
          <t>Eliquis</t>
        </is>
      </c>
      <c r="H4520" t="inlineStr">
        <is>
          <t>Retail pharmacy</t>
        </is>
      </c>
      <c r="I4520" t="inlineStr">
        <is>
          <t>Private insurer</t>
        </is>
      </c>
      <c r="J4520" t="inlineStr">
        <is>
          <t>Amir Khan</t>
        </is>
      </c>
      <c r="K4520" s="70" t="n">
        <v>83</v>
      </c>
      <c r="L4520" s="71" t="n">
        <v>738.48</v>
      </c>
      <c r="M4520" s="71" t="n">
        <v>61293.84</v>
      </c>
      <c r="N4520" s="71" t="n">
        <v>15323.46</v>
      </c>
      <c r="O4520" s="71" t="n">
        <v>45970.38</v>
      </c>
      <c r="P4520" s="71" t="n">
        <v>6403.88</v>
      </c>
      <c r="Q4520" s="71" t="n">
        <v>39566.5</v>
      </c>
      <c r="R4520" t="inlineStr">
        <is>
          <t>Cardiology</t>
        </is>
      </c>
      <c r="S4520" s="70" t="n">
        <v>67</v>
      </c>
      <c r="T4520" s="71" t="n">
        <v>7149.53</v>
      </c>
      <c r="U4520" t="inlineStr">
        <is>
          <t>High</t>
        </is>
      </c>
      <c r="V4520">
        <f>IF(AND(OR(Dashboard!$C$6="All",E4520=Dashboard!$C$6),OR(Dashboard!$F$6="All",G4520=Dashboard!$F$6),OR(Dashboard!$I$6="All",H4520=Dashboard!$I$6)),1,0)</f>
        <v/>
      </c>
    </row>
    <row r="4521">
      <c r="A4521" t="inlineStr">
        <is>
          <t>PF104512</t>
        </is>
      </c>
      <c r="B4521" s="68" t="n">
        <v>46199</v>
      </c>
      <c r="C4521" s="69" t="n">
        <v>2026</v>
      </c>
      <c r="D4521" t="inlineStr">
        <is>
          <t>Jun</t>
        </is>
      </c>
      <c r="E4521" t="inlineStr">
        <is>
          <t>International developed</t>
        </is>
      </c>
      <c r="F4521" t="inlineStr">
        <is>
          <t>Canada</t>
        </is>
      </c>
      <c r="G4521" t="inlineStr">
        <is>
          <t>Eliquis</t>
        </is>
      </c>
      <c r="H4521" t="inlineStr">
        <is>
          <t>Hospital</t>
        </is>
      </c>
      <c r="I4521" t="inlineStr">
        <is>
          <t>Self-pay</t>
        </is>
      </c>
      <c r="J4521" t="inlineStr">
        <is>
          <t>Liam O'Brien</t>
        </is>
      </c>
      <c r="K4521" s="70" t="n">
        <v>169</v>
      </c>
      <c r="L4521" s="71" t="n">
        <v>466.34</v>
      </c>
      <c r="M4521" s="71" t="n">
        <v>78811.46000000001</v>
      </c>
      <c r="N4521" s="71" t="n">
        <v>11821.72</v>
      </c>
      <c r="O4521" s="71" t="n">
        <v>66989.74000000001</v>
      </c>
      <c r="P4521" s="71" t="n">
        <v>13085.97</v>
      </c>
      <c r="Q4521" s="71" t="n">
        <v>53903.77</v>
      </c>
      <c r="R4521" t="inlineStr">
        <is>
          <t>Cardiology</t>
        </is>
      </c>
      <c r="S4521" s="70" t="n">
        <v>138</v>
      </c>
      <c r="T4521" s="71" t="n">
        <v>15585.1</v>
      </c>
      <c r="U4521" t="inlineStr">
        <is>
          <t>High</t>
        </is>
      </c>
      <c r="V4521">
        <f>IF(AND(OR(Dashboard!$C$6="All",E4521=Dashboard!$C$6),OR(Dashboard!$F$6="All",G4521=Dashboard!$F$6),OR(Dashboard!$I$6="All",H4521=Dashboard!$I$6)),1,0)</f>
        <v/>
      </c>
    </row>
    <row r="4522">
      <c r="A4522" t="inlineStr">
        <is>
          <t>PF104513</t>
        </is>
      </c>
      <c r="B4522" s="68" t="n">
        <v>46199</v>
      </c>
      <c r="C4522" s="69" t="n">
        <v>2026</v>
      </c>
      <c r="D4522" t="inlineStr">
        <is>
          <t>Jun</t>
        </is>
      </c>
      <c r="E4522" t="inlineStr">
        <is>
          <t>International developed</t>
        </is>
      </c>
      <c r="F4522" t="inlineStr">
        <is>
          <t>Japan</t>
        </is>
      </c>
      <c r="G4522" t="inlineStr">
        <is>
          <t>Eliquis</t>
        </is>
      </c>
      <c r="H4522" t="inlineStr">
        <is>
          <t>Retail pharmacy</t>
        </is>
      </c>
      <c r="I4522" t="inlineStr">
        <is>
          <t>Self-pay</t>
        </is>
      </c>
      <c r="J4522" t="inlineStr">
        <is>
          <t>Sophie Müller</t>
        </is>
      </c>
      <c r="K4522" s="70" t="n">
        <v>1545</v>
      </c>
      <c r="L4522" s="71" t="n">
        <v>405.12</v>
      </c>
      <c r="M4522" s="71" t="n">
        <v>625910.4</v>
      </c>
      <c r="N4522" s="71" t="n">
        <v>156477.6</v>
      </c>
      <c r="O4522" s="71" t="n">
        <v>469432.8</v>
      </c>
      <c r="P4522" s="71" t="n">
        <v>119558.84</v>
      </c>
      <c r="Q4522" s="71" t="n">
        <v>349873.96</v>
      </c>
      <c r="R4522" t="inlineStr">
        <is>
          <t>Cardiology</t>
        </is>
      </c>
      <c r="S4522" s="70" t="n">
        <v>1073</v>
      </c>
      <c r="T4522" s="71" t="n">
        <v>84763.3</v>
      </c>
      <c r="U4522" t="inlineStr">
        <is>
          <t>High</t>
        </is>
      </c>
      <c r="V4522">
        <f>IF(AND(OR(Dashboard!$C$6="All",E4522=Dashboard!$C$6),OR(Dashboard!$F$6="All",G4522=Dashboard!$F$6),OR(Dashboard!$I$6="All",H4522=Dashboard!$I$6)),1,0)</f>
        <v/>
      </c>
    </row>
    <row r="4523">
      <c r="A4523" t="inlineStr">
        <is>
          <t>PF104514</t>
        </is>
      </c>
      <c r="B4523" s="68" t="n">
        <v>46199</v>
      </c>
      <c r="C4523" s="69" t="n">
        <v>2026</v>
      </c>
      <c r="D4523" t="inlineStr">
        <is>
          <t>Jun</t>
        </is>
      </c>
      <c r="E4523" t="inlineStr">
        <is>
          <t>United States</t>
        </is>
      </c>
      <c r="F4523" t="inlineStr">
        <is>
          <t>USA</t>
        </is>
      </c>
      <c r="G4523" t="inlineStr">
        <is>
          <t>Prevnar 20</t>
        </is>
      </c>
      <c r="H4523" t="inlineStr">
        <is>
          <t>Retail pharmacy</t>
        </is>
      </c>
      <c r="I4523" t="inlineStr">
        <is>
          <t>Public payer</t>
        </is>
      </c>
      <c r="J4523" t="inlineStr">
        <is>
          <t>Arjun Mehta</t>
        </is>
      </c>
      <c r="K4523" s="70" t="n">
        <v>2822</v>
      </c>
      <c r="L4523" s="71" t="n">
        <v>383.14</v>
      </c>
      <c r="M4523" s="71" t="n">
        <v>1081221.08</v>
      </c>
      <c r="N4523" s="71" t="n">
        <v>324366.32</v>
      </c>
      <c r="O4523" s="71" t="n">
        <v>756854.76</v>
      </c>
      <c r="P4523" s="71" t="n">
        <v>192842.14</v>
      </c>
      <c r="Q4523" s="71" t="n">
        <v>564012.62</v>
      </c>
      <c r="R4523" t="inlineStr">
        <is>
          <t>Vaccines</t>
        </is>
      </c>
      <c r="S4523" s="70" t="n">
        <v>2517</v>
      </c>
      <c r="T4523" s="71" t="n">
        <v>213483.86</v>
      </c>
      <c r="U4523" t="inlineStr">
        <is>
          <t>Low</t>
        </is>
      </c>
      <c r="V4523">
        <f>IF(AND(OR(Dashboard!$C$6="All",E4523=Dashboard!$C$6),OR(Dashboard!$F$6="All",G4523=Dashboard!$F$6),OR(Dashboard!$I$6="All",H4523=Dashboard!$I$6)),1,0)</f>
        <v/>
      </c>
    </row>
    <row r="4524">
      <c r="A4524" t="inlineStr">
        <is>
          <t>PF104515</t>
        </is>
      </c>
      <c r="B4524" s="68" t="n">
        <v>46199</v>
      </c>
      <c r="C4524" s="69" t="n">
        <v>2026</v>
      </c>
      <c r="D4524" t="inlineStr">
        <is>
          <t>Jun</t>
        </is>
      </c>
      <c r="E4524" t="inlineStr">
        <is>
          <t>Europe</t>
        </is>
      </c>
      <c r="F4524" t="inlineStr">
        <is>
          <t>France</t>
        </is>
      </c>
      <c r="G4524" t="inlineStr">
        <is>
          <t>Prevnar 20</t>
        </is>
      </c>
      <c r="H4524" t="inlineStr">
        <is>
          <t>Retail pharmacy</t>
        </is>
      </c>
      <c r="I4524" t="inlineStr">
        <is>
          <t>Public payer</t>
        </is>
      </c>
      <c r="J4524" t="inlineStr">
        <is>
          <t>Olivia Brown</t>
        </is>
      </c>
      <c r="K4524" s="70" t="n">
        <v>2209</v>
      </c>
      <c r="L4524" s="71" t="n">
        <v>241.76</v>
      </c>
      <c r="M4524" s="71" t="n">
        <v>534047.84</v>
      </c>
      <c r="N4524" s="71" t="n">
        <v>80107.17999999999</v>
      </c>
      <c r="O4524" s="71" t="n">
        <v>453940.66</v>
      </c>
      <c r="P4524" s="71" t="n">
        <v>152151.62</v>
      </c>
      <c r="Q4524" s="71" t="n">
        <v>301789.04</v>
      </c>
      <c r="R4524" t="inlineStr">
        <is>
          <t>Vaccines</t>
        </is>
      </c>
      <c r="S4524" s="70" t="n">
        <v>1531</v>
      </c>
      <c r="T4524" s="71" t="n">
        <v>90207.24000000001</v>
      </c>
      <c r="U4524" t="inlineStr">
        <is>
          <t>Low</t>
        </is>
      </c>
      <c r="V4524">
        <f>IF(AND(OR(Dashboard!$C$6="All",E4524=Dashboard!$C$6),OR(Dashboard!$F$6="All",G4524=Dashboard!$F$6),OR(Dashboard!$I$6="All",H4524=Dashboard!$I$6)),1,0)</f>
        <v/>
      </c>
    </row>
    <row r="4525">
      <c r="A4525" t="inlineStr">
        <is>
          <t>PF104516</t>
        </is>
      </c>
      <c r="B4525" s="68" t="n">
        <v>46199</v>
      </c>
      <c r="C4525" s="69" t="n">
        <v>2026</v>
      </c>
      <c r="D4525" t="inlineStr">
        <is>
          <t>Jun</t>
        </is>
      </c>
      <c r="E4525" t="inlineStr">
        <is>
          <t>United States</t>
        </is>
      </c>
      <c r="F4525" t="inlineStr">
        <is>
          <t>USA</t>
        </is>
      </c>
      <c r="G4525" t="inlineStr">
        <is>
          <t>Prevnar 20</t>
        </is>
      </c>
      <c r="H4525" t="inlineStr">
        <is>
          <t>Government / tender</t>
        </is>
      </c>
      <c r="I4525" t="inlineStr">
        <is>
          <t>Private insurer</t>
        </is>
      </c>
      <c r="J4525" t="inlineStr">
        <is>
          <t>Ana Costa</t>
        </is>
      </c>
      <c r="K4525" s="70" t="n">
        <v>2199</v>
      </c>
      <c r="L4525" s="71" t="n">
        <v>368.22</v>
      </c>
      <c r="M4525" s="71" t="n">
        <v>809715.78</v>
      </c>
      <c r="N4525" s="71" t="n">
        <v>202428.95</v>
      </c>
      <c r="O4525" s="71" t="n">
        <v>607286.83</v>
      </c>
      <c r="P4525" s="71" t="n">
        <v>148837.84</v>
      </c>
      <c r="Q4525" s="71" t="n">
        <v>458448.99</v>
      </c>
      <c r="R4525" t="inlineStr">
        <is>
          <t>Vaccines</t>
        </is>
      </c>
      <c r="S4525" s="70" t="n">
        <v>1517</v>
      </c>
      <c r="T4525" s="71" t="n">
        <v>133675.03</v>
      </c>
      <c r="U4525" t="inlineStr">
        <is>
          <t>Low</t>
        </is>
      </c>
      <c r="V4525">
        <f>IF(AND(OR(Dashboard!$C$6="All",E4525=Dashboard!$C$6),OR(Dashboard!$F$6="All",G4525=Dashboard!$F$6),OR(Dashboard!$I$6="All",H4525=Dashboard!$I$6)),1,0)</f>
        <v/>
      </c>
    </row>
    <row r="4526">
      <c r="A4526" t="inlineStr">
        <is>
          <t>PF104517</t>
        </is>
      </c>
      <c r="B4526" s="68" t="n">
        <v>46199</v>
      </c>
      <c r="C4526" s="69" t="n">
        <v>2026</v>
      </c>
      <c r="D4526" t="inlineStr">
        <is>
          <t>Jun</t>
        </is>
      </c>
      <c r="E4526" t="inlineStr">
        <is>
          <t>Emerging markets</t>
        </is>
      </c>
      <c r="F4526" t="inlineStr">
        <is>
          <t>China</t>
        </is>
      </c>
      <c r="G4526" t="inlineStr">
        <is>
          <t>Vyndaqel</t>
        </is>
      </c>
      <c r="H4526" t="inlineStr">
        <is>
          <t>Retail pharmacy</t>
        </is>
      </c>
      <c r="I4526" t="inlineStr">
        <is>
          <t>Public payer</t>
        </is>
      </c>
      <c r="J4526" t="inlineStr">
        <is>
          <t>Hiroshi Tanaka</t>
        </is>
      </c>
      <c r="K4526" s="70" t="n">
        <v>691</v>
      </c>
      <c r="L4526" s="71" t="n">
        <v>5709.92</v>
      </c>
      <c r="M4526" s="71" t="n">
        <v>3945554.72</v>
      </c>
      <c r="N4526" s="71" t="n">
        <v>591833.21</v>
      </c>
      <c r="O4526" s="71" t="n">
        <v>3353721.51</v>
      </c>
      <c r="P4526" s="71" t="n">
        <v>441230.37</v>
      </c>
      <c r="Q4526" s="71" t="n">
        <v>2912491.14</v>
      </c>
      <c r="R4526" t="inlineStr">
        <is>
          <t>Rare disease</t>
        </is>
      </c>
      <c r="S4526" s="70" t="n">
        <v>515</v>
      </c>
      <c r="T4526" s="71" t="n">
        <v>493060.18</v>
      </c>
      <c r="U4526" t="inlineStr">
        <is>
          <t>Medium</t>
        </is>
      </c>
      <c r="V4526">
        <f>IF(AND(OR(Dashboard!$C$6="All",E4526=Dashboard!$C$6),OR(Dashboard!$F$6="All",G4526=Dashboard!$F$6),OR(Dashboard!$I$6="All",H4526=Dashboard!$I$6)),1,0)</f>
        <v/>
      </c>
    </row>
    <row r="4527">
      <c r="A4527" t="inlineStr">
        <is>
          <t>PF104518</t>
        </is>
      </c>
      <c r="B4527" s="68" t="n">
        <v>46199</v>
      </c>
      <c r="C4527" s="69" t="n">
        <v>2026</v>
      </c>
      <c r="D4527" t="inlineStr">
        <is>
          <t>Jun</t>
        </is>
      </c>
      <c r="E4527" t="inlineStr">
        <is>
          <t>International developed</t>
        </is>
      </c>
      <c r="F4527" t="inlineStr">
        <is>
          <t>Australia</t>
        </is>
      </c>
      <c r="G4527" t="inlineStr">
        <is>
          <t>Ibrance</t>
        </is>
      </c>
      <c r="H4527" t="inlineStr">
        <is>
          <t>Hospital</t>
        </is>
      </c>
      <c r="I4527" t="inlineStr">
        <is>
          <t>Private insurer</t>
        </is>
      </c>
      <c r="J4527" t="inlineStr">
        <is>
          <t>Zoya Ahmed</t>
        </is>
      </c>
      <c r="K4527" s="70" t="n">
        <v>1700</v>
      </c>
      <c r="L4527" s="71" t="n">
        <v>2977.74</v>
      </c>
      <c r="M4527" s="71" t="n">
        <v>5062158</v>
      </c>
      <c r="N4527" s="71" t="n">
        <v>253107.9</v>
      </c>
      <c r="O4527" s="71" t="n">
        <v>4809050.1</v>
      </c>
      <c r="P4527" s="71" t="n">
        <v>753888.89</v>
      </c>
      <c r="Q4527" s="71" t="n">
        <v>4055161.21</v>
      </c>
      <c r="R4527" t="inlineStr">
        <is>
          <t>Oncology</t>
        </is>
      </c>
      <c r="S4527" s="70" t="n">
        <v>1105</v>
      </c>
      <c r="T4527" s="71" t="n">
        <v>814661.92</v>
      </c>
      <c r="U4527" t="inlineStr">
        <is>
          <t>High</t>
        </is>
      </c>
      <c r="V4527">
        <f>IF(AND(OR(Dashboard!$C$6="All",E4527=Dashboard!$C$6),OR(Dashboard!$F$6="All",G4527=Dashboard!$F$6),OR(Dashboard!$I$6="All",H4527=Dashboard!$I$6)),1,0)</f>
        <v/>
      </c>
    </row>
    <row r="4528">
      <c r="A4528" t="inlineStr">
        <is>
          <t>PF104519</t>
        </is>
      </c>
      <c r="B4528" s="68" t="n">
        <v>46199</v>
      </c>
      <c r="C4528" s="69" t="n">
        <v>2026</v>
      </c>
      <c r="D4528" t="inlineStr">
        <is>
          <t>Jun</t>
        </is>
      </c>
      <c r="E4528" t="inlineStr">
        <is>
          <t>United States</t>
        </is>
      </c>
      <c r="F4528" t="inlineStr">
        <is>
          <t>USA</t>
        </is>
      </c>
      <c r="G4528" t="inlineStr">
        <is>
          <t>Vyndaqel</t>
        </is>
      </c>
      <c r="H4528" t="inlineStr">
        <is>
          <t>Hospital</t>
        </is>
      </c>
      <c r="I4528" t="inlineStr">
        <is>
          <t>Private insurer</t>
        </is>
      </c>
      <c r="J4528" t="inlineStr">
        <is>
          <t>Carlos Silva</t>
        </is>
      </c>
      <c r="K4528" s="70" t="n">
        <v>283</v>
      </c>
      <c r="L4528" s="71" t="n">
        <v>9831.190000000001</v>
      </c>
      <c r="M4528" s="71" t="n">
        <v>2782226.77</v>
      </c>
      <c r="N4528" s="71" t="n">
        <v>834668.03</v>
      </c>
      <c r="O4528" s="71" t="n">
        <v>1947558.74</v>
      </c>
      <c r="P4528" s="71" t="n">
        <v>179580.02</v>
      </c>
      <c r="Q4528" s="71" t="n">
        <v>1767978.72</v>
      </c>
      <c r="R4528" t="inlineStr">
        <is>
          <t>Rare disease</t>
        </is>
      </c>
      <c r="S4528" s="70" t="n">
        <v>201</v>
      </c>
      <c r="T4528" s="71" t="n">
        <v>305389.18</v>
      </c>
      <c r="U4528" t="inlineStr">
        <is>
          <t>Medium</t>
        </is>
      </c>
      <c r="V4528">
        <f>IF(AND(OR(Dashboard!$C$6="All",E4528=Dashboard!$C$6),OR(Dashboard!$F$6="All",G4528=Dashboard!$F$6),OR(Dashboard!$I$6="All",H4528=Dashboard!$I$6)),1,0)</f>
        <v/>
      </c>
    </row>
    <row r="4529">
      <c r="A4529" t="inlineStr">
        <is>
          <t>PF104520</t>
        </is>
      </c>
      <c r="B4529" s="68" t="n">
        <v>46199</v>
      </c>
      <c r="C4529" s="69" t="n">
        <v>2026</v>
      </c>
      <c r="D4529" t="inlineStr">
        <is>
          <t>Jun</t>
        </is>
      </c>
      <c r="E4529" t="inlineStr">
        <is>
          <t>United States</t>
        </is>
      </c>
      <c r="F4529" t="inlineStr">
        <is>
          <t>USA</t>
        </is>
      </c>
      <c r="G4529" t="inlineStr">
        <is>
          <t>Ibrance</t>
        </is>
      </c>
      <c r="H4529" t="inlineStr">
        <is>
          <t>Hospital</t>
        </is>
      </c>
      <c r="I4529" t="inlineStr">
        <is>
          <t>Private insurer</t>
        </is>
      </c>
      <c r="J4529" t="inlineStr">
        <is>
          <t>Noah Smith</t>
        </is>
      </c>
      <c r="K4529" s="70" t="n">
        <v>2121</v>
      </c>
      <c r="L4529" s="71" t="n">
        <v>4542.1</v>
      </c>
      <c r="M4529" s="71" t="n">
        <v>9633794.1</v>
      </c>
      <c r="N4529" s="71" t="n">
        <v>3371827.93</v>
      </c>
      <c r="O4529" s="71" t="n">
        <v>6261966.17</v>
      </c>
      <c r="P4529" s="71" t="n">
        <v>902167.85</v>
      </c>
      <c r="Q4529" s="71" t="n">
        <v>5359798.32</v>
      </c>
      <c r="R4529" t="inlineStr">
        <is>
          <t>Oncology</t>
        </is>
      </c>
      <c r="S4529" s="70" t="n">
        <v>1389</v>
      </c>
      <c r="T4529" s="71" t="n">
        <v>1485677.85</v>
      </c>
      <c r="U4529" t="inlineStr">
        <is>
          <t>High</t>
        </is>
      </c>
      <c r="V4529">
        <f>IF(AND(OR(Dashboard!$C$6="All",E4529=Dashboard!$C$6),OR(Dashboard!$F$6="All",G4529=Dashboard!$F$6),OR(Dashboard!$I$6="All",H4529=Dashboard!$I$6)),1,0)</f>
        <v/>
      </c>
    </row>
    <row r="4530">
      <c r="A4530" t="inlineStr">
        <is>
          <t>PF104521</t>
        </is>
      </c>
      <c r="B4530" s="68" t="n">
        <v>46199</v>
      </c>
      <c r="C4530" s="69" t="n">
        <v>2026</v>
      </c>
      <c r="D4530" t="inlineStr">
        <is>
          <t>Jun</t>
        </is>
      </c>
      <c r="E4530" t="inlineStr">
        <is>
          <t>Europe</t>
        </is>
      </c>
      <c r="F4530" t="inlineStr">
        <is>
          <t>France</t>
        </is>
      </c>
      <c r="G4530" t="inlineStr">
        <is>
          <t>Eliquis</t>
        </is>
      </c>
      <c r="H4530" t="inlineStr">
        <is>
          <t>Retail pharmacy</t>
        </is>
      </c>
      <c r="I4530" t="inlineStr">
        <is>
          <t>Private insurer</t>
        </is>
      </c>
      <c r="J4530" t="inlineStr">
        <is>
          <t>Olivia Brown</t>
        </is>
      </c>
      <c r="K4530" s="70" t="n">
        <v>1180</v>
      </c>
      <c r="L4530" s="71" t="n">
        <v>439.69</v>
      </c>
      <c r="M4530" s="71" t="n">
        <v>518834.2</v>
      </c>
      <c r="N4530" s="71" t="n">
        <v>77825.13</v>
      </c>
      <c r="O4530" s="71" t="n">
        <v>441009.07</v>
      </c>
      <c r="P4530" s="71" t="n">
        <v>87752.77</v>
      </c>
      <c r="Q4530" s="71" t="n">
        <v>353256.3</v>
      </c>
      <c r="R4530" t="inlineStr">
        <is>
          <t>Cardiology</t>
        </is>
      </c>
      <c r="S4530" s="70" t="n">
        <v>875</v>
      </c>
      <c r="T4530" s="71" t="n">
        <v>65184.91</v>
      </c>
      <c r="U4530" t="inlineStr">
        <is>
          <t>High</t>
        </is>
      </c>
      <c r="V4530">
        <f>IF(AND(OR(Dashboard!$C$6="All",E4530=Dashboard!$C$6),OR(Dashboard!$F$6="All",G4530=Dashboard!$F$6),OR(Dashboard!$I$6="All",H4530=Dashboard!$I$6)),1,0)</f>
        <v/>
      </c>
    </row>
    <row r="4531">
      <c r="A4531" t="inlineStr">
        <is>
          <t>PF104522</t>
        </is>
      </c>
      <c r="B4531" s="68" t="n">
        <v>46200</v>
      </c>
      <c r="C4531" s="69" t="n">
        <v>2026</v>
      </c>
      <c r="D4531" t="inlineStr">
        <is>
          <t>Jun</t>
        </is>
      </c>
      <c r="E4531" t="inlineStr">
        <is>
          <t>United States</t>
        </is>
      </c>
      <c r="F4531" t="inlineStr">
        <is>
          <t>USA</t>
        </is>
      </c>
      <c r="G4531" t="inlineStr">
        <is>
          <t>Ibrance</t>
        </is>
      </c>
      <c r="H4531" t="inlineStr">
        <is>
          <t>Retail pharmacy</t>
        </is>
      </c>
      <c r="I4531" t="inlineStr">
        <is>
          <t>Private insurer</t>
        </is>
      </c>
      <c r="J4531" t="inlineStr">
        <is>
          <t>Sara Rossi</t>
        </is>
      </c>
      <c r="K4531" s="70" t="n">
        <v>342</v>
      </c>
      <c r="L4531" s="71" t="n">
        <v>4316.52</v>
      </c>
      <c r="M4531" s="71" t="n">
        <v>1476249.84</v>
      </c>
      <c r="N4531" s="71" t="n">
        <v>221437.48</v>
      </c>
      <c r="O4531" s="71" t="n">
        <v>1254812.36</v>
      </c>
      <c r="P4531" s="71" t="n">
        <v>150491.98</v>
      </c>
      <c r="Q4531" s="71" t="n">
        <v>1104320.38</v>
      </c>
      <c r="R4531" t="inlineStr">
        <is>
          <t>Oncology</t>
        </is>
      </c>
      <c r="S4531" s="70" t="n">
        <v>237</v>
      </c>
      <c r="T4531" s="71" t="n">
        <v>280928.79</v>
      </c>
      <c r="U4531" t="inlineStr">
        <is>
          <t>High</t>
        </is>
      </c>
      <c r="V4531">
        <f>IF(AND(OR(Dashboard!$C$6="All",E4531=Dashboard!$C$6),OR(Dashboard!$F$6="All",G4531=Dashboard!$F$6),OR(Dashboard!$I$6="All",H4531=Dashboard!$I$6)),1,0)</f>
        <v/>
      </c>
    </row>
    <row r="4532">
      <c r="A4532" t="inlineStr">
        <is>
          <t>PF104523</t>
        </is>
      </c>
      <c r="B4532" s="68" t="n">
        <v>46200</v>
      </c>
      <c r="C4532" s="69" t="n">
        <v>2026</v>
      </c>
      <c r="D4532" t="inlineStr">
        <is>
          <t>Jun</t>
        </is>
      </c>
      <c r="E4532" t="inlineStr">
        <is>
          <t>United States</t>
        </is>
      </c>
      <c r="F4532" t="inlineStr">
        <is>
          <t>USA</t>
        </is>
      </c>
      <c r="G4532" t="inlineStr">
        <is>
          <t>Ibrance</t>
        </is>
      </c>
      <c r="H4532" t="inlineStr">
        <is>
          <t>Hospital</t>
        </is>
      </c>
      <c r="I4532" t="inlineStr">
        <is>
          <t>Public payer</t>
        </is>
      </c>
      <c r="J4532" t="inlineStr">
        <is>
          <t>Olivia Brown</t>
        </is>
      </c>
      <c r="K4532" s="70" t="n">
        <v>760</v>
      </c>
      <c r="L4532" s="71" t="n">
        <v>4534.75</v>
      </c>
      <c r="M4532" s="71" t="n">
        <v>3446410</v>
      </c>
      <c r="N4532" s="71" t="n">
        <v>689282</v>
      </c>
      <c r="O4532" s="71" t="n">
        <v>2757128</v>
      </c>
      <c r="P4532" s="71" t="n">
        <v>338790.07</v>
      </c>
      <c r="Q4532" s="71" t="n">
        <v>2418337.93</v>
      </c>
      <c r="R4532" t="inlineStr">
        <is>
          <t>Oncology</t>
        </is>
      </c>
      <c r="S4532" s="70" t="n">
        <v>638</v>
      </c>
      <c r="T4532" s="71" t="n">
        <v>697362.54</v>
      </c>
      <c r="U4532" t="inlineStr">
        <is>
          <t>High</t>
        </is>
      </c>
      <c r="V4532">
        <f>IF(AND(OR(Dashboard!$C$6="All",E4532=Dashboard!$C$6),OR(Dashboard!$F$6="All",G4532=Dashboard!$F$6),OR(Dashboard!$I$6="All",H4532=Dashboard!$I$6)),1,0)</f>
        <v/>
      </c>
    </row>
    <row r="4533">
      <c r="A4533" t="inlineStr">
        <is>
          <t>PF104524</t>
        </is>
      </c>
      <c r="B4533" s="68" t="n">
        <v>46200</v>
      </c>
      <c r="C4533" s="69" t="n">
        <v>2026</v>
      </c>
      <c r="D4533" t="inlineStr">
        <is>
          <t>Jun</t>
        </is>
      </c>
      <c r="E4533" t="inlineStr">
        <is>
          <t>United States</t>
        </is>
      </c>
      <c r="F4533" t="inlineStr">
        <is>
          <t>USA</t>
        </is>
      </c>
      <c r="G4533" t="inlineStr">
        <is>
          <t>Prevnar 20</t>
        </is>
      </c>
      <c r="H4533" t="inlineStr">
        <is>
          <t>Retail pharmacy</t>
        </is>
      </c>
      <c r="I4533" t="inlineStr">
        <is>
          <t>Private insurer</t>
        </is>
      </c>
      <c r="J4533" t="inlineStr">
        <is>
          <t>Hiroshi Tanaka</t>
        </is>
      </c>
      <c r="K4533" s="70" t="n">
        <v>2791</v>
      </c>
      <c r="L4533" s="71" t="n">
        <v>364.95</v>
      </c>
      <c r="M4533" s="71" t="n">
        <v>1018575.45</v>
      </c>
      <c r="N4533" s="71" t="n">
        <v>152786.32</v>
      </c>
      <c r="O4533" s="71" t="n">
        <v>865789.13</v>
      </c>
      <c r="P4533" s="71" t="n">
        <v>186522.38</v>
      </c>
      <c r="Q4533" s="71" t="n">
        <v>679266.75</v>
      </c>
      <c r="R4533" t="inlineStr">
        <is>
          <t>Vaccines</t>
        </is>
      </c>
      <c r="S4533" s="70" t="n">
        <v>1905</v>
      </c>
      <c r="T4533" s="71" t="n">
        <v>206570.21</v>
      </c>
      <c r="U4533" t="inlineStr">
        <is>
          <t>Low</t>
        </is>
      </c>
      <c r="V4533">
        <f>IF(AND(OR(Dashboard!$C$6="All",E4533=Dashboard!$C$6),OR(Dashboard!$F$6="All",G4533=Dashboard!$F$6),OR(Dashboard!$I$6="All",H4533=Dashboard!$I$6)),1,0)</f>
        <v/>
      </c>
    </row>
    <row r="4534">
      <c r="A4534" t="inlineStr">
        <is>
          <t>PF104525</t>
        </is>
      </c>
      <c r="B4534" s="68" t="n">
        <v>46200</v>
      </c>
      <c r="C4534" s="69" t="n">
        <v>2026</v>
      </c>
      <c r="D4534" t="inlineStr">
        <is>
          <t>Jun</t>
        </is>
      </c>
      <c r="E4534" t="inlineStr">
        <is>
          <t>Emerging markets</t>
        </is>
      </c>
      <c r="F4534" t="inlineStr">
        <is>
          <t>China</t>
        </is>
      </c>
      <c r="G4534" t="inlineStr">
        <is>
          <t>Paxlovid</t>
        </is>
      </c>
      <c r="H4534" t="inlineStr">
        <is>
          <t>Retail pharmacy</t>
        </is>
      </c>
      <c r="I4534" t="inlineStr">
        <is>
          <t>Public payer</t>
        </is>
      </c>
      <c r="J4534" t="inlineStr">
        <is>
          <t>Sara Rossi</t>
        </is>
      </c>
      <c r="K4534" s="70" t="n">
        <v>549</v>
      </c>
      <c r="L4534" s="71" t="n">
        <v>901.7</v>
      </c>
      <c r="M4534" s="71" t="n">
        <v>495033.3</v>
      </c>
      <c r="N4534" s="71" t="n">
        <v>123758.32</v>
      </c>
      <c r="O4534" s="71" t="n">
        <v>371274.98</v>
      </c>
      <c r="P4534" s="71" t="n">
        <v>146038.87</v>
      </c>
      <c r="Q4534" s="71" t="n">
        <v>225236.11</v>
      </c>
      <c r="R4534" t="inlineStr">
        <is>
          <t>Antiviral</t>
        </is>
      </c>
      <c r="S4534" s="70" t="n">
        <v>408</v>
      </c>
      <c r="T4534" s="71" t="n">
        <v>112685.42</v>
      </c>
      <c r="U4534" t="inlineStr">
        <is>
          <t>Low</t>
        </is>
      </c>
      <c r="V4534">
        <f>IF(AND(OR(Dashboard!$C$6="All",E4534=Dashboard!$C$6),OR(Dashboard!$F$6="All",G4534=Dashboard!$F$6),OR(Dashboard!$I$6="All",H4534=Dashboard!$I$6)),1,0)</f>
        <v/>
      </c>
    </row>
    <row r="4535">
      <c r="A4535" t="inlineStr">
        <is>
          <t>PF104526</t>
        </is>
      </c>
      <c r="B4535" s="68" t="n">
        <v>46200</v>
      </c>
      <c r="C4535" s="69" t="n">
        <v>2026</v>
      </c>
      <c r="D4535" t="inlineStr">
        <is>
          <t>Jun</t>
        </is>
      </c>
      <c r="E4535" t="inlineStr">
        <is>
          <t>United States</t>
        </is>
      </c>
      <c r="F4535" t="inlineStr">
        <is>
          <t>USA</t>
        </is>
      </c>
      <c r="G4535" t="inlineStr">
        <is>
          <t>Comirnaty</t>
        </is>
      </c>
      <c r="H4535" t="inlineStr">
        <is>
          <t>Hospital</t>
        </is>
      </c>
      <c r="I4535" t="inlineStr">
        <is>
          <t>Public payer</t>
        </is>
      </c>
      <c r="J4535" t="inlineStr">
        <is>
          <t>Aisha Bello</t>
        </is>
      </c>
      <c r="K4535" s="70" t="n">
        <v>743</v>
      </c>
      <c r="L4535" s="71" t="n">
        <v>150.97</v>
      </c>
      <c r="M4535" s="71" t="n">
        <v>112170.71</v>
      </c>
      <c r="N4535" s="71" t="n">
        <v>22434.14</v>
      </c>
      <c r="O4535" s="71" t="n">
        <v>89736.57000000001</v>
      </c>
      <c r="P4535" s="71" t="n">
        <v>28072.42</v>
      </c>
      <c r="Q4535" s="71" t="n">
        <v>61664.15</v>
      </c>
      <c r="R4535" t="inlineStr">
        <is>
          <t>Vaccines</t>
        </is>
      </c>
      <c r="S4535" s="70" t="n">
        <v>699</v>
      </c>
      <c r="T4535" s="71" t="n">
        <v>19165.77</v>
      </c>
      <c r="U4535" t="inlineStr">
        <is>
          <t>Low</t>
        </is>
      </c>
      <c r="V4535">
        <f>IF(AND(OR(Dashboard!$C$6="All",E4535=Dashboard!$C$6),OR(Dashboard!$F$6="All",G4535=Dashboard!$F$6),OR(Dashboard!$I$6="All",H4535=Dashboard!$I$6)),1,0)</f>
        <v/>
      </c>
    </row>
    <row r="4536">
      <c r="A4536" t="inlineStr">
        <is>
          <t>PF104527</t>
        </is>
      </c>
      <c r="B4536" s="68" t="n">
        <v>46200</v>
      </c>
      <c r="C4536" s="69" t="n">
        <v>2026</v>
      </c>
      <c r="D4536" t="inlineStr">
        <is>
          <t>Jun</t>
        </is>
      </c>
      <c r="E4536" t="inlineStr">
        <is>
          <t>Europe</t>
        </is>
      </c>
      <c r="F4536" t="inlineStr">
        <is>
          <t>Germany</t>
        </is>
      </c>
      <c r="G4536" t="inlineStr">
        <is>
          <t>Prevnar 20</t>
        </is>
      </c>
      <c r="H4536" t="inlineStr">
        <is>
          <t>Government / tender</t>
        </is>
      </c>
      <c r="I4536" t="inlineStr">
        <is>
          <t>Private insurer</t>
        </is>
      </c>
      <c r="J4536" t="inlineStr">
        <is>
          <t>Yuki Sato</t>
        </is>
      </c>
      <c r="K4536" s="70" t="n">
        <v>1025</v>
      </c>
      <c r="L4536" s="71" t="n">
        <v>223.36</v>
      </c>
      <c r="M4536" s="71" t="n">
        <v>228944</v>
      </c>
      <c r="N4536" s="71" t="n">
        <v>45788.8</v>
      </c>
      <c r="O4536" s="71" t="n">
        <v>183155.2</v>
      </c>
      <c r="P4536" s="71" t="n">
        <v>73515.53</v>
      </c>
      <c r="Q4536" s="71" t="n">
        <v>109639.67</v>
      </c>
      <c r="R4536" t="inlineStr">
        <is>
          <t>Vaccines</t>
        </is>
      </c>
      <c r="S4536" s="70" t="n">
        <v>891</v>
      </c>
      <c r="T4536" s="71" t="n">
        <v>30916.45</v>
      </c>
      <c r="U4536" t="inlineStr">
        <is>
          <t>Low</t>
        </is>
      </c>
      <c r="V4536">
        <f>IF(AND(OR(Dashboard!$C$6="All",E4536=Dashboard!$C$6),OR(Dashboard!$F$6="All",G4536=Dashboard!$F$6),OR(Dashboard!$I$6="All",H4536=Dashboard!$I$6)),1,0)</f>
        <v/>
      </c>
    </row>
    <row r="4537">
      <c r="A4537" t="inlineStr">
        <is>
          <t>PF104528</t>
        </is>
      </c>
      <c r="B4537" s="68" t="n">
        <v>46201</v>
      </c>
      <c r="C4537" s="69" t="n">
        <v>2026</v>
      </c>
      <c r="D4537" t="inlineStr">
        <is>
          <t>Jun</t>
        </is>
      </c>
      <c r="E4537" t="inlineStr">
        <is>
          <t>United States</t>
        </is>
      </c>
      <c r="F4537" t="inlineStr">
        <is>
          <t>USA</t>
        </is>
      </c>
      <c r="G4537" t="inlineStr">
        <is>
          <t>Prevnar 20</t>
        </is>
      </c>
      <c r="H4537" t="inlineStr">
        <is>
          <t>Hospital</t>
        </is>
      </c>
      <c r="I4537" t="inlineStr">
        <is>
          <t>Private insurer</t>
        </is>
      </c>
      <c r="J4537" t="inlineStr">
        <is>
          <t>Liam O'Brien</t>
        </is>
      </c>
      <c r="K4537" s="70" t="n">
        <v>2869</v>
      </c>
      <c r="L4537" s="71" t="n">
        <v>404.92</v>
      </c>
      <c r="M4537" s="71" t="n">
        <v>1161715.48</v>
      </c>
      <c r="N4537" s="71" t="n">
        <v>174257.32</v>
      </c>
      <c r="O4537" s="71" t="n">
        <v>987458.16</v>
      </c>
      <c r="P4537" s="71" t="n">
        <v>203218.88</v>
      </c>
      <c r="Q4537" s="71" t="n">
        <v>784239.28</v>
      </c>
      <c r="R4537" t="inlineStr">
        <is>
          <t>Vaccines</t>
        </is>
      </c>
      <c r="S4537" s="70" t="n">
        <v>2867</v>
      </c>
      <c r="T4537" s="71" t="n">
        <v>143851.99</v>
      </c>
      <c r="U4537" t="inlineStr">
        <is>
          <t>Low</t>
        </is>
      </c>
      <c r="V4537">
        <f>IF(AND(OR(Dashboard!$C$6="All",E4537=Dashboard!$C$6),OR(Dashboard!$F$6="All",G4537=Dashboard!$F$6),OR(Dashboard!$I$6="All",H4537=Dashboard!$I$6)),1,0)</f>
        <v/>
      </c>
    </row>
    <row r="4538">
      <c r="A4538" t="inlineStr">
        <is>
          <t>PF104529</t>
        </is>
      </c>
      <c r="B4538" s="68" t="n">
        <v>46201</v>
      </c>
      <c r="C4538" s="69" t="n">
        <v>2026</v>
      </c>
      <c r="D4538" t="inlineStr">
        <is>
          <t>Jun</t>
        </is>
      </c>
      <c r="E4538" t="inlineStr">
        <is>
          <t>United States</t>
        </is>
      </c>
      <c r="F4538" t="inlineStr">
        <is>
          <t>USA</t>
        </is>
      </c>
      <c r="G4538" t="inlineStr">
        <is>
          <t>Xeljanz</t>
        </is>
      </c>
      <c r="H4538" t="inlineStr">
        <is>
          <t>Hospital</t>
        </is>
      </c>
      <c r="I4538" t="inlineStr">
        <is>
          <t>Public payer</t>
        </is>
      </c>
      <c r="J4538" t="inlineStr">
        <is>
          <t>Hiroshi Tanaka</t>
        </is>
      </c>
      <c r="K4538" s="70" t="n">
        <v>2522</v>
      </c>
      <c r="L4538" s="71" t="n">
        <v>2028.62</v>
      </c>
      <c r="M4538" s="71" t="n">
        <v>5116179.64</v>
      </c>
      <c r="N4538" s="71" t="n">
        <v>1534853.89</v>
      </c>
      <c r="O4538" s="71" t="n">
        <v>3581325.75</v>
      </c>
      <c r="P4538" s="71" t="n">
        <v>625952.65</v>
      </c>
      <c r="Q4538" s="71" t="n">
        <v>2955373.1</v>
      </c>
      <c r="R4538" t="inlineStr">
        <is>
          <t>Inflammation</t>
        </is>
      </c>
      <c r="S4538" s="70" t="n">
        <v>1686</v>
      </c>
      <c r="T4538" s="71" t="n">
        <v>953074.8</v>
      </c>
      <c r="U4538" t="inlineStr">
        <is>
          <t>High</t>
        </is>
      </c>
      <c r="V4538">
        <f>IF(AND(OR(Dashboard!$C$6="All",E4538=Dashboard!$C$6),OR(Dashboard!$F$6="All",G4538=Dashboard!$F$6),OR(Dashboard!$I$6="All",H4538=Dashboard!$I$6)),1,0)</f>
        <v/>
      </c>
    </row>
    <row r="4539">
      <c r="A4539" t="inlineStr">
        <is>
          <t>PF104530</t>
        </is>
      </c>
      <c r="B4539" s="68" t="n">
        <v>46201</v>
      </c>
      <c r="C4539" s="69" t="n">
        <v>2026</v>
      </c>
      <c r="D4539" t="inlineStr">
        <is>
          <t>Jun</t>
        </is>
      </c>
      <c r="E4539" t="inlineStr">
        <is>
          <t>United States</t>
        </is>
      </c>
      <c r="F4539" t="inlineStr">
        <is>
          <t>USA</t>
        </is>
      </c>
      <c r="G4539" t="inlineStr">
        <is>
          <t>Eliquis</t>
        </is>
      </c>
      <c r="H4539" t="inlineStr">
        <is>
          <t>Retail pharmacy</t>
        </is>
      </c>
      <c r="I4539" t="inlineStr">
        <is>
          <t>Self-pay</t>
        </is>
      </c>
      <c r="J4539" t="inlineStr">
        <is>
          <t>Mei Lin</t>
        </is>
      </c>
      <c r="K4539" s="70" t="n">
        <v>840</v>
      </c>
      <c r="L4539" s="71" t="n">
        <v>643.73</v>
      </c>
      <c r="M4539" s="71" t="n">
        <v>540733.2</v>
      </c>
      <c r="N4539" s="71" t="n">
        <v>135183.3</v>
      </c>
      <c r="O4539" s="71" t="n">
        <v>405549.9</v>
      </c>
      <c r="P4539" s="71" t="n">
        <v>61478.21</v>
      </c>
      <c r="Q4539" s="71" t="n">
        <v>344071.69</v>
      </c>
      <c r="R4539" t="inlineStr">
        <is>
          <t>Cardiology</t>
        </is>
      </c>
      <c r="S4539" s="70" t="n">
        <v>833</v>
      </c>
      <c r="T4539" s="71" t="n">
        <v>82243.16</v>
      </c>
      <c r="U4539" t="inlineStr">
        <is>
          <t>High</t>
        </is>
      </c>
      <c r="V4539">
        <f>IF(AND(OR(Dashboard!$C$6="All",E4539=Dashboard!$C$6),OR(Dashboard!$F$6="All",G4539=Dashboard!$F$6),OR(Dashboard!$I$6="All",H4539=Dashboard!$I$6)),1,0)</f>
        <v/>
      </c>
    </row>
    <row r="4540">
      <c r="A4540" t="inlineStr">
        <is>
          <t>PF104531</t>
        </is>
      </c>
      <c r="B4540" s="68" t="n">
        <v>46201</v>
      </c>
      <c r="C4540" s="69" t="n">
        <v>2026</v>
      </c>
      <c r="D4540" t="inlineStr">
        <is>
          <t>Jun</t>
        </is>
      </c>
      <c r="E4540" t="inlineStr">
        <is>
          <t>United States</t>
        </is>
      </c>
      <c r="F4540" t="inlineStr">
        <is>
          <t>USA</t>
        </is>
      </c>
      <c r="G4540" t="inlineStr">
        <is>
          <t>Comirnaty</t>
        </is>
      </c>
      <c r="H4540" t="inlineStr">
        <is>
          <t>Retail pharmacy</t>
        </is>
      </c>
      <c r="I4540" t="inlineStr">
        <is>
          <t>Self-pay</t>
        </is>
      </c>
      <c r="J4540" t="inlineStr">
        <is>
          <t>Mei Lin</t>
        </is>
      </c>
      <c r="K4540" s="70" t="n">
        <v>1608</v>
      </c>
      <c r="L4540" s="71" t="n">
        <v>134.87</v>
      </c>
      <c r="M4540" s="71" t="n">
        <v>216870.96</v>
      </c>
      <c r="N4540" s="71" t="n">
        <v>32530.64</v>
      </c>
      <c r="O4540" s="71" t="n">
        <v>184340.32</v>
      </c>
      <c r="P4540" s="71" t="n">
        <v>60651.36</v>
      </c>
      <c r="Q4540" s="71" t="n">
        <v>123688.96</v>
      </c>
      <c r="R4540" t="inlineStr">
        <is>
          <t>Vaccines</t>
        </is>
      </c>
      <c r="S4540" s="70" t="n">
        <v>1217</v>
      </c>
      <c r="T4540" s="71" t="n">
        <v>47130.11</v>
      </c>
      <c r="U4540" t="inlineStr">
        <is>
          <t>Low</t>
        </is>
      </c>
      <c r="V4540">
        <f>IF(AND(OR(Dashboard!$C$6="All",E4540=Dashboard!$C$6),OR(Dashboard!$F$6="All",G4540=Dashboard!$F$6),OR(Dashboard!$I$6="All",H4540=Dashboard!$I$6)),1,0)</f>
        <v/>
      </c>
    </row>
    <row r="4541">
      <c r="A4541" t="inlineStr">
        <is>
          <t>PF104532</t>
        </is>
      </c>
      <c r="B4541" s="68" t="n">
        <v>46201</v>
      </c>
      <c r="C4541" s="69" t="n">
        <v>2026</v>
      </c>
      <c r="D4541" t="inlineStr">
        <is>
          <t>Jun</t>
        </is>
      </c>
      <c r="E4541" t="inlineStr">
        <is>
          <t>International developed</t>
        </is>
      </c>
      <c r="F4541" t="inlineStr">
        <is>
          <t>Canada</t>
        </is>
      </c>
      <c r="G4541" t="inlineStr">
        <is>
          <t>Abrysvo</t>
        </is>
      </c>
      <c r="H4541" t="inlineStr">
        <is>
          <t>Retail pharmacy</t>
        </is>
      </c>
      <c r="I4541" t="inlineStr">
        <is>
          <t>Public payer</t>
        </is>
      </c>
      <c r="J4541" t="inlineStr">
        <is>
          <t>Kofi Mensah</t>
        </is>
      </c>
      <c r="K4541" s="70" t="n">
        <v>1393</v>
      </c>
      <c r="L4541" s="71" t="n">
        <v>307.81</v>
      </c>
      <c r="M4541" s="71" t="n">
        <v>428779.33</v>
      </c>
      <c r="N4541" s="71" t="n">
        <v>64316.9</v>
      </c>
      <c r="O4541" s="71" t="n">
        <v>364462.43</v>
      </c>
      <c r="P4541" s="71" t="n">
        <v>120765.21</v>
      </c>
      <c r="Q4541" s="71" t="n">
        <v>243697.22</v>
      </c>
      <c r="R4541" t="inlineStr">
        <is>
          <t>Vaccines</t>
        </is>
      </c>
      <c r="S4541" s="70" t="n">
        <v>1337</v>
      </c>
      <c r="T4541" s="71" t="n">
        <v>80000.32000000001</v>
      </c>
      <c r="U4541" t="inlineStr">
        <is>
          <t>Low</t>
        </is>
      </c>
      <c r="V4541">
        <f>IF(AND(OR(Dashboard!$C$6="All",E4541=Dashboard!$C$6),OR(Dashboard!$F$6="All",G4541=Dashboard!$F$6),OR(Dashboard!$I$6="All",H4541=Dashboard!$I$6)),1,0)</f>
        <v/>
      </c>
    </row>
    <row r="4542">
      <c r="A4542" t="inlineStr">
        <is>
          <t>PF104533</t>
        </is>
      </c>
      <c r="B4542" s="68" t="n">
        <v>46201</v>
      </c>
      <c r="C4542" s="69" t="n">
        <v>2026</v>
      </c>
      <c r="D4542" t="inlineStr">
        <is>
          <t>Jun</t>
        </is>
      </c>
      <c r="E4542" t="inlineStr">
        <is>
          <t>International developed</t>
        </is>
      </c>
      <c r="F4542" t="inlineStr">
        <is>
          <t>Canada</t>
        </is>
      </c>
      <c r="G4542" t="inlineStr">
        <is>
          <t>Comirnaty</t>
        </is>
      </c>
      <c r="H4542" t="inlineStr">
        <is>
          <t>Hospital</t>
        </is>
      </c>
      <c r="I4542" t="inlineStr">
        <is>
          <t>Private insurer</t>
        </is>
      </c>
      <c r="J4542" t="inlineStr">
        <is>
          <t>Priya Nair</t>
        </is>
      </c>
      <c r="K4542" s="70" t="n">
        <v>397</v>
      </c>
      <c r="L4542" s="71" t="n">
        <v>92.26000000000001</v>
      </c>
      <c r="M4542" s="71" t="n">
        <v>36627.22</v>
      </c>
      <c r="N4542" s="71" t="n">
        <v>9156.809999999999</v>
      </c>
      <c r="O4542" s="71" t="n">
        <v>27470.41</v>
      </c>
      <c r="P4542" s="71" t="n">
        <v>15130.52</v>
      </c>
      <c r="Q4542" s="71" t="n">
        <v>12339.89</v>
      </c>
      <c r="R4542" t="inlineStr">
        <is>
          <t>Vaccines</t>
        </is>
      </c>
      <c r="S4542" s="70" t="n">
        <v>283</v>
      </c>
      <c r="T4542" s="71" t="n">
        <v>6842.75</v>
      </c>
      <c r="U4542" t="inlineStr">
        <is>
          <t>Low</t>
        </is>
      </c>
      <c r="V4542">
        <f>IF(AND(OR(Dashboard!$C$6="All",E4542=Dashboard!$C$6),OR(Dashboard!$F$6="All",G4542=Dashboard!$F$6),OR(Dashboard!$I$6="All",H4542=Dashboard!$I$6)),1,0)</f>
        <v/>
      </c>
    </row>
    <row r="4543">
      <c r="A4543" t="inlineStr">
        <is>
          <t>PF104534</t>
        </is>
      </c>
      <c r="B4543" s="68" t="n">
        <v>46201</v>
      </c>
      <c r="C4543" s="69" t="n">
        <v>2026</v>
      </c>
      <c r="D4543" t="inlineStr">
        <is>
          <t>Jun</t>
        </is>
      </c>
      <c r="E4543" t="inlineStr">
        <is>
          <t>Emerging markets</t>
        </is>
      </c>
      <c r="F4543" t="inlineStr">
        <is>
          <t>Brazil</t>
        </is>
      </c>
      <c r="G4543" t="inlineStr">
        <is>
          <t>Abrysvo</t>
        </is>
      </c>
      <c r="H4543" t="inlineStr">
        <is>
          <t>Retail pharmacy</t>
        </is>
      </c>
      <c r="I4543" t="inlineStr">
        <is>
          <t>Public payer</t>
        </is>
      </c>
      <c r="J4543" t="inlineStr">
        <is>
          <t>Olivia Brown</t>
        </is>
      </c>
      <c r="K4543" s="70" t="n">
        <v>1139</v>
      </c>
      <c r="L4543" s="71" t="n">
        <v>339.77</v>
      </c>
      <c r="M4543" s="71" t="n">
        <v>386998.03</v>
      </c>
      <c r="N4543" s="71" t="n">
        <v>38699.8</v>
      </c>
      <c r="O4543" s="71" t="n">
        <v>348298.23</v>
      </c>
      <c r="P4543" s="71" t="n">
        <v>97118.42999999999</v>
      </c>
      <c r="Q4543" s="71" t="n">
        <v>251179.8</v>
      </c>
      <c r="R4543" t="inlineStr">
        <is>
          <t>Vaccines</t>
        </is>
      </c>
      <c r="S4543" s="70" t="n">
        <v>878</v>
      </c>
      <c r="T4543" s="71" t="n">
        <v>59155.35</v>
      </c>
      <c r="U4543" t="inlineStr">
        <is>
          <t>Low</t>
        </is>
      </c>
      <c r="V4543">
        <f>IF(AND(OR(Dashboard!$C$6="All",E4543=Dashboard!$C$6),OR(Dashboard!$F$6="All",G4543=Dashboard!$F$6),OR(Dashboard!$I$6="All",H4543=Dashboard!$I$6)),1,0)</f>
        <v/>
      </c>
    </row>
    <row r="4544">
      <c r="A4544" t="inlineStr">
        <is>
          <t>PF104535</t>
        </is>
      </c>
      <c r="B4544" s="68" t="n">
        <v>46201</v>
      </c>
      <c r="C4544" s="69" t="n">
        <v>2026</v>
      </c>
      <c r="D4544" t="inlineStr">
        <is>
          <t>Jun</t>
        </is>
      </c>
      <c r="E4544" t="inlineStr">
        <is>
          <t>Europe</t>
        </is>
      </c>
      <c r="F4544" t="inlineStr">
        <is>
          <t>UK</t>
        </is>
      </c>
      <c r="G4544" t="inlineStr">
        <is>
          <t>Vyndaqel</t>
        </is>
      </c>
      <c r="H4544" t="inlineStr">
        <is>
          <t>Retail pharmacy</t>
        </is>
      </c>
      <c r="I4544" t="inlineStr">
        <is>
          <t>Public payer</t>
        </is>
      </c>
      <c r="J4544" t="inlineStr">
        <is>
          <t>Ana Costa</t>
        </is>
      </c>
      <c r="K4544" s="70" t="n">
        <v>2169</v>
      </c>
      <c r="L4544" s="71" t="n">
        <v>5959.67</v>
      </c>
      <c r="M4544" s="71" t="n">
        <v>12926524.23</v>
      </c>
      <c r="N4544" s="71" t="n">
        <v>1292652.42</v>
      </c>
      <c r="O4544" s="71" t="n">
        <v>11633871.81</v>
      </c>
      <c r="P4544" s="71" t="n">
        <v>1394934.25</v>
      </c>
      <c r="Q4544" s="71" t="n">
        <v>10238937.56</v>
      </c>
      <c r="R4544" t="inlineStr">
        <is>
          <t>Rare disease</t>
        </is>
      </c>
      <c r="S4544" s="70" t="n">
        <v>1661</v>
      </c>
      <c r="T4544" s="71" t="n">
        <v>2203272.3</v>
      </c>
      <c r="U4544" t="inlineStr">
        <is>
          <t>Medium</t>
        </is>
      </c>
      <c r="V4544">
        <f>IF(AND(OR(Dashboard!$C$6="All",E4544=Dashboard!$C$6),OR(Dashboard!$F$6="All",G4544=Dashboard!$F$6),OR(Dashboard!$I$6="All",H4544=Dashboard!$I$6)),1,0)</f>
        <v/>
      </c>
    </row>
    <row r="4545">
      <c r="A4545" t="inlineStr">
        <is>
          <t>PF104536</t>
        </is>
      </c>
      <c r="B4545" s="68" t="n">
        <v>46204</v>
      </c>
      <c r="C4545" s="69" t="n">
        <v>2026</v>
      </c>
      <c r="D4545" t="inlineStr">
        <is>
          <t>Jul</t>
        </is>
      </c>
      <c r="E4545" t="inlineStr">
        <is>
          <t>United States</t>
        </is>
      </c>
      <c r="F4545" t="inlineStr">
        <is>
          <t>USA</t>
        </is>
      </c>
      <c r="G4545" t="inlineStr">
        <is>
          <t>Prevnar 20</t>
        </is>
      </c>
      <c r="H4545" t="inlineStr">
        <is>
          <t>Hospital</t>
        </is>
      </c>
      <c r="I4545" t="inlineStr">
        <is>
          <t>Private insurer</t>
        </is>
      </c>
      <c r="J4545" t="inlineStr">
        <is>
          <t>Emma Clarke</t>
        </is>
      </c>
      <c r="K4545" s="70" t="n">
        <v>797</v>
      </c>
      <c r="L4545" s="71" t="n">
        <v>356.99</v>
      </c>
      <c r="M4545" s="71" t="n">
        <v>284521.03</v>
      </c>
      <c r="N4545" s="71" t="n">
        <v>42678.15</v>
      </c>
      <c r="O4545" s="71" t="n">
        <v>241842.88</v>
      </c>
      <c r="P4545" s="71" t="n">
        <v>54972.91</v>
      </c>
      <c r="Q4545" s="71" t="n">
        <v>186869.97</v>
      </c>
      <c r="R4545" t="inlineStr">
        <is>
          <t>Vaccines</t>
        </is>
      </c>
      <c r="S4545" s="70" t="n">
        <v>675</v>
      </c>
      <c r="T4545" s="71" t="n">
        <v>58770.88</v>
      </c>
      <c r="U4545" t="inlineStr">
        <is>
          <t>Low</t>
        </is>
      </c>
      <c r="V4545">
        <f>IF(AND(OR(Dashboard!$C$6="All",E4545=Dashboard!$C$6),OR(Dashboard!$F$6="All",G4545=Dashboard!$F$6),OR(Dashboard!$I$6="All",H4545=Dashboard!$I$6)),1,0)</f>
        <v/>
      </c>
    </row>
    <row r="4546">
      <c r="A4546" t="inlineStr">
        <is>
          <t>PF104537</t>
        </is>
      </c>
      <c r="B4546" s="68" t="n">
        <v>46204</v>
      </c>
      <c r="C4546" s="69" t="n">
        <v>2026</v>
      </c>
      <c r="D4546" t="inlineStr">
        <is>
          <t>Jul</t>
        </is>
      </c>
      <c r="E4546" t="inlineStr">
        <is>
          <t>United States</t>
        </is>
      </c>
      <c r="F4546" t="inlineStr">
        <is>
          <t>USA</t>
        </is>
      </c>
      <c r="G4546" t="inlineStr">
        <is>
          <t>Eliquis</t>
        </is>
      </c>
      <c r="H4546" t="inlineStr">
        <is>
          <t>Hospital</t>
        </is>
      </c>
      <c r="I4546" t="inlineStr">
        <is>
          <t>Public payer</t>
        </is>
      </c>
      <c r="J4546" t="inlineStr">
        <is>
          <t>Shraddha Kulkarni</t>
        </is>
      </c>
      <c r="K4546" s="70" t="n">
        <v>185</v>
      </c>
      <c r="L4546" s="71" t="n">
        <v>685.14</v>
      </c>
      <c r="M4546" s="71" t="n">
        <v>126750.9</v>
      </c>
      <c r="N4546" s="71" t="n">
        <v>25350.18</v>
      </c>
      <c r="O4546" s="71" t="n">
        <v>101400.72</v>
      </c>
      <c r="P4546" s="71" t="n">
        <v>14542.25</v>
      </c>
      <c r="Q4546" s="71" t="n">
        <v>86858.47</v>
      </c>
      <c r="R4546" t="inlineStr">
        <is>
          <t>Cardiology</t>
        </is>
      </c>
      <c r="S4546" s="70" t="n">
        <v>179</v>
      </c>
      <c r="T4546" s="71" t="n">
        <v>24381.3</v>
      </c>
      <c r="U4546" t="inlineStr">
        <is>
          <t>High</t>
        </is>
      </c>
      <c r="V4546">
        <f>IF(AND(OR(Dashboard!$C$6="All",E4546=Dashboard!$C$6),OR(Dashboard!$F$6="All",G4546=Dashboard!$F$6),OR(Dashboard!$I$6="All",H4546=Dashboard!$I$6)),1,0)</f>
        <v/>
      </c>
    </row>
    <row r="4547">
      <c r="A4547" t="inlineStr">
        <is>
          <t>PF104538</t>
        </is>
      </c>
      <c r="B4547" s="68" t="n">
        <v>46204</v>
      </c>
      <c r="C4547" s="69" t="n">
        <v>2026</v>
      </c>
      <c r="D4547" t="inlineStr">
        <is>
          <t>Jul</t>
        </is>
      </c>
      <c r="E4547" t="inlineStr">
        <is>
          <t>Europe</t>
        </is>
      </c>
      <c r="F4547" t="inlineStr">
        <is>
          <t>Germany</t>
        </is>
      </c>
      <c r="G4547" t="inlineStr">
        <is>
          <t>Ibrance</t>
        </is>
      </c>
      <c r="H4547" t="inlineStr">
        <is>
          <t>Retail pharmacy</t>
        </is>
      </c>
      <c r="I4547" t="inlineStr">
        <is>
          <t>Public payer</t>
        </is>
      </c>
      <c r="J4547" t="inlineStr">
        <is>
          <t>Arjun Mehta</t>
        </is>
      </c>
      <c r="K4547" s="70" t="n">
        <v>967</v>
      </c>
      <c r="L4547" s="71" t="n">
        <v>2768.45</v>
      </c>
      <c r="M4547" s="71" t="n">
        <v>2677091.15</v>
      </c>
      <c r="N4547" s="71" t="n">
        <v>401563.67</v>
      </c>
      <c r="O4547" s="71" t="n">
        <v>2275527.48</v>
      </c>
      <c r="P4547" s="71" t="n">
        <v>434255.09</v>
      </c>
      <c r="Q4547" s="71" t="n">
        <v>1841272.39</v>
      </c>
      <c r="R4547" t="inlineStr">
        <is>
          <t>Oncology</t>
        </is>
      </c>
      <c r="S4547" s="70" t="n">
        <v>920</v>
      </c>
      <c r="T4547" s="71" t="n">
        <v>402599.52</v>
      </c>
      <c r="U4547" t="inlineStr">
        <is>
          <t>High</t>
        </is>
      </c>
      <c r="V4547">
        <f>IF(AND(OR(Dashboard!$C$6="All",E4547=Dashboard!$C$6),OR(Dashboard!$F$6="All",G4547=Dashboard!$F$6),OR(Dashboard!$I$6="All",H4547=Dashboard!$I$6)),1,0)</f>
        <v/>
      </c>
    </row>
    <row r="4548">
      <c r="A4548" t="inlineStr">
        <is>
          <t>PF104539</t>
        </is>
      </c>
      <c r="B4548" s="68" t="n">
        <v>46204</v>
      </c>
      <c r="C4548" s="69" t="n">
        <v>2026</v>
      </c>
      <c r="D4548" t="inlineStr">
        <is>
          <t>Jul</t>
        </is>
      </c>
      <c r="E4548" t="inlineStr">
        <is>
          <t>International developed</t>
        </is>
      </c>
      <c r="F4548" t="inlineStr">
        <is>
          <t>Japan</t>
        </is>
      </c>
      <c r="G4548" t="inlineStr">
        <is>
          <t>Eliquis</t>
        </is>
      </c>
      <c r="H4548" t="inlineStr">
        <is>
          <t>Retail pharmacy</t>
        </is>
      </c>
      <c r="I4548" t="inlineStr">
        <is>
          <t>Public payer</t>
        </is>
      </c>
      <c r="J4548" t="inlineStr">
        <is>
          <t>Sara Rossi</t>
        </is>
      </c>
      <c r="K4548" s="70" t="n">
        <v>2407</v>
      </c>
      <c r="L4548" s="71" t="n">
        <v>432.89</v>
      </c>
      <c r="M4548" s="71" t="n">
        <v>1041966.23</v>
      </c>
      <c r="N4548" s="71" t="n">
        <v>208393.25</v>
      </c>
      <c r="O4548" s="71" t="n">
        <v>833572.98</v>
      </c>
      <c r="P4548" s="71" t="n">
        <v>176599.38</v>
      </c>
      <c r="Q4548" s="71" t="n">
        <v>656973.6</v>
      </c>
      <c r="R4548" t="inlineStr">
        <is>
          <t>Cardiology</t>
        </is>
      </c>
      <c r="S4548" s="70" t="n">
        <v>1945</v>
      </c>
      <c r="T4548" s="71" t="n">
        <v>164180.88</v>
      </c>
      <c r="U4548" t="inlineStr">
        <is>
          <t>High</t>
        </is>
      </c>
      <c r="V4548">
        <f>IF(AND(OR(Dashboard!$C$6="All",E4548=Dashboard!$C$6),OR(Dashboard!$F$6="All",G4548=Dashboard!$F$6),OR(Dashboard!$I$6="All",H4548=Dashboard!$I$6)),1,0)</f>
        <v/>
      </c>
    </row>
    <row r="4549">
      <c r="A4549" t="inlineStr">
        <is>
          <t>PF104540</t>
        </is>
      </c>
      <c r="B4549" s="68" t="n">
        <v>46204</v>
      </c>
      <c r="C4549" s="69" t="n">
        <v>2026</v>
      </c>
      <c r="D4549" t="inlineStr">
        <is>
          <t>Jul</t>
        </is>
      </c>
      <c r="E4549" t="inlineStr">
        <is>
          <t>Emerging markets</t>
        </is>
      </c>
      <c r="F4549" t="inlineStr">
        <is>
          <t>Mexico</t>
        </is>
      </c>
      <c r="G4549" t="inlineStr">
        <is>
          <t>Paxlovid</t>
        </is>
      </c>
      <c r="H4549" t="inlineStr">
        <is>
          <t>Government / tender</t>
        </is>
      </c>
      <c r="I4549" t="inlineStr">
        <is>
          <t>Private insurer</t>
        </is>
      </c>
      <c r="J4549" t="inlineStr">
        <is>
          <t>Shraddha Kulkarni</t>
        </is>
      </c>
      <c r="K4549" s="70" t="n">
        <v>773</v>
      </c>
      <c r="L4549" s="71" t="n">
        <v>864.62</v>
      </c>
      <c r="M4549" s="71" t="n">
        <v>668351.26</v>
      </c>
      <c r="N4549" s="71" t="n">
        <v>33417.56</v>
      </c>
      <c r="O4549" s="71" t="n">
        <v>634933.7</v>
      </c>
      <c r="P4549" s="71" t="n">
        <v>209120.19</v>
      </c>
      <c r="Q4549" s="71" t="n">
        <v>425813.51</v>
      </c>
      <c r="R4549" t="inlineStr">
        <is>
          <t>Antiviral</t>
        </is>
      </c>
      <c r="S4549" s="70" t="n">
        <v>548</v>
      </c>
      <c r="T4549" s="71" t="n">
        <v>117820.21</v>
      </c>
      <c r="U4549" t="inlineStr">
        <is>
          <t>Low</t>
        </is>
      </c>
      <c r="V4549">
        <f>IF(AND(OR(Dashboard!$C$6="All",E4549=Dashboard!$C$6),OR(Dashboard!$F$6="All",G4549=Dashboard!$F$6),OR(Dashboard!$I$6="All",H4549=Dashboard!$I$6)),1,0)</f>
        <v/>
      </c>
    </row>
    <row r="4550">
      <c r="A4550" t="inlineStr">
        <is>
          <t>PF104541</t>
        </is>
      </c>
      <c r="B4550" s="68" t="n">
        <v>46204</v>
      </c>
      <c r="C4550" s="69" t="n">
        <v>2026</v>
      </c>
      <c r="D4550" t="inlineStr">
        <is>
          <t>Jul</t>
        </is>
      </c>
      <c r="E4550" t="inlineStr">
        <is>
          <t>United States</t>
        </is>
      </c>
      <c r="F4550" t="inlineStr">
        <is>
          <t>USA</t>
        </is>
      </c>
      <c r="G4550" t="inlineStr">
        <is>
          <t>Comirnaty</t>
        </is>
      </c>
      <c r="H4550" t="inlineStr">
        <is>
          <t>Retail pharmacy</t>
        </is>
      </c>
      <c r="I4550" t="inlineStr">
        <is>
          <t>Private insurer</t>
        </is>
      </c>
      <c r="J4550" t="inlineStr">
        <is>
          <t>Emma Clarke</t>
        </is>
      </c>
      <c r="K4550" s="70" t="n">
        <v>358</v>
      </c>
      <c r="L4550" s="71" t="n">
        <v>127.95</v>
      </c>
      <c r="M4550" s="71" t="n">
        <v>45806.1</v>
      </c>
      <c r="N4550" s="71" t="n">
        <v>16032.13</v>
      </c>
      <c r="O4550" s="71" t="n">
        <v>29773.97</v>
      </c>
      <c r="P4550" s="71" t="n">
        <v>13591.32</v>
      </c>
      <c r="Q4550" s="71" t="n">
        <v>16182.65</v>
      </c>
      <c r="R4550" t="inlineStr">
        <is>
          <t>Vaccines</t>
        </is>
      </c>
      <c r="S4550" s="70" t="n">
        <v>244</v>
      </c>
      <c r="T4550" s="71" t="n">
        <v>8970.33</v>
      </c>
      <c r="U4550" t="inlineStr">
        <is>
          <t>Low</t>
        </is>
      </c>
      <c r="V4550">
        <f>IF(AND(OR(Dashboard!$C$6="All",E4550=Dashboard!$C$6),OR(Dashboard!$F$6="All",G4550=Dashboard!$F$6),OR(Dashboard!$I$6="All",H4550=Dashboard!$I$6)),1,0)</f>
        <v/>
      </c>
    </row>
    <row r="4551">
      <c r="A4551" t="inlineStr">
        <is>
          <t>PF104542</t>
        </is>
      </c>
      <c r="B4551" s="68" t="n">
        <v>46204</v>
      </c>
      <c r="C4551" s="69" t="n">
        <v>2026</v>
      </c>
      <c r="D4551" t="inlineStr">
        <is>
          <t>Jul</t>
        </is>
      </c>
      <c r="E4551" t="inlineStr">
        <is>
          <t>United States</t>
        </is>
      </c>
      <c r="F4551" t="inlineStr">
        <is>
          <t>USA</t>
        </is>
      </c>
      <c r="G4551" t="inlineStr">
        <is>
          <t>Eliquis</t>
        </is>
      </c>
      <c r="H4551" t="inlineStr">
        <is>
          <t>Government / tender</t>
        </is>
      </c>
      <c r="I4551" t="inlineStr">
        <is>
          <t>Self-pay</t>
        </is>
      </c>
      <c r="J4551" t="inlineStr">
        <is>
          <t>Omar Haddad</t>
        </is>
      </c>
      <c r="K4551" s="70" t="n">
        <v>2450</v>
      </c>
      <c r="L4551" s="71" t="n">
        <v>757.9</v>
      </c>
      <c r="M4551" s="71" t="n">
        <v>1856855</v>
      </c>
      <c r="N4551" s="71" t="n">
        <v>649899.25</v>
      </c>
      <c r="O4551" s="71" t="n">
        <v>1206955.75</v>
      </c>
      <c r="P4551" s="71" t="n">
        <v>179299.57</v>
      </c>
      <c r="Q4551" s="71" t="n">
        <v>1027656.18</v>
      </c>
      <c r="R4551" t="inlineStr">
        <is>
          <t>Cardiology</t>
        </is>
      </c>
      <c r="S4551" s="70" t="n">
        <v>2035</v>
      </c>
      <c r="T4551" s="71" t="n">
        <v>298035.92</v>
      </c>
      <c r="U4551" t="inlineStr">
        <is>
          <t>High</t>
        </is>
      </c>
      <c r="V4551">
        <f>IF(AND(OR(Dashboard!$C$6="All",E4551=Dashboard!$C$6),OR(Dashboard!$F$6="All",G4551=Dashboard!$F$6),OR(Dashboard!$I$6="All",H4551=Dashboard!$I$6)),1,0)</f>
        <v/>
      </c>
    </row>
    <row r="4552">
      <c r="A4552" t="inlineStr">
        <is>
          <t>PF104543</t>
        </is>
      </c>
      <c r="B4552" s="68" t="n">
        <v>46204</v>
      </c>
      <c r="C4552" s="69" t="n">
        <v>2026</v>
      </c>
      <c r="D4552" t="inlineStr">
        <is>
          <t>Jul</t>
        </is>
      </c>
      <c r="E4552" t="inlineStr">
        <is>
          <t>Europe</t>
        </is>
      </c>
      <c r="F4552" t="inlineStr">
        <is>
          <t>Italy</t>
        </is>
      </c>
      <c r="G4552" t="inlineStr">
        <is>
          <t>Eliquis</t>
        </is>
      </c>
      <c r="H4552" t="inlineStr">
        <is>
          <t>Retail pharmacy</t>
        </is>
      </c>
      <c r="I4552" t="inlineStr">
        <is>
          <t>Public payer</t>
        </is>
      </c>
      <c r="J4552" t="inlineStr">
        <is>
          <t>Kofi Mensah</t>
        </is>
      </c>
      <c r="K4552" s="70" t="n">
        <v>2621</v>
      </c>
      <c r="L4552" s="71" t="n">
        <v>466.44</v>
      </c>
      <c r="M4552" s="71" t="n">
        <v>1222539.24</v>
      </c>
      <c r="N4552" s="71" t="n">
        <v>244507.85</v>
      </c>
      <c r="O4552" s="71" t="n">
        <v>978031.39</v>
      </c>
      <c r="P4552" s="71" t="n">
        <v>201204.18</v>
      </c>
      <c r="Q4552" s="71" t="n">
        <v>776827.21</v>
      </c>
      <c r="R4552" t="inlineStr">
        <is>
          <t>Cardiology</t>
        </is>
      </c>
      <c r="S4552" s="70" t="n">
        <v>2525</v>
      </c>
      <c r="T4552" s="71" t="n">
        <v>207498.95</v>
      </c>
      <c r="U4552" t="inlineStr">
        <is>
          <t>High</t>
        </is>
      </c>
      <c r="V4552">
        <f>IF(AND(OR(Dashboard!$C$6="All",E4552=Dashboard!$C$6),OR(Dashboard!$F$6="All",G4552=Dashboard!$F$6),OR(Dashboard!$I$6="All",H4552=Dashboard!$I$6)),1,0)</f>
        <v/>
      </c>
    </row>
    <row r="4553">
      <c r="A4553" t="inlineStr">
        <is>
          <t>PF104544</t>
        </is>
      </c>
      <c r="B4553" s="68" t="n">
        <v>46204</v>
      </c>
      <c r="C4553" s="69" t="n">
        <v>2026</v>
      </c>
      <c r="D4553" t="inlineStr">
        <is>
          <t>Jul</t>
        </is>
      </c>
      <c r="E4553" t="inlineStr">
        <is>
          <t>United States</t>
        </is>
      </c>
      <c r="F4553" t="inlineStr">
        <is>
          <t>USA</t>
        </is>
      </c>
      <c r="G4553" t="inlineStr">
        <is>
          <t>Comirnaty</t>
        </is>
      </c>
      <c r="H4553" t="inlineStr">
        <is>
          <t>Hospital</t>
        </is>
      </c>
      <c r="I4553" t="inlineStr">
        <is>
          <t>Private insurer</t>
        </is>
      </c>
      <c r="J4553" t="inlineStr">
        <is>
          <t>Amir Khan</t>
        </is>
      </c>
      <c r="K4553" s="70" t="n">
        <v>995</v>
      </c>
      <c r="L4553" s="71" t="n">
        <v>130.27</v>
      </c>
      <c r="M4553" s="71" t="n">
        <v>129618.65</v>
      </c>
      <c r="N4553" s="71" t="n">
        <v>32404.66</v>
      </c>
      <c r="O4553" s="71" t="n">
        <v>97213.99000000001</v>
      </c>
      <c r="P4553" s="71" t="n">
        <v>38751.15</v>
      </c>
      <c r="Q4553" s="71" t="n">
        <v>58462.84</v>
      </c>
      <c r="R4553" t="inlineStr">
        <is>
          <t>Vaccines</t>
        </is>
      </c>
      <c r="S4553" s="70" t="n">
        <v>789</v>
      </c>
      <c r="T4553" s="71" t="n">
        <v>34807.71</v>
      </c>
      <c r="U4553" t="inlineStr">
        <is>
          <t>Low</t>
        </is>
      </c>
      <c r="V4553">
        <f>IF(AND(OR(Dashboard!$C$6="All",E4553=Dashboard!$C$6),OR(Dashboard!$F$6="All",G4553=Dashboard!$F$6),OR(Dashboard!$I$6="All",H4553=Dashboard!$I$6)),1,0)</f>
        <v/>
      </c>
    </row>
    <row r="4554">
      <c r="A4554" t="inlineStr">
        <is>
          <t>PF104545</t>
        </is>
      </c>
      <c r="B4554" s="68" t="n">
        <v>46204</v>
      </c>
      <c r="C4554" s="69" t="n">
        <v>2026</v>
      </c>
      <c r="D4554" t="inlineStr">
        <is>
          <t>Jul</t>
        </is>
      </c>
      <c r="E4554" t="inlineStr">
        <is>
          <t>International developed</t>
        </is>
      </c>
      <c r="F4554" t="inlineStr">
        <is>
          <t>Australia</t>
        </is>
      </c>
      <c r="G4554" t="inlineStr">
        <is>
          <t>Eliquis</t>
        </is>
      </c>
      <c r="H4554" t="inlineStr">
        <is>
          <t>Government / tender</t>
        </is>
      </c>
      <c r="I4554" t="inlineStr">
        <is>
          <t>Self-pay</t>
        </is>
      </c>
      <c r="J4554" t="inlineStr">
        <is>
          <t>Wei Chen</t>
        </is>
      </c>
      <c r="K4554" s="70" t="n">
        <v>1222</v>
      </c>
      <c r="L4554" s="71" t="n">
        <v>467.22</v>
      </c>
      <c r="M4554" s="71" t="n">
        <v>570942.84</v>
      </c>
      <c r="N4554" s="71" t="n">
        <v>142735.71</v>
      </c>
      <c r="O4554" s="71" t="n">
        <v>428207.13</v>
      </c>
      <c r="P4554" s="71" t="n">
        <v>94715.61</v>
      </c>
      <c r="Q4554" s="71" t="n">
        <v>333491.52</v>
      </c>
      <c r="R4554" t="inlineStr">
        <is>
          <t>Cardiology</t>
        </is>
      </c>
      <c r="S4554" s="70" t="n">
        <v>945</v>
      </c>
      <c r="T4554" s="71" t="n">
        <v>77377.25999999999</v>
      </c>
      <c r="U4554" t="inlineStr">
        <is>
          <t>High</t>
        </is>
      </c>
      <c r="V4554">
        <f>IF(AND(OR(Dashboard!$C$6="All",E4554=Dashboard!$C$6),OR(Dashboard!$F$6="All",G4554=Dashboard!$F$6),OR(Dashboard!$I$6="All",H4554=Dashboard!$I$6)),1,0)</f>
        <v/>
      </c>
    </row>
    <row r="4555">
      <c r="A4555" t="inlineStr">
        <is>
          <t>PF104546</t>
        </is>
      </c>
      <c r="B4555" s="68" t="n">
        <v>46205</v>
      </c>
      <c r="C4555" s="69" t="n">
        <v>2026</v>
      </c>
      <c r="D4555" t="inlineStr">
        <is>
          <t>Jul</t>
        </is>
      </c>
      <c r="E4555" t="inlineStr">
        <is>
          <t>Europe</t>
        </is>
      </c>
      <c r="F4555" t="inlineStr">
        <is>
          <t>Germany</t>
        </is>
      </c>
      <c r="G4555" t="inlineStr">
        <is>
          <t>Ibrance</t>
        </is>
      </c>
      <c r="H4555" t="inlineStr">
        <is>
          <t>Government / tender</t>
        </is>
      </c>
      <c r="I4555" t="inlineStr">
        <is>
          <t>Public payer</t>
        </is>
      </c>
      <c r="J4555" t="inlineStr">
        <is>
          <t>Yuki Sato</t>
        </is>
      </c>
      <c r="K4555" s="70" t="n">
        <v>2293</v>
      </c>
      <c r="L4555" s="71" t="n">
        <v>2655.29</v>
      </c>
      <c r="M4555" s="71" t="n">
        <v>6088579.97</v>
      </c>
      <c r="N4555" s="71" t="n">
        <v>304429</v>
      </c>
      <c r="O4555" s="71" t="n">
        <v>5784150.97</v>
      </c>
      <c r="P4555" s="71" t="n">
        <v>981685.87</v>
      </c>
      <c r="Q4555" s="71" t="n">
        <v>4802465.1</v>
      </c>
      <c r="R4555" t="inlineStr">
        <is>
          <t>Oncology</t>
        </is>
      </c>
      <c r="S4555" s="70" t="n">
        <v>1820</v>
      </c>
      <c r="T4555" s="71" t="n">
        <v>1047080.75</v>
      </c>
      <c r="U4555" t="inlineStr">
        <is>
          <t>High</t>
        </is>
      </c>
      <c r="V4555">
        <f>IF(AND(OR(Dashboard!$C$6="All",E4555=Dashboard!$C$6),OR(Dashboard!$F$6="All",G4555=Dashboard!$F$6),OR(Dashboard!$I$6="All",H4555=Dashboard!$I$6)),1,0)</f>
        <v/>
      </c>
    </row>
    <row r="4556">
      <c r="A4556" t="inlineStr">
        <is>
          <t>PF104547</t>
        </is>
      </c>
      <c r="B4556" s="68" t="n">
        <v>46205</v>
      </c>
      <c r="C4556" s="69" t="n">
        <v>2026</v>
      </c>
      <c r="D4556" t="inlineStr">
        <is>
          <t>Jul</t>
        </is>
      </c>
      <c r="E4556" t="inlineStr">
        <is>
          <t>United States</t>
        </is>
      </c>
      <c r="F4556" t="inlineStr">
        <is>
          <t>USA</t>
        </is>
      </c>
      <c r="G4556" t="inlineStr">
        <is>
          <t>Abrysvo</t>
        </is>
      </c>
      <c r="H4556" t="inlineStr">
        <is>
          <t>Hospital</t>
        </is>
      </c>
      <c r="I4556" t="inlineStr">
        <is>
          <t>Public payer</t>
        </is>
      </c>
      <c r="J4556" t="inlineStr">
        <is>
          <t>Wei Chen</t>
        </is>
      </c>
      <c r="K4556" s="70" t="n">
        <v>1246</v>
      </c>
      <c r="L4556" s="71" t="n">
        <v>539.1</v>
      </c>
      <c r="M4556" s="71" t="n">
        <v>671718.6</v>
      </c>
      <c r="N4556" s="71" t="n">
        <v>235101.51</v>
      </c>
      <c r="O4556" s="71" t="n">
        <v>436617.09</v>
      </c>
      <c r="P4556" s="71" t="n">
        <v>100849.5</v>
      </c>
      <c r="Q4556" s="71" t="n">
        <v>335767.59</v>
      </c>
      <c r="R4556" t="inlineStr">
        <is>
          <t>Vaccines</t>
        </is>
      </c>
      <c r="S4556" s="70" t="n">
        <v>917</v>
      </c>
      <c r="T4556" s="71" t="n">
        <v>109078.35</v>
      </c>
      <c r="U4556" t="inlineStr">
        <is>
          <t>Low</t>
        </is>
      </c>
      <c r="V4556">
        <f>IF(AND(OR(Dashboard!$C$6="All",E4556=Dashboard!$C$6),OR(Dashboard!$F$6="All",G4556=Dashboard!$F$6),OR(Dashboard!$I$6="All",H4556=Dashboard!$I$6)),1,0)</f>
        <v/>
      </c>
    </row>
    <row r="4557">
      <c r="A4557" t="inlineStr">
        <is>
          <t>PF104548</t>
        </is>
      </c>
      <c r="B4557" s="68" t="n">
        <v>46205</v>
      </c>
      <c r="C4557" s="69" t="n">
        <v>2026</v>
      </c>
      <c r="D4557" t="inlineStr">
        <is>
          <t>Jul</t>
        </is>
      </c>
      <c r="E4557" t="inlineStr">
        <is>
          <t>Europe</t>
        </is>
      </c>
      <c r="F4557" t="inlineStr">
        <is>
          <t>Germany</t>
        </is>
      </c>
      <c r="G4557" t="inlineStr">
        <is>
          <t>Prevnar 20</t>
        </is>
      </c>
      <c r="H4557" t="inlineStr">
        <is>
          <t>Retail pharmacy</t>
        </is>
      </c>
      <c r="I4557" t="inlineStr">
        <is>
          <t>Public payer</t>
        </is>
      </c>
      <c r="J4557" t="inlineStr">
        <is>
          <t>Noah Smith</t>
        </is>
      </c>
      <c r="K4557" s="70" t="n">
        <v>3088</v>
      </c>
      <c r="L4557" s="71" t="n">
        <v>255</v>
      </c>
      <c r="M4557" s="71" t="n">
        <v>787440</v>
      </c>
      <c r="N4557" s="71" t="n">
        <v>39372</v>
      </c>
      <c r="O4557" s="71" t="n">
        <v>748068</v>
      </c>
      <c r="P4557" s="71" t="n">
        <v>207789.64</v>
      </c>
      <c r="Q4557" s="71" t="n">
        <v>540278.36</v>
      </c>
      <c r="R4557" t="inlineStr">
        <is>
          <t>Vaccines</t>
        </is>
      </c>
      <c r="S4557" s="70" t="n">
        <v>2241</v>
      </c>
      <c r="T4557" s="71" t="n">
        <v>106463.91</v>
      </c>
      <c r="U4557" t="inlineStr">
        <is>
          <t>Low</t>
        </is>
      </c>
      <c r="V4557">
        <f>IF(AND(OR(Dashboard!$C$6="All",E4557=Dashboard!$C$6),OR(Dashboard!$F$6="All",G4557=Dashboard!$F$6),OR(Dashboard!$I$6="All",H4557=Dashboard!$I$6)),1,0)</f>
        <v/>
      </c>
    </row>
    <row r="4558">
      <c r="A4558" t="inlineStr">
        <is>
          <t>PF104549</t>
        </is>
      </c>
      <c r="B4558" s="68" t="n">
        <v>46205</v>
      </c>
      <c r="C4558" s="69" t="n">
        <v>2026</v>
      </c>
      <c r="D4558" t="inlineStr">
        <is>
          <t>Jul</t>
        </is>
      </c>
      <c r="E4558" t="inlineStr">
        <is>
          <t>International developed</t>
        </is>
      </c>
      <c r="F4558" t="inlineStr">
        <is>
          <t>Canada</t>
        </is>
      </c>
      <c r="G4558" t="inlineStr">
        <is>
          <t>Vyndaqel</t>
        </is>
      </c>
      <c r="H4558" t="inlineStr">
        <is>
          <t>Retail pharmacy</t>
        </is>
      </c>
      <c r="I4558" t="inlineStr">
        <is>
          <t>Public payer</t>
        </is>
      </c>
      <c r="J4558" t="inlineStr">
        <is>
          <t>Carlos Silva</t>
        </is>
      </c>
      <c r="K4558" s="70" t="n">
        <v>2241</v>
      </c>
      <c r="L4558" s="71" t="n">
        <v>6194.51</v>
      </c>
      <c r="M4558" s="71" t="n">
        <v>13881896.91</v>
      </c>
      <c r="N4558" s="71" t="n">
        <v>1388189.69</v>
      </c>
      <c r="O4558" s="71" t="n">
        <v>12493707.22</v>
      </c>
      <c r="P4558" s="71" t="n">
        <v>1380737.62</v>
      </c>
      <c r="Q4558" s="71" t="n">
        <v>11112969.6</v>
      </c>
      <c r="R4558" t="inlineStr">
        <is>
          <t>Rare disease</t>
        </is>
      </c>
      <c r="S4558" s="70" t="n">
        <v>1905</v>
      </c>
      <c r="T4558" s="71" t="n">
        <v>2157276.89</v>
      </c>
      <c r="U4558" t="inlineStr">
        <is>
          <t>Medium</t>
        </is>
      </c>
      <c r="V4558">
        <f>IF(AND(OR(Dashboard!$C$6="All",E4558=Dashboard!$C$6),OR(Dashboard!$F$6="All",G4558=Dashboard!$F$6),OR(Dashboard!$I$6="All",H4558=Dashboard!$I$6)),1,0)</f>
        <v/>
      </c>
    </row>
    <row r="4559">
      <c r="A4559" t="inlineStr">
        <is>
          <t>PF104550</t>
        </is>
      </c>
      <c r="B4559" s="68" t="n">
        <v>46205</v>
      </c>
      <c r="C4559" s="69" t="n">
        <v>2026</v>
      </c>
      <c r="D4559" t="inlineStr">
        <is>
          <t>Jul</t>
        </is>
      </c>
      <c r="E4559" t="inlineStr">
        <is>
          <t>Europe</t>
        </is>
      </c>
      <c r="F4559" t="inlineStr">
        <is>
          <t>Italy</t>
        </is>
      </c>
      <c r="G4559" t="inlineStr">
        <is>
          <t>Xeljanz</t>
        </is>
      </c>
      <c r="H4559" t="inlineStr">
        <is>
          <t>Government / tender</t>
        </is>
      </c>
      <c r="I4559" t="inlineStr">
        <is>
          <t>Private insurer</t>
        </is>
      </c>
      <c r="J4559" t="inlineStr">
        <is>
          <t>Lucas Martin</t>
        </is>
      </c>
      <c r="K4559" s="70" t="n">
        <v>2809</v>
      </c>
      <c r="L4559" s="71" t="n">
        <v>1437.74</v>
      </c>
      <c r="M4559" s="71" t="n">
        <v>4038611.66</v>
      </c>
      <c r="N4559" s="71" t="n">
        <v>605791.75</v>
      </c>
      <c r="O4559" s="71" t="n">
        <v>3432819.91</v>
      </c>
      <c r="P4559" s="71" t="n">
        <v>706729.85</v>
      </c>
      <c r="Q4559" s="71" t="n">
        <v>2726090.06</v>
      </c>
      <c r="R4559" t="inlineStr">
        <is>
          <t>Inflammation</t>
        </is>
      </c>
      <c r="S4559" s="70" t="n">
        <v>2273</v>
      </c>
      <c r="T4559" s="71" t="n">
        <v>849655.1899999999</v>
      </c>
      <c r="U4559" t="inlineStr">
        <is>
          <t>High</t>
        </is>
      </c>
      <c r="V4559">
        <f>IF(AND(OR(Dashboard!$C$6="All",E4559=Dashboard!$C$6),OR(Dashboard!$F$6="All",G4559=Dashboard!$F$6),OR(Dashboard!$I$6="All",H4559=Dashboard!$I$6)),1,0)</f>
        <v/>
      </c>
    </row>
    <row r="4560">
      <c r="A4560" t="inlineStr">
        <is>
          <t>PF104551</t>
        </is>
      </c>
      <c r="B4560" s="68" t="n">
        <v>46205</v>
      </c>
      <c r="C4560" s="69" t="n">
        <v>2026</v>
      </c>
      <c r="D4560" t="inlineStr">
        <is>
          <t>Jul</t>
        </is>
      </c>
      <c r="E4560" t="inlineStr">
        <is>
          <t>International developed</t>
        </is>
      </c>
      <c r="F4560" t="inlineStr">
        <is>
          <t>Canada</t>
        </is>
      </c>
      <c r="G4560" t="inlineStr">
        <is>
          <t>Vyndaqel</t>
        </is>
      </c>
      <c r="H4560" t="inlineStr">
        <is>
          <t>Retail pharmacy</t>
        </is>
      </c>
      <c r="I4560" t="inlineStr">
        <is>
          <t>Public payer</t>
        </is>
      </c>
      <c r="J4560" t="inlineStr">
        <is>
          <t>Wei Chen</t>
        </is>
      </c>
      <c r="K4560" s="70" t="n">
        <v>1954</v>
      </c>
      <c r="L4560" s="71" t="n">
        <v>5829.85</v>
      </c>
      <c r="M4560" s="71" t="n">
        <v>11391526.9</v>
      </c>
      <c r="N4560" s="71" t="n">
        <v>2847881.73</v>
      </c>
      <c r="O4560" s="71" t="n">
        <v>8543645.17</v>
      </c>
      <c r="P4560" s="71" t="n">
        <v>1233634.3</v>
      </c>
      <c r="Q4560" s="71" t="n">
        <v>7310010.87</v>
      </c>
      <c r="R4560" t="inlineStr">
        <is>
          <t>Rare disease</t>
        </is>
      </c>
      <c r="S4560" s="70" t="n">
        <v>1269</v>
      </c>
      <c r="T4560" s="71" t="n">
        <v>2018854.06</v>
      </c>
      <c r="U4560" t="inlineStr">
        <is>
          <t>Medium</t>
        </is>
      </c>
      <c r="V4560">
        <f>IF(AND(OR(Dashboard!$C$6="All",E4560=Dashboard!$C$6),OR(Dashboard!$F$6="All",G4560=Dashboard!$F$6),OR(Dashboard!$I$6="All",H4560=Dashboard!$I$6)),1,0)</f>
        <v/>
      </c>
    </row>
    <row r="4561">
      <c r="A4561" t="inlineStr">
        <is>
          <t>PF104552</t>
        </is>
      </c>
      <c r="B4561" s="68" t="n">
        <v>46205</v>
      </c>
      <c r="C4561" s="69" t="n">
        <v>2026</v>
      </c>
      <c r="D4561" t="inlineStr">
        <is>
          <t>Jul</t>
        </is>
      </c>
      <c r="E4561" t="inlineStr">
        <is>
          <t>International developed</t>
        </is>
      </c>
      <c r="F4561" t="inlineStr">
        <is>
          <t>Japan</t>
        </is>
      </c>
      <c r="G4561" t="inlineStr">
        <is>
          <t>Eliquis</t>
        </is>
      </c>
      <c r="H4561" t="inlineStr">
        <is>
          <t>Government / tender</t>
        </is>
      </c>
      <c r="I4561" t="inlineStr">
        <is>
          <t>Public payer</t>
        </is>
      </c>
      <c r="J4561" t="inlineStr">
        <is>
          <t>Lucas Martin</t>
        </is>
      </c>
      <c r="K4561" s="70" t="n">
        <v>2307</v>
      </c>
      <c r="L4561" s="71" t="n">
        <v>459.51</v>
      </c>
      <c r="M4561" s="71" t="n">
        <v>1060089.57</v>
      </c>
      <c r="N4561" s="71" t="n">
        <v>212017.91</v>
      </c>
      <c r="O4561" s="71" t="n">
        <v>848071.66</v>
      </c>
      <c r="P4561" s="71" t="n">
        <v>177887.26</v>
      </c>
      <c r="Q4561" s="71" t="n">
        <v>670184.4</v>
      </c>
      <c r="R4561" t="inlineStr">
        <is>
          <t>Cardiology</t>
        </is>
      </c>
      <c r="S4561" s="70" t="n">
        <v>1699</v>
      </c>
      <c r="T4561" s="71" t="n">
        <v>178506.08</v>
      </c>
      <c r="U4561" t="inlineStr">
        <is>
          <t>High</t>
        </is>
      </c>
      <c r="V4561">
        <f>IF(AND(OR(Dashboard!$C$6="All",E4561=Dashboard!$C$6),OR(Dashboard!$F$6="All",G4561=Dashboard!$F$6),OR(Dashboard!$I$6="All",H4561=Dashboard!$I$6)),1,0)</f>
        <v/>
      </c>
    </row>
    <row r="4562">
      <c r="A4562" t="inlineStr">
        <is>
          <t>PF104553</t>
        </is>
      </c>
      <c r="B4562" s="68" t="n">
        <v>46205</v>
      </c>
      <c r="C4562" s="69" t="n">
        <v>2026</v>
      </c>
      <c r="D4562" t="inlineStr">
        <is>
          <t>Jul</t>
        </is>
      </c>
      <c r="E4562" t="inlineStr">
        <is>
          <t>United States</t>
        </is>
      </c>
      <c r="F4562" t="inlineStr">
        <is>
          <t>USA</t>
        </is>
      </c>
      <c r="G4562" t="inlineStr">
        <is>
          <t>Xeljanz</t>
        </is>
      </c>
      <c r="H4562" t="inlineStr">
        <is>
          <t>Hospital</t>
        </is>
      </c>
      <c r="I4562" t="inlineStr">
        <is>
          <t>Private insurer</t>
        </is>
      </c>
      <c r="J4562" t="inlineStr">
        <is>
          <t>Zoya Ahmed</t>
        </is>
      </c>
      <c r="K4562" s="70" t="n">
        <v>1496</v>
      </c>
      <c r="L4562" s="71" t="n">
        <v>2237.49</v>
      </c>
      <c r="M4562" s="71" t="n">
        <v>3347285.04</v>
      </c>
      <c r="N4562" s="71" t="n">
        <v>1004185.51</v>
      </c>
      <c r="O4562" s="71" t="n">
        <v>2343099.53</v>
      </c>
      <c r="P4562" s="71" t="n">
        <v>386133.04</v>
      </c>
      <c r="Q4562" s="71" t="n">
        <v>1956966.49</v>
      </c>
      <c r="R4562" t="inlineStr">
        <is>
          <t>Inflammation</t>
        </is>
      </c>
      <c r="S4562" s="70" t="n">
        <v>1306</v>
      </c>
      <c r="T4562" s="71" t="n">
        <v>759313.52</v>
      </c>
      <c r="U4562" t="inlineStr">
        <is>
          <t>High</t>
        </is>
      </c>
      <c r="V4562">
        <f>IF(AND(OR(Dashboard!$C$6="All",E4562=Dashboard!$C$6),OR(Dashboard!$F$6="All",G4562=Dashboard!$F$6),OR(Dashboard!$I$6="All",H4562=Dashboard!$I$6)),1,0)</f>
        <v/>
      </c>
    </row>
    <row r="4563">
      <c r="A4563" t="inlineStr">
        <is>
          <t>PF104554</t>
        </is>
      </c>
      <c r="B4563" s="68" t="n">
        <v>46205</v>
      </c>
      <c r="C4563" s="69" t="n">
        <v>2026</v>
      </c>
      <c r="D4563" t="inlineStr">
        <is>
          <t>Jul</t>
        </is>
      </c>
      <c r="E4563" t="inlineStr">
        <is>
          <t>United States</t>
        </is>
      </c>
      <c r="F4563" t="inlineStr">
        <is>
          <t>USA</t>
        </is>
      </c>
      <c r="G4563" t="inlineStr">
        <is>
          <t>Vyndaqel</t>
        </is>
      </c>
      <c r="H4563" t="inlineStr">
        <is>
          <t>Retail pharmacy</t>
        </is>
      </c>
      <c r="I4563" t="inlineStr">
        <is>
          <t>Public payer</t>
        </is>
      </c>
      <c r="J4563" t="inlineStr">
        <is>
          <t>Kofi Mensah</t>
        </is>
      </c>
      <c r="K4563" s="70" t="n">
        <v>364</v>
      </c>
      <c r="L4563" s="71" t="n">
        <v>9265.17</v>
      </c>
      <c r="M4563" s="71" t="n">
        <v>3372521.88</v>
      </c>
      <c r="N4563" s="71" t="n">
        <v>674504.38</v>
      </c>
      <c r="O4563" s="71" t="n">
        <v>2698017.5</v>
      </c>
      <c r="P4563" s="71" t="n">
        <v>225840.16</v>
      </c>
      <c r="Q4563" s="71" t="n">
        <v>2472177.34</v>
      </c>
      <c r="R4563" t="inlineStr">
        <is>
          <t>Rare disease</t>
        </is>
      </c>
      <c r="S4563" s="70" t="n">
        <v>260</v>
      </c>
      <c r="T4563" s="71" t="n">
        <v>406003.65</v>
      </c>
      <c r="U4563" t="inlineStr">
        <is>
          <t>Medium</t>
        </is>
      </c>
      <c r="V4563">
        <f>IF(AND(OR(Dashboard!$C$6="All",E4563=Dashboard!$C$6),OR(Dashboard!$F$6="All",G4563=Dashboard!$F$6),OR(Dashboard!$I$6="All",H4563=Dashboard!$I$6)),1,0)</f>
        <v/>
      </c>
    </row>
    <row r="4564">
      <c r="A4564" t="inlineStr">
        <is>
          <t>PF104555</t>
        </is>
      </c>
      <c r="B4564" s="68" t="n">
        <v>46205</v>
      </c>
      <c r="C4564" s="69" t="n">
        <v>2026</v>
      </c>
      <c r="D4564" t="inlineStr">
        <is>
          <t>Jul</t>
        </is>
      </c>
      <c r="E4564" t="inlineStr">
        <is>
          <t>United States</t>
        </is>
      </c>
      <c r="F4564" t="inlineStr">
        <is>
          <t>USA</t>
        </is>
      </c>
      <c r="G4564" t="inlineStr">
        <is>
          <t>Prevnar 20</t>
        </is>
      </c>
      <c r="H4564" t="inlineStr">
        <is>
          <t>Retail pharmacy</t>
        </is>
      </c>
      <c r="I4564" t="inlineStr">
        <is>
          <t>Public payer</t>
        </is>
      </c>
      <c r="J4564" t="inlineStr">
        <is>
          <t>Arjun Mehta</t>
        </is>
      </c>
      <c r="K4564" s="70" t="n">
        <v>1957</v>
      </c>
      <c r="L4564" s="71" t="n">
        <v>396.86</v>
      </c>
      <c r="M4564" s="71" t="n">
        <v>776655.02</v>
      </c>
      <c r="N4564" s="71" t="n">
        <v>194163.76</v>
      </c>
      <c r="O4564" s="71" t="n">
        <v>582491.26</v>
      </c>
      <c r="P4564" s="71" t="n">
        <v>134937.67</v>
      </c>
      <c r="Q4564" s="71" t="n">
        <v>447553.59</v>
      </c>
      <c r="R4564" t="inlineStr">
        <is>
          <t>Vaccines</t>
        </is>
      </c>
      <c r="S4564" s="70" t="n">
        <v>1787</v>
      </c>
      <c r="T4564" s="71" t="n">
        <v>106356.09</v>
      </c>
      <c r="U4564" t="inlineStr">
        <is>
          <t>Low</t>
        </is>
      </c>
      <c r="V4564">
        <f>IF(AND(OR(Dashboard!$C$6="All",E4564=Dashboard!$C$6),OR(Dashboard!$F$6="All",G4564=Dashboard!$F$6),OR(Dashboard!$I$6="All",H4564=Dashboard!$I$6)),1,0)</f>
        <v/>
      </c>
    </row>
    <row r="4565">
      <c r="A4565" t="inlineStr">
        <is>
          <t>PF104556</t>
        </is>
      </c>
      <c r="B4565" s="68" t="n">
        <v>46205</v>
      </c>
      <c r="C4565" s="69" t="n">
        <v>2026</v>
      </c>
      <c r="D4565" t="inlineStr">
        <is>
          <t>Jul</t>
        </is>
      </c>
      <c r="E4565" t="inlineStr">
        <is>
          <t>Emerging markets</t>
        </is>
      </c>
      <c r="F4565" t="inlineStr">
        <is>
          <t>India</t>
        </is>
      </c>
      <c r="G4565" t="inlineStr">
        <is>
          <t>Vyndaqel</t>
        </is>
      </c>
      <c r="H4565" t="inlineStr">
        <is>
          <t>Hospital</t>
        </is>
      </c>
      <c r="I4565" t="inlineStr">
        <is>
          <t>Public payer</t>
        </is>
      </c>
      <c r="J4565" t="inlineStr">
        <is>
          <t>Emma Clarke</t>
        </is>
      </c>
      <c r="K4565" s="70" t="n">
        <v>1041</v>
      </c>
      <c r="L4565" s="71" t="n">
        <v>5498.73</v>
      </c>
      <c r="M4565" s="71" t="n">
        <v>5724177.93</v>
      </c>
      <c r="N4565" s="71" t="n">
        <v>286208.9</v>
      </c>
      <c r="O4565" s="71" t="n">
        <v>5437969.03</v>
      </c>
      <c r="P4565" s="71" t="n">
        <v>628075.22</v>
      </c>
      <c r="Q4565" s="71" t="n">
        <v>4809893.81</v>
      </c>
      <c r="R4565" t="inlineStr">
        <is>
          <t>Rare disease</t>
        </is>
      </c>
      <c r="S4565" s="70" t="n">
        <v>853</v>
      </c>
      <c r="T4565" s="71" t="n">
        <v>904647.3199999999</v>
      </c>
      <c r="U4565" t="inlineStr">
        <is>
          <t>Medium</t>
        </is>
      </c>
      <c r="V4565">
        <f>IF(AND(OR(Dashboard!$C$6="All",E4565=Dashboard!$C$6),OR(Dashboard!$F$6="All",G4565=Dashboard!$F$6),OR(Dashboard!$I$6="All",H4565=Dashboard!$I$6)),1,0)</f>
        <v/>
      </c>
    </row>
    <row r="4566">
      <c r="A4566" t="inlineStr">
        <is>
          <t>PF104557</t>
        </is>
      </c>
      <c r="B4566" s="68" t="n">
        <v>46205</v>
      </c>
      <c r="C4566" s="69" t="n">
        <v>2026</v>
      </c>
      <c r="D4566" t="inlineStr">
        <is>
          <t>Jul</t>
        </is>
      </c>
      <c r="E4566" t="inlineStr">
        <is>
          <t>United States</t>
        </is>
      </c>
      <c r="F4566" t="inlineStr">
        <is>
          <t>USA</t>
        </is>
      </c>
      <c r="G4566" t="inlineStr">
        <is>
          <t>Abrysvo</t>
        </is>
      </c>
      <c r="H4566" t="inlineStr">
        <is>
          <t>Retail pharmacy</t>
        </is>
      </c>
      <c r="I4566" t="inlineStr">
        <is>
          <t>Private insurer</t>
        </is>
      </c>
      <c r="J4566" t="inlineStr">
        <is>
          <t>Ruhi Shaikh</t>
        </is>
      </c>
      <c r="K4566" s="70" t="n">
        <v>2991</v>
      </c>
      <c r="L4566" s="71" t="n">
        <v>554.8200000000001</v>
      </c>
      <c r="M4566" s="71" t="n">
        <v>1659466.62</v>
      </c>
      <c r="N4566" s="71" t="n">
        <v>414866.66</v>
      </c>
      <c r="O4566" s="71" t="n">
        <v>1244599.96</v>
      </c>
      <c r="P4566" s="71" t="n">
        <v>246835.33</v>
      </c>
      <c r="Q4566" s="71" t="n">
        <v>997764.63</v>
      </c>
      <c r="R4566" t="inlineStr">
        <is>
          <t>Vaccines</t>
        </is>
      </c>
      <c r="S4566" s="70" t="n">
        <v>2791</v>
      </c>
      <c r="T4566" s="71" t="n">
        <v>193429.76</v>
      </c>
      <c r="U4566" t="inlineStr">
        <is>
          <t>Low</t>
        </is>
      </c>
      <c r="V4566">
        <f>IF(AND(OR(Dashboard!$C$6="All",E4566=Dashboard!$C$6),OR(Dashboard!$F$6="All",G4566=Dashboard!$F$6),OR(Dashboard!$I$6="All",H4566=Dashboard!$I$6)),1,0)</f>
        <v/>
      </c>
    </row>
    <row r="4567">
      <c r="A4567" t="inlineStr">
        <is>
          <t>PF104558</t>
        </is>
      </c>
      <c r="B4567" s="68" t="n">
        <v>46205</v>
      </c>
      <c r="C4567" s="69" t="n">
        <v>2026</v>
      </c>
      <c r="D4567" t="inlineStr">
        <is>
          <t>Jul</t>
        </is>
      </c>
      <c r="E4567" t="inlineStr">
        <is>
          <t>Europe</t>
        </is>
      </c>
      <c r="F4567" t="inlineStr">
        <is>
          <t>Italy</t>
        </is>
      </c>
      <c r="G4567" t="inlineStr">
        <is>
          <t>Eliquis</t>
        </is>
      </c>
      <c r="H4567" t="inlineStr">
        <is>
          <t>Government / tender</t>
        </is>
      </c>
      <c r="I4567" t="inlineStr">
        <is>
          <t>Public payer</t>
        </is>
      </c>
      <c r="J4567" t="inlineStr">
        <is>
          <t>Olivia Brown</t>
        </is>
      </c>
      <c r="K4567" s="70" t="n">
        <v>2700</v>
      </c>
      <c r="L4567" s="71" t="n">
        <v>475.39</v>
      </c>
      <c r="M4567" s="71" t="n">
        <v>1283553</v>
      </c>
      <c r="N4567" s="71" t="n">
        <v>64177.65</v>
      </c>
      <c r="O4567" s="71" t="n">
        <v>1219375.35</v>
      </c>
      <c r="P4567" s="71" t="n">
        <v>204274.18</v>
      </c>
      <c r="Q4567" s="71" t="n">
        <v>1015101.17</v>
      </c>
      <c r="R4567" t="inlineStr">
        <is>
          <t>Cardiology</t>
        </is>
      </c>
      <c r="S4567" s="70" t="n">
        <v>1720</v>
      </c>
      <c r="T4567" s="71" t="n">
        <v>163424.67</v>
      </c>
      <c r="U4567" t="inlineStr">
        <is>
          <t>High</t>
        </is>
      </c>
      <c r="V4567">
        <f>IF(AND(OR(Dashboard!$C$6="All",E4567=Dashboard!$C$6),OR(Dashboard!$F$6="All",G4567=Dashboard!$F$6),OR(Dashboard!$I$6="All",H4567=Dashboard!$I$6)),1,0)</f>
        <v/>
      </c>
    </row>
    <row r="4568">
      <c r="A4568" t="inlineStr">
        <is>
          <t>PF104559</t>
        </is>
      </c>
      <c r="B4568" s="68" t="n">
        <v>46205</v>
      </c>
      <c r="C4568" s="69" t="n">
        <v>2026</v>
      </c>
      <c r="D4568" t="inlineStr">
        <is>
          <t>Jul</t>
        </is>
      </c>
      <c r="E4568" t="inlineStr">
        <is>
          <t>United States</t>
        </is>
      </c>
      <c r="F4568" t="inlineStr">
        <is>
          <t>USA</t>
        </is>
      </c>
      <c r="G4568" t="inlineStr">
        <is>
          <t>Vyndaqel</t>
        </is>
      </c>
      <c r="H4568" t="inlineStr">
        <is>
          <t>Retail pharmacy</t>
        </is>
      </c>
      <c r="I4568" t="inlineStr">
        <is>
          <t>Private insurer</t>
        </is>
      </c>
      <c r="J4568" t="inlineStr">
        <is>
          <t>Zoya Ahmed</t>
        </is>
      </c>
      <c r="K4568" s="70" t="n">
        <v>2445</v>
      </c>
      <c r="L4568" s="71" t="n">
        <v>8537.059999999999</v>
      </c>
      <c r="M4568" s="71" t="n">
        <v>20873111.7</v>
      </c>
      <c r="N4568" s="71" t="n">
        <v>7305589.09</v>
      </c>
      <c r="O4568" s="71" t="n">
        <v>13567522.61</v>
      </c>
      <c r="P4568" s="71" t="n">
        <v>1499686.85</v>
      </c>
      <c r="Q4568" s="71" t="n">
        <v>12067835.76</v>
      </c>
      <c r="R4568" t="inlineStr">
        <is>
          <t>Rare disease</t>
        </is>
      </c>
      <c r="S4568" s="70" t="n">
        <v>1866</v>
      </c>
      <c r="T4568" s="71" t="n">
        <v>2819024.69</v>
      </c>
      <c r="U4568" t="inlineStr">
        <is>
          <t>Medium</t>
        </is>
      </c>
      <c r="V4568">
        <f>IF(AND(OR(Dashboard!$C$6="All",E4568=Dashboard!$C$6),OR(Dashboard!$F$6="All",G4568=Dashboard!$F$6),OR(Dashboard!$I$6="All",H4568=Dashboard!$I$6)),1,0)</f>
        <v/>
      </c>
    </row>
    <row r="4569">
      <c r="A4569" t="inlineStr">
        <is>
          <t>PF104560</t>
        </is>
      </c>
      <c r="B4569" s="68" t="n">
        <v>46206</v>
      </c>
      <c r="C4569" s="69" t="n">
        <v>2026</v>
      </c>
      <c r="D4569" t="inlineStr">
        <is>
          <t>Jul</t>
        </is>
      </c>
      <c r="E4569" t="inlineStr">
        <is>
          <t>Emerging markets</t>
        </is>
      </c>
      <c r="F4569" t="inlineStr">
        <is>
          <t>Brazil</t>
        </is>
      </c>
      <c r="G4569" t="inlineStr">
        <is>
          <t>Paxlovid</t>
        </is>
      </c>
      <c r="H4569" t="inlineStr">
        <is>
          <t>Hospital</t>
        </is>
      </c>
      <c r="I4569" t="inlineStr">
        <is>
          <t>Self-pay</t>
        </is>
      </c>
      <c r="J4569" t="inlineStr">
        <is>
          <t>Hiroshi Tanaka</t>
        </is>
      </c>
      <c r="K4569" s="70" t="n">
        <v>1417</v>
      </c>
      <c r="L4569" s="71" t="n">
        <v>885.8200000000001</v>
      </c>
      <c r="M4569" s="71" t="n">
        <v>1255206.94</v>
      </c>
      <c r="N4569" s="71" t="n">
        <v>313801.73</v>
      </c>
      <c r="O4569" s="71" t="n">
        <v>941405.21</v>
      </c>
      <c r="P4569" s="71" t="n">
        <v>374448.07</v>
      </c>
      <c r="Q4569" s="71" t="n">
        <v>566957.14</v>
      </c>
      <c r="R4569" t="inlineStr">
        <is>
          <t>Antiviral</t>
        </is>
      </c>
      <c r="S4569" s="70" t="n">
        <v>1161</v>
      </c>
      <c r="T4569" s="71" t="n">
        <v>222374.69</v>
      </c>
      <c r="U4569" t="inlineStr">
        <is>
          <t>Low</t>
        </is>
      </c>
      <c r="V4569">
        <f>IF(AND(OR(Dashboard!$C$6="All",E4569=Dashboard!$C$6),OR(Dashboard!$F$6="All",G4569=Dashboard!$F$6),OR(Dashboard!$I$6="All",H4569=Dashboard!$I$6)),1,0)</f>
        <v/>
      </c>
    </row>
    <row r="4570">
      <c r="A4570" t="inlineStr">
        <is>
          <t>PF104561</t>
        </is>
      </c>
      <c r="B4570" s="68" t="n">
        <v>46206</v>
      </c>
      <c r="C4570" s="69" t="n">
        <v>2026</v>
      </c>
      <c r="D4570" t="inlineStr">
        <is>
          <t>Jul</t>
        </is>
      </c>
      <c r="E4570" t="inlineStr">
        <is>
          <t>Europe</t>
        </is>
      </c>
      <c r="F4570" t="inlineStr">
        <is>
          <t>Spain</t>
        </is>
      </c>
      <c r="G4570" t="inlineStr">
        <is>
          <t>Comirnaty</t>
        </is>
      </c>
      <c r="H4570" t="inlineStr">
        <is>
          <t>Government / tender</t>
        </is>
      </c>
      <c r="I4570" t="inlineStr">
        <is>
          <t>Private insurer</t>
        </is>
      </c>
      <c r="J4570" t="inlineStr">
        <is>
          <t>Zoya Ahmed</t>
        </is>
      </c>
      <c r="K4570" s="70" t="n">
        <v>466</v>
      </c>
      <c r="L4570" s="71" t="n">
        <v>83.29000000000001</v>
      </c>
      <c r="M4570" s="71" t="n">
        <v>38813.14</v>
      </c>
      <c r="N4570" s="71" t="n">
        <v>3881.31</v>
      </c>
      <c r="O4570" s="71" t="n">
        <v>34931.83</v>
      </c>
      <c r="P4570" s="71" t="n">
        <v>17957.75</v>
      </c>
      <c r="Q4570" s="71" t="n">
        <v>16974.08</v>
      </c>
      <c r="R4570" t="inlineStr">
        <is>
          <t>Vaccines</t>
        </is>
      </c>
      <c r="S4570" s="70" t="n">
        <v>307</v>
      </c>
      <c r="T4570" s="71" t="n">
        <v>6609.06</v>
      </c>
      <c r="U4570" t="inlineStr">
        <is>
          <t>Low</t>
        </is>
      </c>
      <c r="V4570">
        <f>IF(AND(OR(Dashboard!$C$6="All",E4570=Dashboard!$C$6),OR(Dashboard!$F$6="All",G4570=Dashboard!$F$6),OR(Dashboard!$I$6="All",H4570=Dashboard!$I$6)),1,0)</f>
        <v/>
      </c>
    </row>
    <row r="4571">
      <c r="A4571" t="inlineStr">
        <is>
          <t>PF104562</t>
        </is>
      </c>
      <c r="B4571" s="68" t="n">
        <v>46206</v>
      </c>
      <c r="C4571" s="69" t="n">
        <v>2026</v>
      </c>
      <c r="D4571" t="inlineStr">
        <is>
          <t>Jul</t>
        </is>
      </c>
      <c r="E4571" t="inlineStr">
        <is>
          <t>United States</t>
        </is>
      </c>
      <c r="F4571" t="inlineStr">
        <is>
          <t>USA</t>
        </is>
      </c>
      <c r="G4571" t="inlineStr">
        <is>
          <t>Comirnaty</t>
        </is>
      </c>
      <c r="H4571" t="inlineStr">
        <is>
          <t>Retail pharmacy</t>
        </is>
      </c>
      <c r="I4571" t="inlineStr">
        <is>
          <t>Private insurer</t>
        </is>
      </c>
      <c r="J4571" t="inlineStr">
        <is>
          <t>Sara Rossi</t>
        </is>
      </c>
      <c r="K4571" s="70" t="n">
        <v>1484</v>
      </c>
      <c r="L4571" s="71" t="n">
        <v>154.06</v>
      </c>
      <c r="M4571" s="71" t="n">
        <v>228625.04</v>
      </c>
      <c r="N4571" s="71" t="n">
        <v>34293.76</v>
      </c>
      <c r="O4571" s="71" t="n">
        <v>194331.28</v>
      </c>
      <c r="P4571" s="71" t="n">
        <v>55816.92</v>
      </c>
      <c r="Q4571" s="71" t="n">
        <v>138514.36</v>
      </c>
      <c r="R4571" t="inlineStr">
        <is>
          <t>Vaccines</t>
        </is>
      </c>
      <c r="S4571" s="70" t="n">
        <v>1366</v>
      </c>
      <c r="T4571" s="71" t="n">
        <v>54375.05</v>
      </c>
      <c r="U4571" t="inlineStr">
        <is>
          <t>Low</t>
        </is>
      </c>
      <c r="V4571">
        <f>IF(AND(OR(Dashboard!$C$6="All",E4571=Dashboard!$C$6),OR(Dashboard!$F$6="All",G4571=Dashboard!$F$6),OR(Dashboard!$I$6="All",H4571=Dashboard!$I$6)),1,0)</f>
        <v/>
      </c>
    </row>
    <row r="4572">
      <c r="A4572" t="inlineStr">
        <is>
          <t>PF104563</t>
        </is>
      </c>
      <c r="B4572" s="68" t="n">
        <v>46206</v>
      </c>
      <c r="C4572" s="69" t="n">
        <v>2026</v>
      </c>
      <c r="D4572" t="inlineStr">
        <is>
          <t>Jul</t>
        </is>
      </c>
      <c r="E4572" t="inlineStr">
        <is>
          <t>Europe</t>
        </is>
      </c>
      <c r="F4572" t="inlineStr">
        <is>
          <t>Italy</t>
        </is>
      </c>
      <c r="G4572" t="inlineStr">
        <is>
          <t>Vyndaqel</t>
        </is>
      </c>
      <c r="H4572" t="inlineStr">
        <is>
          <t>Hospital</t>
        </is>
      </c>
      <c r="I4572" t="inlineStr">
        <is>
          <t>Public payer</t>
        </is>
      </c>
      <c r="J4572" t="inlineStr">
        <is>
          <t>Fatima Al-Saud</t>
        </is>
      </c>
      <c r="K4572" s="70" t="n">
        <v>2022</v>
      </c>
      <c r="L4572" s="71" t="n">
        <v>5440.29</v>
      </c>
      <c r="M4572" s="71" t="n">
        <v>11000266.38</v>
      </c>
      <c r="N4572" s="71" t="n">
        <v>2200053.28</v>
      </c>
      <c r="O4572" s="71" t="n">
        <v>8800213.1</v>
      </c>
      <c r="P4572" s="71" t="n">
        <v>1251376.46</v>
      </c>
      <c r="Q4572" s="71" t="n">
        <v>7548836.64</v>
      </c>
      <c r="R4572" t="inlineStr">
        <is>
          <t>Rare disease</t>
        </is>
      </c>
      <c r="S4572" s="70" t="n">
        <v>1442</v>
      </c>
      <c r="T4572" s="71" t="n">
        <v>1381002.78</v>
      </c>
      <c r="U4572" t="inlineStr">
        <is>
          <t>Medium</t>
        </is>
      </c>
      <c r="V4572">
        <f>IF(AND(OR(Dashboard!$C$6="All",E4572=Dashboard!$C$6),OR(Dashboard!$F$6="All",G4572=Dashboard!$F$6),OR(Dashboard!$I$6="All",H4572=Dashboard!$I$6)),1,0)</f>
        <v/>
      </c>
    </row>
    <row r="4573">
      <c r="A4573" t="inlineStr">
        <is>
          <t>PF104564</t>
        </is>
      </c>
      <c r="B4573" s="68" t="n">
        <v>46206</v>
      </c>
      <c r="C4573" s="69" t="n">
        <v>2026</v>
      </c>
      <c r="D4573" t="inlineStr">
        <is>
          <t>Jul</t>
        </is>
      </c>
      <c r="E4573" t="inlineStr">
        <is>
          <t>United States</t>
        </is>
      </c>
      <c r="F4573" t="inlineStr">
        <is>
          <t>USA</t>
        </is>
      </c>
      <c r="G4573" t="inlineStr">
        <is>
          <t>Xeljanz</t>
        </is>
      </c>
      <c r="H4573" t="inlineStr">
        <is>
          <t>Government / tender</t>
        </is>
      </c>
      <c r="I4573" t="inlineStr">
        <is>
          <t>Public payer</t>
        </is>
      </c>
      <c r="J4573" t="inlineStr">
        <is>
          <t>Ana Costa</t>
        </is>
      </c>
      <c r="K4573" s="70" t="n">
        <v>2667</v>
      </c>
      <c r="L4573" s="71" t="n">
        <v>2256.85</v>
      </c>
      <c r="M4573" s="71" t="n">
        <v>6019018.95</v>
      </c>
      <c r="N4573" s="71" t="n">
        <v>2106656.63</v>
      </c>
      <c r="O4573" s="71" t="n">
        <v>3912362.32</v>
      </c>
      <c r="P4573" s="71" t="n">
        <v>671732.23</v>
      </c>
      <c r="Q4573" s="71" t="n">
        <v>3240630.09</v>
      </c>
      <c r="R4573" t="inlineStr">
        <is>
          <t>Inflammation</t>
        </is>
      </c>
      <c r="S4573" s="70" t="n">
        <v>2567</v>
      </c>
      <c r="T4573" s="71" t="n">
        <v>792136.15</v>
      </c>
      <c r="U4573" t="inlineStr">
        <is>
          <t>High</t>
        </is>
      </c>
      <c r="V4573">
        <f>IF(AND(OR(Dashboard!$C$6="All",E4573=Dashboard!$C$6),OR(Dashboard!$F$6="All",G4573=Dashboard!$F$6),OR(Dashboard!$I$6="All",H4573=Dashboard!$I$6)),1,0)</f>
        <v/>
      </c>
    </row>
    <row r="4574">
      <c r="A4574" t="inlineStr">
        <is>
          <t>PF104565</t>
        </is>
      </c>
      <c r="B4574" s="68" t="n">
        <v>46207</v>
      </c>
      <c r="C4574" s="69" t="n">
        <v>2026</v>
      </c>
      <c r="D4574" t="inlineStr">
        <is>
          <t>Jul</t>
        </is>
      </c>
      <c r="E4574" t="inlineStr">
        <is>
          <t>United States</t>
        </is>
      </c>
      <c r="F4574" t="inlineStr">
        <is>
          <t>USA</t>
        </is>
      </c>
      <c r="G4574" t="inlineStr">
        <is>
          <t>Abrysvo</t>
        </is>
      </c>
      <c r="H4574" t="inlineStr">
        <is>
          <t>Government / tender</t>
        </is>
      </c>
      <c r="I4574" t="inlineStr">
        <is>
          <t>Private insurer</t>
        </is>
      </c>
      <c r="J4574" t="inlineStr">
        <is>
          <t>Hiroshi Tanaka</t>
        </is>
      </c>
      <c r="K4574" s="70" t="n">
        <v>3176</v>
      </c>
      <c r="L4574" s="71" t="n">
        <v>540.77</v>
      </c>
      <c r="M4574" s="71" t="n">
        <v>1717485.52</v>
      </c>
      <c r="N4574" s="71" t="n">
        <v>343497.1</v>
      </c>
      <c r="O4574" s="71" t="n">
        <v>1373988.42</v>
      </c>
      <c r="P4574" s="71" t="n">
        <v>258417.15</v>
      </c>
      <c r="Q4574" s="71" t="n">
        <v>1115571.27</v>
      </c>
      <c r="R4574" t="inlineStr">
        <is>
          <t>Vaccines</t>
        </is>
      </c>
      <c r="S4574" s="70" t="n">
        <v>2025</v>
      </c>
      <c r="T4574" s="71" t="n">
        <v>203195.56</v>
      </c>
      <c r="U4574" t="inlineStr">
        <is>
          <t>Low</t>
        </is>
      </c>
      <c r="V4574">
        <f>IF(AND(OR(Dashboard!$C$6="All",E4574=Dashboard!$C$6),OR(Dashboard!$F$6="All",G4574=Dashboard!$F$6),OR(Dashboard!$I$6="All",H4574=Dashboard!$I$6)),1,0)</f>
        <v/>
      </c>
    </row>
    <row r="4575">
      <c r="A4575" t="inlineStr">
        <is>
          <t>PF104566</t>
        </is>
      </c>
      <c r="B4575" s="68" t="n">
        <v>46207</v>
      </c>
      <c r="C4575" s="69" t="n">
        <v>2026</v>
      </c>
      <c r="D4575" t="inlineStr">
        <is>
          <t>Jul</t>
        </is>
      </c>
      <c r="E4575" t="inlineStr">
        <is>
          <t>Emerging markets</t>
        </is>
      </c>
      <c r="F4575" t="inlineStr">
        <is>
          <t>Mexico</t>
        </is>
      </c>
      <c r="G4575" t="inlineStr">
        <is>
          <t>Abrysvo</t>
        </is>
      </c>
      <c r="H4575" t="inlineStr">
        <is>
          <t>Hospital</t>
        </is>
      </c>
      <c r="I4575" t="inlineStr">
        <is>
          <t>Public payer</t>
        </is>
      </c>
      <c r="J4575" t="inlineStr">
        <is>
          <t>Sophie Müller</t>
        </is>
      </c>
      <c r="K4575" s="70" t="n">
        <v>943</v>
      </c>
      <c r="L4575" s="71" t="n">
        <v>337.04</v>
      </c>
      <c r="M4575" s="71" t="n">
        <v>317828.72</v>
      </c>
      <c r="N4575" s="71" t="n">
        <v>79457.17999999999</v>
      </c>
      <c r="O4575" s="71" t="n">
        <v>238371.54</v>
      </c>
      <c r="P4575" s="71" t="n">
        <v>78702.21000000001</v>
      </c>
      <c r="Q4575" s="71" t="n">
        <v>159669.33</v>
      </c>
      <c r="R4575" t="inlineStr">
        <is>
          <t>Vaccines</t>
        </is>
      </c>
      <c r="S4575" s="70" t="n">
        <v>667</v>
      </c>
      <c r="T4575" s="71" t="n">
        <v>59300.93</v>
      </c>
      <c r="U4575" t="inlineStr">
        <is>
          <t>Low</t>
        </is>
      </c>
      <c r="V4575">
        <f>IF(AND(OR(Dashboard!$C$6="All",E4575=Dashboard!$C$6),OR(Dashboard!$F$6="All",G4575=Dashboard!$F$6),OR(Dashboard!$I$6="All",H4575=Dashboard!$I$6)),1,0)</f>
        <v/>
      </c>
    </row>
    <row r="4576">
      <c r="A4576" t="inlineStr">
        <is>
          <t>PF104567</t>
        </is>
      </c>
      <c r="B4576" s="68" t="n">
        <v>46207</v>
      </c>
      <c r="C4576" s="69" t="n">
        <v>2026</v>
      </c>
      <c r="D4576" t="inlineStr">
        <is>
          <t>Jul</t>
        </is>
      </c>
      <c r="E4576" t="inlineStr">
        <is>
          <t>United States</t>
        </is>
      </c>
      <c r="F4576" t="inlineStr">
        <is>
          <t>USA</t>
        </is>
      </c>
      <c r="G4576" t="inlineStr">
        <is>
          <t>Paxlovid</t>
        </is>
      </c>
      <c r="H4576" t="inlineStr">
        <is>
          <t>Retail pharmacy</t>
        </is>
      </c>
      <c r="I4576" t="inlineStr">
        <is>
          <t>Private insurer</t>
        </is>
      </c>
      <c r="J4576" t="inlineStr">
        <is>
          <t>Hiroshi Tanaka</t>
        </is>
      </c>
      <c r="K4576" s="70" t="n">
        <v>1447</v>
      </c>
      <c r="L4576" s="71" t="n">
        <v>1372.59</v>
      </c>
      <c r="M4576" s="71" t="n">
        <v>1986137.73</v>
      </c>
      <c r="N4576" s="71" t="n">
        <v>695148.21</v>
      </c>
      <c r="O4576" s="71" t="n">
        <v>1290989.52</v>
      </c>
      <c r="P4576" s="71" t="n">
        <v>390781.22</v>
      </c>
      <c r="Q4576" s="71" t="n">
        <v>900208.3</v>
      </c>
      <c r="R4576" t="inlineStr">
        <is>
          <t>Antiviral</t>
        </is>
      </c>
      <c r="S4576" s="70" t="n">
        <v>939</v>
      </c>
      <c r="T4576" s="71" t="n">
        <v>427157.06</v>
      </c>
      <c r="U4576" t="inlineStr">
        <is>
          <t>Low</t>
        </is>
      </c>
      <c r="V4576">
        <f>IF(AND(OR(Dashboard!$C$6="All",E4576=Dashboard!$C$6),OR(Dashboard!$F$6="All",G4576=Dashboard!$F$6),OR(Dashboard!$I$6="All",H4576=Dashboard!$I$6)),1,0)</f>
        <v/>
      </c>
    </row>
    <row r="4577">
      <c r="A4577" t="inlineStr">
        <is>
          <t>PF104568</t>
        </is>
      </c>
      <c r="B4577" s="68" t="n">
        <v>46207</v>
      </c>
      <c r="C4577" s="69" t="n">
        <v>2026</v>
      </c>
      <c r="D4577" t="inlineStr">
        <is>
          <t>Jul</t>
        </is>
      </c>
      <c r="E4577" t="inlineStr">
        <is>
          <t>United States</t>
        </is>
      </c>
      <c r="F4577" t="inlineStr">
        <is>
          <t>USA</t>
        </is>
      </c>
      <c r="G4577" t="inlineStr">
        <is>
          <t>Prevnar 20</t>
        </is>
      </c>
      <c r="H4577" t="inlineStr">
        <is>
          <t>Government / tender</t>
        </is>
      </c>
      <c r="I4577" t="inlineStr">
        <is>
          <t>Private insurer</t>
        </is>
      </c>
      <c r="J4577" t="inlineStr">
        <is>
          <t>Sara Rossi</t>
        </is>
      </c>
      <c r="K4577" s="70" t="n">
        <v>3063</v>
      </c>
      <c r="L4577" s="71" t="n">
        <v>345.54</v>
      </c>
      <c r="M4577" s="71" t="n">
        <v>1058389.02</v>
      </c>
      <c r="N4577" s="71" t="n">
        <v>264597.26</v>
      </c>
      <c r="O4577" s="71" t="n">
        <v>793791.76</v>
      </c>
      <c r="P4577" s="71" t="n">
        <v>203512.98</v>
      </c>
      <c r="Q4577" s="71" t="n">
        <v>590278.78</v>
      </c>
      <c r="R4577" t="inlineStr">
        <is>
          <t>Vaccines</t>
        </is>
      </c>
      <c r="S4577" s="70" t="n">
        <v>2473</v>
      </c>
      <c r="T4577" s="71" t="n">
        <v>218665.51</v>
      </c>
      <c r="U4577" t="inlineStr">
        <is>
          <t>Low</t>
        </is>
      </c>
      <c r="V4577">
        <f>IF(AND(OR(Dashboard!$C$6="All",E4577=Dashboard!$C$6),OR(Dashboard!$F$6="All",G4577=Dashboard!$F$6),OR(Dashboard!$I$6="All",H4577=Dashboard!$I$6)),1,0)</f>
        <v/>
      </c>
    </row>
    <row r="4578">
      <c r="A4578" t="inlineStr">
        <is>
          <t>PF104569</t>
        </is>
      </c>
      <c r="B4578" s="68" t="n">
        <v>46207</v>
      </c>
      <c r="C4578" s="69" t="n">
        <v>2026</v>
      </c>
      <c r="D4578" t="inlineStr">
        <is>
          <t>Jul</t>
        </is>
      </c>
      <c r="E4578" t="inlineStr">
        <is>
          <t>United States</t>
        </is>
      </c>
      <c r="F4578" t="inlineStr">
        <is>
          <t>USA</t>
        </is>
      </c>
      <c r="G4578" t="inlineStr">
        <is>
          <t>Comirnaty</t>
        </is>
      </c>
      <c r="H4578" t="inlineStr">
        <is>
          <t>Retail pharmacy</t>
        </is>
      </c>
      <c r="I4578" t="inlineStr">
        <is>
          <t>Private insurer</t>
        </is>
      </c>
      <c r="J4578" t="inlineStr">
        <is>
          <t>Hiroshi Tanaka</t>
        </is>
      </c>
      <c r="K4578" s="70" t="n">
        <v>2127</v>
      </c>
      <c r="L4578" s="71" t="n">
        <v>135.15</v>
      </c>
      <c r="M4578" s="71" t="n">
        <v>287464.05</v>
      </c>
      <c r="N4578" s="71" t="n">
        <v>43119.61</v>
      </c>
      <c r="O4578" s="71" t="n">
        <v>244344.44</v>
      </c>
      <c r="P4578" s="71" t="n">
        <v>82691.92</v>
      </c>
      <c r="Q4578" s="71" t="n">
        <v>161652.52</v>
      </c>
      <c r="R4578" t="inlineStr">
        <is>
          <t>Vaccines</t>
        </is>
      </c>
      <c r="S4578" s="70" t="n">
        <v>1404</v>
      </c>
      <c r="T4578" s="71" t="n">
        <v>47664.88</v>
      </c>
      <c r="U4578" t="inlineStr">
        <is>
          <t>Low</t>
        </is>
      </c>
      <c r="V4578">
        <f>IF(AND(OR(Dashboard!$C$6="All",E4578=Dashboard!$C$6),OR(Dashboard!$F$6="All",G4578=Dashboard!$F$6),OR(Dashboard!$I$6="All",H4578=Dashboard!$I$6)),1,0)</f>
        <v/>
      </c>
    </row>
    <row r="4579">
      <c r="A4579" t="inlineStr">
        <is>
          <t>PF104570</t>
        </is>
      </c>
      <c r="B4579" s="68" t="n">
        <v>46207</v>
      </c>
      <c r="C4579" s="69" t="n">
        <v>2026</v>
      </c>
      <c r="D4579" t="inlineStr">
        <is>
          <t>Jul</t>
        </is>
      </c>
      <c r="E4579" t="inlineStr">
        <is>
          <t>United States</t>
        </is>
      </c>
      <c r="F4579" t="inlineStr">
        <is>
          <t>USA</t>
        </is>
      </c>
      <c r="G4579" t="inlineStr">
        <is>
          <t>Prevnar 20</t>
        </is>
      </c>
      <c r="H4579" t="inlineStr">
        <is>
          <t>Hospital</t>
        </is>
      </c>
      <c r="I4579" t="inlineStr">
        <is>
          <t>Private insurer</t>
        </is>
      </c>
      <c r="J4579" t="inlineStr">
        <is>
          <t>Wei Chen</t>
        </is>
      </c>
      <c r="K4579" s="70" t="n">
        <v>625</v>
      </c>
      <c r="L4579" s="71" t="n">
        <v>407.16</v>
      </c>
      <c r="M4579" s="71" t="n">
        <v>254475</v>
      </c>
      <c r="N4579" s="71" t="n">
        <v>50895</v>
      </c>
      <c r="O4579" s="71" t="n">
        <v>203580</v>
      </c>
      <c r="P4579" s="71" t="n">
        <v>42390.95</v>
      </c>
      <c r="Q4579" s="71" t="n">
        <v>161189.05</v>
      </c>
      <c r="R4579" t="inlineStr">
        <is>
          <t>Vaccines</t>
        </is>
      </c>
      <c r="S4579" s="70" t="n">
        <v>543</v>
      </c>
      <c r="T4579" s="71" t="n">
        <v>38802.38</v>
      </c>
      <c r="U4579" t="inlineStr">
        <is>
          <t>Low</t>
        </is>
      </c>
      <c r="V4579">
        <f>IF(AND(OR(Dashboard!$C$6="All",E4579=Dashboard!$C$6),OR(Dashboard!$F$6="All",G4579=Dashboard!$F$6),OR(Dashboard!$I$6="All",H4579=Dashboard!$I$6)),1,0)</f>
        <v/>
      </c>
    </row>
    <row r="4580">
      <c r="A4580" t="inlineStr">
        <is>
          <t>PF104571</t>
        </is>
      </c>
      <c r="B4580" s="68" t="n">
        <v>46207</v>
      </c>
      <c r="C4580" s="69" t="n">
        <v>2026</v>
      </c>
      <c r="D4580" t="inlineStr">
        <is>
          <t>Jul</t>
        </is>
      </c>
      <c r="E4580" t="inlineStr">
        <is>
          <t>United States</t>
        </is>
      </c>
      <c r="F4580" t="inlineStr">
        <is>
          <t>USA</t>
        </is>
      </c>
      <c r="G4580" t="inlineStr">
        <is>
          <t>Eliquis</t>
        </is>
      </c>
      <c r="H4580" t="inlineStr">
        <is>
          <t>Government / tender</t>
        </is>
      </c>
      <c r="I4580" t="inlineStr">
        <is>
          <t>Public payer</t>
        </is>
      </c>
      <c r="J4580" t="inlineStr">
        <is>
          <t>Ravindra Patil</t>
        </is>
      </c>
      <c r="K4580" s="70" t="n">
        <v>1815</v>
      </c>
      <c r="L4580" s="71" t="n">
        <v>683.1</v>
      </c>
      <c r="M4580" s="71" t="n">
        <v>1239826.5</v>
      </c>
      <c r="N4580" s="71" t="n">
        <v>247965.3</v>
      </c>
      <c r="O4580" s="71" t="n">
        <v>991861.2</v>
      </c>
      <c r="P4580" s="71" t="n">
        <v>136833.77</v>
      </c>
      <c r="Q4580" s="71" t="n">
        <v>855027.4300000001</v>
      </c>
      <c r="R4580" t="inlineStr">
        <is>
          <t>Cardiology</t>
        </is>
      </c>
      <c r="S4580" s="70" t="n">
        <v>1233</v>
      </c>
      <c r="T4580" s="71" t="n">
        <v>191434.81</v>
      </c>
      <c r="U4580" t="inlineStr">
        <is>
          <t>High</t>
        </is>
      </c>
      <c r="V4580">
        <f>IF(AND(OR(Dashboard!$C$6="All",E4580=Dashboard!$C$6),OR(Dashboard!$F$6="All",G4580=Dashboard!$F$6),OR(Dashboard!$I$6="All",H4580=Dashboard!$I$6)),1,0)</f>
        <v/>
      </c>
    </row>
    <row r="4581">
      <c r="A4581" t="inlineStr">
        <is>
          <t>PF104572</t>
        </is>
      </c>
      <c r="B4581" s="68" t="n">
        <v>46208</v>
      </c>
      <c r="C4581" s="69" t="n">
        <v>2026</v>
      </c>
      <c r="D4581" t="inlineStr">
        <is>
          <t>Jul</t>
        </is>
      </c>
      <c r="E4581" t="inlineStr">
        <is>
          <t>Emerging markets</t>
        </is>
      </c>
      <c r="F4581" t="inlineStr">
        <is>
          <t>Mexico</t>
        </is>
      </c>
      <c r="G4581" t="inlineStr">
        <is>
          <t>Eliquis</t>
        </is>
      </c>
      <c r="H4581" t="inlineStr">
        <is>
          <t>Retail pharmacy</t>
        </is>
      </c>
      <c r="I4581" t="inlineStr">
        <is>
          <t>Public payer</t>
        </is>
      </c>
      <c r="J4581" t="inlineStr">
        <is>
          <t>Yuki Sato</t>
        </is>
      </c>
      <c r="K4581" s="70" t="n">
        <v>1332</v>
      </c>
      <c r="L4581" s="71" t="n">
        <v>429.67</v>
      </c>
      <c r="M4581" s="71" t="n">
        <v>572320.4399999999</v>
      </c>
      <c r="N4581" s="71" t="n">
        <v>114464.09</v>
      </c>
      <c r="O4581" s="71" t="n">
        <v>457856.35</v>
      </c>
      <c r="P4581" s="71" t="n">
        <v>100547.89</v>
      </c>
      <c r="Q4581" s="71" t="n">
        <v>357308.46</v>
      </c>
      <c r="R4581" t="inlineStr">
        <is>
          <t>Cardiology</t>
        </is>
      </c>
      <c r="S4581" s="70" t="n">
        <v>1046</v>
      </c>
      <c r="T4581" s="71" t="n">
        <v>69151.25999999999</v>
      </c>
      <c r="U4581" t="inlineStr">
        <is>
          <t>High</t>
        </is>
      </c>
      <c r="V4581">
        <f>IF(AND(OR(Dashboard!$C$6="All",E4581=Dashboard!$C$6),OR(Dashboard!$F$6="All",G4581=Dashboard!$F$6),OR(Dashboard!$I$6="All",H4581=Dashboard!$I$6)),1,0)</f>
        <v/>
      </c>
    </row>
    <row r="4582">
      <c r="A4582" t="inlineStr">
        <is>
          <t>PF104573</t>
        </is>
      </c>
      <c r="B4582" s="68" t="n">
        <v>46208</v>
      </c>
      <c r="C4582" s="69" t="n">
        <v>2026</v>
      </c>
      <c r="D4582" t="inlineStr">
        <is>
          <t>Jul</t>
        </is>
      </c>
      <c r="E4582" t="inlineStr">
        <is>
          <t>Europe</t>
        </is>
      </c>
      <c r="F4582" t="inlineStr">
        <is>
          <t>Spain</t>
        </is>
      </c>
      <c r="G4582" t="inlineStr">
        <is>
          <t>Eliquis</t>
        </is>
      </c>
      <c r="H4582" t="inlineStr">
        <is>
          <t>Retail pharmacy</t>
        </is>
      </c>
      <c r="I4582" t="inlineStr">
        <is>
          <t>Private insurer</t>
        </is>
      </c>
      <c r="J4582" t="inlineStr">
        <is>
          <t>Hiroshi Tanaka</t>
        </is>
      </c>
      <c r="K4582" s="70" t="n">
        <v>489</v>
      </c>
      <c r="L4582" s="71" t="n">
        <v>457.93</v>
      </c>
      <c r="M4582" s="71" t="n">
        <v>223927.77</v>
      </c>
      <c r="N4582" s="71" t="n">
        <v>11196.39</v>
      </c>
      <c r="O4582" s="71" t="n">
        <v>212731.38</v>
      </c>
      <c r="P4582" s="71" t="n">
        <v>38124.9</v>
      </c>
      <c r="Q4582" s="71" t="n">
        <v>174606.48</v>
      </c>
      <c r="R4582" t="inlineStr">
        <is>
          <t>Cardiology</t>
        </is>
      </c>
      <c r="S4582" s="70" t="n">
        <v>451</v>
      </c>
      <c r="T4582" s="71" t="n">
        <v>28231.58</v>
      </c>
      <c r="U4582" t="inlineStr">
        <is>
          <t>High</t>
        </is>
      </c>
      <c r="V4582">
        <f>IF(AND(OR(Dashboard!$C$6="All",E4582=Dashboard!$C$6),OR(Dashboard!$F$6="All",G4582=Dashboard!$F$6),OR(Dashboard!$I$6="All",H4582=Dashboard!$I$6)),1,0)</f>
        <v/>
      </c>
    </row>
    <row r="4583">
      <c r="A4583" t="inlineStr">
        <is>
          <t>PF104574</t>
        </is>
      </c>
      <c r="B4583" s="68" t="n">
        <v>46208</v>
      </c>
      <c r="C4583" s="69" t="n">
        <v>2026</v>
      </c>
      <c r="D4583" t="inlineStr">
        <is>
          <t>Jul</t>
        </is>
      </c>
      <c r="E4583" t="inlineStr">
        <is>
          <t>International developed</t>
        </is>
      </c>
      <c r="F4583" t="inlineStr">
        <is>
          <t>Japan</t>
        </is>
      </c>
      <c r="G4583" t="inlineStr">
        <is>
          <t>Comirnaty</t>
        </is>
      </c>
      <c r="H4583" t="inlineStr">
        <is>
          <t>Hospital</t>
        </is>
      </c>
      <c r="I4583" t="inlineStr">
        <is>
          <t>Private insurer</t>
        </is>
      </c>
      <c r="J4583" t="inlineStr">
        <is>
          <t>Lucas Martin</t>
        </is>
      </c>
      <c r="K4583" s="70" t="n">
        <v>100</v>
      </c>
      <c r="L4583" s="71" t="n">
        <v>93.79000000000001</v>
      </c>
      <c r="M4583" s="71" t="n">
        <v>9379</v>
      </c>
      <c r="N4583" s="71" t="n">
        <v>1406.85</v>
      </c>
      <c r="O4583" s="71" t="n">
        <v>7972.15</v>
      </c>
      <c r="P4583" s="71" t="n">
        <v>3770.79</v>
      </c>
      <c r="Q4583" s="71" t="n">
        <v>4201.36</v>
      </c>
      <c r="R4583" t="inlineStr">
        <is>
          <t>Vaccines</t>
        </is>
      </c>
      <c r="S4583" s="70" t="n">
        <v>65</v>
      </c>
      <c r="T4583" s="71" t="n">
        <v>1989.07</v>
      </c>
      <c r="U4583" t="inlineStr">
        <is>
          <t>Low</t>
        </is>
      </c>
      <c r="V4583">
        <f>IF(AND(OR(Dashboard!$C$6="All",E4583=Dashboard!$C$6),OR(Dashboard!$F$6="All",G4583=Dashboard!$F$6),OR(Dashboard!$I$6="All",H4583=Dashboard!$I$6)),1,0)</f>
        <v/>
      </c>
    </row>
    <row r="4584">
      <c r="A4584" t="inlineStr">
        <is>
          <t>PF104575</t>
        </is>
      </c>
      <c r="B4584" s="68" t="n">
        <v>46208</v>
      </c>
      <c r="C4584" s="69" t="n">
        <v>2026</v>
      </c>
      <c r="D4584" t="inlineStr">
        <is>
          <t>Jul</t>
        </is>
      </c>
      <c r="E4584" t="inlineStr">
        <is>
          <t>International developed</t>
        </is>
      </c>
      <c r="F4584" t="inlineStr">
        <is>
          <t>Canada</t>
        </is>
      </c>
      <c r="G4584" t="inlineStr">
        <is>
          <t>Paxlovid</t>
        </is>
      </c>
      <c r="H4584" t="inlineStr">
        <is>
          <t>Government / tender</t>
        </is>
      </c>
      <c r="I4584" t="inlineStr">
        <is>
          <t>Private insurer</t>
        </is>
      </c>
      <c r="J4584" t="inlineStr">
        <is>
          <t>Ravindra Patil</t>
        </is>
      </c>
      <c r="K4584" s="70" t="n">
        <v>512</v>
      </c>
      <c r="L4584" s="71" t="n">
        <v>992.98</v>
      </c>
      <c r="M4584" s="71" t="n">
        <v>508405.76</v>
      </c>
      <c r="N4584" s="71" t="n">
        <v>50840.58</v>
      </c>
      <c r="O4584" s="71" t="n">
        <v>457565.18</v>
      </c>
      <c r="P4584" s="71" t="n">
        <v>135829.57</v>
      </c>
      <c r="Q4584" s="71" t="n">
        <v>321735.61</v>
      </c>
      <c r="R4584" t="inlineStr">
        <is>
          <t>Antiviral</t>
        </is>
      </c>
      <c r="S4584" s="70" t="n">
        <v>495</v>
      </c>
      <c r="T4584" s="71" t="n">
        <v>114471.19</v>
      </c>
      <c r="U4584" t="inlineStr">
        <is>
          <t>Low</t>
        </is>
      </c>
      <c r="V4584">
        <f>IF(AND(OR(Dashboard!$C$6="All",E4584=Dashboard!$C$6),OR(Dashboard!$F$6="All",G4584=Dashboard!$F$6),OR(Dashboard!$I$6="All",H4584=Dashboard!$I$6)),1,0)</f>
        <v/>
      </c>
    </row>
    <row r="4585">
      <c r="A4585" t="inlineStr">
        <is>
          <t>PF104576</t>
        </is>
      </c>
      <c r="B4585" s="68" t="n">
        <v>46208</v>
      </c>
      <c r="C4585" s="69" t="n">
        <v>2026</v>
      </c>
      <c r="D4585" t="inlineStr">
        <is>
          <t>Jul</t>
        </is>
      </c>
      <c r="E4585" t="inlineStr">
        <is>
          <t>Europe</t>
        </is>
      </c>
      <c r="F4585" t="inlineStr">
        <is>
          <t>Germany</t>
        </is>
      </c>
      <c r="G4585" t="inlineStr">
        <is>
          <t>Prevnar 20</t>
        </is>
      </c>
      <c r="H4585" t="inlineStr">
        <is>
          <t>Hospital</t>
        </is>
      </c>
      <c r="I4585" t="inlineStr">
        <is>
          <t>Self-pay</t>
        </is>
      </c>
      <c r="J4585" t="inlineStr">
        <is>
          <t>Wei Chen</t>
        </is>
      </c>
      <c r="K4585" s="70" t="n">
        <v>2972</v>
      </c>
      <c r="L4585" s="71" t="n">
        <v>217.3</v>
      </c>
      <c r="M4585" s="71" t="n">
        <v>645815.6</v>
      </c>
      <c r="N4585" s="71" t="n">
        <v>64581.56</v>
      </c>
      <c r="O4585" s="71" t="n">
        <v>581234.04</v>
      </c>
      <c r="P4585" s="71" t="n">
        <v>208057.53</v>
      </c>
      <c r="Q4585" s="71" t="n">
        <v>373176.51</v>
      </c>
      <c r="R4585" t="inlineStr">
        <is>
          <t>Vaccines</t>
        </is>
      </c>
      <c r="S4585" s="70" t="n">
        <v>2066</v>
      </c>
      <c r="T4585" s="71" t="n">
        <v>113904.25</v>
      </c>
      <c r="U4585" t="inlineStr">
        <is>
          <t>Low</t>
        </is>
      </c>
      <c r="V4585">
        <f>IF(AND(OR(Dashboard!$C$6="All",E4585=Dashboard!$C$6),OR(Dashboard!$F$6="All",G4585=Dashboard!$F$6),OR(Dashboard!$I$6="All",H4585=Dashboard!$I$6)),1,0)</f>
        <v/>
      </c>
    </row>
    <row r="4586">
      <c r="A4586" t="inlineStr">
        <is>
          <t>PF104577</t>
        </is>
      </c>
      <c r="B4586" s="68" t="n">
        <v>46208</v>
      </c>
      <c r="C4586" s="69" t="n">
        <v>2026</v>
      </c>
      <c r="D4586" t="inlineStr">
        <is>
          <t>Jul</t>
        </is>
      </c>
      <c r="E4586" t="inlineStr">
        <is>
          <t>Emerging markets</t>
        </is>
      </c>
      <c r="F4586" t="inlineStr">
        <is>
          <t>India</t>
        </is>
      </c>
      <c r="G4586" t="inlineStr">
        <is>
          <t>Xeljanz</t>
        </is>
      </c>
      <c r="H4586" t="inlineStr">
        <is>
          <t>Hospital</t>
        </is>
      </c>
      <c r="I4586" t="inlineStr">
        <is>
          <t>Public payer</t>
        </is>
      </c>
      <c r="J4586" t="inlineStr">
        <is>
          <t>Omar Haddad</t>
        </is>
      </c>
      <c r="K4586" s="70" t="n">
        <v>437</v>
      </c>
      <c r="L4586" s="71" t="n">
        <v>1351.48</v>
      </c>
      <c r="M4586" s="71" t="n">
        <v>590596.76</v>
      </c>
      <c r="N4586" s="71" t="n">
        <v>59059.68</v>
      </c>
      <c r="O4586" s="71" t="n">
        <v>531537.08</v>
      </c>
      <c r="P4586" s="71" t="n">
        <v>113449.63</v>
      </c>
      <c r="Q4586" s="71" t="n">
        <v>418087.45</v>
      </c>
      <c r="R4586" t="inlineStr">
        <is>
          <t>Inflammation</t>
        </is>
      </c>
      <c r="S4586" s="70" t="n">
        <v>276</v>
      </c>
      <c r="T4586" s="71" t="n">
        <v>115716.63</v>
      </c>
      <c r="U4586" t="inlineStr">
        <is>
          <t>High</t>
        </is>
      </c>
      <c r="V4586">
        <f>IF(AND(OR(Dashboard!$C$6="All",E4586=Dashboard!$C$6),OR(Dashboard!$F$6="All",G4586=Dashboard!$F$6),OR(Dashboard!$I$6="All",H4586=Dashboard!$I$6)),1,0)</f>
        <v/>
      </c>
    </row>
    <row r="4587">
      <c r="A4587" t="inlineStr">
        <is>
          <t>PF104578</t>
        </is>
      </c>
      <c r="B4587" s="68" t="n">
        <v>46209</v>
      </c>
      <c r="C4587" s="69" t="n">
        <v>2026</v>
      </c>
      <c r="D4587" t="inlineStr">
        <is>
          <t>Jul</t>
        </is>
      </c>
      <c r="E4587" t="inlineStr">
        <is>
          <t>International developed</t>
        </is>
      </c>
      <c r="F4587" t="inlineStr">
        <is>
          <t>Japan</t>
        </is>
      </c>
      <c r="G4587" t="inlineStr">
        <is>
          <t>Prevnar 20</t>
        </is>
      </c>
      <c r="H4587" t="inlineStr">
        <is>
          <t>Hospital</t>
        </is>
      </c>
      <c r="I4587" t="inlineStr">
        <is>
          <t>Public payer</t>
        </is>
      </c>
      <c r="J4587" t="inlineStr">
        <is>
          <t>Omar Haddad</t>
        </is>
      </c>
      <c r="K4587" s="70" t="n">
        <v>1463</v>
      </c>
      <c r="L4587" s="71" t="n">
        <v>211.35</v>
      </c>
      <c r="M4587" s="71" t="n">
        <v>309205.05</v>
      </c>
      <c r="N4587" s="71" t="n">
        <v>46380.76</v>
      </c>
      <c r="O4587" s="71" t="n">
        <v>262824.29</v>
      </c>
      <c r="P4587" s="71" t="n">
        <v>102504.81</v>
      </c>
      <c r="Q4587" s="71" t="n">
        <v>160319.48</v>
      </c>
      <c r="R4587" t="inlineStr">
        <is>
          <t>Vaccines</t>
        </is>
      </c>
      <c r="S4587" s="70" t="n">
        <v>1286</v>
      </c>
      <c r="T4587" s="71" t="n">
        <v>64083.27</v>
      </c>
      <c r="U4587" t="inlineStr">
        <is>
          <t>Low</t>
        </is>
      </c>
      <c r="V4587">
        <f>IF(AND(OR(Dashboard!$C$6="All",E4587=Dashboard!$C$6),OR(Dashboard!$F$6="All",G4587=Dashboard!$F$6),OR(Dashboard!$I$6="All",H4587=Dashboard!$I$6)),1,0)</f>
        <v/>
      </c>
    </row>
    <row r="4588">
      <c r="A4588" t="inlineStr">
        <is>
          <t>PF104579</t>
        </is>
      </c>
      <c r="B4588" s="68" t="n">
        <v>46209</v>
      </c>
      <c r="C4588" s="69" t="n">
        <v>2026</v>
      </c>
      <c r="D4588" t="inlineStr">
        <is>
          <t>Jul</t>
        </is>
      </c>
      <c r="E4588" t="inlineStr">
        <is>
          <t>United States</t>
        </is>
      </c>
      <c r="F4588" t="inlineStr">
        <is>
          <t>USA</t>
        </is>
      </c>
      <c r="G4588" t="inlineStr">
        <is>
          <t>Prevnar 20</t>
        </is>
      </c>
      <c r="H4588" t="inlineStr">
        <is>
          <t>Retail pharmacy</t>
        </is>
      </c>
      <c r="I4588" t="inlineStr">
        <is>
          <t>Self-pay</t>
        </is>
      </c>
      <c r="J4588" t="inlineStr">
        <is>
          <t>Yuki Sato</t>
        </is>
      </c>
      <c r="K4588" s="70" t="n">
        <v>2823</v>
      </c>
      <c r="L4588" s="71" t="n">
        <v>350.27</v>
      </c>
      <c r="M4588" s="71" t="n">
        <v>988812.21</v>
      </c>
      <c r="N4588" s="71" t="n">
        <v>346084.27</v>
      </c>
      <c r="O4588" s="71" t="n">
        <v>642727.9399999999</v>
      </c>
      <c r="P4588" s="71" t="n">
        <v>188852.34</v>
      </c>
      <c r="Q4588" s="71" t="n">
        <v>453875.6</v>
      </c>
      <c r="R4588" t="inlineStr">
        <is>
          <t>Vaccines</t>
        </is>
      </c>
      <c r="S4588" s="70" t="n">
        <v>2484</v>
      </c>
      <c r="T4588" s="71" t="n">
        <v>179671.86</v>
      </c>
      <c r="U4588" t="inlineStr">
        <is>
          <t>Low</t>
        </is>
      </c>
      <c r="V4588">
        <f>IF(AND(OR(Dashboard!$C$6="All",E4588=Dashboard!$C$6),OR(Dashboard!$F$6="All",G4588=Dashboard!$F$6),OR(Dashboard!$I$6="All",H4588=Dashboard!$I$6)),1,0)</f>
        <v/>
      </c>
    </row>
    <row r="4589">
      <c r="A4589" t="inlineStr">
        <is>
          <t>PF104580</t>
        </is>
      </c>
      <c r="B4589" s="68" t="n">
        <v>46209</v>
      </c>
      <c r="C4589" s="69" t="n">
        <v>2026</v>
      </c>
      <c r="D4589" t="inlineStr">
        <is>
          <t>Jul</t>
        </is>
      </c>
      <c r="E4589" t="inlineStr">
        <is>
          <t>International developed</t>
        </is>
      </c>
      <c r="F4589" t="inlineStr">
        <is>
          <t>Japan</t>
        </is>
      </c>
      <c r="G4589" t="inlineStr">
        <is>
          <t>Comirnaty</t>
        </is>
      </c>
      <c r="H4589" t="inlineStr">
        <is>
          <t>Hospital</t>
        </is>
      </c>
      <c r="I4589" t="inlineStr">
        <is>
          <t>Public payer</t>
        </is>
      </c>
      <c r="J4589" t="inlineStr">
        <is>
          <t>Shraddha Kulkarni</t>
        </is>
      </c>
      <c r="K4589" s="70" t="n">
        <v>1340</v>
      </c>
      <c r="L4589" s="71" t="n">
        <v>83.41</v>
      </c>
      <c r="M4589" s="71" t="n">
        <v>111769.4</v>
      </c>
      <c r="N4589" s="71" t="n">
        <v>5588.47</v>
      </c>
      <c r="O4589" s="71" t="n">
        <v>106180.93</v>
      </c>
      <c r="P4589" s="71" t="n">
        <v>50904.72</v>
      </c>
      <c r="Q4589" s="71" t="n">
        <v>55276.21</v>
      </c>
      <c r="R4589" t="inlineStr">
        <is>
          <t>Vaccines</t>
        </is>
      </c>
      <c r="S4589" s="70" t="n">
        <v>967</v>
      </c>
      <c r="T4589" s="71" t="n">
        <v>22730.12</v>
      </c>
      <c r="U4589" t="inlineStr">
        <is>
          <t>Low</t>
        </is>
      </c>
      <c r="V4589">
        <f>IF(AND(OR(Dashboard!$C$6="All",E4589=Dashboard!$C$6),OR(Dashboard!$F$6="All",G4589=Dashboard!$F$6),OR(Dashboard!$I$6="All",H4589=Dashboard!$I$6)),1,0)</f>
        <v/>
      </c>
    </row>
    <row r="4590">
      <c r="A4590" t="inlineStr">
        <is>
          <t>PF104581</t>
        </is>
      </c>
      <c r="B4590" s="68" t="n">
        <v>46209</v>
      </c>
      <c r="C4590" s="69" t="n">
        <v>2026</v>
      </c>
      <c r="D4590" t="inlineStr">
        <is>
          <t>Jul</t>
        </is>
      </c>
      <c r="E4590" t="inlineStr">
        <is>
          <t>United States</t>
        </is>
      </c>
      <c r="F4590" t="inlineStr">
        <is>
          <t>USA</t>
        </is>
      </c>
      <c r="G4590" t="inlineStr">
        <is>
          <t>Paxlovid</t>
        </is>
      </c>
      <c r="H4590" t="inlineStr">
        <is>
          <t>Hospital</t>
        </is>
      </c>
      <c r="I4590" t="inlineStr">
        <is>
          <t>Public payer</t>
        </is>
      </c>
      <c r="J4590" t="inlineStr">
        <is>
          <t>Carlos Silva</t>
        </is>
      </c>
      <c r="K4590" s="70" t="n">
        <v>516</v>
      </c>
      <c r="L4590" s="71" t="n">
        <v>1357.56</v>
      </c>
      <c r="M4590" s="71" t="n">
        <v>700500.96</v>
      </c>
      <c r="N4590" s="71" t="n">
        <v>140100.19</v>
      </c>
      <c r="O4590" s="71" t="n">
        <v>560400.77</v>
      </c>
      <c r="P4590" s="71" t="n">
        <v>142885.12</v>
      </c>
      <c r="Q4590" s="71" t="n">
        <v>417515.65</v>
      </c>
      <c r="R4590" t="inlineStr">
        <is>
          <t>Antiviral</t>
        </is>
      </c>
      <c r="S4590" s="70" t="n">
        <v>503</v>
      </c>
      <c r="T4590" s="71" t="n">
        <v>129836.15</v>
      </c>
      <c r="U4590" t="inlineStr">
        <is>
          <t>Low</t>
        </is>
      </c>
      <c r="V4590">
        <f>IF(AND(OR(Dashboard!$C$6="All",E4590=Dashboard!$C$6),OR(Dashboard!$F$6="All",G4590=Dashboard!$F$6),OR(Dashboard!$I$6="All",H4590=Dashboard!$I$6)),1,0)</f>
        <v/>
      </c>
    </row>
    <row r="4591">
      <c r="A4591" t="inlineStr">
        <is>
          <t>PF104582</t>
        </is>
      </c>
      <c r="B4591" s="68" t="n">
        <v>46209</v>
      </c>
      <c r="C4591" s="69" t="n">
        <v>2026</v>
      </c>
      <c r="D4591" t="inlineStr">
        <is>
          <t>Jul</t>
        </is>
      </c>
      <c r="E4591" t="inlineStr">
        <is>
          <t>United States</t>
        </is>
      </c>
      <c r="F4591" t="inlineStr">
        <is>
          <t>USA</t>
        </is>
      </c>
      <c r="G4591" t="inlineStr">
        <is>
          <t>Vyndaqel</t>
        </is>
      </c>
      <c r="H4591" t="inlineStr">
        <is>
          <t>Government / tender</t>
        </is>
      </c>
      <c r="I4591" t="inlineStr">
        <is>
          <t>Public payer</t>
        </is>
      </c>
      <c r="J4591" t="inlineStr">
        <is>
          <t>Mei Lin</t>
        </is>
      </c>
      <c r="K4591" s="70" t="n">
        <v>2751</v>
      </c>
      <c r="L4591" s="71" t="n">
        <v>8590.34</v>
      </c>
      <c r="M4591" s="71" t="n">
        <v>23632025.34</v>
      </c>
      <c r="N4591" s="71" t="n">
        <v>5908006.33</v>
      </c>
      <c r="O4591" s="71" t="n">
        <v>17724019.01</v>
      </c>
      <c r="P4591" s="71" t="n">
        <v>1677600.34</v>
      </c>
      <c r="Q4591" s="71" t="n">
        <v>16046418.67</v>
      </c>
      <c r="R4591" t="inlineStr">
        <is>
          <t>Rare disease</t>
        </is>
      </c>
      <c r="S4591" s="70" t="n">
        <v>2592</v>
      </c>
      <c r="T4591" s="71" t="n">
        <v>2988470.15</v>
      </c>
      <c r="U4591" t="inlineStr">
        <is>
          <t>Medium</t>
        </is>
      </c>
      <c r="V4591">
        <f>IF(AND(OR(Dashboard!$C$6="All",E4591=Dashboard!$C$6),OR(Dashboard!$F$6="All",G4591=Dashboard!$F$6),OR(Dashboard!$I$6="All",H4591=Dashboard!$I$6)),1,0)</f>
        <v/>
      </c>
    </row>
    <row r="4592">
      <c r="A4592" t="inlineStr">
        <is>
          <t>PF104583</t>
        </is>
      </c>
      <c r="B4592" s="68" t="n">
        <v>46209</v>
      </c>
      <c r="C4592" s="69" t="n">
        <v>2026</v>
      </c>
      <c r="D4592" t="inlineStr">
        <is>
          <t>Jul</t>
        </is>
      </c>
      <c r="E4592" t="inlineStr">
        <is>
          <t>Europe</t>
        </is>
      </c>
      <c r="F4592" t="inlineStr">
        <is>
          <t>Germany</t>
        </is>
      </c>
      <c r="G4592" t="inlineStr">
        <is>
          <t>Prevnar 20</t>
        </is>
      </c>
      <c r="H4592" t="inlineStr">
        <is>
          <t>Retail pharmacy</t>
        </is>
      </c>
      <c r="I4592" t="inlineStr">
        <is>
          <t>Public payer</t>
        </is>
      </c>
      <c r="J4592" t="inlineStr">
        <is>
          <t>Lucas Martin</t>
        </is>
      </c>
      <c r="K4592" s="70" t="n">
        <v>650</v>
      </c>
      <c r="L4592" s="71" t="n">
        <v>242.87</v>
      </c>
      <c r="M4592" s="71" t="n">
        <v>157865.5</v>
      </c>
      <c r="N4592" s="71" t="n">
        <v>23679.83</v>
      </c>
      <c r="O4592" s="71" t="n">
        <v>134185.67</v>
      </c>
      <c r="P4592" s="71" t="n">
        <v>45474.18</v>
      </c>
      <c r="Q4592" s="71" t="n">
        <v>88711.49000000001</v>
      </c>
      <c r="R4592" t="inlineStr">
        <is>
          <t>Vaccines</t>
        </is>
      </c>
      <c r="S4592" s="70" t="n">
        <v>454</v>
      </c>
      <c r="T4592" s="71" t="n">
        <v>31458.6</v>
      </c>
      <c r="U4592" t="inlineStr">
        <is>
          <t>Low</t>
        </is>
      </c>
      <c r="V4592">
        <f>IF(AND(OR(Dashboard!$C$6="All",E4592=Dashboard!$C$6),OR(Dashboard!$F$6="All",G4592=Dashboard!$F$6),OR(Dashboard!$I$6="All",H4592=Dashboard!$I$6)),1,0)</f>
        <v/>
      </c>
    </row>
    <row r="4593">
      <c r="A4593" t="inlineStr">
        <is>
          <t>PF104584</t>
        </is>
      </c>
      <c r="B4593" s="68" t="n">
        <v>46209</v>
      </c>
      <c r="C4593" s="69" t="n">
        <v>2026</v>
      </c>
      <c r="D4593" t="inlineStr">
        <is>
          <t>Jul</t>
        </is>
      </c>
      <c r="E4593" t="inlineStr">
        <is>
          <t>Emerging markets</t>
        </is>
      </c>
      <c r="F4593" t="inlineStr">
        <is>
          <t>Mexico</t>
        </is>
      </c>
      <c r="G4593" t="inlineStr">
        <is>
          <t>Paxlovid</t>
        </is>
      </c>
      <c r="H4593" t="inlineStr">
        <is>
          <t>Retail pharmacy</t>
        </is>
      </c>
      <c r="I4593" t="inlineStr">
        <is>
          <t>Public payer</t>
        </is>
      </c>
      <c r="J4593" t="inlineStr">
        <is>
          <t>Noah Smith</t>
        </is>
      </c>
      <c r="K4593" s="70" t="n">
        <v>2456</v>
      </c>
      <c r="L4593" s="71" t="n">
        <v>909.37</v>
      </c>
      <c r="M4593" s="71" t="n">
        <v>2233412.72</v>
      </c>
      <c r="N4593" s="71" t="n">
        <v>223341.27</v>
      </c>
      <c r="O4593" s="71" t="n">
        <v>2010071.45</v>
      </c>
      <c r="P4593" s="71" t="n">
        <v>673277.73</v>
      </c>
      <c r="Q4593" s="71" t="n">
        <v>1336793.72</v>
      </c>
      <c r="R4593" t="inlineStr">
        <is>
          <t>Antiviral</t>
        </is>
      </c>
      <c r="S4593" s="70" t="n">
        <v>2057</v>
      </c>
      <c r="T4593" s="71" t="n">
        <v>557490.02</v>
      </c>
      <c r="U4593" t="inlineStr">
        <is>
          <t>Low</t>
        </is>
      </c>
      <c r="V4593">
        <f>IF(AND(OR(Dashboard!$C$6="All",E4593=Dashboard!$C$6),OR(Dashboard!$F$6="All",G4593=Dashboard!$F$6),OR(Dashboard!$I$6="All",H4593=Dashboard!$I$6)),1,0)</f>
        <v/>
      </c>
    </row>
    <row r="4594">
      <c r="A4594" t="inlineStr">
        <is>
          <t>PF104585</t>
        </is>
      </c>
      <c r="B4594" s="68" t="n">
        <v>46209</v>
      </c>
      <c r="C4594" s="69" t="n">
        <v>2026</v>
      </c>
      <c r="D4594" t="inlineStr">
        <is>
          <t>Jul</t>
        </is>
      </c>
      <c r="E4594" t="inlineStr">
        <is>
          <t>Europe</t>
        </is>
      </c>
      <c r="F4594" t="inlineStr">
        <is>
          <t>France</t>
        </is>
      </c>
      <c r="G4594" t="inlineStr">
        <is>
          <t>Ibrance</t>
        </is>
      </c>
      <c r="H4594" t="inlineStr">
        <is>
          <t>Hospital</t>
        </is>
      </c>
      <c r="I4594" t="inlineStr">
        <is>
          <t>Public payer</t>
        </is>
      </c>
      <c r="J4594" t="inlineStr">
        <is>
          <t>Priya Nair</t>
        </is>
      </c>
      <c r="K4594" s="70" t="n">
        <v>689</v>
      </c>
      <c r="L4594" s="71" t="n">
        <v>2823.33</v>
      </c>
      <c r="M4594" s="71" t="n">
        <v>1945274.37</v>
      </c>
      <c r="N4594" s="71" t="n">
        <v>194527.44</v>
      </c>
      <c r="O4594" s="71" t="n">
        <v>1750746.93</v>
      </c>
      <c r="P4594" s="71" t="n">
        <v>297008.29</v>
      </c>
      <c r="Q4594" s="71" t="n">
        <v>1453738.64</v>
      </c>
      <c r="R4594" t="inlineStr">
        <is>
          <t>Oncology</t>
        </is>
      </c>
      <c r="S4594" s="70" t="n">
        <v>583</v>
      </c>
      <c r="T4594" s="71" t="n">
        <v>309047</v>
      </c>
      <c r="U4594" t="inlineStr">
        <is>
          <t>High</t>
        </is>
      </c>
      <c r="V4594">
        <f>IF(AND(OR(Dashboard!$C$6="All",E4594=Dashboard!$C$6),OR(Dashboard!$F$6="All",G4594=Dashboard!$F$6),OR(Dashboard!$I$6="All",H4594=Dashboard!$I$6)),1,0)</f>
        <v/>
      </c>
    </row>
    <row r="4595">
      <c r="A4595" t="inlineStr">
        <is>
          <t>PF104586</t>
        </is>
      </c>
      <c r="B4595" s="68" t="n">
        <v>46209</v>
      </c>
      <c r="C4595" s="69" t="n">
        <v>2026</v>
      </c>
      <c r="D4595" t="inlineStr">
        <is>
          <t>Jul</t>
        </is>
      </c>
      <c r="E4595" t="inlineStr">
        <is>
          <t>United States</t>
        </is>
      </c>
      <c r="F4595" t="inlineStr">
        <is>
          <t>USA</t>
        </is>
      </c>
      <c r="G4595" t="inlineStr">
        <is>
          <t>Abrysvo</t>
        </is>
      </c>
      <c r="H4595" t="inlineStr">
        <is>
          <t>Hospital</t>
        </is>
      </c>
      <c r="I4595" t="inlineStr">
        <is>
          <t>Private insurer</t>
        </is>
      </c>
      <c r="J4595" t="inlineStr">
        <is>
          <t>Wei Chen</t>
        </is>
      </c>
      <c r="K4595" s="70" t="n">
        <v>2883</v>
      </c>
      <c r="L4595" s="71" t="n">
        <v>500.13</v>
      </c>
      <c r="M4595" s="71" t="n">
        <v>1441874.79</v>
      </c>
      <c r="N4595" s="71" t="n">
        <v>216281.22</v>
      </c>
      <c r="O4595" s="71" t="n">
        <v>1225593.57</v>
      </c>
      <c r="P4595" s="71" t="n">
        <v>251090.11</v>
      </c>
      <c r="Q4595" s="71" t="n">
        <v>974503.46</v>
      </c>
      <c r="R4595" t="inlineStr">
        <is>
          <t>Vaccines</t>
        </is>
      </c>
      <c r="S4595" s="70" t="n">
        <v>1803</v>
      </c>
      <c r="T4595" s="71" t="n">
        <v>253878.03</v>
      </c>
      <c r="U4595" t="inlineStr">
        <is>
          <t>Low</t>
        </is>
      </c>
      <c r="V4595">
        <f>IF(AND(OR(Dashboard!$C$6="All",E4595=Dashboard!$C$6),OR(Dashboard!$F$6="All",G4595=Dashboard!$F$6),OR(Dashboard!$I$6="All",H4595=Dashboard!$I$6)),1,0)</f>
        <v/>
      </c>
    </row>
    <row r="4596">
      <c r="A4596" t="inlineStr">
        <is>
          <t>PF104587</t>
        </is>
      </c>
      <c r="B4596" s="68" t="n">
        <v>46210</v>
      </c>
      <c r="C4596" s="69" t="n">
        <v>2026</v>
      </c>
      <c r="D4596" t="inlineStr">
        <is>
          <t>Jul</t>
        </is>
      </c>
      <c r="E4596" t="inlineStr">
        <is>
          <t>Europe</t>
        </is>
      </c>
      <c r="F4596" t="inlineStr">
        <is>
          <t>Germany</t>
        </is>
      </c>
      <c r="G4596" t="inlineStr">
        <is>
          <t>Prevnar 20</t>
        </is>
      </c>
      <c r="H4596" t="inlineStr">
        <is>
          <t>Retail pharmacy</t>
        </is>
      </c>
      <c r="I4596" t="inlineStr">
        <is>
          <t>Private insurer</t>
        </is>
      </c>
      <c r="J4596" t="inlineStr">
        <is>
          <t>Kofi Mensah</t>
        </is>
      </c>
      <c r="K4596" s="70" t="n">
        <v>1120</v>
      </c>
      <c r="L4596" s="71" t="n">
        <v>234.27</v>
      </c>
      <c r="M4596" s="71" t="n">
        <v>262382.4</v>
      </c>
      <c r="N4596" s="71" t="n">
        <v>13119.12</v>
      </c>
      <c r="O4596" s="71" t="n">
        <v>249263.28</v>
      </c>
      <c r="P4596" s="71" t="n">
        <v>79782.02</v>
      </c>
      <c r="Q4596" s="71" t="n">
        <v>169481.26</v>
      </c>
      <c r="R4596" t="inlineStr">
        <is>
          <t>Vaccines</t>
        </is>
      </c>
      <c r="S4596" s="70" t="n">
        <v>733</v>
      </c>
      <c r="T4596" s="71" t="n">
        <v>36206.04</v>
      </c>
      <c r="U4596" t="inlineStr">
        <is>
          <t>Low</t>
        </is>
      </c>
      <c r="V4596">
        <f>IF(AND(OR(Dashboard!$C$6="All",E4596=Dashboard!$C$6),OR(Dashboard!$F$6="All",G4596=Dashboard!$F$6),OR(Dashboard!$I$6="All",H4596=Dashboard!$I$6)),1,0)</f>
        <v/>
      </c>
    </row>
    <row r="4597">
      <c r="A4597" t="inlineStr">
        <is>
          <t>PF104588</t>
        </is>
      </c>
      <c r="B4597" s="68" t="n">
        <v>46210</v>
      </c>
      <c r="C4597" s="69" t="n">
        <v>2026</v>
      </c>
      <c r="D4597" t="inlineStr">
        <is>
          <t>Jul</t>
        </is>
      </c>
      <c r="E4597" t="inlineStr">
        <is>
          <t>Europe</t>
        </is>
      </c>
      <c r="F4597" t="inlineStr">
        <is>
          <t>Spain</t>
        </is>
      </c>
      <c r="G4597" t="inlineStr">
        <is>
          <t>Comirnaty</t>
        </is>
      </c>
      <c r="H4597" t="inlineStr">
        <is>
          <t>Government / tender</t>
        </is>
      </c>
      <c r="I4597" t="inlineStr">
        <is>
          <t>Private insurer</t>
        </is>
      </c>
      <c r="J4597" t="inlineStr">
        <is>
          <t>Zoya Ahmed</t>
        </is>
      </c>
      <c r="K4597" s="70" t="n">
        <v>801</v>
      </c>
      <c r="L4597" s="71" t="n">
        <v>91.31</v>
      </c>
      <c r="M4597" s="71" t="n">
        <v>73139.31</v>
      </c>
      <c r="N4597" s="71" t="n">
        <v>3656.97</v>
      </c>
      <c r="O4597" s="71" t="n">
        <v>69482.34</v>
      </c>
      <c r="P4597" s="71" t="n">
        <v>31397.23</v>
      </c>
      <c r="Q4597" s="71" t="n">
        <v>38085.11</v>
      </c>
      <c r="R4597" t="inlineStr">
        <is>
          <t>Vaccines</t>
        </is>
      </c>
      <c r="S4597" s="70" t="n">
        <v>666</v>
      </c>
      <c r="T4597" s="71" t="n">
        <v>13305.88</v>
      </c>
      <c r="U4597" t="inlineStr">
        <is>
          <t>Low</t>
        </is>
      </c>
      <c r="V4597">
        <f>IF(AND(OR(Dashboard!$C$6="All",E4597=Dashboard!$C$6),OR(Dashboard!$F$6="All",G4597=Dashboard!$F$6),OR(Dashboard!$I$6="All",H4597=Dashboard!$I$6)),1,0)</f>
        <v/>
      </c>
    </row>
    <row r="4598">
      <c r="A4598" t="inlineStr">
        <is>
          <t>PF104589</t>
        </is>
      </c>
      <c r="B4598" s="68" t="n">
        <v>46210</v>
      </c>
      <c r="C4598" s="69" t="n">
        <v>2026</v>
      </c>
      <c r="D4598" t="inlineStr">
        <is>
          <t>Jul</t>
        </is>
      </c>
      <c r="E4598" t="inlineStr">
        <is>
          <t>Europe</t>
        </is>
      </c>
      <c r="F4598" t="inlineStr">
        <is>
          <t>Germany</t>
        </is>
      </c>
      <c r="G4598" t="inlineStr">
        <is>
          <t>Xeljanz</t>
        </is>
      </c>
      <c r="H4598" t="inlineStr">
        <is>
          <t>Hospital</t>
        </is>
      </c>
      <c r="I4598" t="inlineStr">
        <is>
          <t>Public payer</t>
        </is>
      </c>
      <c r="J4598" t="inlineStr">
        <is>
          <t>Yuki Sato</t>
        </is>
      </c>
      <c r="K4598" s="70" t="n">
        <v>442</v>
      </c>
      <c r="L4598" s="71" t="n">
        <v>1445.73</v>
      </c>
      <c r="M4598" s="71" t="n">
        <v>639012.66</v>
      </c>
      <c r="N4598" s="71" t="n">
        <v>95851.89999999999</v>
      </c>
      <c r="O4598" s="71" t="n">
        <v>543160.76</v>
      </c>
      <c r="P4598" s="71" t="n">
        <v>110118.97</v>
      </c>
      <c r="Q4598" s="71" t="n">
        <v>433041.79</v>
      </c>
      <c r="R4598" t="inlineStr">
        <is>
          <t>Inflammation</t>
        </is>
      </c>
      <c r="S4598" s="70" t="n">
        <v>376</v>
      </c>
      <c r="T4598" s="71" t="n">
        <v>112677.18</v>
      </c>
      <c r="U4598" t="inlineStr">
        <is>
          <t>High</t>
        </is>
      </c>
      <c r="V4598">
        <f>IF(AND(OR(Dashboard!$C$6="All",E4598=Dashboard!$C$6),OR(Dashboard!$F$6="All",G4598=Dashboard!$F$6),OR(Dashboard!$I$6="All",H4598=Dashboard!$I$6)),1,0)</f>
        <v/>
      </c>
    </row>
    <row r="4599">
      <c r="A4599" t="inlineStr">
        <is>
          <t>PF104590</t>
        </is>
      </c>
      <c r="B4599" s="68" t="n">
        <v>46210</v>
      </c>
      <c r="C4599" s="69" t="n">
        <v>2026</v>
      </c>
      <c r="D4599" t="inlineStr">
        <is>
          <t>Jul</t>
        </is>
      </c>
      <c r="E4599" t="inlineStr">
        <is>
          <t>United States</t>
        </is>
      </c>
      <c r="F4599" t="inlineStr">
        <is>
          <t>USA</t>
        </is>
      </c>
      <c r="G4599" t="inlineStr">
        <is>
          <t>Eliquis</t>
        </is>
      </c>
      <c r="H4599" t="inlineStr">
        <is>
          <t>Retail pharmacy</t>
        </is>
      </c>
      <c r="I4599" t="inlineStr">
        <is>
          <t>Self-pay</t>
        </is>
      </c>
      <c r="J4599" t="inlineStr">
        <is>
          <t>Mei Lin</t>
        </is>
      </c>
      <c r="K4599" s="70" t="n">
        <v>2811</v>
      </c>
      <c r="L4599" s="71" t="n">
        <v>709.96</v>
      </c>
      <c r="M4599" s="71" t="n">
        <v>1995697.56</v>
      </c>
      <c r="N4599" s="71" t="n">
        <v>498924.39</v>
      </c>
      <c r="O4599" s="71" t="n">
        <v>1496773.17</v>
      </c>
      <c r="P4599" s="71" t="n">
        <v>218326.71</v>
      </c>
      <c r="Q4599" s="71" t="n">
        <v>1278446.46</v>
      </c>
      <c r="R4599" t="inlineStr">
        <is>
          <t>Cardiology</t>
        </is>
      </c>
      <c r="S4599" s="70" t="n">
        <v>2105</v>
      </c>
      <c r="T4599" s="71" t="n">
        <v>278841.13</v>
      </c>
      <c r="U4599" t="inlineStr">
        <is>
          <t>High</t>
        </is>
      </c>
      <c r="V4599">
        <f>IF(AND(OR(Dashboard!$C$6="All",E4599=Dashboard!$C$6),OR(Dashboard!$F$6="All",G4599=Dashboard!$F$6),OR(Dashboard!$I$6="All",H4599=Dashboard!$I$6)),1,0)</f>
        <v/>
      </c>
    </row>
    <row r="4600">
      <c r="A4600" t="inlineStr">
        <is>
          <t>PF104591</t>
        </is>
      </c>
      <c r="B4600" s="68" t="n">
        <v>46210</v>
      </c>
      <c r="C4600" s="69" t="n">
        <v>2026</v>
      </c>
      <c r="D4600" t="inlineStr">
        <is>
          <t>Jul</t>
        </is>
      </c>
      <c r="E4600" t="inlineStr">
        <is>
          <t>International developed</t>
        </is>
      </c>
      <c r="F4600" t="inlineStr">
        <is>
          <t>Japan</t>
        </is>
      </c>
      <c r="G4600" t="inlineStr">
        <is>
          <t>Abrysvo</t>
        </is>
      </c>
      <c r="H4600" t="inlineStr">
        <is>
          <t>Retail pharmacy</t>
        </is>
      </c>
      <c r="I4600" t="inlineStr">
        <is>
          <t>Public payer</t>
        </is>
      </c>
      <c r="J4600" t="inlineStr">
        <is>
          <t>Emma Clarke</t>
        </is>
      </c>
      <c r="K4600" s="70" t="n">
        <v>1894</v>
      </c>
      <c r="L4600" s="71" t="n">
        <v>331.53</v>
      </c>
      <c r="M4600" s="71" t="n">
        <v>627917.8199999999</v>
      </c>
      <c r="N4600" s="71" t="n">
        <v>156979.45</v>
      </c>
      <c r="O4600" s="71" t="n">
        <v>470938.37</v>
      </c>
      <c r="P4600" s="71" t="n">
        <v>157391.76</v>
      </c>
      <c r="Q4600" s="71" t="n">
        <v>313546.61</v>
      </c>
      <c r="R4600" t="inlineStr">
        <is>
          <t>Vaccines</t>
        </is>
      </c>
      <c r="S4600" s="70" t="n">
        <v>1378</v>
      </c>
      <c r="T4600" s="71" t="n">
        <v>114845.56</v>
      </c>
      <c r="U4600" t="inlineStr">
        <is>
          <t>Low</t>
        </is>
      </c>
      <c r="V4600">
        <f>IF(AND(OR(Dashboard!$C$6="All",E4600=Dashboard!$C$6),OR(Dashboard!$F$6="All",G4600=Dashboard!$F$6),OR(Dashboard!$I$6="All",H4600=Dashboard!$I$6)),1,0)</f>
        <v/>
      </c>
    </row>
    <row r="4601">
      <c r="A4601" t="inlineStr">
        <is>
          <t>PF104592</t>
        </is>
      </c>
      <c r="B4601" s="68" t="n">
        <v>46210</v>
      </c>
      <c r="C4601" s="69" t="n">
        <v>2026</v>
      </c>
      <c r="D4601" t="inlineStr">
        <is>
          <t>Jul</t>
        </is>
      </c>
      <c r="E4601" t="inlineStr">
        <is>
          <t>Emerging markets</t>
        </is>
      </c>
      <c r="F4601" t="inlineStr">
        <is>
          <t>China</t>
        </is>
      </c>
      <c r="G4601" t="inlineStr">
        <is>
          <t>Eliquis</t>
        </is>
      </c>
      <c r="H4601" t="inlineStr">
        <is>
          <t>Retail pharmacy</t>
        </is>
      </c>
      <c r="I4601" t="inlineStr">
        <is>
          <t>Private insurer</t>
        </is>
      </c>
      <c r="J4601" t="inlineStr">
        <is>
          <t>Ruhi Shaikh</t>
        </is>
      </c>
      <c r="K4601" s="70" t="n">
        <v>2091</v>
      </c>
      <c r="L4601" s="71" t="n">
        <v>390.95</v>
      </c>
      <c r="M4601" s="71" t="n">
        <v>817476.45</v>
      </c>
      <c r="N4601" s="71" t="n">
        <v>122621.47</v>
      </c>
      <c r="O4601" s="71" t="n">
        <v>694854.98</v>
      </c>
      <c r="P4601" s="71" t="n">
        <v>162552.28</v>
      </c>
      <c r="Q4601" s="71" t="n">
        <v>532302.7</v>
      </c>
      <c r="R4601" t="inlineStr">
        <is>
          <t>Cardiology</t>
        </is>
      </c>
      <c r="S4601" s="70" t="n">
        <v>2069</v>
      </c>
      <c r="T4601" s="71" t="n">
        <v>132464.27</v>
      </c>
      <c r="U4601" t="inlineStr">
        <is>
          <t>High</t>
        </is>
      </c>
      <c r="V4601">
        <f>IF(AND(OR(Dashboard!$C$6="All",E4601=Dashboard!$C$6),OR(Dashboard!$F$6="All",G4601=Dashboard!$F$6),OR(Dashboard!$I$6="All",H4601=Dashboard!$I$6)),1,0)</f>
        <v/>
      </c>
    </row>
    <row r="4602">
      <c r="A4602" t="inlineStr">
        <is>
          <t>PF104593</t>
        </is>
      </c>
      <c r="B4602" s="68" t="n">
        <v>46210</v>
      </c>
      <c r="C4602" s="69" t="n">
        <v>2026</v>
      </c>
      <c r="D4602" t="inlineStr">
        <is>
          <t>Jul</t>
        </is>
      </c>
      <c r="E4602" t="inlineStr">
        <is>
          <t>Europe</t>
        </is>
      </c>
      <c r="F4602" t="inlineStr">
        <is>
          <t>France</t>
        </is>
      </c>
      <c r="G4602" t="inlineStr">
        <is>
          <t>Comirnaty</t>
        </is>
      </c>
      <c r="H4602" t="inlineStr">
        <is>
          <t>Hospital</t>
        </is>
      </c>
      <c r="I4602" t="inlineStr">
        <is>
          <t>Private insurer</t>
        </is>
      </c>
      <c r="J4602" t="inlineStr">
        <is>
          <t>Yuki Sato</t>
        </is>
      </c>
      <c r="K4602" s="70" t="n">
        <v>1030</v>
      </c>
      <c r="L4602" s="71" t="n">
        <v>86.8</v>
      </c>
      <c r="M4602" s="71" t="n">
        <v>89404</v>
      </c>
      <c r="N4602" s="71" t="n">
        <v>13410.6</v>
      </c>
      <c r="O4602" s="71" t="n">
        <v>75993.39999999999</v>
      </c>
      <c r="P4602" s="71" t="n">
        <v>38624.48</v>
      </c>
      <c r="Q4602" s="71" t="n">
        <v>37368.92</v>
      </c>
      <c r="R4602" t="inlineStr">
        <is>
          <t>Vaccines</t>
        </is>
      </c>
      <c r="S4602" s="70" t="n">
        <v>960</v>
      </c>
      <c r="T4602" s="71" t="n">
        <v>20833.78</v>
      </c>
      <c r="U4602" t="inlineStr">
        <is>
          <t>Low</t>
        </is>
      </c>
      <c r="V4602">
        <f>IF(AND(OR(Dashboard!$C$6="All",E4602=Dashboard!$C$6),OR(Dashboard!$F$6="All",G4602=Dashboard!$F$6),OR(Dashboard!$I$6="All",H4602=Dashboard!$I$6)),1,0)</f>
        <v/>
      </c>
    </row>
    <row r="4603">
      <c r="A4603" t="inlineStr">
        <is>
          <t>PF104594</t>
        </is>
      </c>
      <c r="B4603" s="68" t="n">
        <v>46210</v>
      </c>
      <c r="C4603" s="69" t="n">
        <v>2026</v>
      </c>
      <c r="D4603" t="inlineStr">
        <is>
          <t>Jul</t>
        </is>
      </c>
      <c r="E4603" t="inlineStr">
        <is>
          <t>Emerging markets</t>
        </is>
      </c>
      <c r="F4603" t="inlineStr">
        <is>
          <t>India</t>
        </is>
      </c>
      <c r="G4603" t="inlineStr">
        <is>
          <t>Prevnar 20</t>
        </is>
      </c>
      <c r="H4603" t="inlineStr">
        <is>
          <t>Hospital</t>
        </is>
      </c>
      <c r="I4603" t="inlineStr">
        <is>
          <t>Private insurer</t>
        </is>
      </c>
      <c r="J4603" t="inlineStr">
        <is>
          <t>Sara Rossi</t>
        </is>
      </c>
      <c r="K4603" s="70" t="n">
        <v>337</v>
      </c>
      <c r="L4603" s="71" t="n">
        <v>246.04</v>
      </c>
      <c r="M4603" s="71" t="n">
        <v>82915.48</v>
      </c>
      <c r="N4603" s="71" t="n">
        <v>20728.87</v>
      </c>
      <c r="O4603" s="71" t="n">
        <v>62186.61</v>
      </c>
      <c r="P4603" s="71" t="n">
        <v>24026.82</v>
      </c>
      <c r="Q4603" s="71" t="n">
        <v>38159.79</v>
      </c>
      <c r="R4603" t="inlineStr">
        <is>
          <t>Vaccines</t>
        </is>
      </c>
      <c r="S4603" s="70" t="n">
        <v>225</v>
      </c>
      <c r="T4603" s="71" t="n">
        <v>13656.25</v>
      </c>
      <c r="U4603" t="inlineStr">
        <is>
          <t>Low</t>
        </is>
      </c>
      <c r="V4603">
        <f>IF(AND(OR(Dashboard!$C$6="All",E4603=Dashboard!$C$6),OR(Dashboard!$F$6="All",G4603=Dashboard!$F$6),OR(Dashboard!$I$6="All",H4603=Dashboard!$I$6)),1,0)</f>
        <v/>
      </c>
    </row>
    <row r="4604">
      <c r="A4604" t="inlineStr">
        <is>
          <t>PF104595</t>
        </is>
      </c>
      <c r="B4604" s="68" t="n">
        <v>46210</v>
      </c>
      <c r="C4604" s="69" t="n">
        <v>2026</v>
      </c>
      <c r="D4604" t="inlineStr">
        <is>
          <t>Jul</t>
        </is>
      </c>
      <c r="E4604" t="inlineStr">
        <is>
          <t>Emerging markets</t>
        </is>
      </c>
      <c r="F4604" t="inlineStr">
        <is>
          <t>China</t>
        </is>
      </c>
      <c r="G4604" t="inlineStr">
        <is>
          <t>Ibrance</t>
        </is>
      </c>
      <c r="H4604" t="inlineStr">
        <is>
          <t>Hospital</t>
        </is>
      </c>
      <c r="I4604" t="inlineStr">
        <is>
          <t>Public payer</t>
        </is>
      </c>
      <c r="J4604" t="inlineStr">
        <is>
          <t>Arjun Mehta</t>
        </is>
      </c>
      <c r="K4604" s="70" t="n">
        <v>979</v>
      </c>
      <c r="L4604" s="71" t="n">
        <v>2889.88</v>
      </c>
      <c r="M4604" s="71" t="n">
        <v>2829192.52</v>
      </c>
      <c r="N4604" s="71" t="n">
        <v>282919.25</v>
      </c>
      <c r="O4604" s="71" t="n">
        <v>2546273.27</v>
      </c>
      <c r="P4604" s="71" t="n">
        <v>416175.97</v>
      </c>
      <c r="Q4604" s="71" t="n">
        <v>2130097.3</v>
      </c>
      <c r="R4604" t="inlineStr">
        <is>
          <t>Oncology</t>
        </is>
      </c>
      <c r="S4604" s="70" t="n">
        <v>741</v>
      </c>
      <c r="T4604" s="71" t="n">
        <v>478631.41</v>
      </c>
      <c r="U4604" t="inlineStr">
        <is>
          <t>High</t>
        </is>
      </c>
      <c r="V4604">
        <f>IF(AND(OR(Dashboard!$C$6="All",E4604=Dashboard!$C$6),OR(Dashboard!$F$6="All",G4604=Dashboard!$F$6),OR(Dashboard!$I$6="All",H4604=Dashboard!$I$6)),1,0)</f>
        <v/>
      </c>
    </row>
    <row r="4605">
      <c r="A4605" t="inlineStr">
        <is>
          <t>PF104596</t>
        </is>
      </c>
      <c r="B4605" s="68" t="n">
        <v>46210</v>
      </c>
      <c r="C4605" s="69" t="n">
        <v>2026</v>
      </c>
      <c r="D4605" t="inlineStr">
        <is>
          <t>Jul</t>
        </is>
      </c>
      <c r="E4605" t="inlineStr">
        <is>
          <t>United States</t>
        </is>
      </c>
      <c r="F4605" t="inlineStr">
        <is>
          <t>USA</t>
        </is>
      </c>
      <c r="G4605" t="inlineStr">
        <is>
          <t>Eliquis</t>
        </is>
      </c>
      <c r="H4605" t="inlineStr">
        <is>
          <t>Retail pharmacy</t>
        </is>
      </c>
      <c r="I4605" t="inlineStr">
        <is>
          <t>Private insurer</t>
        </is>
      </c>
      <c r="J4605" t="inlineStr">
        <is>
          <t>Yuki Sato</t>
        </is>
      </c>
      <c r="K4605" s="70" t="n">
        <v>2578</v>
      </c>
      <c r="L4605" s="71" t="n">
        <v>754.53</v>
      </c>
      <c r="M4605" s="71" t="n">
        <v>1945178.34</v>
      </c>
      <c r="N4605" s="71" t="n">
        <v>583553.5</v>
      </c>
      <c r="O4605" s="71" t="n">
        <v>1361624.84</v>
      </c>
      <c r="P4605" s="71" t="n">
        <v>193436.46</v>
      </c>
      <c r="Q4605" s="71" t="n">
        <v>1168188.38</v>
      </c>
      <c r="R4605" t="inlineStr">
        <is>
          <t>Cardiology</t>
        </is>
      </c>
      <c r="S4605" s="70" t="n">
        <v>1859</v>
      </c>
      <c r="T4605" s="71" t="n">
        <v>351347.87</v>
      </c>
      <c r="U4605" t="inlineStr">
        <is>
          <t>High</t>
        </is>
      </c>
      <c r="V4605">
        <f>IF(AND(OR(Dashboard!$C$6="All",E4605=Dashboard!$C$6),OR(Dashboard!$F$6="All",G4605=Dashboard!$F$6),OR(Dashboard!$I$6="All",H4605=Dashboard!$I$6)),1,0)</f>
        <v/>
      </c>
    </row>
    <row r="4606">
      <c r="A4606" t="inlineStr">
        <is>
          <t>PF104597</t>
        </is>
      </c>
      <c r="B4606" s="68" t="n">
        <v>46210</v>
      </c>
      <c r="C4606" s="69" t="n">
        <v>2026</v>
      </c>
      <c r="D4606" t="inlineStr">
        <is>
          <t>Jul</t>
        </is>
      </c>
      <c r="E4606" t="inlineStr">
        <is>
          <t>United States</t>
        </is>
      </c>
      <c r="F4606" t="inlineStr">
        <is>
          <t>USA</t>
        </is>
      </c>
      <c r="G4606" t="inlineStr">
        <is>
          <t>Paxlovid</t>
        </is>
      </c>
      <c r="H4606" t="inlineStr">
        <is>
          <t>Hospital</t>
        </is>
      </c>
      <c r="I4606" t="inlineStr">
        <is>
          <t>Private insurer</t>
        </is>
      </c>
      <c r="J4606" t="inlineStr">
        <is>
          <t>Arjun Mehta</t>
        </is>
      </c>
      <c r="K4606" s="70" t="n">
        <v>1557</v>
      </c>
      <c r="L4606" s="71" t="n">
        <v>1375.76</v>
      </c>
      <c r="M4606" s="71" t="n">
        <v>2142058.32</v>
      </c>
      <c r="N4606" s="71" t="n">
        <v>535514.58</v>
      </c>
      <c r="O4606" s="71" t="n">
        <v>1606543.74</v>
      </c>
      <c r="P4606" s="71" t="n">
        <v>415259.55</v>
      </c>
      <c r="Q4606" s="71" t="n">
        <v>1191284.19</v>
      </c>
      <c r="R4606" t="inlineStr">
        <is>
          <t>Antiviral</t>
        </is>
      </c>
      <c r="S4606" s="70" t="n">
        <v>1382</v>
      </c>
      <c r="T4606" s="71" t="n">
        <v>443101.1</v>
      </c>
      <c r="U4606" t="inlineStr">
        <is>
          <t>Low</t>
        </is>
      </c>
      <c r="V4606">
        <f>IF(AND(OR(Dashboard!$C$6="All",E4606=Dashboard!$C$6),OR(Dashboard!$F$6="All",G4606=Dashboard!$F$6),OR(Dashboard!$I$6="All",H4606=Dashboard!$I$6)),1,0)</f>
        <v/>
      </c>
    </row>
    <row r="4607">
      <c r="A4607" t="inlineStr">
        <is>
          <t>PF104598</t>
        </is>
      </c>
      <c r="B4607" s="68" t="n">
        <v>46211</v>
      </c>
      <c r="C4607" s="69" t="n">
        <v>2026</v>
      </c>
      <c r="D4607" t="inlineStr">
        <is>
          <t>Jul</t>
        </is>
      </c>
      <c r="E4607" t="inlineStr">
        <is>
          <t>International developed</t>
        </is>
      </c>
      <c r="F4607" t="inlineStr">
        <is>
          <t>Australia</t>
        </is>
      </c>
      <c r="G4607" t="inlineStr">
        <is>
          <t>Abrysvo</t>
        </is>
      </c>
      <c r="H4607" t="inlineStr">
        <is>
          <t>Hospital</t>
        </is>
      </c>
      <c r="I4607" t="inlineStr">
        <is>
          <t>Private insurer</t>
        </is>
      </c>
      <c r="J4607" t="inlineStr">
        <is>
          <t>Yuki Sato</t>
        </is>
      </c>
      <c r="K4607" s="70" t="n">
        <v>3418</v>
      </c>
      <c r="L4607" s="71" t="n">
        <v>340.88</v>
      </c>
      <c r="M4607" s="71" t="n">
        <v>1165127.84</v>
      </c>
      <c r="N4607" s="71" t="n">
        <v>58256.39</v>
      </c>
      <c r="O4607" s="71" t="n">
        <v>1106871.45</v>
      </c>
      <c r="P4607" s="71" t="n">
        <v>296352.2</v>
      </c>
      <c r="Q4607" s="71" t="n">
        <v>810519.25</v>
      </c>
      <c r="R4607" t="inlineStr">
        <is>
          <t>Vaccines</t>
        </is>
      </c>
      <c r="S4607" s="70" t="n">
        <v>2219</v>
      </c>
      <c r="T4607" s="71" t="n">
        <v>207450.03</v>
      </c>
      <c r="U4607" t="inlineStr">
        <is>
          <t>Low</t>
        </is>
      </c>
      <c r="V4607">
        <f>IF(AND(OR(Dashboard!$C$6="All",E4607=Dashboard!$C$6),OR(Dashboard!$F$6="All",G4607=Dashboard!$F$6),OR(Dashboard!$I$6="All",H4607=Dashboard!$I$6)),1,0)</f>
        <v/>
      </c>
    </row>
    <row r="4608">
      <c r="A4608" t="inlineStr">
        <is>
          <t>PF104599</t>
        </is>
      </c>
      <c r="B4608" s="68" t="n">
        <v>46211</v>
      </c>
      <c r="C4608" s="69" t="n">
        <v>2026</v>
      </c>
      <c r="D4608" t="inlineStr">
        <is>
          <t>Jul</t>
        </is>
      </c>
      <c r="E4608" t="inlineStr">
        <is>
          <t>United States</t>
        </is>
      </c>
      <c r="F4608" t="inlineStr">
        <is>
          <t>USA</t>
        </is>
      </c>
      <c r="G4608" t="inlineStr">
        <is>
          <t>Prevnar 20</t>
        </is>
      </c>
      <c r="H4608" t="inlineStr">
        <is>
          <t>Hospital</t>
        </is>
      </c>
      <c r="I4608" t="inlineStr">
        <is>
          <t>Private insurer</t>
        </is>
      </c>
      <c r="J4608" t="inlineStr">
        <is>
          <t>Mei Lin</t>
        </is>
      </c>
      <c r="K4608" s="70" t="n">
        <v>3010</v>
      </c>
      <c r="L4608" s="71" t="n">
        <v>363.95</v>
      </c>
      <c r="M4608" s="71" t="n">
        <v>1095489.5</v>
      </c>
      <c r="N4608" s="71" t="n">
        <v>273872.38</v>
      </c>
      <c r="O4608" s="71" t="n">
        <v>821617.12</v>
      </c>
      <c r="P4608" s="71" t="n">
        <v>204607.03</v>
      </c>
      <c r="Q4608" s="71" t="n">
        <v>617010.09</v>
      </c>
      <c r="R4608" t="inlineStr">
        <is>
          <t>Vaccines</t>
        </is>
      </c>
      <c r="S4608" s="70" t="n">
        <v>2044</v>
      </c>
      <c r="T4608" s="71" t="n">
        <v>199477.96</v>
      </c>
      <c r="U4608" t="inlineStr">
        <is>
          <t>Low</t>
        </is>
      </c>
      <c r="V4608">
        <f>IF(AND(OR(Dashboard!$C$6="All",E4608=Dashboard!$C$6),OR(Dashboard!$F$6="All",G4608=Dashboard!$F$6),OR(Dashboard!$I$6="All",H4608=Dashboard!$I$6)),1,0)</f>
        <v/>
      </c>
    </row>
    <row r="4609">
      <c r="A4609" t="inlineStr">
        <is>
          <t>PF104600</t>
        </is>
      </c>
      <c r="B4609" s="68" t="n">
        <v>46211</v>
      </c>
      <c r="C4609" s="69" t="n">
        <v>2026</v>
      </c>
      <c r="D4609" t="inlineStr">
        <is>
          <t>Jul</t>
        </is>
      </c>
      <c r="E4609" t="inlineStr">
        <is>
          <t>United States</t>
        </is>
      </c>
      <c r="F4609" t="inlineStr">
        <is>
          <t>USA</t>
        </is>
      </c>
      <c r="G4609" t="inlineStr">
        <is>
          <t>Eliquis</t>
        </is>
      </c>
      <c r="H4609" t="inlineStr">
        <is>
          <t>Retail pharmacy</t>
        </is>
      </c>
      <c r="I4609" t="inlineStr">
        <is>
          <t>Public payer</t>
        </is>
      </c>
      <c r="J4609" t="inlineStr">
        <is>
          <t>Carlos Silva</t>
        </is>
      </c>
      <c r="K4609" s="70" t="n">
        <v>1858</v>
      </c>
      <c r="L4609" s="71" t="n">
        <v>629.3</v>
      </c>
      <c r="M4609" s="71" t="n">
        <v>1169239.4</v>
      </c>
      <c r="N4609" s="71" t="n">
        <v>409233.79</v>
      </c>
      <c r="O4609" s="71" t="n">
        <v>760005.61</v>
      </c>
      <c r="P4609" s="71" t="n">
        <v>143768.98</v>
      </c>
      <c r="Q4609" s="71" t="n">
        <v>616236.63</v>
      </c>
      <c r="R4609" t="inlineStr">
        <is>
          <t>Cardiology</t>
        </is>
      </c>
      <c r="S4609" s="70" t="n">
        <v>1560</v>
      </c>
      <c r="T4609" s="71" t="n">
        <v>191664.3</v>
      </c>
      <c r="U4609" t="inlineStr">
        <is>
          <t>High</t>
        </is>
      </c>
      <c r="V4609">
        <f>IF(AND(OR(Dashboard!$C$6="All",E4609=Dashboard!$C$6),OR(Dashboard!$F$6="All",G4609=Dashboard!$F$6),OR(Dashboard!$I$6="All",H4609=Dashboard!$I$6)),1,0)</f>
        <v/>
      </c>
    </row>
    <row r="4610">
      <c r="A4610" t="inlineStr">
        <is>
          <t>PF104601</t>
        </is>
      </c>
      <c r="B4610" s="68" t="n">
        <v>46211</v>
      </c>
      <c r="C4610" s="69" t="n">
        <v>2026</v>
      </c>
      <c r="D4610" t="inlineStr">
        <is>
          <t>Jul</t>
        </is>
      </c>
      <c r="E4610" t="inlineStr">
        <is>
          <t>United States</t>
        </is>
      </c>
      <c r="F4610" t="inlineStr">
        <is>
          <t>USA</t>
        </is>
      </c>
      <c r="G4610" t="inlineStr">
        <is>
          <t>Abrysvo</t>
        </is>
      </c>
      <c r="H4610" t="inlineStr">
        <is>
          <t>Retail pharmacy</t>
        </is>
      </c>
      <c r="I4610" t="inlineStr">
        <is>
          <t>Public payer</t>
        </is>
      </c>
      <c r="J4610" t="inlineStr">
        <is>
          <t>Sophie Müller</t>
        </is>
      </c>
      <c r="K4610" s="70" t="n">
        <v>280</v>
      </c>
      <c r="L4610" s="71" t="n">
        <v>550.09</v>
      </c>
      <c r="M4610" s="71" t="n">
        <v>154025.2</v>
      </c>
      <c r="N4610" s="71" t="n">
        <v>30805.04</v>
      </c>
      <c r="O4610" s="71" t="n">
        <v>123220.16</v>
      </c>
      <c r="P4610" s="71" t="n">
        <v>24369.74</v>
      </c>
      <c r="Q4610" s="71" t="n">
        <v>98850.42</v>
      </c>
      <c r="R4610" t="inlineStr">
        <is>
          <t>Vaccines</t>
        </is>
      </c>
      <c r="S4610" s="70" t="n">
        <v>175</v>
      </c>
      <c r="T4610" s="71" t="n">
        <v>26387.18</v>
      </c>
      <c r="U4610" t="inlineStr">
        <is>
          <t>Low</t>
        </is>
      </c>
      <c r="V4610">
        <f>IF(AND(OR(Dashboard!$C$6="All",E4610=Dashboard!$C$6),OR(Dashboard!$F$6="All",G4610=Dashboard!$F$6),OR(Dashboard!$I$6="All",H4610=Dashboard!$I$6)),1,0)</f>
        <v/>
      </c>
    </row>
    <row r="4611">
      <c r="A4611" t="inlineStr">
        <is>
          <t>PF104602</t>
        </is>
      </c>
      <c r="B4611" s="68" t="n">
        <v>46211</v>
      </c>
      <c r="C4611" s="69" t="n">
        <v>2026</v>
      </c>
      <c r="D4611" t="inlineStr">
        <is>
          <t>Jul</t>
        </is>
      </c>
      <c r="E4611" t="inlineStr">
        <is>
          <t>Emerging markets</t>
        </is>
      </c>
      <c r="F4611" t="inlineStr">
        <is>
          <t>India</t>
        </is>
      </c>
      <c r="G4611" t="inlineStr">
        <is>
          <t>Paxlovid</t>
        </is>
      </c>
      <c r="H4611" t="inlineStr">
        <is>
          <t>Hospital</t>
        </is>
      </c>
      <c r="I4611" t="inlineStr">
        <is>
          <t>Public payer</t>
        </is>
      </c>
      <c r="J4611" t="inlineStr">
        <is>
          <t>Sara Rossi</t>
        </is>
      </c>
      <c r="K4611" s="70" t="n">
        <v>1628</v>
      </c>
      <c r="L4611" s="71" t="n">
        <v>937.64</v>
      </c>
      <c r="M4611" s="71" t="n">
        <v>1526477.92</v>
      </c>
      <c r="N4611" s="71" t="n">
        <v>381619.48</v>
      </c>
      <c r="O4611" s="71" t="n">
        <v>1144858.44</v>
      </c>
      <c r="P4611" s="71" t="n">
        <v>442261.92</v>
      </c>
      <c r="Q4611" s="71" t="n">
        <v>702596.52</v>
      </c>
      <c r="R4611" t="inlineStr">
        <is>
          <t>Antiviral</t>
        </is>
      </c>
      <c r="S4611" s="70" t="n">
        <v>1035</v>
      </c>
      <c r="T4611" s="71" t="n">
        <v>378371.97</v>
      </c>
      <c r="U4611" t="inlineStr">
        <is>
          <t>Low</t>
        </is>
      </c>
      <c r="V4611">
        <f>IF(AND(OR(Dashboard!$C$6="All",E4611=Dashboard!$C$6),OR(Dashboard!$F$6="All",G4611=Dashboard!$F$6),OR(Dashboard!$I$6="All",H4611=Dashboard!$I$6)),1,0)</f>
        <v/>
      </c>
    </row>
    <row r="4612">
      <c r="A4612" t="inlineStr">
        <is>
          <t>PF104603</t>
        </is>
      </c>
      <c r="B4612" s="68" t="n">
        <v>46211</v>
      </c>
      <c r="C4612" s="69" t="n">
        <v>2026</v>
      </c>
      <c r="D4612" t="inlineStr">
        <is>
          <t>Jul</t>
        </is>
      </c>
      <c r="E4612" t="inlineStr">
        <is>
          <t>Emerging markets</t>
        </is>
      </c>
      <c r="F4612" t="inlineStr">
        <is>
          <t>India</t>
        </is>
      </c>
      <c r="G4612" t="inlineStr">
        <is>
          <t>Paxlovid</t>
        </is>
      </c>
      <c r="H4612" t="inlineStr">
        <is>
          <t>Hospital</t>
        </is>
      </c>
      <c r="I4612" t="inlineStr">
        <is>
          <t>Self-pay</t>
        </is>
      </c>
      <c r="J4612" t="inlineStr">
        <is>
          <t>Kofi Mensah</t>
        </is>
      </c>
      <c r="K4612" s="70" t="n">
        <v>1246</v>
      </c>
      <c r="L4612" s="71" t="n">
        <v>865.84</v>
      </c>
      <c r="M4612" s="71" t="n">
        <v>1078836.64</v>
      </c>
      <c r="N4612" s="71" t="n">
        <v>215767.33</v>
      </c>
      <c r="O4612" s="71" t="n">
        <v>863069.3100000001</v>
      </c>
      <c r="P4612" s="71" t="n">
        <v>350874.28</v>
      </c>
      <c r="Q4612" s="71" t="n">
        <v>512195.03</v>
      </c>
      <c r="R4612" t="inlineStr">
        <is>
          <t>Antiviral</t>
        </is>
      </c>
      <c r="S4612" s="70" t="n">
        <v>1016</v>
      </c>
      <c r="T4612" s="71" t="n">
        <v>187443.98</v>
      </c>
      <c r="U4612" t="inlineStr">
        <is>
          <t>Low</t>
        </is>
      </c>
      <c r="V4612">
        <f>IF(AND(OR(Dashboard!$C$6="All",E4612=Dashboard!$C$6),OR(Dashboard!$F$6="All",G4612=Dashboard!$F$6),OR(Dashboard!$I$6="All",H4612=Dashboard!$I$6)),1,0)</f>
        <v/>
      </c>
    </row>
    <row r="4613">
      <c r="A4613" t="inlineStr">
        <is>
          <t>PF104604</t>
        </is>
      </c>
      <c r="B4613" s="68" t="n">
        <v>46212</v>
      </c>
      <c r="C4613" s="69" t="n">
        <v>2026</v>
      </c>
      <c r="D4613" t="inlineStr">
        <is>
          <t>Jul</t>
        </is>
      </c>
      <c r="E4613" t="inlineStr">
        <is>
          <t>Europe</t>
        </is>
      </c>
      <c r="F4613" t="inlineStr">
        <is>
          <t>France</t>
        </is>
      </c>
      <c r="G4613" t="inlineStr">
        <is>
          <t>Ibrance</t>
        </is>
      </c>
      <c r="H4613" t="inlineStr">
        <is>
          <t>Retail pharmacy</t>
        </is>
      </c>
      <c r="I4613" t="inlineStr">
        <is>
          <t>Private insurer</t>
        </is>
      </c>
      <c r="J4613" t="inlineStr">
        <is>
          <t>Ravindra Patil</t>
        </is>
      </c>
      <c r="K4613" s="70" t="n">
        <v>217</v>
      </c>
      <c r="L4613" s="71" t="n">
        <v>3053.17</v>
      </c>
      <c r="M4613" s="71" t="n">
        <v>662537.89</v>
      </c>
      <c r="N4613" s="71" t="n">
        <v>33126.89</v>
      </c>
      <c r="O4613" s="71" t="n">
        <v>629411</v>
      </c>
      <c r="P4613" s="71" t="n">
        <v>91705.42</v>
      </c>
      <c r="Q4613" s="71" t="n">
        <v>537705.58</v>
      </c>
      <c r="R4613" t="inlineStr">
        <is>
          <t>Oncology</t>
        </is>
      </c>
      <c r="S4613" s="70" t="n">
        <v>151</v>
      </c>
      <c r="T4613" s="71" t="n">
        <v>92843.53999999999</v>
      </c>
      <c r="U4613" t="inlineStr">
        <is>
          <t>High</t>
        </is>
      </c>
      <c r="V4613">
        <f>IF(AND(OR(Dashboard!$C$6="All",E4613=Dashboard!$C$6),OR(Dashboard!$F$6="All",G4613=Dashboard!$F$6),OR(Dashboard!$I$6="All",H4613=Dashboard!$I$6)),1,0)</f>
        <v/>
      </c>
    </row>
    <row r="4614">
      <c r="A4614" t="inlineStr">
        <is>
          <t>PF104605</t>
        </is>
      </c>
      <c r="B4614" s="68" t="n">
        <v>46212</v>
      </c>
      <c r="C4614" s="69" t="n">
        <v>2026</v>
      </c>
      <c r="D4614" t="inlineStr">
        <is>
          <t>Jul</t>
        </is>
      </c>
      <c r="E4614" t="inlineStr">
        <is>
          <t>United States</t>
        </is>
      </c>
      <c r="F4614" t="inlineStr">
        <is>
          <t>USA</t>
        </is>
      </c>
      <c r="G4614" t="inlineStr">
        <is>
          <t>Xeljanz</t>
        </is>
      </c>
      <c r="H4614" t="inlineStr">
        <is>
          <t>Government / tender</t>
        </is>
      </c>
      <c r="I4614" t="inlineStr">
        <is>
          <t>Public payer</t>
        </is>
      </c>
      <c r="J4614" t="inlineStr">
        <is>
          <t>Ana Costa</t>
        </is>
      </c>
      <c r="K4614" s="70" t="n">
        <v>910</v>
      </c>
      <c r="L4614" s="71" t="n">
        <v>2310.39</v>
      </c>
      <c r="M4614" s="71" t="n">
        <v>2102454.9</v>
      </c>
      <c r="N4614" s="71" t="n">
        <v>420490.98</v>
      </c>
      <c r="O4614" s="71" t="n">
        <v>1681963.92</v>
      </c>
      <c r="P4614" s="71" t="n">
        <v>235693.34</v>
      </c>
      <c r="Q4614" s="71" t="n">
        <v>1446270.58</v>
      </c>
      <c r="R4614" t="inlineStr">
        <is>
          <t>Inflammation</t>
        </is>
      </c>
      <c r="S4614" s="70" t="n">
        <v>616</v>
      </c>
      <c r="T4614" s="71" t="n">
        <v>461868.07</v>
      </c>
      <c r="U4614" t="inlineStr">
        <is>
          <t>High</t>
        </is>
      </c>
      <c r="V4614">
        <f>IF(AND(OR(Dashboard!$C$6="All",E4614=Dashboard!$C$6),OR(Dashboard!$F$6="All",G4614=Dashboard!$F$6),OR(Dashboard!$I$6="All",H4614=Dashboard!$I$6)),1,0)</f>
        <v/>
      </c>
    </row>
    <row r="4615">
      <c r="A4615" t="inlineStr">
        <is>
          <t>PF104606</t>
        </is>
      </c>
      <c r="B4615" s="68" t="n">
        <v>46212</v>
      </c>
      <c r="C4615" s="69" t="n">
        <v>2026</v>
      </c>
      <c r="D4615" t="inlineStr">
        <is>
          <t>Jul</t>
        </is>
      </c>
      <c r="E4615" t="inlineStr">
        <is>
          <t>Europe</t>
        </is>
      </c>
      <c r="F4615" t="inlineStr">
        <is>
          <t>UK</t>
        </is>
      </c>
      <c r="G4615" t="inlineStr">
        <is>
          <t>Xeljanz</t>
        </is>
      </c>
      <c r="H4615" t="inlineStr">
        <is>
          <t>Government / tender</t>
        </is>
      </c>
      <c r="I4615" t="inlineStr">
        <is>
          <t>Public payer</t>
        </is>
      </c>
      <c r="J4615" t="inlineStr">
        <is>
          <t>Amir Khan</t>
        </is>
      </c>
      <c r="K4615" s="70" t="n">
        <v>1752</v>
      </c>
      <c r="L4615" s="71" t="n">
        <v>1330.45</v>
      </c>
      <c r="M4615" s="71" t="n">
        <v>2330948.4</v>
      </c>
      <c r="N4615" s="71" t="n">
        <v>233094.84</v>
      </c>
      <c r="O4615" s="71" t="n">
        <v>2097853.56</v>
      </c>
      <c r="P4615" s="71" t="n">
        <v>456883.04</v>
      </c>
      <c r="Q4615" s="71" t="n">
        <v>1640970.52</v>
      </c>
      <c r="R4615" t="inlineStr">
        <is>
          <t>Inflammation</t>
        </is>
      </c>
      <c r="S4615" s="70" t="n">
        <v>1472</v>
      </c>
      <c r="T4615" s="71" t="n">
        <v>379808.95</v>
      </c>
      <c r="U4615" t="inlineStr">
        <is>
          <t>High</t>
        </is>
      </c>
      <c r="V4615">
        <f>IF(AND(OR(Dashboard!$C$6="All",E4615=Dashboard!$C$6),OR(Dashboard!$F$6="All",G4615=Dashboard!$F$6),OR(Dashboard!$I$6="All",H4615=Dashboard!$I$6)),1,0)</f>
        <v/>
      </c>
    </row>
    <row r="4616">
      <c r="A4616" t="inlineStr">
        <is>
          <t>PF104607</t>
        </is>
      </c>
      <c r="B4616" s="68" t="n">
        <v>46212</v>
      </c>
      <c r="C4616" s="69" t="n">
        <v>2026</v>
      </c>
      <c r="D4616" t="inlineStr">
        <is>
          <t>Jul</t>
        </is>
      </c>
      <c r="E4616" t="inlineStr">
        <is>
          <t>Emerging markets</t>
        </is>
      </c>
      <c r="F4616" t="inlineStr">
        <is>
          <t>India</t>
        </is>
      </c>
      <c r="G4616" t="inlineStr">
        <is>
          <t>Eliquis</t>
        </is>
      </c>
      <c r="H4616" t="inlineStr">
        <is>
          <t>Retail pharmacy</t>
        </is>
      </c>
      <c r="I4616" t="inlineStr">
        <is>
          <t>Private insurer</t>
        </is>
      </c>
      <c r="J4616" t="inlineStr">
        <is>
          <t>Yuki Sato</t>
        </is>
      </c>
      <c r="K4616" s="70" t="n">
        <v>937</v>
      </c>
      <c r="L4616" s="71" t="n">
        <v>390.44</v>
      </c>
      <c r="M4616" s="71" t="n">
        <v>365842.28</v>
      </c>
      <c r="N4616" s="71" t="n">
        <v>36584.23</v>
      </c>
      <c r="O4616" s="71" t="n">
        <v>329258.05</v>
      </c>
      <c r="P4616" s="71" t="n">
        <v>71325.24000000001</v>
      </c>
      <c r="Q4616" s="71" t="n">
        <v>257932.81</v>
      </c>
      <c r="R4616" t="inlineStr">
        <is>
          <t>Cardiology</t>
        </is>
      </c>
      <c r="S4616" s="70" t="n">
        <v>759</v>
      </c>
      <c r="T4616" s="71" t="n">
        <v>61446.64</v>
      </c>
      <c r="U4616" t="inlineStr">
        <is>
          <t>High</t>
        </is>
      </c>
      <c r="V4616">
        <f>IF(AND(OR(Dashboard!$C$6="All",E4616=Dashboard!$C$6),OR(Dashboard!$F$6="All",G4616=Dashboard!$F$6),OR(Dashboard!$I$6="All",H4616=Dashboard!$I$6)),1,0)</f>
        <v/>
      </c>
    </row>
    <row r="4617">
      <c r="A4617" t="inlineStr">
        <is>
          <t>PF104608</t>
        </is>
      </c>
      <c r="B4617" s="68" t="n">
        <v>46212</v>
      </c>
      <c r="C4617" s="69" t="n">
        <v>2026</v>
      </c>
      <c r="D4617" t="inlineStr">
        <is>
          <t>Jul</t>
        </is>
      </c>
      <c r="E4617" t="inlineStr">
        <is>
          <t>Europe</t>
        </is>
      </c>
      <c r="F4617" t="inlineStr">
        <is>
          <t>Italy</t>
        </is>
      </c>
      <c r="G4617" t="inlineStr">
        <is>
          <t>Vyndaqel</t>
        </is>
      </c>
      <c r="H4617" t="inlineStr">
        <is>
          <t>Retail pharmacy</t>
        </is>
      </c>
      <c r="I4617" t="inlineStr">
        <is>
          <t>Private insurer</t>
        </is>
      </c>
      <c r="J4617" t="inlineStr">
        <is>
          <t>Omar Haddad</t>
        </is>
      </c>
      <c r="K4617" s="70" t="n">
        <v>3299</v>
      </c>
      <c r="L4617" s="71" t="n">
        <v>5372.05</v>
      </c>
      <c r="M4617" s="71" t="n">
        <v>17722392.95</v>
      </c>
      <c r="N4617" s="71" t="n">
        <v>886119.65</v>
      </c>
      <c r="O4617" s="71" t="n">
        <v>16836273.3</v>
      </c>
      <c r="P4617" s="71" t="n">
        <v>2135249</v>
      </c>
      <c r="Q4617" s="71" t="n">
        <v>14701024.3</v>
      </c>
      <c r="R4617" t="inlineStr">
        <is>
          <t>Rare disease</t>
        </is>
      </c>
      <c r="S4617" s="70" t="n">
        <v>3042</v>
      </c>
      <c r="T4617" s="71" t="n">
        <v>3183602.52</v>
      </c>
      <c r="U4617" t="inlineStr">
        <is>
          <t>Medium</t>
        </is>
      </c>
      <c r="V4617">
        <f>IF(AND(OR(Dashboard!$C$6="All",E4617=Dashboard!$C$6),OR(Dashboard!$F$6="All",G4617=Dashboard!$F$6),OR(Dashboard!$I$6="All",H4617=Dashboard!$I$6)),1,0)</f>
        <v/>
      </c>
    </row>
    <row r="4618">
      <c r="A4618" t="inlineStr">
        <is>
          <t>PF104609</t>
        </is>
      </c>
      <c r="B4618" s="68" t="n">
        <v>46212</v>
      </c>
      <c r="C4618" s="69" t="n">
        <v>2026</v>
      </c>
      <c r="D4618" t="inlineStr">
        <is>
          <t>Jul</t>
        </is>
      </c>
      <c r="E4618" t="inlineStr">
        <is>
          <t>United States</t>
        </is>
      </c>
      <c r="F4618" t="inlineStr">
        <is>
          <t>USA</t>
        </is>
      </c>
      <c r="G4618" t="inlineStr">
        <is>
          <t>Prevnar 20</t>
        </is>
      </c>
      <c r="H4618" t="inlineStr">
        <is>
          <t>Government / tender</t>
        </is>
      </c>
      <c r="I4618" t="inlineStr">
        <is>
          <t>Public payer</t>
        </is>
      </c>
      <c r="J4618" t="inlineStr">
        <is>
          <t>Aisha Bello</t>
        </is>
      </c>
      <c r="K4618" s="70" t="n">
        <v>313</v>
      </c>
      <c r="L4618" s="71" t="n">
        <v>373.46</v>
      </c>
      <c r="M4618" s="71" t="n">
        <v>116892.98</v>
      </c>
      <c r="N4618" s="71" t="n">
        <v>35067.89</v>
      </c>
      <c r="O4618" s="71" t="n">
        <v>81825.09</v>
      </c>
      <c r="P4618" s="71" t="n">
        <v>20794.31</v>
      </c>
      <c r="Q4618" s="71" t="n">
        <v>61030.78</v>
      </c>
      <c r="R4618" t="inlineStr">
        <is>
          <t>Vaccines</t>
        </is>
      </c>
      <c r="S4618" s="70" t="n">
        <v>287</v>
      </c>
      <c r="T4618" s="71" t="n">
        <v>18917.05</v>
      </c>
      <c r="U4618" t="inlineStr">
        <is>
          <t>Low</t>
        </is>
      </c>
      <c r="V4618">
        <f>IF(AND(OR(Dashboard!$C$6="All",E4618=Dashboard!$C$6),OR(Dashboard!$F$6="All",G4618=Dashboard!$F$6),OR(Dashboard!$I$6="All",H4618=Dashboard!$I$6)),1,0)</f>
        <v/>
      </c>
    </row>
    <row r="4619">
      <c r="A4619" t="inlineStr">
        <is>
          <t>PF104610</t>
        </is>
      </c>
      <c r="B4619" s="68" t="n">
        <v>46212</v>
      </c>
      <c r="C4619" s="69" t="n">
        <v>2026</v>
      </c>
      <c r="D4619" t="inlineStr">
        <is>
          <t>Jul</t>
        </is>
      </c>
      <c r="E4619" t="inlineStr">
        <is>
          <t>United States</t>
        </is>
      </c>
      <c r="F4619" t="inlineStr">
        <is>
          <t>USA</t>
        </is>
      </c>
      <c r="G4619" t="inlineStr">
        <is>
          <t>Xeljanz</t>
        </is>
      </c>
      <c r="H4619" t="inlineStr">
        <is>
          <t>Retail pharmacy</t>
        </is>
      </c>
      <c r="I4619" t="inlineStr">
        <is>
          <t>Private insurer</t>
        </is>
      </c>
      <c r="J4619" t="inlineStr">
        <is>
          <t>Fatima Al-Saud</t>
        </is>
      </c>
      <c r="K4619" s="70" t="n">
        <v>2210</v>
      </c>
      <c r="L4619" s="71" t="n">
        <v>2093.19</v>
      </c>
      <c r="M4619" s="71" t="n">
        <v>4625949.9</v>
      </c>
      <c r="N4619" s="71" t="n">
        <v>1387784.97</v>
      </c>
      <c r="O4619" s="71" t="n">
        <v>3238164.93</v>
      </c>
      <c r="P4619" s="71" t="n">
        <v>574145.14</v>
      </c>
      <c r="Q4619" s="71" t="n">
        <v>2664019.79</v>
      </c>
      <c r="R4619" t="inlineStr">
        <is>
          <t>Inflammation</t>
        </is>
      </c>
      <c r="S4619" s="70" t="n">
        <v>1611</v>
      </c>
      <c r="T4619" s="71" t="n">
        <v>790716.91</v>
      </c>
      <c r="U4619" t="inlineStr">
        <is>
          <t>High</t>
        </is>
      </c>
      <c r="V4619">
        <f>IF(AND(OR(Dashboard!$C$6="All",E4619=Dashboard!$C$6),OR(Dashboard!$F$6="All",G4619=Dashboard!$F$6),OR(Dashboard!$I$6="All",H4619=Dashboard!$I$6)),1,0)</f>
        <v/>
      </c>
    </row>
    <row r="4620">
      <c r="A4620" t="inlineStr">
        <is>
          <t>PF104611</t>
        </is>
      </c>
      <c r="B4620" s="68" t="n">
        <v>46212</v>
      </c>
      <c r="C4620" s="69" t="n">
        <v>2026</v>
      </c>
      <c r="D4620" t="inlineStr">
        <is>
          <t>Jul</t>
        </is>
      </c>
      <c r="E4620" t="inlineStr">
        <is>
          <t>United States</t>
        </is>
      </c>
      <c r="F4620" t="inlineStr">
        <is>
          <t>USA</t>
        </is>
      </c>
      <c r="G4620" t="inlineStr">
        <is>
          <t>Eliquis</t>
        </is>
      </c>
      <c r="H4620" t="inlineStr">
        <is>
          <t>Retail pharmacy</t>
        </is>
      </c>
      <c r="I4620" t="inlineStr">
        <is>
          <t>Self-pay</t>
        </is>
      </c>
      <c r="J4620" t="inlineStr">
        <is>
          <t>Priya Nair</t>
        </is>
      </c>
      <c r="K4620" s="70" t="n">
        <v>173</v>
      </c>
      <c r="L4620" s="71" t="n">
        <v>719.5599999999999</v>
      </c>
      <c r="M4620" s="71" t="n">
        <v>124483.88</v>
      </c>
      <c r="N4620" s="71" t="n">
        <v>24896.78</v>
      </c>
      <c r="O4620" s="71" t="n">
        <v>99587.10000000001</v>
      </c>
      <c r="P4620" s="71" t="n">
        <v>12975.67</v>
      </c>
      <c r="Q4620" s="71" t="n">
        <v>86611.42999999999</v>
      </c>
      <c r="R4620" t="inlineStr">
        <is>
          <t>Cardiology</t>
        </is>
      </c>
      <c r="S4620" s="70" t="n">
        <v>116</v>
      </c>
      <c r="T4620" s="71" t="n">
        <v>23780.98</v>
      </c>
      <c r="U4620" t="inlineStr">
        <is>
          <t>High</t>
        </is>
      </c>
      <c r="V4620">
        <f>IF(AND(OR(Dashboard!$C$6="All",E4620=Dashboard!$C$6),OR(Dashboard!$F$6="All",G4620=Dashboard!$F$6),OR(Dashboard!$I$6="All",H4620=Dashboard!$I$6)),1,0)</f>
        <v/>
      </c>
    </row>
    <row r="4621">
      <c r="A4621" t="inlineStr">
        <is>
          <t>PF104612</t>
        </is>
      </c>
      <c r="B4621" s="68" t="n">
        <v>46212</v>
      </c>
      <c r="C4621" s="69" t="n">
        <v>2026</v>
      </c>
      <c r="D4621" t="inlineStr">
        <is>
          <t>Jul</t>
        </is>
      </c>
      <c r="E4621" t="inlineStr">
        <is>
          <t>Europe</t>
        </is>
      </c>
      <c r="F4621" t="inlineStr">
        <is>
          <t>Germany</t>
        </is>
      </c>
      <c r="G4621" t="inlineStr">
        <is>
          <t>Ibrance</t>
        </is>
      </c>
      <c r="H4621" t="inlineStr">
        <is>
          <t>Retail pharmacy</t>
        </is>
      </c>
      <c r="I4621" t="inlineStr">
        <is>
          <t>Public payer</t>
        </is>
      </c>
      <c r="J4621" t="inlineStr">
        <is>
          <t>Ruhi Shaikh</t>
        </is>
      </c>
      <c r="K4621" s="70" t="n">
        <v>789</v>
      </c>
      <c r="L4621" s="71" t="n">
        <v>2717.34</v>
      </c>
      <c r="M4621" s="71" t="n">
        <v>2143981.26</v>
      </c>
      <c r="N4621" s="71" t="n">
        <v>214398.13</v>
      </c>
      <c r="O4621" s="71" t="n">
        <v>1929583.13</v>
      </c>
      <c r="P4621" s="71" t="n">
        <v>356563.51</v>
      </c>
      <c r="Q4621" s="71" t="n">
        <v>1573019.62</v>
      </c>
      <c r="R4621" t="inlineStr">
        <is>
          <t>Oncology</t>
        </is>
      </c>
      <c r="S4621" s="70" t="n">
        <v>767</v>
      </c>
      <c r="T4621" s="71" t="n">
        <v>283305.28</v>
      </c>
      <c r="U4621" t="inlineStr">
        <is>
          <t>High</t>
        </is>
      </c>
      <c r="V4621">
        <f>IF(AND(OR(Dashboard!$C$6="All",E4621=Dashboard!$C$6),OR(Dashboard!$F$6="All",G4621=Dashboard!$F$6),OR(Dashboard!$I$6="All",H4621=Dashboard!$I$6)),1,0)</f>
        <v/>
      </c>
    </row>
    <row r="4622">
      <c r="A4622" t="inlineStr">
        <is>
          <t>PF104613</t>
        </is>
      </c>
      <c r="B4622" s="68" t="n">
        <v>46212</v>
      </c>
      <c r="C4622" s="69" t="n">
        <v>2026</v>
      </c>
      <c r="D4622" t="inlineStr">
        <is>
          <t>Jul</t>
        </is>
      </c>
      <c r="E4622" t="inlineStr">
        <is>
          <t>United States</t>
        </is>
      </c>
      <c r="F4622" t="inlineStr">
        <is>
          <t>USA</t>
        </is>
      </c>
      <c r="G4622" t="inlineStr">
        <is>
          <t>Prevnar 20</t>
        </is>
      </c>
      <c r="H4622" t="inlineStr">
        <is>
          <t>Hospital</t>
        </is>
      </c>
      <c r="I4622" t="inlineStr">
        <is>
          <t>Private insurer</t>
        </is>
      </c>
      <c r="J4622" t="inlineStr">
        <is>
          <t>Ruhi Shaikh</t>
        </is>
      </c>
      <c r="K4622" s="70" t="n">
        <v>1418</v>
      </c>
      <c r="L4622" s="71" t="n">
        <v>387.22</v>
      </c>
      <c r="M4622" s="71" t="n">
        <v>549077.96</v>
      </c>
      <c r="N4622" s="71" t="n">
        <v>82361.69</v>
      </c>
      <c r="O4622" s="71" t="n">
        <v>466716.27</v>
      </c>
      <c r="P4622" s="71" t="n">
        <v>98524.35000000001</v>
      </c>
      <c r="Q4622" s="71" t="n">
        <v>368191.92</v>
      </c>
      <c r="R4622" t="inlineStr">
        <is>
          <t>Vaccines</t>
        </is>
      </c>
      <c r="S4622" s="70" t="n">
        <v>1127</v>
      </c>
      <c r="T4622" s="71" t="n">
        <v>98264.71000000001</v>
      </c>
      <c r="U4622" t="inlineStr">
        <is>
          <t>Low</t>
        </is>
      </c>
      <c r="V4622">
        <f>IF(AND(OR(Dashboard!$C$6="All",E4622=Dashboard!$C$6),OR(Dashboard!$F$6="All",G4622=Dashboard!$F$6),OR(Dashboard!$I$6="All",H4622=Dashboard!$I$6)),1,0)</f>
        <v/>
      </c>
    </row>
    <row r="4623">
      <c r="A4623" t="inlineStr">
        <is>
          <t>PF104614</t>
        </is>
      </c>
      <c r="B4623" s="68" t="n">
        <v>46212</v>
      </c>
      <c r="C4623" s="69" t="n">
        <v>2026</v>
      </c>
      <c r="D4623" t="inlineStr">
        <is>
          <t>Jul</t>
        </is>
      </c>
      <c r="E4623" t="inlineStr">
        <is>
          <t>Europe</t>
        </is>
      </c>
      <c r="F4623" t="inlineStr">
        <is>
          <t>France</t>
        </is>
      </c>
      <c r="G4623" t="inlineStr">
        <is>
          <t>Comirnaty</t>
        </is>
      </c>
      <c r="H4623" t="inlineStr">
        <is>
          <t>Retail pharmacy</t>
        </is>
      </c>
      <c r="I4623" t="inlineStr">
        <is>
          <t>Public payer</t>
        </is>
      </c>
      <c r="J4623" t="inlineStr">
        <is>
          <t>Noah Smith</t>
        </is>
      </c>
      <c r="K4623" s="70" t="n">
        <v>1628</v>
      </c>
      <c r="L4623" s="71" t="n">
        <v>87.02</v>
      </c>
      <c r="M4623" s="71" t="n">
        <v>141668.56</v>
      </c>
      <c r="N4623" s="71" t="n">
        <v>7083.43</v>
      </c>
      <c r="O4623" s="71" t="n">
        <v>134585.13</v>
      </c>
      <c r="P4623" s="71" t="n">
        <v>64978.55</v>
      </c>
      <c r="Q4623" s="71" t="n">
        <v>69606.58</v>
      </c>
      <c r="R4623" t="inlineStr">
        <is>
          <t>Vaccines</t>
        </is>
      </c>
      <c r="S4623" s="70" t="n">
        <v>1089</v>
      </c>
      <c r="T4623" s="71" t="n">
        <v>27373.84</v>
      </c>
      <c r="U4623" t="inlineStr">
        <is>
          <t>Low</t>
        </is>
      </c>
      <c r="V4623">
        <f>IF(AND(OR(Dashboard!$C$6="All",E4623=Dashboard!$C$6),OR(Dashboard!$F$6="All",G4623=Dashboard!$F$6),OR(Dashboard!$I$6="All",H4623=Dashboard!$I$6)),1,0)</f>
        <v/>
      </c>
    </row>
    <row r="4624">
      <c r="A4624" t="inlineStr">
        <is>
          <t>PF104615</t>
        </is>
      </c>
      <c r="B4624" s="68" t="n">
        <v>46213</v>
      </c>
      <c r="C4624" s="69" t="n">
        <v>2026</v>
      </c>
      <c r="D4624" t="inlineStr">
        <is>
          <t>Jul</t>
        </is>
      </c>
      <c r="E4624" t="inlineStr">
        <is>
          <t>Europe</t>
        </is>
      </c>
      <c r="F4624" t="inlineStr">
        <is>
          <t>France</t>
        </is>
      </c>
      <c r="G4624" t="inlineStr">
        <is>
          <t>Paxlovid</t>
        </is>
      </c>
      <c r="H4624" t="inlineStr">
        <is>
          <t>Hospital</t>
        </is>
      </c>
      <c r="I4624" t="inlineStr">
        <is>
          <t>Public payer</t>
        </is>
      </c>
      <c r="J4624" t="inlineStr">
        <is>
          <t>Amir Khan</t>
        </is>
      </c>
      <c r="K4624" s="70" t="n">
        <v>579</v>
      </c>
      <c r="L4624" s="71" t="n">
        <v>973.58</v>
      </c>
      <c r="M4624" s="71" t="n">
        <v>563702.8199999999</v>
      </c>
      <c r="N4624" s="71" t="n">
        <v>56370.28</v>
      </c>
      <c r="O4624" s="71" t="n">
        <v>507332.54</v>
      </c>
      <c r="P4624" s="71" t="n">
        <v>158286.93</v>
      </c>
      <c r="Q4624" s="71" t="n">
        <v>349045.61</v>
      </c>
      <c r="R4624" t="inlineStr">
        <is>
          <t>Antiviral</t>
        </is>
      </c>
      <c r="S4624" s="70" t="n">
        <v>529</v>
      </c>
      <c r="T4624" s="71" t="n">
        <v>134907.17</v>
      </c>
      <c r="U4624" t="inlineStr">
        <is>
          <t>Low</t>
        </is>
      </c>
      <c r="V4624">
        <f>IF(AND(OR(Dashboard!$C$6="All",E4624=Dashboard!$C$6),OR(Dashboard!$F$6="All",G4624=Dashboard!$F$6),OR(Dashboard!$I$6="All",H4624=Dashboard!$I$6)),1,0)</f>
        <v/>
      </c>
    </row>
    <row r="4625">
      <c r="A4625" t="inlineStr">
        <is>
          <t>PF104616</t>
        </is>
      </c>
      <c r="B4625" s="68" t="n">
        <v>46213</v>
      </c>
      <c r="C4625" s="69" t="n">
        <v>2026</v>
      </c>
      <c r="D4625" t="inlineStr">
        <is>
          <t>Jul</t>
        </is>
      </c>
      <c r="E4625" t="inlineStr">
        <is>
          <t>United States</t>
        </is>
      </c>
      <c r="F4625" t="inlineStr">
        <is>
          <t>USA</t>
        </is>
      </c>
      <c r="G4625" t="inlineStr">
        <is>
          <t>Abrysvo</t>
        </is>
      </c>
      <c r="H4625" t="inlineStr">
        <is>
          <t>Hospital</t>
        </is>
      </c>
      <c r="I4625" t="inlineStr">
        <is>
          <t>Private insurer</t>
        </is>
      </c>
      <c r="J4625" t="inlineStr">
        <is>
          <t>Emma Clarke</t>
        </is>
      </c>
      <c r="K4625" s="70" t="n">
        <v>2889</v>
      </c>
      <c r="L4625" s="71" t="n">
        <v>560.91</v>
      </c>
      <c r="M4625" s="71" t="n">
        <v>1620468.99</v>
      </c>
      <c r="N4625" s="71" t="n">
        <v>567164.15</v>
      </c>
      <c r="O4625" s="71" t="n">
        <v>1053304.84</v>
      </c>
      <c r="P4625" s="71" t="n">
        <v>233631.52</v>
      </c>
      <c r="Q4625" s="71" t="n">
        <v>819673.3199999999</v>
      </c>
      <c r="R4625" t="inlineStr">
        <is>
          <t>Vaccines</t>
        </is>
      </c>
      <c r="S4625" s="70" t="n">
        <v>1847</v>
      </c>
      <c r="T4625" s="71" t="n">
        <v>299983.36</v>
      </c>
      <c r="U4625" t="inlineStr">
        <is>
          <t>Low</t>
        </is>
      </c>
      <c r="V4625">
        <f>IF(AND(OR(Dashboard!$C$6="All",E4625=Dashboard!$C$6),OR(Dashboard!$F$6="All",G4625=Dashboard!$F$6),OR(Dashboard!$I$6="All",H4625=Dashboard!$I$6)),1,0)</f>
        <v/>
      </c>
    </row>
    <row r="4626">
      <c r="A4626" t="inlineStr">
        <is>
          <t>PF104617</t>
        </is>
      </c>
      <c r="B4626" s="68" t="n">
        <v>46213</v>
      </c>
      <c r="C4626" s="69" t="n">
        <v>2026</v>
      </c>
      <c r="D4626" t="inlineStr">
        <is>
          <t>Jul</t>
        </is>
      </c>
      <c r="E4626" t="inlineStr">
        <is>
          <t>Europe</t>
        </is>
      </c>
      <c r="F4626" t="inlineStr">
        <is>
          <t>France</t>
        </is>
      </c>
      <c r="G4626" t="inlineStr">
        <is>
          <t>Xeljanz</t>
        </is>
      </c>
      <c r="H4626" t="inlineStr">
        <is>
          <t>Hospital</t>
        </is>
      </c>
      <c r="I4626" t="inlineStr">
        <is>
          <t>Public payer</t>
        </is>
      </c>
      <c r="J4626" t="inlineStr">
        <is>
          <t>Hiroshi Tanaka</t>
        </is>
      </c>
      <c r="K4626" s="70" t="n">
        <v>1185</v>
      </c>
      <c r="L4626" s="71" t="n">
        <v>1443.84</v>
      </c>
      <c r="M4626" s="71" t="n">
        <v>1710950.4</v>
      </c>
      <c r="N4626" s="71" t="n">
        <v>342190.08</v>
      </c>
      <c r="O4626" s="71" t="n">
        <v>1368760.32</v>
      </c>
      <c r="P4626" s="71" t="n">
        <v>295018.79</v>
      </c>
      <c r="Q4626" s="71" t="n">
        <v>1073741.53</v>
      </c>
      <c r="R4626" t="inlineStr">
        <is>
          <t>Inflammation</t>
        </is>
      </c>
      <c r="S4626" s="70" t="n">
        <v>1075</v>
      </c>
      <c r="T4626" s="71" t="n">
        <v>354700.77</v>
      </c>
      <c r="U4626" t="inlineStr">
        <is>
          <t>High</t>
        </is>
      </c>
      <c r="V4626">
        <f>IF(AND(OR(Dashboard!$C$6="All",E4626=Dashboard!$C$6),OR(Dashboard!$F$6="All",G4626=Dashboard!$F$6),OR(Dashboard!$I$6="All",H4626=Dashboard!$I$6)),1,0)</f>
        <v/>
      </c>
    </row>
    <row r="4627">
      <c r="A4627" t="inlineStr">
        <is>
          <t>PF104618</t>
        </is>
      </c>
      <c r="B4627" s="68" t="n">
        <v>46213</v>
      </c>
      <c r="C4627" s="69" t="n">
        <v>2026</v>
      </c>
      <c r="D4627" t="inlineStr">
        <is>
          <t>Jul</t>
        </is>
      </c>
      <c r="E4627" t="inlineStr">
        <is>
          <t>Europe</t>
        </is>
      </c>
      <c r="F4627" t="inlineStr">
        <is>
          <t>UK</t>
        </is>
      </c>
      <c r="G4627" t="inlineStr">
        <is>
          <t>Eliquis</t>
        </is>
      </c>
      <c r="H4627" t="inlineStr">
        <is>
          <t>Government / tender</t>
        </is>
      </c>
      <c r="I4627" t="inlineStr">
        <is>
          <t>Public payer</t>
        </is>
      </c>
      <c r="J4627" t="inlineStr">
        <is>
          <t>Priya Nair</t>
        </is>
      </c>
      <c r="K4627" s="70" t="n">
        <v>599</v>
      </c>
      <c r="L4627" s="71" t="n">
        <v>433.73</v>
      </c>
      <c r="M4627" s="71" t="n">
        <v>259804.27</v>
      </c>
      <c r="N4627" s="71" t="n">
        <v>12990.21</v>
      </c>
      <c r="O4627" s="71" t="n">
        <v>246814.06</v>
      </c>
      <c r="P4627" s="71" t="n">
        <v>46855.47</v>
      </c>
      <c r="Q4627" s="71" t="n">
        <v>199958.59</v>
      </c>
      <c r="R4627" t="inlineStr">
        <is>
          <t>Cardiology</t>
        </is>
      </c>
      <c r="S4627" s="70" t="n">
        <v>575</v>
      </c>
      <c r="T4627" s="71" t="n">
        <v>37570.46</v>
      </c>
      <c r="U4627" t="inlineStr">
        <is>
          <t>High</t>
        </is>
      </c>
      <c r="V4627">
        <f>IF(AND(OR(Dashboard!$C$6="All",E4627=Dashboard!$C$6),OR(Dashboard!$F$6="All",G4627=Dashboard!$F$6),OR(Dashboard!$I$6="All",H4627=Dashboard!$I$6)),1,0)</f>
        <v/>
      </c>
    </row>
    <row r="4628">
      <c r="A4628" t="inlineStr">
        <is>
          <t>PF104619</t>
        </is>
      </c>
      <c r="B4628" s="68" t="n">
        <v>46213</v>
      </c>
      <c r="C4628" s="69" t="n">
        <v>2026</v>
      </c>
      <c r="D4628" t="inlineStr">
        <is>
          <t>Jul</t>
        </is>
      </c>
      <c r="E4628" t="inlineStr">
        <is>
          <t>Europe</t>
        </is>
      </c>
      <c r="F4628" t="inlineStr">
        <is>
          <t>Germany</t>
        </is>
      </c>
      <c r="G4628" t="inlineStr">
        <is>
          <t>Paxlovid</t>
        </is>
      </c>
      <c r="H4628" t="inlineStr">
        <is>
          <t>Hospital</t>
        </is>
      </c>
      <c r="I4628" t="inlineStr">
        <is>
          <t>Public payer</t>
        </is>
      </c>
      <c r="J4628" t="inlineStr">
        <is>
          <t>Shraddha Kulkarni</t>
        </is>
      </c>
      <c r="K4628" s="70" t="n">
        <v>1038</v>
      </c>
      <c r="L4628" s="71" t="n">
        <v>847.71</v>
      </c>
      <c r="M4628" s="71" t="n">
        <v>879922.98</v>
      </c>
      <c r="N4628" s="71" t="n">
        <v>43996.15</v>
      </c>
      <c r="O4628" s="71" t="n">
        <v>835926.83</v>
      </c>
      <c r="P4628" s="71" t="n">
        <v>277319.85</v>
      </c>
      <c r="Q4628" s="71" t="n">
        <v>558606.98</v>
      </c>
      <c r="R4628" t="inlineStr">
        <is>
          <t>Antiviral</t>
        </is>
      </c>
      <c r="S4628" s="70" t="n">
        <v>697</v>
      </c>
      <c r="T4628" s="71" t="n">
        <v>229500.93</v>
      </c>
      <c r="U4628" t="inlineStr">
        <is>
          <t>Low</t>
        </is>
      </c>
      <c r="V4628">
        <f>IF(AND(OR(Dashboard!$C$6="All",E4628=Dashboard!$C$6),OR(Dashboard!$F$6="All",G4628=Dashboard!$F$6),OR(Dashboard!$I$6="All",H4628=Dashboard!$I$6)),1,0)</f>
        <v/>
      </c>
    </row>
    <row r="4629">
      <c r="A4629" t="inlineStr">
        <is>
          <t>PF104620</t>
        </is>
      </c>
      <c r="B4629" s="68" t="n">
        <v>46213</v>
      </c>
      <c r="C4629" s="69" t="n">
        <v>2026</v>
      </c>
      <c r="D4629" t="inlineStr">
        <is>
          <t>Jul</t>
        </is>
      </c>
      <c r="E4629" t="inlineStr">
        <is>
          <t>Europe</t>
        </is>
      </c>
      <c r="F4629" t="inlineStr">
        <is>
          <t>Italy</t>
        </is>
      </c>
      <c r="G4629" t="inlineStr">
        <is>
          <t>Xeljanz</t>
        </is>
      </c>
      <c r="H4629" t="inlineStr">
        <is>
          <t>Government / tender</t>
        </is>
      </c>
      <c r="I4629" t="inlineStr">
        <is>
          <t>Private insurer</t>
        </is>
      </c>
      <c r="J4629" t="inlineStr">
        <is>
          <t>Ruhi Shaikh</t>
        </is>
      </c>
      <c r="K4629" s="70" t="n">
        <v>2097</v>
      </c>
      <c r="L4629" s="71" t="n">
        <v>1445.9</v>
      </c>
      <c r="M4629" s="71" t="n">
        <v>3032052.3</v>
      </c>
      <c r="N4629" s="71" t="n">
        <v>151602.61</v>
      </c>
      <c r="O4629" s="71" t="n">
        <v>2880449.69</v>
      </c>
      <c r="P4629" s="71" t="n">
        <v>537954.27</v>
      </c>
      <c r="Q4629" s="71" t="n">
        <v>2342495.42</v>
      </c>
      <c r="R4629" t="inlineStr">
        <is>
          <t>Inflammation</t>
        </is>
      </c>
      <c r="S4629" s="70" t="n">
        <v>1566</v>
      </c>
      <c r="T4629" s="71" t="n">
        <v>433539.23</v>
      </c>
      <c r="U4629" t="inlineStr">
        <is>
          <t>High</t>
        </is>
      </c>
      <c r="V4629">
        <f>IF(AND(OR(Dashboard!$C$6="All",E4629=Dashboard!$C$6),OR(Dashboard!$F$6="All",G4629=Dashboard!$F$6),OR(Dashboard!$I$6="All",H4629=Dashboard!$I$6)),1,0)</f>
        <v/>
      </c>
    </row>
    <row r="4630">
      <c r="A4630" t="inlineStr">
        <is>
          <t>PF104621</t>
        </is>
      </c>
      <c r="B4630" s="68" t="n">
        <v>46213</v>
      </c>
      <c r="C4630" s="69" t="n">
        <v>2026</v>
      </c>
      <c r="D4630" t="inlineStr">
        <is>
          <t>Jul</t>
        </is>
      </c>
      <c r="E4630" t="inlineStr">
        <is>
          <t>Europe</t>
        </is>
      </c>
      <c r="F4630" t="inlineStr">
        <is>
          <t>Germany</t>
        </is>
      </c>
      <c r="G4630" t="inlineStr">
        <is>
          <t>Eliquis</t>
        </is>
      </c>
      <c r="H4630" t="inlineStr">
        <is>
          <t>Hospital</t>
        </is>
      </c>
      <c r="I4630" t="inlineStr">
        <is>
          <t>Public payer</t>
        </is>
      </c>
      <c r="J4630" t="inlineStr">
        <is>
          <t>Hiroshi Tanaka</t>
        </is>
      </c>
      <c r="K4630" s="70" t="n">
        <v>2363</v>
      </c>
      <c r="L4630" s="71" t="n">
        <v>410.78</v>
      </c>
      <c r="M4630" s="71" t="n">
        <v>970673.14</v>
      </c>
      <c r="N4630" s="71" t="n">
        <v>242668.29</v>
      </c>
      <c r="O4630" s="71" t="n">
        <v>728004.85</v>
      </c>
      <c r="P4630" s="71" t="n">
        <v>174418.23</v>
      </c>
      <c r="Q4630" s="71" t="n">
        <v>553586.62</v>
      </c>
      <c r="R4630" t="inlineStr">
        <is>
          <t>Cardiology</t>
        </is>
      </c>
      <c r="S4630" s="70" t="n">
        <v>1576</v>
      </c>
      <c r="T4630" s="71" t="n">
        <v>126186.14</v>
      </c>
      <c r="U4630" t="inlineStr">
        <is>
          <t>High</t>
        </is>
      </c>
      <c r="V4630">
        <f>IF(AND(OR(Dashboard!$C$6="All",E4630=Dashboard!$C$6),OR(Dashboard!$F$6="All",G4630=Dashboard!$F$6),OR(Dashboard!$I$6="All",H4630=Dashboard!$I$6)),1,0)</f>
        <v/>
      </c>
    </row>
    <row r="4631">
      <c r="A4631" t="inlineStr">
        <is>
          <t>PF104622</t>
        </is>
      </c>
      <c r="B4631" s="68" t="n">
        <v>46213</v>
      </c>
      <c r="C4631" s="69" t="n">
        <v>2026</v>
      </c>
      <c r="D4631" t="inlineStr">
        <is>
          <t>Jul</t>
        </is>
      </c>
      <c r="E4631" t="inlineStr">
        <is>
          <t>Emerging markets</t>
        </is>
      </c>
      <c r="F4631" t="inlineStr">
        <is>
          <t>China</t>
        </is>
      </c>
      <c r="G4631" t="inlineStr">
        <is>
          <t>Vyndaqel</t>
        </is>
      </c>
      <c r="H4631" t="inlineStr">
        <is>
          <t>Hospital</t>
        </is>
      </c>
      <c r="I4631" t="inlineStr">
        <is>
          <t>Private insurer</t>
        </is>
      </c>
      <c r="J4631" t="inlineStr">
        <is>
          <t>Omar Haddad</t>
        </is>
      </c>
      <c r="K4631" s="70" t="n">
        <v>2280</v>
      </c>
      <c r="L4631" s="71" t="n">
        <v>5595.72</v>
      </c>
      <c r="M4631" s="71" t="n">
        <v>12758241.6</v>
      </c>
      <c r="N4631" s="71" t="n">
        <v>3189560.4</v>
      </c>
      <c r="O4631" s="71" t="n">
        <v>9568681.199999999</v>
      </c>
      <c r="P4631" s="71" t="n">
        <v>1423166.94</v>
      </c>
      <c r="Q4631" s="71" t="n">
        <v>8145514.26</v>
      </c>
      <c r="R4631" t="inlineStr">
        <is>
          <t>Rare disease</t>
        </is>
      </c>
      <c r="S4631" s="70" t="n">
        <v>1913</v>
      </c>
      <c r="T4631" s="71" t="n">
        <v>1745480.69</v>
      </c>
      <c r="U4631" t="inlineStr">
        <is>
          <t>Medium</t>
        </is>
      </c>
      <c r="V4631">
        <f>IF(AND(OR(Dashboard!$C$6="All",E4631=Dashboard!$C$6),OR(Dashboard!$F$6="All",G4631=Dashboard!$F$6),OR(Dashboard!$I$6="All",H4631=Dashboard!$I$6)),1,0)</f>
        <v/>
      </c>
    </row>
    <row r="4632">
      <c r="A4632" t="inlineStr">
        <is>
          <t>PF104623</t>
        </is>
      </c>
      <c r="B4632" s="68" t="n">
        <v>46213</v>
      </c>
      <c r="C4632" s="69" t="n">
        <v>2026</v>
      </c>
      <c r="D4632" t="inlineStr">
        <is>
          <t>Jul</t>
        </is>
      </c>
      <c r="E4632" t="inlineStr">
        <is>
          <t>Europe</t>
        </is>
      </c>
      <c r="F4632" t="inlineStr">
        <is>
          <t>France</t>
        </is>
      </c>
      <c r="G4632" t="inlineStr">
        <is>
          <t>Xeljanz</t>
        </is>
      </c>
      <c r="H4632" t="inlineStr">
        <is>
          <t>Government / tender</t>
        </is>
      </c>
      <c r="I4632" t="inlineStr">
        <is>
          <t>Public payer</t>
        </is>
      </c>
      <c r="J4632" t="inlineStr">
        <is>
          <t>Sophie Müller</t>
        </is>
      </c>
      <c r="K4632" s="70" t="n">
        <v>1906</v>
      </c>
      <c r="L4632" s="71" t="n">
        <v>1345.48</v>
      </c>
      <c r="M4632" s="71" t="n">
        <v>2564484.88</v>
      </c>
      <c r="N4632" s="71" t="n">
        <v>512896.98</v>
      </c>
      <c r="O4632" s="71" t="n">
        <v>2051587.9</v>
      </c>
      <c r="P4632" s="71" t="n">
        <v>464402.59</v>
      </c>
      <c r="Q4632" s="71" t="n">
        <v>1587185.31</v>
      </c>
      <c r="R4632" t="inlineStr">
        <is>
          <t>Inflammation</t>
        </is>
      </c>
      <c r="S4632" s="70" t="n">
        <v>1366</v>
      </c>
      <c r="T4632" s="71" t="n">
        <v>396243.25</v>
      </c>
      <c r="U4632" t="inlineStr">
        <is>
          <t>High</t>
        </is>
      </c>
      <c r="V4632">
        <f>IF(AND(OR(Dashboard!$C$6="All",E4632=Dashboard!$C$6),OR(Dashboard!$F$6="All",G4632=Dashboard!$F$6),OR(Dashboard!$I$6="All",H4632=Dashboard!$I$6)),1,0)</f>
        <v/>
      </c>
    </row>
    <row r="4633">
      <c r="A4633" t="inlineStr">
        <is>
          <t>PF104624</t>
        </is>
      </c>
      <c r="B4633" s="68" t="n">
        <v>46214</v>
      </c>
      <c r="C4633" s="69" t="n">
        <v>2026</v>
      </c>
      <c r="D4633" t="inlineStr">
        <is>
          <t>Jul</t>
        </is>
      </c>
      <c r="E4633" t="inlineStr">
        <is>
          <t>Europe</t>
        </is>
      </c>
      <c r="F4633" t="inlineStr">
        <is>
          <t>UK</t>
        </is>
      </c>
      <c r="G4633" t="inlineStr">
        <is>
          <t>Comirnaty</t>
        </is>
      </c>
      <c r="H4633" t="inlineStr">
        <is>
          <t>Retail pharmacy</t>
        </is>
      </c>
      <c r="I4633" t="inlineStr">
        <is>
          <t>Private insurer</t>
        </is>
      </c>
      <c r="J4633" t="inlineStr">
        <is>
          <t>Noah Smith</t>
        </is>
      </c>
      <c r="K4633" s="70" t="n">
        <v>2322</v>
      </c>
      <c r="L4633" s="71" t="n">
        <v>90.68000000000001</v>
      </c>
      <c r="M4633" s="71" t="n">
        <v>210558.96</v>
      </c>
      <c r="N4633" s="71" t="n">
        <v>52639.74</v>
      </c>
      <c r="O4633" s="71" t="n">
        <v>157919.22</v>
      </c>
      <c r="P4633" s="71" t="n">
        <v>86886.09</v>
      </c>
      <c r="Q4633" s="71" t="n">
        <v>71033.13</v>
      </c>
      <c r="R4633" t="inlineStr">
        <is>
          <t>Vaccines</t>
        </is>
      </c>
      <c r="S4633" s="70" t="n">
        <v>1636</v>
      </c>
      <c r="T4633" s="71" t="n">
        <v>42489.14</v>
      </c>
      <c r="U4633" t="inlineStr">
        <is>
          <t>Low</t>
        </is>
      </c>
      <c r="V4633">
        <f>IF(AND(OR(Dashboard!$C$6="All",E4633=Dashboard!$C$6),OR(Dashboard!$F$6="All",G4633=Dashboard!$F$6),OR(Dashboard!$I$6="All",H4633=Dashboard!$I$6)),1,0)</f>
        <v/>
      </c>
    </row>
    <row r="4634">
      <c r="A4634" t="inlineStr">
        <is>
          <t>PF104625</t>
        </is>
      </c>
      <c r="B4634" s="68" t="n">
        <v>46214</v>
      </c>
      <c r="C4634" s="69" t="n">
        <v>2026</v>
      </c>
      <c r="D4634" t="inlineStr">
        <is>
          <t>Jul</t>
        </is>
      </c>
      <c r="E4634" t="inlineStr">
        <is>
          <t>Emerging markets</t>
        </is>
      </c>
      <c r="F4634" t="inlineStr">
        <is>
          <t>Brazil</t>
        </is>
      </c>
      <c r="G4634" t="inlineStr">
        <is>
          <t>Comirnaty</t>
        </is>
      </c>
      <c r="H4634" t="inlineStr">
        <is>
          <t>Retail pharmacy</t>
        </is>
      </c>
      <c r="I4634" t="inlineStr">
        <is>
          <t>Private insurer</t>
        </is>
      </c>
      <c r="J4634" t="inlineStr">
        <is>
          <t>Liam O'Brien</t>
        </is>
      </c>
      <c r="K4634" s="70" t="n">
        <v>129</v>
      </c>
      <c r="L4634" s="71" t="n">
        <v>82.47</v>
      </c>
      <c r="M4634" s="71" t="n">
        <v>10638.63</v>
      </c>
      <c r="N4634" s="71" t="n">
        <v>1595.79</v>
      </c>
      <c r="O4634" s="71" t="n">
        <v>9042.84</v>
      </c>
      <c r="P4634" s="71" t="n">
        <v>4832.04</v>
      </c>
      <c r="Q4634" s="71" t="n">
        <v>4210.8</v>
      </c>
      <c r="R4634" t="inlineStr">
        <is>
          <t>Vaccines</t>
        </is>
      </c>
      <c r="S4634" s="70" t="n">
        <v>81</v>
      </c>
      <c r="T4634" s="71" t="n">
        <v>1633.9</v>
      </c>
      <c r="U4634" t="inlineStr">
        <is>
          <t>Low</t>
        </is>
      </c>
      <c r="V4634">
        <f>IF(AND(OR(Dashboard!$C$6="All",E4634=Dashboard!$C$6),OR(Dashboard!$F$6="All",G4634=Dashboard!$F$6),OR(Dashboard!$I$6="All",H4634=Dashboard!$I$6)),1,0)</f>
        <v/>
      </c>
    </row>
    <row r="4635">
      <c r="A4635" t="inlineStr">
        <is>
          <t>PF104626</t>
        </is>
      </c>
      <c r="B4635" s="68" t="n">
        <v>46214</v>
      </c>
      <c r="C4635" s="69" t="n">
        <v>2026</v>
      </c>
      <c r="D4635" t="inlineStr">
        <is>
          <t>Jul</t>
        </is>
      </c>
      <c r="E4635" t="inlineStr">
        <is>
          <t>Europe</t>
        </is>
      </c>
      <c r="F4635" t="inlineStr">
        <is>
          <t>Spain</t>
        </is>
      </c>
      <c r="G4635" t="inlineStr">
        <is>
          <t>Paxlovid</t>
        </is>
      </c>
      <c r="H4635" t="inlineStr">
        <is>
          <t>Hospital</t>
        </is>
      </c>
      <c r="I4635" t="inlineStr">
        <is>
          <t>Private insurer</t>
        </is>
      </c>
      <c r="J4635" t="inlineStr">
        <is>
          <t>Omar Haddad</t>
        </is>
      </c>
      <c r="K4635" s="70" t="n">
        <v>1773</v>
      </c>
      <c r="L4635" s="71" t="n">
        <v>955.88</v>
      </c>
      <c r="M4635" s="71" t="n">
        <v>1694775.24</v>
      </c>
      <c r="N4635" s="71" t="n">
        <v>84738.75999999999</v>
      </c>
      <c r="O4635" s="71" t="n">
        <v>1610036.48</v>
      </c>
      <c r="P4635" s="71" t="n">
        <v>506958.58</v>
      </c>
      <c r="Q4635" s="71" t="n">
        <v>1103077.9</v>
      </c>
      <c r="R4635" t="inlineStr">
        <is>
          <t>Antiviral</t>
        </is>
      </c>
      <c r="S4635" s="70" t="n">
        <v>1128</v>
      </c>
      <c r="T4635" s="71" t="n">
        <v>410580.26</v>
      </c>
      <c r="U4635" t="inlineStr">
        <is>
          <t>Low</t>
        </is>
      </c>
      <c r="V4635">
        <f>IF(AND(OR(Dashboard!$C$6="All",E4635=Dashboard!$C$6),OR(Dashboard!$F$6="All",G4635=Dashboard!$F$6),OR(Dashboard!$I$6="All",H4635=Dashboard!$I$6)),1,0)</f>
        <v/>
      </c>
    </row>
    <row r="4636">
      <c r="A4636" t="inlineStr">
        <is>
          <t>PF104627</t>
        </is>
      </c>
      <c r="B4636" s="68" t="n">
        <v>46216</v>
      </c>
      <c r="C4636" s="69" t="n">
        <v>2026</v>
      </c>
      <c r="D4636" t="inlineStr">
        <is>
          <t>Jul</t>
        </is>
      </c>
      <c r="E4636" t="inlineStr">
        <is>
          <t>United States</t>
        </is>
      </c>
      <c r="F4636" t="inlineStr">
        <is>
          <t>USA</t>
        </is>
      </c>
      <c r="G4636" t="inlineStr">
        <is>
          <t>Prevnar 20</t>
        </is>
      </c>
      <c r="H4636" t="inlineStr">
        <is>
          <t>Retail pharmacy</t>
        </is>
      </c>
      <c r="I4636" t="inlineStr">
        <is>
          <t>Private insurer</t>
        </is>
      </c>
      <c r="J4636" t="inlineStr">
        <is>
          <t>Amir Khan</t>
        </is>
      </c>
      <c r="K4636" s="70" t="n">
        <v>2154</v>
      </c>
      <c r="L4636" s="71" t="n">
        <v>343.66</v>
      </c>
      <c r="M4636" s="71" t="n">
        <v>740243.64</v>
      </c>
      <c r="N4636" s="71" t="n">
        <v>148048.73</v>
      </c>
      <c r="O4636" s="71" t="n">
        <v>592194.91</v>
      </c>
      <c r="P4636" s="71" t="n">
        <v>144280.92</v>
      </c>
      <c r="Q4636" s="71" t="n">
        <v>447913.99</v>
      </c>
      <c r="R4636" t="inlineStr">
        <is>
          <t>Vaccines</t>
        </is>
      </c>
      <c r="S4636" s="70" t="n">
        <v>1568</v>
      </c>
      <c r="T4636" s="71" t="n">
        <v>97233.99000000001</v>
      </c>
      <c r="U4636" t="inlineStr">
        <is>
          <t>Low</t>
        </is>
      </c>
      <c r="V4636">
        <f>IF(AND(OR(Dashboard!$C$6="All",E4636=Dashboard!$C$6),OR(Dashboard!$F$6="All",G4636=Dashboard!$F$6),OR(Dashboard!$I$6="All",H4636=Dashboard!$I$6)),1,0)</f>
        <v/>
      </c>
    </row>
    <row r="4637">
      <c r="A4637" t="inlineStr">
        <is>
          <t>PF104628</t>
        </is>
      </c>
      <c r="B4637" s="68" t="n">
        <v>46216</v>
      </c>
      <c r="C4637" s="69" t="n">
        <v>2026</v>
      </c>
      <c r="D4637" t="inlineStr">
        <is>
          <t>Jul</t>
        </is>
      </c>
      <c r="E4637" t="inlineStr">
        <is>
          <t>United States</t>
        </is>
      </c>
      <c r="F4637" t="inlineStr">
        <is>
          <t>USA</t>
        </is>
      </c>
      <c r="G4637" t="inlineStr">
        <is>
          <t>Abrysvo</t>
        </is>
      </c>
      <c r="H4637" t="inlineStr">
        <is>
          <t>Retail pharmacy</t>
        </is>
      </c>
      <c r="I4637" t="inlineStr">
        <is>
          <t>Public payer</t>
        </is>
      </c>
      <c r="J4637" t="inlineStr">
        <is>
          <t>Ana Costa</t>
        </is>
      </c>
      <c r="K4637" s="70" t="n">
        <v>3123</v>
      </c>
      <c r="L4637" s="71" t="n">
        <v>477.51</v>
      </c>
      <c r="M4637" s="71" t="n">
        <v>1491263.73</v>
      </c>
      <c r="N4637" s="71" t="n">
        <v>298252.75</v>
      </c>
      <c r="O4637" s="71" t="n">
        <v>1193010.98</v>
      </c>
      <c r="P4637" s="71" t="n">
        <v>253847.81</v>
      </c>
      <c r="Q4637" s="71" t="n">
        <v>939163.17</v>
      </c>
      <c r="R4637" t="inlineStr">
        <is>
          <t>Vaccines</t>
        </is>
      </c>
      <c r="S4637" s="70" t="n">
        <v>2009</v>
      </c>
      <c r="T4637" s="71" t="n">
        <v>234600.35</v>
      </c>
      <c r="U4637" t="inlineStr">
        <is>
          <t>Low</t>
        </is>
      </c>
      <c r="V4637">
        <f>IF(AND(OR(Dashboard!$C$6="All",E4637=Dashboard!$C$6),OR(Dashboard!$F$6="All",G4637=Dashboard!$F$6),OR(Dashboard!$I$6="All",H4637=Dashboard!$I$6)),1,0)</f>
        <v/>
      </c>
    </row>
    <row r="4638">
      <c r="A4638" t="inlineStr">
        <is>
          <t>PF104629</t>
        </is>
      </c>
      <c r="B4638" s="68" t="n">
        <v>46216</v>
      </c>
      <c r="C4638" s="69" t="n">
        <v>2026</v>
      </c>
      <c r="D4638" t="inlineStr">
        <is>
          <t>Jul</t>
        </is>
      </c>
      <c r="E4638" t="inlineStr">
        <is>
          <t>Emerging markets</t>
        </is>
      </c>
      <c r="F4638" t="inlineStr">
        <is>
          <t>China</t>
        </is>
      </c>
      <c r="G4638" t="inlineStr">
        <is>
          <t>Paxlovid</t>
        </is>
      </c>
      <c r="H4638" t="inlineStr">
        <is>
          <t>Retail pharmacy</t>
        </is>
      </c>
      <c r="I4638" t="inlineStr">
        <is>
          <t>Private insurer</t>
        </is>
      </c>
      <c r="J4638" t="inlineStr">
        <is>
          <t>Ana Costa</t>
        </is>
      </c>
      <c r="K4638" s="70" t="n">
        <v>602</v>
      </c>
      <c r="L4638" s="71" t="n">
        <v>860.62</v>
      </c>
      <c r="M4638" s="71" t="n">
        <v>518093.24</v>
      </c>
      <c r="N4638" s="71" t="n">
        <v>129523.31</v>
      </c>
      <c r="O4638" s="71" t="n">
        <v>388569.93</v>
      </c>
      <c r="P4638" s="71" t="n">
        <v>162325.45</v>
      </c>
      <c r="Q4638" s="71" t="n">
        <v>226244.48</v>
      </c>
      <c r="R4638" t="inlineStr">
        <is>
          <t>Antiviral</t>
        </is>
      </c>
      <c r="S4638" s="70" t="n">
        <v>539</v>
      </c>
      <c r="T4638" s="71" t="n">
        <v>78804.00999999999</v>
      </c>
      <c r="U4638" t="inlineStr">
        <is>
          <t>Low</t>
        </is>
      </c>
      <c r="V4638">
        <f>IF(AND(OR(Dashboard!$C$6="All",E4638=Dashboard!$C$6),OR(Dashboard!$F$6="All",G4638=Dashboard!$F$6),OR(Dashboard!$I$6="All",H4638=Dashboard!$I$6)),1,0)</f>
        <v/>
      </c>
    </row>
    <row r="4639">
      <c r="A4639" t="inlineStr">
        <is>
          <t>PF104630</t>
        </is>
      </c>
      <c r="B4639" s="68" t="n">
        <v>46216</v>
      </c>
      <c r="C4639" s="69" t="n">
        <v>2026</v>
      </c>
      <c r="D4639" t="inlineStr">
        <is>
          <t>Jul</t>
        </is>
      </c>
      <c r="E4639" t="inlineStr">
        <is>
          <t>United States</t>
        </is>
      </c>
      <c r="F4639" t="inlineStr">
        <is>
          <t>USA</t>
        </is>
      </c>
      <c r="G4639" t="inlineStr">
        <is>
          <t>Eliquis</t>
        </is>
      </c>
      <c r="H4639" t="inlineStr">
        <is>
          <t>Hospital</t>
        </is>
      </c>
      <c r="I4639" t="inlineStr">
        <is>
          <t>Public payer</t>
        </is>
      </c>
      <c r="J4639" t="inlineStr">
        <is>
          <t>Olivia Brown</t>
        </is>
      </c>
      <c r="K4639" s="70" t="n">
        <v>2366</v>
      </c>
      <c r="L4639" s="71" t="n">
        <v>648.51</v>
      </c>
      <c r="M4639" s="71" t="n">
        <v>1534374.66</v>
      </c>
      <c r="N4639" s="71" t="n">
        <v>306874.93</v>
      </c>
      <c r="O4639" s="71" t="n">
        <v>1227499.73</v>
      </c>
      <c r="P4639" s="71" t="n">
        <v>175569.2</v>
      </c>
      <c r="Q4639" s="71" t="n">
        <v>1051930.53</v>
      </c>
      <c r="R4639" t="inlineStr">
        <is>
          <t>Cardiology</t>
        </is>
      </c>
      <c r="S4639" s="70" t="n">
        <v>1943</v>
      </c>
      <c r="T4639" s="71" t="n">
        <v>206046.56</v>
      </c>
      <c r="U4639" t="inlineStr">
        <is>
          <t>High</t>
        </is>
      </c>
      <c r="V4639">
        <f>IF(AND(OR(Dashboard!$C$6="All",E4639=Dashboard!$C$6),OR(Dashboard!$F$6="All",G4639=Dashboard!$F$6),OR(Dashboard!$I$6="All",H4639=Dashboard!$I$6)),1,0)</f>
        <v/>
      </c>
    </row>
    <row r="4640">
      <c r="A4640" t="inlineStr">
        <is>
          <t>PF104631</t>
        </is>
      </c>
      <c r="B4640" s="68" t="n">
        <v>46216</v>
      </c>
      <c r="C4640" s="69" t="n">
        <v>2026</v>
      </c>
      <c r="D4640" t="inlineStr">
        <is>
          <t>Jul</t>
        </is>
      </c>
      <c r="E4640" t="inlineStr">
        <is>
          <t>Europe</t>
        </is>
      </c>
      <c r="F4640" t="inlineStr">
        <is>
          <t>Germany</t>
        </is>
      </c>
      <c r="G4640" t="inlineStr">
        <is>
          <t>Eliquis</t>
        </is>
      </c>
      <c r="H4640" t="inlineStr">
        <is>
          <t>Hospital</t>
        </is>
      </c>
      <c r="I4640" t="inlineStr">
        <is>
          <t>Self-pay</t>
        </is>
      </c>
      <c r="J4640" t="inlineStr">
        <is>
          <t>Carlos Silva</t>
        </is>
      </c>
      <c r="K4640" s="70" t="n">
        <v>2996</v>
      </c>
      <c r="L4640" s="71" t="n">
        <v>437.64</v>
      </c>
      <c r="M4640" s="71" t="n">
        <v>1311169.44</v>
      </c>
      <c r="N4640" s="71" t="n">
        <v>262233.89</v>
      </c>
      <c r="O4640" s="71" t="n">
        <v>1048935.55</v>
      </c>
      <c r="P4640" s="71" t="n">
        <v>232653.23</v>
      </c>
      <c r="Q4640" s="71" t="n">
        <v>816282.3199999999</v>
      </c>
      <c r="R4640" t="inlineStr">
        <is>
          <t>Cardiology</t>
        </is>
      </c>
      <c r="S4640" s="70" t="n">
        <v>1944</v>
      </c>
      <c r="T4640" s="71" t="n">
        <v>245617.1</v>
      </c>
      <c r="U4640" t="inlineStr">
        <is>
          <t>High</t>
        </is>
      </c>
      <c r="V4640">
        <f>IF(AND(OR(Dashboard!$C$6="All",E4640=Dashboard!$C$6),OR(Dashboard!$F$6="All",G4640=Dashboard!$F$6),OR(Dashboard!$I$6="All",H4640=Dashboard!$I$6)),1,0)</f>
        <v/>
      </c>
    </row>
    <row r="4641">
      <c r="A4641" t="inlineStr">
        <is>
          <t>PF104632</t>
        </is>
      </c>
      <c r="B4641" s="68" t="n">
        <v>46216</v>
      </c>
      <c r="C4641" s="69" t="n">
        <v>2026</v>
      </c>
      <c r="D4641" t="inlineStr">
        <is>
          <t>Jul</t>
        </is>
      </c>
      <c r="E4641" t="inlineStr">
        <is>
          <t>Emerging markets</t>
        </is>
      </c>
      <c r="F4641" t="inlineStr">
        <is>
          <t>Brazil</t>
        </is>
      </c>
      <c r="G4641" t="inlineStr">
        <is>
          <t>Comirnaty</t>
        </is>
      </c>
      <c r="H4641" t="inlineStr">
        <is>
          <t>Government / tender</t>
        </is>
      </c>
      <c r="I4641" t="inlineStr">
        <is>
          <t>Private insurer</t>
        </is>
      </c>
      <c r="J4641" t="inlineStr">
        <is>
          <t>Sophie Müller</t>
        </is>
      </c>
      <c r="K4641" s="70" t="n">
        <v>2013</v>
      </c>
      <c r="L4641" s="71" t="n">
        <v>87.28</v>
      </c>
      <c r="M4641" s="71" t="n">
        <v>175694.64</v>
      </c>
      <c r="N4641" s="71" t="n">
        <v>17569.46</v>
      </c>
      <c r="O4641" s="71" t="n">
        <v>158125.18</v>
      </c>
      <c r="P4641" s="71" t="n">
        <v>76729.14999999999</v>
      </c>
      <c r="Q4641" s="71" t="n">
        <v>81396.03</v>
      </c>
      <c r="R4641" t="inlineStr">
        <is>
          <t>Vaccines</t>
        </is>
      </c>
      <c r="S4641" s="70" t="n">
        <v>1424</v>
      </c>
      <c r="T4641" s="71" t="n">
        <v>35422.71</v>
      </c>
      <c r="U4641" t="inlineStr">
        <is>
          <t>Low</t>
        </is>
      </c>
      <c r="V4641">
        <f>IF(AND(OR(Dashboard!$C$6="All",E4641=Dashboard!$C$6),OR(Dashboard!$F$6="All",G4641=Dashboard!$F$6),OR(Dashboard!$I$6="All",H4641=Dashboard!$I$6)),1,0)</f>
        <v/>
      </c>
    </row>
    <row r="4642">
      <c r="A4642" t="inlineStr">
        <is>
          <t>PF104633</t>
        </is>
      </c>
      <c r="B4642" s="68" t="n">
        <v>46217</v>
      </c>
      <c r="C4642" s="69" t="n">
        <v>2026</v>
      </c>
      <c r="D4642" t="inlineStr">
        <is>
          <t>Jul</t>
        </is>
      </c>
      <c r="E4642" t="inlineStr">
        <is>
          <t>Emerging markets</t>
        </is>
      </c>
      <c r="F4642" t="inlineStr">
        <is>
          <t>India</t>
        </is>
      </c>
      <c r="G4642" t="inlineStr">
        <is>
          <t>Xeljanz</t>
        </is>
      </c>
      <c r="H4642" t="inlineStr">
        <is>
          <t>Hospital</t>
        </is>
      </c>
      <c r="I4642" t="inlineStr">
        <is>
          <t>Public payer</t>
        </is>
      </c>
      <c r="J4642" t="inlineStr">
        <is>
          <t>Zoya Ahmed</t>
        </is>
      </c>
      <c r="K4642" s="70" t="n">
        <v>602</v>
      </c>
      <c r="L4642" s="71" t="n">
        <v>1276.49</v>
      </c>
      <c r="M4642" s="71" t="n">
        <v>768446.98</v>
      </c>
      <c r="N4642" s="71" t="n">
        <v>153689.4</v>
      </c>
      <c r="O4642" s="71" t="n">
        <v>614757.58</v>
      </c>
      <c r="P4642" s="71" t="n">
        <v>150334.5</v>
      </c>
      <c r="Q4642" s="71" t="n">
        <v>464423.08</v>
      </c>
      <c r="R4642" t="inlineStr">
        <is>
          <t>Inflammation</t>
        </is>
      </c>
      <c r="S4642" s="70" t="n">
        <v>430</v>
      </c>
      <c r="T4642" s="71" t="n">
        <v>161977.56</v>
      </c>
      <c r="U4642" t="inlineStr">
        <is>
          <t>High</t>
        </is>
      </c>
      <c r="V4642">
        <f>IF(AND(OR(Dashboard!$C$6="All",E4642=Dashboard!$C$6),OR(Dashboard!$F$6="All",G4642=Dashboard!$F$6),OR(Dashboard!$I$6="All",H4642=Dashboard!$I$6)),1,0)</f>
        <v/>
      </c>
    </row>
    <row r="4643">
      <c r="A4643" t="inlineStr">
        <is>
          <t>PF104634</t>
        </is>
      </c>
      <c r="B4643" s="68" t="n">
        <v>46217</v>
      </c>
      <c r="C4643" s="69" t="n">
        <v>2026</v>
      </c>
      <c r="D4643" t="inlineStr">
        <is>
          <t>Jul</t>
        </is>
      </c>
      <c r="E4643" t="inlineStr">
        <is>
          <t>Europe</t>
        </is>
      </c>
      <c r="F4643" t="inlineStr">
        <is>
          <t>France</t>
        </is>
      </c>
      <c r="G4643" t="inlineStr">
        <is>
          <t>Xeljanz</t>
        </is>
      </c>
      <c r="H4643" t="inlineStr">
        <is>
          <t>Retail pharmacy</t>
        </is>
      </c>
      <c r="I4643" t="inlineStr">
        <is>
          <t>Public payer</t>
        </is>
      </c>
      <c r="J4643" t="inlineStr">
        <is>
          <t>Sara Rossi</t>
        </is>
      </c>
      <c r="K4643" s="70" t="n">
        <v>757</v>
      </c>
      <c r="L4643" s="71" t="n">
        <v>1300.29</v>
      </c>
      <c r="M4643" s="71" t="n">
        <v>984319.53</v>
      </c>
      <c r="N4643" s="71" t="n">
        <v>196863.91</v>
      </c>
      <c r="O4643" s="71" t="n">
        <v>787455.62</v>
      </c>
      <c r="P4643" s="71" t="n">
        <v>196919.5</v>
      </c>
      <c r="Q4643" s="71" t="n">
        <v>590536.12</v>
      </c>
      <c r="R4643" t="inlineStr">
        <is>
          <t>Inflammation</t>
        </is>
      </c>
      <c r="S4643" s="70" t="n">
        <v>582</v>
      </c>
      <c r="T4643" s="71" t="n">
        <v>210418.53</v>
      </c>
      <c r="U4643" t="inlineStr">
        <is>
          <t>High</t>
        </is>
      </c>
      <c r="V4643">
        <f>IF(AND(OR(Dashboard!$C$6="All",E4643=Dashboard!$C$6),OR(Dashboard!$F$6="All",G4643=Dashboard!$F$6),OR(Dashboard!$I$6="All",H4643=Dashboard!$I$6)),1,0)</f>
        <v/>
      </c>
    </row>
    <row r="4644">
      <c r="A4644" t="inlineStr">
        <is>
          <t>PF104635</t>
        </is>
      </c>
      <c r="B4644" s="68" t="n">
        <v>46217</v>
      </c>
      <c r="C4644" s="69" t="n">
        <v>2026</v>
      </c>
      <c r="D4644" t="inlineStr">
        <is>
          <t>Jul</t>
        </is>
      </c>
      <c r="E4644" t="inlineStr">
        <is>
          <t>Emerging markets</t>
        </is>
      </c>
      <c r="F4644" t="inlineStr">
        <is>
          <t>Brazil</t>
        </is>
      </c>
      <c r="G4644" t="inlineStr">
        <is>
          <t>Comirnaty</t>
        </is>
      </c>
      <c r="H4644" t="inlineStr">
        <is>
          <t>Government / tender</t>
        </is>
      </c>
      <c r="I4644" t="inlineStr">
        <is>
          <t>Private insurer</t>
        </is>
      </c>
      <c r="J4644" t="inlineStr">
        <is>
          <t>Yuki Sato</t>
        </is>
      </c>
      <c r="K4644" s="70" t="n">
        <v>1060</v>
      </c>
      <c r="L4644" s="71" t="n">
        <v>92.83</v>
      </c>
      <c r="M4644" s="71" t="n">
        <v>98399.8</v>
      </c>
      <c r="N4644" s="71" t="n">
        <v>24599.95</v>
      </c>
      <c r="O4644" s="71" t="n">
        <v>73799.85000000001</v>
      </c>
      <c r="P4644" s="71" t="n">
        <v>41737.56</v>
      </c>
      <c r="Q4644" s="71" t="n">
        <v>32062.29</v>
      </c>
      <c r="R4644" t="inlineStr">
        <is>
          <t>Vaccines</t>
        </is>
      </c>
      <c r="S4644" s="70" t="n">
        <v>940</v>
      </c>
      <c r="T4644" s="71" t="n">
        <v>23452.72</v>
      </c>
      <c r="U4644" t="inlineStr">
        <is>
          <t>Low</t>
        </is>
      </c>
      <c r="V4644">
        <f>IF(AND(OR(Dashboard!$C$6="All",E4644=Dashboard!$C$6),OR(Dashboard!$F$6="All",G4644=Dashboard!$F$6),OR(Dashboard!$I$6="All",H4644=Dashboard!$I$6)),1,0)</f>
        <v/>
      </c>
    </row>
    <row r="4645">
      <c r="A4645" t="inlineStr">
        <is>
          <t>PF104636</t>
        </is>
      </c>
      <c r="B4645" s="68" t="n">
        <v>46217</v>
      </c>
      <c r="C4645" s="69" t="n">
        <v>2026</v>
      </c>
      <c r="D4645" t="inlineStr">
        <is>
          <t>Jul</t>
        </is>
      </c>
      <c r="E4645" t="inlineStr">
        <is>
          <t>Emerging markets</t>
        </is>
      </c>
      <c r="F4645" t="inlineStr">
        <is>
          <t>India</t>
        </is>
      </c>
      <c r="G4645" t="inlineStr">
        <is>
          <t>Prevnar 20</t>
        </is>
      </c>
      <c r="H4645" t="inlineStr">
        <is>
          <t>Retail pharmacy</t>
        </is>
      </c>
      <c r="I4645" t="inlineStr">
        <is>
          <t>Public payer</t>
        </is>
      </c>
      <c r="J4645" t="inlineStr">
        <is>
          <t>Kofi Mensah</t>
        </is>
      </c>
      <c r="K4645" s="70" t="n">
        <v>2278</v>
      </c>
      <c r="L4645" s="71" t="n">
        <v>225.22</v>
      </c>
      <c r="M4645" s="71" t="n">
        <v>513051.16</v>
      </c>
      <c r="N4645" s="71" t="n">
        <v>25652.56</v>
      </c>
      <c r="O4645" s="71" t="n">
        <v>487398.6</v>
      </c>
      <c r="P4645" s="71" t="n">
        <v>154187.36</v>
      </c>
      <c r="Q4645" s="71" t="n">
        <v>333211.24</v>
      </c>
      <c r="R4645" t="inlineStr">
        <is>
          <t>Vaccines</t>
        </is>
      </c>
      <c r="S4645" s="70" t="n">
        <v>1732</v>
      </c>
      <c r="T4645" s="71" t="n">
        <v>99704.92999999999</v>
      </c>
      <c r="U4645" t="inlineStr">
        <is>
          <t>Low</t>
        </is>
      </c>
      <c r="V4645">
        <f>IF(AND(OR(Dashboard!$C$6="All",E4645=Dashboard!$C$6),OR(Dashboard!$F$6="All",G4645=Dashboard!$F$6),OR(Dashboard!$I$6="All",H4645=Dashboard!$I$6)),1,0)</f>
        <v/>
      </c>
    </row>
    <row r="4646">
      <c r="A4646" t="inlineStr">
        <is>
          <t>PF104637</t>
        </is>
      </c>
      <c r="B4646" s="68" t="n">
        <v>46217</v>
      </c>
      <c r="C4646" s="69" t="n">
        <v>2026</v>
      </c>
      <c r="D4646" t="inlineStr">
        <is>
          <t>Jul</t>
        </is>
      </c>
      <c r="E4646" t="inlineStr">
        <is>
          <t>Europe</t>
        </is>
      </c>
      <c r="F4646" t="inlineStr">
        <is>
          <t>Spain</t>
        </is>
      </c>
      <c r="G4646" t="inlineStr">
        <is>
          <t>Eliquis</t>
        </is>
      </c>
      <c r="H4646" t="inlineStr">
        <is>
          <t>Government / tender</t>
        </is>
      </c>
      <c r="I4646" t="inlineStr">
        <is>
          <t>Public payer</t>
        </is>
      </c>
      <c r="J4646" t="inlineStr">
        <is>
          <t>Arjun Mehta</t>
        </is>
      </c>
      <c r="K4646" s="70" t="n">
        <v>211</v>
      </c>
      <c r="L4646" s="71" t="n">
        <v>422.55</v>
      </c>
      <c r="M4646" s="71" t="n">
        <v>89158.05</v>
      </c>
      <c r="N4646" s="71" t="n">
        <v>22289.51</v>
      </c>
      <c r="O4646" s="71" t="n">
        <v>66868.53999999999</v>
      </c>
      <c r="P4646" s="71" t="n">
        <v>16166.17</v>
      </c>
      <c r="Q4646" s="71" t="n">
        <v>50702.37</v>
      </c>
      <c r="R4646" t="inlineStr">
        <is>
          <t>Cardiology</t>
        </is>
      </c>
      <c r="S4646" s="70" t="n">
        <v>152</v>
      </c>
      <c r="T4646" s="71" t="n">
        <v>17658.21</v>
      </c>
      <c r="U4646" t="inlineStr">
        <is>
          <t>High</t>
        </is>
      </c>
      <c r="V4646">
        <f>IF(AND(OR(Dashboard!$C$6="All",E4646=Dashboard!$C$6),OR(Dashboard!$F$6="All",G4646=Dashboard!$F$6),OR(Dashboard!$I$6="All",H4646=Dashboard!$I$6)),1,0)</f>
        <v/>
      </c>
    </row>
    <row r="4647">
      <c r="A4647" t="inlineStr">
        <is>
          <t>PF104638</t>
        </is>
      </c>
      <c r="B4647" s="68" t="n">
        <v>46217</v>
      </c>
      <c r="C4647" s="69" t="n">
        <v>2026</v>
      </c>
      <c r="D4647" t="inlineStr">
        <is>
          <t>Jul</t>
        </is>
      </c>
      <c r="E4647" t="inlineStr">
        <is>
          <t>United States</t>
        </is>
      </c>
      <c r="F4647" t="inlineStr">
        <is>
          <t>USA</t>
        </is>
      </c>
      <c r="G4647" t="inlineStr">
        <is>
          <t>Comirnaty</t>
        </is>
      </c>
      <c r="H4647" t="inlineStr">
        <is>
          <t>Retail pharmacy</t>
        </is>
      </c>
      <c r="I4647" t="inlineStr">
        <is>
          <t>Private insurer</t>
        </is>
      </c>
      <c r="J4647" t="inlineStr">
        <is>
          <t>Omar Haddad</t>
        </is>
      </c>
      <c r="K4647" s="70" t="n">
        <v>1289</v>
      </c>
      <c r="L4647" s="71" t="n">
        <v>135.88</v>
      </c>
      <c r="M4647" s="71" t="n">
        <v>175149.32</v>
      </c>
      <c r="N4647" s="71" t="n">
        <v>52544.8</v>
      </c>
      <c r="O4647" s="71" t="n">
        <v>122604.52</v>
      </c>
      <c r="P4647" s="71" t="n">
        <v>50387.61</v>
      </c>
      <c r="Q4647" s="71" t="n">
        <v>72216.91</v>
      </c>
      <c r="R4647" t="inlineStr">
        <is>
          <t>Vaccines</t>
        </is>
      </c>
      <c r="S4647" s="70" t="n">
        <v>813</v>
      </c>
      <c r="T4647" s="71" t="n">
        <v>30363.23</v>
      </c>
      <c r="U4647" t="inlineStr">
        <is>
          <t>Low</t>
        </is>
      </c>
      <c r="V4647">
        <f>IF(AND(OR(Dashboard!$C$6="All",E4647=Dashboard!$C$6),OR(Dashboard!$F$6="All",G4647=Dashboard!$F$6),OR(Dashboard!$I$6="All",H4647=Dashboard!$I$6)),1,0)</f>
        <v/>
      </c>
    </row>
    <row r="4648">
      <c r="A4648" t="inlineStr">
        <is>
          <t>PF104639</t>
        </is>
      </c>
      <c r="B4648" s="68" t="n">
        <v>46217</v>
      </c>
      <c r="C4648" s="69" t="n">
        <v>2026</v>
      </c>
      <c r="D4648" t="inlineStr">
        <is>
          <t>Jul</t>
        </is>
      </c>
      <c r="E4648" t="inlineStr">
        <is>
          <t>United States</t>
        </is>
      </c>
      <c r="F4648" t="inlineStr">
        <is>
          <t>USA</t>
        </is>
      </c>
      <c r="G4648" t="inlineStr">
        <is>
          <t>Eliquis</t>
        </is>
      </c>
      <c r="H4648" t="inlineStr">
        <is>
          <t>Retail pharmacy</t>
        </is>
      </c>
      <c r="I4648" t="inlineStr">
        <is>
          <t>Public payer</t>
        </is>
      </c>
      <c r="J4648" t="inlineStr">
        <is>
          <t>Amir Khan</t>
        </is>
      </c>
      <c r="K4648" s="70" t="n">
        <v>1965</v>
      </c>
      <c r="L4648" s="71" t="n">
        <v>660.85</v>
      </c>
      <c r="M4648" s="71" t="n">
        <v>1298570.25</v>
      </c>
      <c r="N4648" s="71" t="n">
        <v>259714.05</v>
      </c>
      <c r="O4648" s="71" t="n">
        <v>1038856.2</v>
      </c>
      <c r="P4648" s="71" t="n">
        <v>145290.77</v>
      </c>
      <c r="Q4648" s="71" t="n">
        <v>893565.4300000001</v>
      </c>
      <c r="R4648" t="inlineStr">
        <is>
          <t>Cardiology</t>
        </is>
      </c>
      <c r="S4648" s="70" t="n">
        <v>1282</v>
      </c>
      <c r="T4648" s="71" t="n">
        <v>254669.9</v>
      </c>
      <c r="U4648" t="inlineStr">
        <is>
          <t>High</t>
        </is>
      </c>
      <c r="V4648">
        <f>IF(AND(OR(Dashboard!$C$6="All",E4648=Dashboard!$C$6),OR(Dashboard!$F$6="All",G4648=Dashboard!$F$6),OR(Dashboard!$I$6="All",H4648=Dashboard!$I$6)),1,0)</f>
        <v/>
      </c>
    </row>
    <row r="4649">
      <c r="A4649" t="inlineStr">
        <is>
          <t>PF104640</t>
        </is>
      </c>
      <c r="B4649" s="68" t="n">
        <v>46217</v>
      </c>
      <c r="C4649" s="69" t="n">
        <v>2026</v>
      </c>
      <c r="D4649" t="inlineStr">
        <is>
          <t>Jul</t>
        </is>
      </c>
      <c r="E4649" t="inlineStr">
        <is>
          <t>United States</t>
        </is>
      </c>
      <c r="F4649" t="inlineStr">
        <is>
          <t>USA</t>
        </is>
      </c>
      <c r="G4649" t="inlineStr">
        <is>
          <t>Prevnar 20</t>
        </is>
      </c>
      <c r="H4649" t="inlineStr">
        <is>
          <t>Hospital</t>
        </is>
      </c>
      <c r="I4649" t="inlineStr">
        <is>
          <t>Public payer</t>
        </is>
      </c>
      <c r="J4649" t="inlineStr">
        <is>
          <t>Yuki Sato</t>
        </is>
      </c>
      <c r="K4649" s="70" t="n">
        <v>3057</v>
      </c>
      <c r="L4649" s="71" t="n">
        <v>366.88</v>
      </c>
      <c r="M4649" s="71" t="n">
        <v>1121552.16</v>
      </c>
      <c r="N4649" s="71" t="n">
        <v>336465.65</v>
      </c>
      <c r="O4649" s="71" t="n">
        <v>785086.51</v>
      </c>
      <c r="P4649" s="71" t="n">
        <v>209549.89</v>
      </c>
      <c r="Q4649" s="71" t="n">
        <v>575536.62</v>
      </c>
      <c r="R4649" t="inlineStr">
        <is>
          <t>Vaccines</t>
        </is>
      </c>
      <c r="S4649" s="70" t="n">
        <v>1960</v>
      </c>
      <c r="T4649" s="71" t="n">
        <v>185016.66</v>
      </c>
      <c r="U4649" t="inlineStr">
        <is>
          <t>Low</t>
        </is>
      </c>
      <c r="V4649">
        <f>IF(AND(OR(Dashboard!$C$6="All",E4649=Dashboard!$C$6),OR(Dashboard!$F$6="All",G4649=Dashboard!$F$6),OR(Dashboard!$I$6="All",H4649=Dashboard!$I$6)),1,0)</f>
        <v/>
      </c>
    </row>
    <row r="4650">
      <c r="A4650" t="inlineStr">
        <is>
          <t>PF104641</t>
        </is>
      </c>
      <c r="B4650" s="68" t="n">
        <v>46217</v>
      </c>
      <c r="C4650" s="69" t="n">
        <v>2026</v>
      </c>
      <c r="D4650" t="inlineStr">
        <is>
          <t>Jul</t>
        </is>
      </c>
      <c r="E4650" t="inlineStr">
        <is>
          <t>United States</t>
        </is>
      </c>
      <c r="F4650" t="inlineStr">
        <is>
          <t>USA</t>
        </is>
      </c>
      <c r="G4650" t="inlineStr">
        <is>
          <t>Prevnar 20</t>
        </is>
      </c>
      <c r="H4650" t="inlineStr">
        <is>
          <t>Retail pharmacy</t>
        </is>
      </c>
      <c r="I4650" t="inlineStr">
        <is>
          <t>Private insurer</t>
        </is>
      </c>
      <c r="J4650" t="inlineStr">
        <is>
          <t>Aisha Bello</t>
        </is>
      </c>
      <c r="K4650" s="70" t="n">
        <v>2505</v>
      </c>
      <c r="L4650" s="71" t="n">
        <v>399.41</v>
      </c>
      <c r="M4650" s="71" t="n">
        <v>1000522.05</v>
      </c>
      <c r="N4650" s="71" t="n">
        <v>250130.51</v>
      </c>
      <c r="O4650" s="71" t="n">
        <v>750391.54</v>
      </c>
      <c r="P4650" s="71" t="n">
        <v>178378.78</v>
      </c>
      <c r="Q4650" s="71" t="n">
        <v>572012.76</v>
      </c>
      <c r="R4650" t="inlineStr">
        <is>
          <t>Vaccines</t>
        </is>
      </c>
      <c r="S4650" s="70" t="n">
        <v>2406</v>
      </c>
      <c r="T4650" s="71" t="n">
        <v>189558</v>
      </c>
      <c r="U4650" t="inlineStr">
        <is>
          <t>Low</t>
        </is>
      </c>
      <c r="V4650">
        <f>IF(AND(OR(Dashboard!$C$6="All",E4650=Dashboard!$C$6),OR(Dashboard!$F$6="All",G4650=Dashboard!$F$6),OR(Dashboard!$I$6="All",H4650=Dashboard!$I$6)),1,0)</f>
        <v/>
      </c>
    </row>
    <row r="4651">
      <c r="A4651" t="inlineStr">
        <is>
          <t>PF104642</t>
        </is>
      </c>
      <c r="B4651" s="68" t="n">
        <v>46217</v>
      </c>
      <c r="C4651" s="69" t="n">
        <v>2026</v>
      </c>
      <c r="D4651" t="inlineStr">
        <is>
          <t>Jul</t>
        </is>
      </c>
      <c r="E4651" t="inlineStr">
        <is>
          <t>United States</t>
        </is>
      </c>
      <c r="F4651" t="inlineStr">
        <is>
          <t>USA</t>
        </is>
      </c>
      <c r="G4651" t="inlineStr">
        <is>
          <t>Prevnar 20</t>
        </is>
      </c>
      <c r="H4651" t="inlineStr">
        <is>
          <t>Retail pharmacy</t>
        </is>
      </c>
      <c r="I4651" t="inlineStr">
        <is>
          <t>Public payer</t>
        </is>
      </c>
      <c r="J4651" t="inlineStr">
        <is>
          <t>Carlos Silva</t>
        </is>
      </c>
      <c r="K4651" s="70" t="n">
        <v>2858</v>
      </c>
      <c r="L4651" s="71" t="n">
        <v>354.94</v>
      </c>
      <c r="M4651" s="71" t="n">
        <v>1014418.52</v>
      </c>
      <c r="N4651" s="71" t="n">
        <v>202883.7</v>
      </c>
      <c r="O4651" s="71" t="n">
        <v>811534.8199999999</v>
      </c>
      <c r="P4651" s="71" t="n">
        <v>202566.22</v>
      </c>
      <c r="Q4651" s="71" t="n">
        <v>608968.6</v>
      </c>
      <c r="R4651" t="inlineStr">
        <is>
          <t>Vaccines</t>
        </is>
      </c>
      <c r="S4651" s="70" t="n">
        <v>2371</v>
      </c>
      <c r="T4651" s="71" t="n">
        <v>187866.09</v>
      </c>
      <c r="U4651" t="inlineStr">
        <is>
          <t>Low</t>
        </is>
      </c>
      <c r="V4651">
        <f>IF(AND(OR(Dashboard!$C$6="All",E4651=Dashboard!$C$6),OR(Dashboard!$F$6="All",G4651=Dashboard!$F$6),OR(Dashboard!$I$6="All",H4651=Dashboard!$I$6)),1,0)</f>
        <v/>
      </c>
    </row>
    <row r="4652">
      <c r="A4652" t="inlineStr">
        <is>
          <t>PF104643</t>
        </is>
      </c>
      <c r="B4652" s="68" t="n">
        <v>46217</v>
      </c>
      <c r="C4652" s="69" t="n">
        <v>2026</v>
      </c>
      <c r="D4652" t="inlineStr">
        <is>
          <t>Jul</t>
        </is>
      </c>
      <c r="E4652" t="inlineStr">
        <is>
          <t>United States</t>
        </is>
      </c>
      <c r="F4652" t="inlineStr">
        <is>
          <t>USA</t>
        </is>
      </c>
      <c r="G4652" t="inlineStr">
        <is>
          <t>Ibrance</t>
        </is>
      </c>
      <c r="H4652" t="inlineStr">
        <is>
          <t>Hospital</t>
        </is>
      </c>
      <c r="I4652" t="inlineStr">
        <is>
          <t>Public payer</t>
        </is>
      </c>
      <c r="J4652" t="inlineStr">
        <is>
          <t>Liam O'Brien</t>
        </is>
      </c>
      <c r="K4652" s="70" t="n">
        <v>2116</v>
      </c>
      <c r="L4652" s="71" t="n">
        <v>4238.5</v>
      </c>
      <c r="M4652" s="71" t="n">
        <v>8968666</v>
      </c>
      <c r="N4652" s="71" t="n">
        <v>2690599.8</v>
      </c>
      <c r="O4652" s="71" t="n">
        <v>6278066.2</v>
      </c>
      <c r="P4652" s="71" t="n">
        <v>899893.78</v>
      </c>
      <c r="Q4652" s="71" t="n">
        <v>5378172.42</v>
      </c>
      <c r="R4652" t="inlineStr">
        <is>
          <t>Oncology</t>
        </is>
      </c>
      <c r="S4652" s="70" t="n">
        <v>1993</v>
      </c>
      <c r="T4652" s="71" t="n">
        <v>1121381.39</v>
      </c>
      <c r="U4652" t="inlineStr">
        <is>
          <t>High</t>
        </is>
      </c>
      <c r="V4652">
        <f>IF(AND(OR(Dashboard!$C$6="All",E4652=Dashboard!$C$6),OR(Dashboard!$F$6="All",G4652=Dashboard!$F$6),OR(Dashboard!$I$6="All",H4652=Dashboard!$I$6)),1,0)</f>
        <v/>
      </c>
    </row>
    <row r="4653">
      <c r="A4653" t="inlineStr">
        <is>
          <t>PF104644</t>
        </is>
      </c>
      <c r="B4653" s="68" t="n">
        <v>46217</v>
      </c>
      <c r="C4653" s="69" t="n">
        <v>2026</v>
      </c>
      <c r="D4653" t="inlineStr">
        <is>
          <t>Jul</t>
        </is>
      </c>
      <c r="E4653" t="inlineStr">
        <is>
          <t>Emerging markets</t>
        </is>
      </c>
      <c r="F4653" t="inlineStr">
        <is>
          <t>Brazil</t>
        </is>
      </c>
      <c r="G4653" t="inlineStr">
        <is>
          <t>Paxlovid</t>
        </is>
      </c>
      <c r="H4653" t="inlineStr">
        <is>
          <t>Retail pharmacy</t>
        </is>
      </c>
      <c r="I4653" t="inlineStr">
        <is>
          <t>Public payer</t>
        </is>
      </c>
      <c r="J4653" t="inlineStr">
        <is>
          <t>Kofi Mensah</t>
        </is>
      </c>
      <c r="K4653" s="70" t="n">
        <v>1153</v>
      </c>
      <c r="L4653" s="71" t="n">
        <v>838.21</v>
      </c>
      <c r="M4653" s="71" t="n">
        <v>966456.13</v>
      </c>
      <c r="N4653" s="71" t="n">
        <v>96645.61</v>
      </c>
      <c r="O4653" s="71" t="n">
        <v>869810.52</v>
      </c>
      <c r="P4653" s="71" t="n">
        <v>316123.13</v>
      </c>
      <c r="Q4653" s="71" t="n">
        <v>553687.39</v>
      </c>
      <c r="R4653" t="inlineStr">
        <is>
          <t>Antiviral</t>
        </is>
      </c>
      <c r="S4653" s="70" t="n">
        <v>1038</v>
      </c>
      <c r="T4653" s="71" t="n">
        <v>159956.78</v>
      </c>
      <c r="U4653" t="inlineStr">
        <is>
          <t>Low</t>
        </is>
      </c>
      <c r="V4653">
        <f>IF(AND(OR(Dashboard!$C$6="All",E4653=Dashboard!$C$6),OR(Dashboard!$F$6="All",G4653=Dashboard!$F$6),OR(Dashboard!$I$6="All",H4653=Dashboard!$I$6)),1,0)</f>
        <v/>
      </c>
    </row>
    <row r="4654">
      <c r="A4654" t="inlineStr">
        <is>
          <t>PF104645</t>
        </is>
      </c>
      <c r="B4654" s="68" t="n">
        <v>46217</v>
      </c>
      <c r="C4654" s="69" t="n">
        <v>2026</v>
      </c>
      <c r="D4654" t="inlineStr">
        <is>
          <t>Jul</t>
        </is>
      </c>
      <c r="E4654" t="inlineStr">
        <is>
          <t>United States</t>
        </is>
      </c>
      <c r="F4654" t="inlineStr">
        <is>
          <t>USA</t>
        </is>
      </c>
      <c r="G4654" t="inlineStr">
        <is>
          <t>Prevnar 20</t>
        </is>
      </c>
      <c r="H4654" t="inlineStr">
        <is>
          <t>Hospital</t>
        </is>
      </c>
      <c r="I4654" t="inlineStr">
        <is>
          <t>Private insurer</t>
        </is>
      </c>
      <c r="J4654" t="inlineStr">
        <is>
          <t>Lucas Martin</t>
        </is>
      </c>
      <c r="K4654" s="70" t="n">
        <v>413</v>
      </c>
      <c r="L4654" s="71" t="n">
        <v>364.81</v>
      </c>
      <c r="M4654" s="71" t="n">
        <v>150666.53</v>
      </c>
      <c r="N4654" s="71" t="n">
        <v>30133.31</v>
      </c>
      <c r="O4654" s="71" t="n">
        <v>120533.22</v>
      </c>
      <c r="P4654" s="71" t="n">
        <v>29388.22</v>
      </c>
      <c r="Q4654" s="71" t="n">
        <v>91145</v>
      </c>
      <c r="R4654" t="inlineStr">
        <is>
          <t>Vaccines</t>
        </is>
      </c>
      <c r="S4654" s="70" t="n">
        <v>277</v>
      </c>
      <c r="T4654" s="71" t="n">
        <v>19802.75</v>
      </c>
      <c r="U4654" t="inlineStr">
        <is>
          <t>Low</t>
        </is>
      </c>
      <c r="V4654">
        <f>IF(AND(OR(Dashboard!$C$6="All",E4654=Dashboard!$C$6),OR(Dashboard!$F$6="All",G4654=Dashboard!$F$6),OR(Dashboard!$I$6="All",H4654=Dashboard!$I$6)),1,0)</f>
        <v/>
      </c>
    </row>
    <row r="4655">
      <c r="A4655" t="inlineStr">
        <is>
          <t>PF104646</t>
        </is>
      </c>
      <c r="B4655" s="68" t="n">
        <v>46217</v>
      </c>
      <c r="C4655" s="69" t="n">
        <v>2026</v>
      </c>
      <c r="D4655" t="inlineStr">
        <is>
          <t>Jul</t>
        </is>
      </c>
      <c r="E4655" t="inlineStr">
        <is>
          <t>United States</t>
        </is>
      </c>
      <c r="F4655" t="inlineStr">
        <is>
          <t>USA</t>
        </is>
      </c>
      <c r="G4655" t="inlineStr">
        <is>
          <t>Eliquis</t>
        </is>
      </c>
      <c r="H4655" t="inlineStr">
        <is>
          <t>Retail pharmacy</t>
        </is>
      </c>
      <c r="I4655" t="inlineStr">
        <is>
          <t>Private insurer</t>
        </is>
      </c>
      <c r="J4655" t="inlineStr">
        <is>
          <t>Shraddha Kulkarni</t>
        </is>
      </c>
      <c r="K4655" s="70" t="n">
        <v>2598</v>
      </c>
      <c r="L4655" s="71" t="n">
        <v>691.1799999999999</v>
      </c>
      <c r="M4655" s="71" t="n">
        <v>1795685.64</v>
      </c>
      <c r="N4655" s="71" t="n">
        <v>269352.85</v>
      </c>
      <c r="O4655" s="71" t="n">
        <v>1526332.79</v>
      </c>
      <c r="P4655" s="71" t="n">
        <v>203532.31</v>
      </c>
      <c r="Q4655" s="71" t="n">
        <v>1322800.48</v>
      </c>
      <c r="R4655" t="inlineStr">
        <is>
          <t>Cardiology</t>
        </is>
      </c>
      <c r="S4655" s="70" t="n">
        <v>1725</v>
      </c>
      <c r="T4655" s="71" t="n">
        <v>313375.5</v>
      </c>
      <c r="U4655" t="inlineStr">
        <is>
          <t>High</t>
        </is>
      </c>
      <c r="V4655">
        <f>IF(AND(OR(Dashboard!$C$6="All",E4655=Dashboard!$C$6),OR(Dashboard!$F$6="All",G4655=Dashboard!$F$6),OR(Dashboard!$I$6="All",H4655=Dashboard!$I$6)),1,0)</f>
        <v/>
      </c>
    </row>
    <row r="4656">
      <c r="A4656" t="inlineStr">
        <is>
          <t>PF104647</t>
        </is>
      </c>
      <c r="B4656" s="68" t="n">
        <v>46217</v>
      </c>
      <c r="C4656" s="69" t="n">
        <v>2026</v>
      </c>
      <c r="D4656" t="inlineStr">
        <is>
          <t>Jul</t>
        </is>
      </c>
      <c r="E4656" t="inlineStr">
        <is>
          <t>Europe</t>
        </is>
      </c>
      <c r="F4656" t="inlineStr">
        <is>
          <t>Germany</t>
        </is>
      </c>
      <c r="G4656" t="inlineStr">
        <is>
          <t>Prevnar 20</t>
        </is>
      </c>
      <c r="H4656" t="inlineStr">
        <is>
          <t>Hospital</t>
        </is>
      </c>
      <c r="I4656" t="inlineStr">
        <is>
          <t>Self-pay</t>
        </is>
      </c>
      <c r="J4656" t="inlineStr">
        <is>
          <t>Mei Lin</t>
        </is>
      </c>
      <c r="K4656" s="70" t="n">
        <v>2197</v>
      </c>
      <c r="L4656" s="71" t="n">
        <v>243.14</v>
      </c>
      <c r="M4656" s="71" t="n">
        <v>534178.58</v>
      </c>
      <c r="N4656" s="71" t="n">
        <v>106835.72</v>
      </c>
      <c r="O4656" s="71" t="n">
        <v>427342.86</v>
      </c>
      <c r="P4656" s="71" t="n">
        <v>151940.52</v>
      </c>
      <c r="Q4656" s="71" t="n">
        <v>275402.34</v>
      </c>
      <c r="R4656" t="inlineStr">
        <is>
          <t>Vaccines</t>
        </is>
      </c>
      <c r="S4656" s="70" t="n">
        <v>2031</v>
      </c>
      <c r="T4656" s="71" t="n">
        <v>104734.58</v>
      </c>
      <c r="U4656" t="inlineStr">
        <is>
          <t>Low</t>
        </is>
      </c>
      <c r="V4656">
        <f>IF(AND(OR(Dashboard!$C$6="All",E4656=Dashboard!$C$6),OR(Dashboard!$F$6="All",G4656=Dashboard!$F$6),OR(Dashboard!$I$6="All",H4656=Dashboard!$I$6)),1,0)</f>
        <v/>
      </c>
    </row>
    <row r="4657">
      <c r="A4657" t="inlineStr">
        <is>
          <t>PF104648</t>
        </is>
      </c>
      <c r="B4657" s="68" t="n">
        <v>46217</v>
      </c>
      <c r="C4657" s="69" t="n">
        <v>2026</v>
      </c>
      <c r="D4657" t="inlineStr">
        <is>
          <t>Jul</t>
        </is>
      </c>
      <c r="E4657" t="inlineStr">
        <is>
          <t>United States</t>
        </is>
      </c>
      <c r="F4657" t="inlineStr">
        <is>
          <t>USA</t>
        </is>
      </c>
      <c r="G4657" t="inlineStr">
        <is>
          <t>Abrysvo</t>
        </is>
      </c>
      <c r="H4657" t="inlineStr">
        <is>
          <t>Retail pharmacy</t>
        </is>
      </c>
      <c r="I4657" t="inlineStr">
        <is>
          <t>Private insurer</t>
        </is>
      </c>
      <c r="J4657" t="inlineStr">
        <is>
          <t>Sara Rossi</t>
        </is>
      </c>
      <c r="K4657" s="70" t="n">
        <v>3184</v>
      </c>
      <c r="L4657" s="71" t="n">
        <v>517.67</v>
      </c>
      <c r="M4657" s="71" t="n">
        <v>1648261.28</v>
      </c>
      <c r="N4657" s="71" t="n">
        <v>494478.38</v>
      </c>
      <c r="O4657" s="71" t="n">
        <v>1153782.9</v>
      </c>
      <c r="P4657" s="71" t="n">
        <v>266431.85</v>
      </c>
      <c r="Q4657" s="71" t="n">
        <v>887351.05</v>
      </c>
      <c r="R4657" t="inlineStr">
        <is>
          <t>Vaccines</t>
        </is>
      </c>
      <c r="S4657" s="70" t="n">
        <v>2376</v>
      </c>
      <c r="T4657" s="71" t="n">
        <v>273039.88</v>
      </c>
      <c r="U4657" t="inlineStr">
        <is>
          <t>Low</t>
        </is>
      </c>
      <c r="V4657">
        <f>IF(AND(OR(Dashboard!$C$6="All",E4657=Dashboard!$C$6),OR(Dashboard!$F$6="All",G4657=Dashboard!$F$6),OR(Dashboard!$I$6="All",H4657=Dashboard!$I$6)),1,0)</f>
        <v/>
      </c>
    </row>
    <row r="4658">
      <c r="A4658" t="inlineStr">
        <is>
          <t>PF104649</t>
        </is>
      </c>
      <c r="B4658" s="68" t="n">
        <v>46217</v>
      </c>
      <c r="C4658" s="69" t="n">
        <v>2026</v>
      </c>
      <c r="D4658" t="inlineStr">
        <is>
          <t>Jul</t>
        </is>
      </c>
      <c r="E4658" t="inlineStr">
        <is>
          <t>Europe</t>
        </is>
      </c>
      <c r="F4658" t="inlineStr">
        <is>
          <t>Italy</t>
        </is>
      </c>
      <c r="G4658" t="inlineStr">
        <is>
          <t>Ibrance</t>
        </is>
      </c>
      <c r="H4658" t="inlineStr">
        <is>
          <t>Government / tender</t>
        </is>
      </c>
      <c r="I4658" t="inlineStr">
        <is>
          <t>Public payer</t>
        </is>
      </c>
      <c r="J4658" t="inlineStr">
        <is>
          <t>Arjun Mehta</t>
        </is>
      </c>
      <c r="K4658" s="70" t="n">
        <v>1765</v>
      </c>
      <c r="L4658" s="71" t="n">
        <v>2866.57</v>
      </c>
      <c r="M4658" s="71" t="n">
        <v>5059496.05</v>
      </c>
      <c r="N4658" s="71" t="n">
        <v>252974.8</v>
      </c>
      <c r="O4658" s="71" t="n">
        <v>4806521.25</v>
      </c>
      <c r="P4658" s="71" t="n">
        <v>758747.92</v>
      </c>
      <c r="Q4658" s="71" t="n">
        <v>4047773.33</v>
      </c>
      <c r="R4658" t="inlineStr">
        <is>
          <t>Oncology</t>
        </is>
      </c>
      <c r="S4658" s="70" t="n">
        <v>1670</v>
      </c>
      <c r="T4658" s="71" t="n">
        <v>782603.21</v>
      </c>
      <c r="U4658" t="inlineStr">
        <is>
          <t>High</t>
        </is>
      </c>
      <c r="V4658">
        <f>IF(AND(OR(Dashboard!$C$6="All",E4658=Dashboard!$C$6),OR(Dashboard!$F$6="All",G4658=Dashboard!$F$6),OR(Dashboard!$I$6="All",H4658=Dashboard!$I$6)),1,0)</f>
        <v/>
      </c>
    </row>
    <row r="4659">
      <c r="A4659" t="inlineStr">
        <is>
          <t>PF104650</t>
        </is>
      </c>
      <c r="B4659" s="68" t="n">
        <v>46217</v>
      </c>
      <c r="C4659" s="69" t="n">
        <v>2026</v>
      </c>
      <c r="D4659" t="inlineStr">
        <is>
          <t>Jul</t>
        </is>
      </c>
      <c r="E4659" t="inlineStr">
        <is>
          <t>Emerging markets</t>
        </is>
      </c>
      <c r="F4659" t="inlineStr">
        <is>
          <t>Brazil</t>
        </is>
      </c>
      <c r="G4659" t="inlineStr">
        <is>
          <t>Eliquis</t>
        </is>
      </c>
      <c r="H4659" t="inlineStr">
        <is>
          <t>Hospital</t>
        </is>
      </c>
      <c r="I4659" t="inlineStr">
        <is>
          <t>Private insurer</t>
        </is>
      </c>
      <c r="J4659" t="inlineStr">
        <is>
          <t>Ruhi Shaikh</t>
        </is>
      </c>
      <c r="K4659" s="70" t="n">
        <v>1803</v>
      </c>
      <c r="L4659" s="71" t="n">
        <v>410.16</v>
      </c>
      <c r="M4659" s="71" t="n">
        <v>739518.48</v>
      </c>
      <c r="N4659" s="71" t="n">
        <v>184879.62</v>
      </c>
      <c r="O4659" s="71" t="n">
        <v>554638.86</v>
      </c>
      <c r="P4659" s="71" t="n">
        <v>136733.1</v>
      </c>
      <c r="Q4659" s="71" t="n">
        <v>417905.76</v>
      </c>
      <c r="R4659" t="inlineStr">
        <is>
          <t>Cardiology</t>
        </is>
      </c>
      <c r="S4659" s="70" t="n">
        <v>1375</v>
      </c>
      <c r="T4659" s="71" t="n">
        <v>92233.17999999999</v>
      </c>
      <c r="U4659" t="inlineStr">
        <is>
          <t>High</t>
        </is>
      </c>
      <c r="V4659">
        <f>IF(AND(OR(Dashboard!$C$6="All",E4659=Dashboard!$C$6),OR(Dashboard!$F$6="All",G4659=Dashboard!$F$6),OR(Dashboard!$I$6="All",H4659=Dashboard!$I$6)),1,0)</f>
        <v/>
      </c>
    </row>
    <row r="4660">
      <c r="A4660" t="inlineStr">
        <is>
          <t>PF104651</t>
        </is>
      </c>
      <c r="B4660" s="68" t="n">
        <v>46217</v>
      </c>
      <c r="C4660" s="69" t="n">
        <v>2026</v>
      </c>
      <c r="D4660" t="inlineStr">
        <is>
          <t>Jul</t>
        </is>
      </c>
      <c r="E4660" t="inlineStr">
        <is>
          <t>United States</t>
        </is>
      </c>
      <c r="F4660" t="inlineStr">
        <is>
          <t>USA</t>
        </is>
      </c>
      <c r="G4660" t="inlineStr">
        <is>
          <t>Vyndaqel</t>
        </is>
      </c>
      <c r="H4660" t="inlineStr">
        <is>
          <t>Hospital</t>
        </is>
      </c>
      <c r="I4660" t="inlineStr">
        <is>
          <t>Private insurer</t>
        </is>
      </c>
      <c r="J4660" t="inlineStr">
        <is>
          <t>Ruhi Shaikh</t>
        </is>
      </c>
      <c r="K4660" s="70" t="n">
        <v>421</v>
      </c>
      <c r="L4660" s="71" t="n">
        <v>8656.4</v>
      </c>
      <c r="M4660" s="71" t="n">
        <v>3644344.4</v>
      </c>
      <c r="N4660" s="71" t="n">
        <v>728868.88</v>
      </c>
      <c r="O4660" s="71" t="n">
        <v>2915475.52</v>
      </c>
      <c r="P4660" s="71" t="n">
        <v>254969.81</v>
      </c>
      <c r="Q4660" s="71" t="n">
        <v>2660505.71</v>
      </c>
      <c r="R4660" t="inlineStr">
        <is>
          <t>Rare disease</t>
        </is>
      </c>
      <c r="S4660" s="70" t="n">
        <v>302</v>
      </c>
      <c r="T4660" s="71" t="n">
        <v>495097.77</v>
      </c>
      <c r="U4660" t="inlineStr">
        <is>
          <t>Medium</t>
        </is>
      </c>
      <c r="V4660">
        <f>IF(AND(OR(Dashboard!$C$6="All",E4660=Dashboard!$C$6),OR(Dashboard!$F$6="All",G4660=Dashboard!$F$6),OR(Dashboard!$I$6="All",H4660=Dashboard!$I$6)),1,0)</f>
        <v/>
      </c>
    </row>
    <row r="4661">
      <c r="A4661" t="inlineStr">
        <is>
          <t>PF104652</t>
        </is>
      </c>
      <c r="B4661" s="68" t="n">
        <v>46217</v>
      </c>
      <c r="C4661" s="69" t="n">
        <v>2026</v>
      </c>
      <c r="D4661" t="inlineStr">
        <is>
          <t>Jul</t>
        </is>
      </c>
      <c r="E4661" t="inlineStr">
        <is>
          <t>United States</t>
        </is>
      </c>
      <c r="F4661" t="inlineStr">
        <is>
          <t>USA</t>
        </is>
      </c>
      <c r="G4661" t="inlineStr">
        <is>
          <t>Paxlovid</t>
        </is>
      </c>
      <c r="H4661" t="inlineStr">
        <is>
          <t>Hospital</t>
        </is>
      </c>
      <c r="I4661" t="inlineStr">
        <is>
          <t>Public payer</t>
        </is>
      </c>
      <c r="J4661" t="inlineStr">
        <is>
          <t>Yuki Sato</t>
        </is>
      </c>
      <c r="K4661" s="70" t="n">
        <v>332</v>
      </c>
      <c r="L4661" s="71" t="n">
        <v>1527.34</v>
      </c>
      <c r="M4661" s="71" t="n">
        <v>507076.88</v>
      </c>
      <c r="N4661" s="71" t="n">
        <v>126769.22</v>
      </c>
      <c r="O4661" s="71" t="n">
        <v>380307.66</v>
      </c>
      <c r="P4661" s="71" t="n">
        <v>89158.00999999999</v>
      </c>
      <c r="Q4661" s="71" t="n">
        <v>291149.65</v>
      </c>
      <c r="R4661" t="inlineStr">
        <is>
          <t>Antiviral</t>
        </is>
      </c>
      <c r="S4661" s="70" t="n">
        <v>293</v>
      </c>
      <c r="T4661" s="71" t="n">
        <v>113063.62</v>
      </c>
      <c r="U4661" t="inlineStr">
        <is>
          <t>Low</t>
        </is>
      </c>
      <c r="V4661">
        <f>IF(AND(OR(Dashboard!$C$6="All",E4661=Dashboard!$C$6),OR(Dashboard!$F$6="All",G4661=Dashboard!$F$6),OR(Dashboard!$I$6="All",H4661=Dashboard!$I$6)),1,0)</f>
        <v/>
      </c>
    </row>
    <row r="4662">
      <c r="A4662" t="inlineStr">
        <is>
          <t>PF104653</t>
        </is>
      </c>
      <c r="B4662" s="68" t="n">
        <v>46217</v>
      </c>
      <c r="C4662" s="69" t="n">
        <v>2026</v>
      </c>
      <c r="D4662" t="inlineStr">
        <is>
          <t>Jul</t>
        </is>
      </c>
      <c r="E4662" t="inlineStr">
        <is>
          <t>Europe</t>
        </is>
      </c>
      <c r="F4662" t="inlineStr">
        <is>
          <t>UK</t>
        </is>
      </c>
      <c r="G4662" t="inlineStr">
        <is>
          <t>Prevnar 20</t>
        </is>
      </c>
      <c r="H4662" t="inlineStr">
        <is>
          <t>Retail pharmacy</t>
        </is>
      </c>
      <c r="I4662" t="inlineStr">
        <is>
          <t>Public payer</t>
        </is>
      </c>
      <c r="J4662" t="inlineStr">
        <is>
          <t>Arjun Mehta</t>
        </is>
      </c>
      <c r="K4662" s="70" t="n">
        <v>1586</v>
      </c>
      <c r="L4662" s="71" t="n">
        <v>235.7</v>
      </c>
      <c r="M4662" s="71" t="n">
        <v>373820.2</v>
      </c>
      <c r="N4662" s="71" t="n">
        <v>74764.03999999999</v>
      </c>
      <c r="O4662" s="71" t="n">
        <v>299056.16</v>
      </c>
      <c r="P4662" s="71" t="n">
        <v>113047.54</v>
      </c>
      <c r="Q4662" s="71" t="n">
        <v>186008.62</v>
      </c>
      <c r="R4662" t="inlineStr">
        <is>
          <t>Vaccines</t>
        </is>
      </c>
      <c r="S4662" s="70" t="n">
        <v>1082</v>
      </c>
      <c r="T4662" s="71" t="n">
        <v>63157.31</v>
      </c>
      <c r="U4662" t="inlineStr">
        <is>
          <t>Low</t>
        </is>
      </c>
      <c r="V4662">
        <f>IF(AND(OR(Dashboard!$C$6="All",E4662=Dashboard!$C$6),OR(Dashboard!$F$6="All",G4662=Dashboard!$F$6),OR(Dashboard!$I$6="All",H4662=Dashboard!$I$6)),1,0)</f>
        <v/>
      </c>
    </row>
    <row r="4663">
      <c r="A4663" t="inlineStr">
        <is>
          <t>PF104654</t>
        </is>
      </c>
      <c r="B4663" s="68" t="n">
        <v>46218</v>
      </c>
      <c r="C4663" s="69" t="n">
        <v>2026</v>
      </c>
      <c r="D4663" t="inlineStr">
        <is>
          <t>Jul</t>
        </is>
      </c>
      <c r="E4663" t="inlineStr">
        <is>
          <t>Europe</t>
        </is>
      </c>
      <c r="F4663" t="inlineStr">
        <is>
          <t>Germany</t>
        </is>
      </c>
      <c r="G4663" t="inlineStr">
        <is>
          <t>Prevnar 20</t>
        </is>
      </c>
      <c r="H4663" t="inlineStr">
        <is>
          <t>Retail pharmacy</t>
        </is>
      </c>
      <c r="I4663" t="inlineStr">
        <is>
          <t>Public payer</t>
        </is>
      </c>
      <c r="J4663" t="inlineStr">
        <is>
          <t>Yuki Sato</t>
        </is>
      </c>
      <c r="K4663" s="70" t="n">
        <v>2593</v>
      </c>
      <c r="L4663" s="71" t="n">
        <v>228.51</v>
      </c>
      <c r="M4663" s="71" t="n">
        <v>592526.4300000001</v>
      </c>
      <c r="N4663" s="71" t="n">
        <v>118505.29</v>
      </c>
      <c r="O4663" s="71" t="n">
        <v>474021.14</v>
      </c>
      <c r="P4663" s="71" t="n">
        <v>173672.01</v>
      </c>
      <c r="Q4663" s="71" t="n">
        <v>300349.13</v>
      </c>
      <c r="R4663" t="inlineStr">
        <is>
          <t>Vaccines</t>
        </is>
      </c>
      <c r="S4663" s="70" t="n">
        <v>1718</v>
      </c>
      <c r="T4663" s="71" t="n">
        <v>94351.60000000001</v>
      </c>
      <c r="U4663" t="inlineStr">
        <is>
          <t>Low</t>
        </is>
      </c>
      <c r="V4663">
        <f>IF(AND(OR(Dashboard!$C$6="All",E4663=Dashboard!$C$6),OR(Dashboard!$F$6="All",G4663=Dashboard!$F$6),OR(Dashboard!$I$6="All",H4663=Dashboard!$I$6)),1,0)</f>
        <v/>
      </c>
    </row>
    <row r="4664">
      <c r="A4664" t="inlineStr">
        <is>
          <t>PF104655</t>
        </is>
      </c>
      <c r="B4664" s="68" t="n">
        <v>46218</v>
      </c>
      <c r="C4664" s="69" t="n">
        <v>2026</v>
      </c>
      <c r="D4664" t="inlineStr">
        <is>
          <t>Jul</t>
        </is>
      </c>
      <c r="E4664" t="inlineStr">
        <is>
          <t>United States</t>
        </is>
      </c>
      <c r="F4664" t="inlineStr">
        <is>
          <t>USA</t>
        </is>
      </c>
      <c r="G4664" t="inlineStr">
        <is>
          <t>Ibrance</t>
        </is>
      </c>
      <c r="H4664" t="inlineStr">
        <is>
          <t>Government / tender</t>
        </is>
      </c>
      <c r="I4664" t="inlineStr">
        <is>
          <t>Private insurer</t>
        </is>
      </c>
      <c r="J4664" t="inlineStr">
        <is>
          <t>Omar Haddad</t>
        </is>
      </c>
      <c r="K4664" s="70" t="n">
        <v>1517</v>
      </c>
      <c r="L4664" s="71" t="n">
        <v>4080.76</v>
      </c>
      <c r="M4664" s="71" t="n">
        <v>6190512.92</v>
      </c>
      <c r="N4664" s="71" t="n">
        <v>2166679.52</v>
      </c>
      <c r="O4664" s="71" t="n">
        <v>4023833.4</v>
      </c>
      <c r="P4664" s="71" t="n">
        <v>675176.8100000001</v>
      </c>
      <c r="Q4664" s="71" t="n">
        <v>3348656.59</v>
      </c>
      <c r="R4664" t="inlineStr">
        <is>
          <t>Oncology</t>
        </is>
      </c>
      <c r="S4664" s="70" t="n">
        <v>1027</v>
      </c>
      <c r="T4664" s="71" t="n">
        <v>1359972.53</v>
      </c>
      <c r="U4664" t="inlineStr">
        <is>
          <t>High</t>
        </is>
      </c>
      <c r="V4664">
        <f>IF(AND(OR(Dashboard!$C$6="All",E4664=Dashboard!$C$6),OR(Dashboard!$F$6="All",G4664=Dashboard!$F$6),OR(Dashboard!$I$6="All",H4664=Dashboard!$I$6)),1,0)</f>
        <v/>
      </c>
    </row>
    <row r="4665">
      <c r="A4665" t="inlineStr">
        <is>
          <t>PF104656</t>
        </is>
      </c>
      <c r="B4665" s="68" t="n">
        <v>46218</v>
      </c>
      <c r="C4665" s="69" t="n">
        <v>2026</v>
      </c>
      <c r="D4665" t="inlineStr">
        <is>
          <t>Jul</t>
        </is>
      </c>
      <c r="E4665" t="inlineStr">
        <is>
          <t>Emerging markets</t>
        </is>
      </c>
      <c r="F4665" t="inlineStr">
        <is>
          <t>China</t>
        </is>
      </c>
      <c r="G4665" t="inlineStr">
        <is>
          <t>Prevnar 20</t>
        </is>
      </c>
      <c r="H4665" t="inlineStr">
        <is>
          <t>Hospital</t>
        </is>
      </c>
      <c r="I4665" t="inlineStr">
        <is>
          <t>Self-pay</t>
        </is>
      </c>
      <c r="J4665" t="inlineStr">
        <is>
          <t>Liam O'Brien</t>
        </is>
      </c>
      <c r="K4665" s="70" t="n">
        <v>2943</v>
      </c>
      <c r="L4665" s="71" t="n">
        <v>232.95</v>
      </c>
      <c r="M4665" s="71" t="n">
        <v>685571.85</v>
      </c>
      <c r="N4665" s="71" t="n">
        <v>68557.17999999999</v>
      </c>
      <c r="O4665" s="71" t="n">
        <v>617014.67</v>
      </c>
      <c r="P4665" s="71" t="n">
        <v>195885.09</v>
      </c>
      <c r="Q4665" s="71" t="n">
        <v>421129.58</v>
      </c>
      <c r="R4665" t="inlineStr">
        <is>
          <t>Vaccines</t>
        </is>
      </c>
      <c r="S4665" s="70" t="n">
        <v>1881</v>
      </c>
      <c r="T4665" s="71" t="n">
        <v>131546.85</v>
      </c>
      <c r="U4665" t="inlineStr">
        <is>
          <t>Low</t>
        </is>
      </c>
      <c r="V4665">
        <f>IF(AND(OR(Dashboard!$C$6="All",E4665=Dashboard!$C$6),OR(Dashboard!$F$6="All",G4665=Dashboard!$F$6),OR(Dashboard!$I$6="All",H4665=Dashboard!$I$6)),1,0)</f>
        <v/>
      </c>
    </row>
    <row r="4666">
      <c r="A4666" t="inlineStr">
        <is>
          <t>PF104657</t>
        </is>
      </c>
      <c r="B4666" s="68" t="n">
        <v>46218</v>
      </c>
      <c r="C4666" s="69" t="n">
        <v>2026</v>
      </c>
      <c r="D4666" t="inlineStr">
        <is>
          <t>Jul</t>
        </is>
      </c>
      <c r="E4666" t="inlineStr">
        <is>
          <t>United States</t>
        </is>
      </c>
      <c r="F4666" t="inlineStr">
        <is>
          <t>USA</t>
        </is>
      </c>
      <c r="G4666" t="inlineStr">
        <is>
          <t>Ibrance</t>
        </is>
      </c>
      <c r="H4666" t="inlineStr">
        <is>
          <t>Hospital</t>
        </is>
      </c>
      <c r="I4666" t="inlineStr">
        <is>
          <t>Private insurer</t>
        </is>
      </c>
      <c r="J4666" t="inlineStr">
        <is>
          <t>Shraddha Kulkarni</t>
        </is>
      </c>
      <c r="K4666" s="70" t="n">
        <v>2815</v>
      </c>
      <c r="L4666" s="71" t="n">
        <v>4233.05</v>
      </c>
      <c r="M4666" s="71" t="n">
        <v>11916035.75</v>
      </c>
      <c r="N4666" s="71" t="n">
        <v>2383207.15</v>
      </c>
      <c r="O4666" s="71" t="n">
        <v>9532828.6</v>
      </c>
      <c r="P4666" s="71" t="n">
        <v>1207609.61</v>
      </c>
      <c r="Q4666" s="71" t="n">
        <v>8325218.99</v>
      </c>
      <c r="R4666" t="inlineStr">
        <is>
          <t>Oncology</t>
        </is>
      </c>
      <c r="S4666" s="70" t="n">
        <v>1924</v>
      </c>
      <c r="T4666" s="71" t="n">
        <v>2582093.02</v>
      </c>
      <c r="U4666" t="inlineStr">
        <is>
          <t>High</t>
        </is>
      </c>
      <c r="V4666">
        <f>IF(AND(OR(Dashboard!$C$6="All",E4666=Dashboard!$C$6),OR(Dashboard!$F$6="All",G4666=Dashboard!$F$6),OR(Dashboard!$I$6="All",H4666=Dashboard!$I$6)),1,0)</f>
        <v/>
      </c>
    </row>
    <row r="4667">
      <c r="A4667" t="inlineStr">
        <is>
          <t>PF104658</t>
        </is>
      </c>
      <c r="B4667" s="68" t="n">
        <v>46219</v>
      </c>
      <c r="C4667" s="69" t="n">
        <v>2026</v>
      </c>
      <c r="D4667" t="inlineStr">
        <is>
          <t>Jul</t>
        </is>
      </c>
      <c r="E4667" t="inlineStr">
        <is>
          <t>International developed</t>
        </is>
      </c>
      <c r="F4667" t="inlineStr">
        <is>
          <t>Japan</t>
        </is>
      </c>
      <c r="G4667" t="inlineStr">
        <is>
          <t>Ibrance</t>
        </is>
      </c>
      <c r="H4667" t="inlineStr">
        <is>
          <t>Government / tender</t>
        </is>
      </c>
      <c r="I4667" t="inlineStr">
        <is>
          <t>Private insurer</t>
        </is>
      </c>
      <c r="J4667" t="inlineStr">
        <is>
          <t>Amir Khan</t>
        </is>
      </c>
      <c r="K4667" s="70" t="n">
        <v>237</v>
      </c>
      <c r="L4667" s="71" t="n">
        <v>3073.68</v>
      </c>
      <c r="M4667" s="71" t="n">
        <v>728462.16</v>
      </c>
      <c r="N4667" s="71" t="n">
        <v>145692.43</v>
      </c>
      <c r="O4667" s="71" t="n">
        <v>582769.73</v>
      </c>
      <c r="P4667" s="71" t="n">
        <v>102664.86</v>
      </c>
      <c r="Q4667" s="71" t="n">
        <v>480104.87</v>
      </c>
      <c r="R4667" t="inlineStr">
        <is>
          <t>Oncology</t>
        </is>
      </c>
      <c r="S4667" s="70" t="n">
        <v>203</v>
      </c>
      <c r="T4667" s="71" t="n">
        <v>99685.48</v>
      </c>
      <c r="U4667" t="inlineStr">
        <is>
          <t>High</t>
        </is>
      </c>
      <c r="V4667">
        <f>IF(AND(OR(Dashboard!$C$6="All",E4667=Dashboard!$C$6),OR(Dashboard!$F$6="All",G4667=Dashboard!$F$6),OR(Dashboard!$I$6="All",H4667=Dashboard!$I$6)),1,0)</f>
        <v/>
      </c>
    </row>
    <row r="4668">
      <c r="A4668" t="inlineStr">
        <is>
          <t>PF104659</t>
        </is>
      </c>
      <c r="B4668" s="68" t="n">
        <v>46219</v>
      </c>
      <c r="C4668" s="69" t="n">
        <v>2026</v>
      </c>
      <c r="D4668" t="inlineStr">
        <is>
          <t>Jul</t>
        </is>
      </c>
      <c r="E4668" t="inlineStr">
        <is>
          <t>United States</t>
        </is>
      </c>
      <c r="F4668" t="inlineStr">
        <is>
          <t>USA</t>
        </is>
      </c>
      <c r="G4668" t="inlineStr">
        <is>
          <t>Paxlovid</t>
        </is>
      </c>
      <c r="H4668" t="inlineStr">
        <is>
          <t>Government / tender</t>
        </is>
      </c>
      <c r="I4668" t="inlineStr">
        <is>
          <t>Public payer</t>
        </is>
      </c>
      <c r="J4668" t="inlineStr">
        <is>
          <t>Sophie Müller</t>
        </is>
      </c>
      <c r="K4668" s="70" t="n">
        <v>2155</v>
      </c>
      <c r="L4668" s="71" t="n">
        <v>1540.55</v>
      </c>
      <c r="M4668" s="71" t="n">
        <v>3319885.25</v>
      </c>
      <c r="N4668" s="71" t="n">
        <v>829971.3100000001</v>
      </c>
      <c r="O4668" s="71" t="n">
        <v>2489913.94</v>
      </c>
      <c r="P4668" s="71" t="n">
        <v>579832.45</v>
      </c>
      <c r="Q4668" s="71" t="n">
        <v>1910081.49</v>
      </c>
      <c r="R4668" t="inlineStr">
        <is>
          <t>Antiviral</t>
        </is>
      </c>
      <c r="S4668" s="70" t="n">
        <v>1964</v>
      </c>
      <c r="T4668" s="71" t="n">
        <v>642569.89</v>
      </c>
      <c r="U4668" t="inlineStr">
        <is>
          <t>Low</t>
        </is>
      </c>
      <c r="V4668">
        <f>IF(AND(OR(Dashboard!$C$6="All",E4668=Dashboard!$C$6),OR(Dashboard!$F$6="All",G4668=Dashboard!$F$6),OR(Dashboard!$I$6="All",H4668=Dashboard!$I$6)),1,0)</f>
        <v/>
      </c>
    </row>
    <row r="4669">
      <c r="A4669" t="inlineStr">
        <is>
          <t>PF104660</t>
        </is>
      </c>
      <c r="B4669" s="68" t="n">
        <v>46219</v>
      </c>
      <c r="C4669" s="69" t="n">
        <v>2026</v>
      </c>
      <c r="D4669" t="inlineStr">
        <is>
          <t>Jul</t>
        </is>
      </c>
      <c r="E4669" t="inlineStr">
        <is>
          <t>United States</t>
        </is>
      </c>
      <c r="F4669" t="inlineStr">
        <is>
          <t>USA</t>
        </is>
      </c>
      <c r="G4669" t="inlineStr">
        <is>
          <t>Paxlovid</t>
        </is>
      </c>
      <c r="H4669" t="inlineStr">
        <is>
          <t>Hospital</t>
        </is>
      </c>
      <c r="I4669" t="inlineStr">
        <is>
          <t>Public payer</t>
        </is>
      </c>
      <c r="J4669" t="inlineStr">
        <is>
          <t>Ana Costa</t>
        </is>
      </c>
      <c r="K4669" s="70" t="n">
        <v>2390</v>
      </c>
      <c r="L4669" s="71" t="n">
        <v>1334.97</v>
      </c>
      <c r="M4669" s="71" t="n">
        <v>3190578.3</v>
      </c>
      <c r="N4669" s="71" t="n">
        <v>1116702.4</v>
      </c>
      <c r="O4669" s="71" t="n">
        <v>2073875.9</v>
      </c>
      <c r="P4669" s="71" t="n">
        <v>634084.33</v>
      </c>
      <c r="Q4669" s="71" t="n">
        <v>1439791.57</v>
      </c>
      <c r="R4669" t="inlineStr">
        <is>
          <t>Antiviral</t>
        </is>
      </c>
      <c r="S4669" s="70" t="n">
        <v>1696</v>
      </c>
      <c r="T4669" s="71" t="n">
        <v>502330.11</v>
      </c>
      <c r="U4669" t="inlineStr">
        <is>
          <t>Low</t>
        </is>
      </c>
      <c r="V4669">
        <f>IF(AND(OR(Dashboard!$C$6="All",E4669=Dashboard!$C$6),OR(Dashboard!$F$6="All",G4669=Dashboard!$F$6),OR(Dashboard!$I$6="All",H4669=Dashboard!$I$6)),1,0)</f>
        <v/>
      </c>
    </row>
    <row r="4670">
      <c r="A4670" t="inlineStr">
        <is>
          <t>PF104661</t>
        </is>
      </c>
      <c r="B4670" s="68" t="n">
        <v>46219</v>
      </c>
      <c r="C4670" s="69" t="n">
        <v>2026</v>
      </c>
      <c r="D4670" t="inlineStr">
        <is>
          <t>Jul</t>
        </is>
      </c>
      <c r="E4670" t="inlineStr">
        <is>
          <t>Europe</t>
        </is>
      </c>
      <c r="F4670" t="inlineStr">
        <is>
          <t>UK</t>
        </is>
      </c>
      <c r="G4670" t="inlineStr">
        <is>
          <t>Eliquis</t>
        </is>
      </c>
      <c r="H4670" t="inlineStr">
        <is>
          <t>Retail pharmacy</t>
        </is>
      </c>
      <c r="I4670" t="inlineStr">
        <is>
          <t>Private insurer</t>
        </is>
      </c>
      <c r="J4670" t="inlineStr">
        <is>
          <t>Yuki Sato</t>
        </is>
      </c>
      <c r="K4670" s="70" t="n">
        <v>1970</v>
      </c>
      <c r="L4670" s="71" t="n">
        <v>461.34</v>
      </c>
      <c r="M4670" s="71" t="n">
        <v>908839.8</v>
      </c>
      <c r="N4670" s="71" t="n">
        <v>227209.95</v>
      </c>
      <c r="O4670" s="71" t="n">
        <v>681629.85</v>
      </c>
      <c r="P4670" s="71" t="n">
        <v>146540.43</v>
      </c>
      <c r="Q4670" s="71" t="n">
        <v>535089.42</v>
      </c>
      <c r="R4670" t="inlineStr">
        <is>
          <t>Cardiology</t>
        </is>
      </c>
      <c r="S4670" s="70" t="n">
        <v>1783</v>
      </c>
      <c r="T4670" s="71" t="n">
        <v>115894.13</v>
      </c>
      <c r="U4670" t="inlineStr">
        <is>
          <t>High</t>
        </is>
      </c>
      <c r="V4670">
        <f>IF(AND(OR(Dashboard!$C$6="All",E4670=Dashboard!$C$6),OR(Dashboard!$F$6="All",G4670=Dashboard!$F$6),OR(Dashboard!$I$6="All",H4670=Dashboard!$I$6)),1,0)</f>
        <v/>
      </c>
    </row>
    <row r="4671">
      <c r="A4671" t="inlineStr">
        <is>
          <t>PF104662</t>
        </is>
      </c>
      <c r="B4671" s="68" t="n">
        <v>46219</v>
      </c>
      <c r="C4671" s="69" t="n">
        <v>2026</v>
      </c>
      <c r="D4671" t="inlineStr">
        <is>
          <t>Jul</t>
        </is>
      </c>
      <c r="E4671" t="inlineStr">
        <is>
          <t>United States</t>
        </is>
      </c>
      <c r="F4671" t="inlineStr">
        <is>
          <t>USA</t>
        </is>
      </c>
      <c r="G4671" t="inlineStr">
        <is>
          <t>Prevnar 20</t>
        </is>
      </c>
      <c r="H4671" t="inlineStr">
        <is>
          <t>Retail pharmacy</t>
        </is>
      </c>
      <c r="I4671" t="inlineStr">
        <is>
          <t>Public payer</t>
        </is>
      </c>
      <c r="J4671" t="inlineStr">
        <is>
          <t>Hiroshi Tanaka</t>
        </is>
      </c>
      <c r="K4671" s="70" t="n">
        <v>3006</v>
      </c>
      <c r="L4671" s="71" t="n">
        <v>378.73</v>
      </c>
      <c r="M4671" s="71" t="n">
        <v>1138462.38</v>
      </c>
      <c r="N4671" s="71" t="n">
        <v>398461.83</v>
      </c>
      <c r="O4671" s="71" t="n">
        <v>740000.55</v>
      </c>
      <c r="P4671" s="71" t="n">
        <v>206883.64</v>
      </c>
      <c r="Q4671" s="71" t="n">
        <v>533116.91</v>
      </c>
      <c r="R4671" t="inlineStr">
        <is>
          <t>Vaccines</t>
        </is>
      </c>
      <c r="S4671" s="70" t="n">
        <v>2974</v>
      </c>
      <c r="T4671" s="71" t="n">
        <v>160703.76</v>
      </c>
      <c r="U4671" t="inlineStr">
        <is>
          <t>Low</t>
        </is>
      </c>
      <c r="V4671">
        <f>IF(AND(OR(Dashboard!$C$6="All",E4671=Dashboard!$C$6),OR(Dashboard!$F$6="All",G4671=Dashboard!$F$6),OR(Dashboard!$I$6="All",H4671=Dashboard!$I$6)),1,0)</f>
        <v/>
      </c>
    </row>
    <row r="4672">
      <c r="A4672" t="inlineStr">
        <is>
          <t>PF104663</t>
        </is>
      </c>
      <c r="B4672" s="68" t="n">
        <v>46219</v>
      </c>
      <c r="C4672" s="69" t="n">
        <v>2026</v>
      </c>
      <c r="D4672" t="inlineStr">
        <is>
          <t>Jul</t>
        </is>
      </c>
      <c r="E4672" t="inlineStr">
        <is>
          <t>United States</t>
        </is>
      </c>
      <c r="F4672" t="inlineStr">
        <is>
          <t>USA</t>
        </is>
      </c>
      <c r="G4672" t="inlineStr">
        <is>
          <t>Vyndaqel</t>
        </is>
      </c>
      <c r="H4672" t="inlineStr">
        <is>
          <t>Retail pharmacy</t>
        </is>
      </c>
      <c r="I4672" t="inlineStr">
        <is>
          <t>Private insurer</t>
        </is>
      </c>
      <c r="J4672" t="inlineStr">
        <is>
          <t>Emma Clarke</t>
        </is>
      </c>
      <c r="K4672" s="70" t="n">
        <v>996</v>
      </c>
      <c r="L4672" s="71" t="n">
        <v>10084.2</v>
      </c>
      <c r="M4672" s="71" t="n">
        <v>10043863.2</v>
      </c>
      <c r="N4672" s="71" t="n">
        <v>3013158.96</v>
      </c>
      <c r="O4672" s="71" t="n">
        <v>7030704.24</v>
      </c>
      <c r="P4672" s="71" t="n">
        <v>605624.71</v>
      </c>
      <c r="Q4672" s="71" t="n">
        <v>6425079.53</v>
      </c>
      <c r="R4672" t="inlineStr">
        <is>
          <t>Rare disease</t>
        </is>
      </c>
      <c r="S4672" s="70" t="n">
        <v>949</v>
      </c>
      <c r="T4672" s="71" t="n">
        <v>1356552.37</v>
      </c>
      <c r="U4672" t="inlineStr">
        <is>
          <t>Medium</t>
        </is>
      </c>
      <c r="V4672">
        <f>IF(AND(OR(Dashboard!$C$6="All",E4672=Dashboard!$C$6),OR(Dashboard!$F$6="All",G4672=Dashboard!$F$6),OR(Dashboard!$I$6="All",H4672=Dashboard!$I$6)),1,0)</f>
        <v/>
      </c>
    </row>
    <row r="4673">
      <c r="A4673" t="inlineStr">
        <is>
          <t>PF104664</t>
        </is>
      </c>
      <c r="B4673" s="68" t="n">
        <v>46219</v>
      </c>
      <c r="C4673" s="69" t="n">
        <v>2026</v>
      </c>
      <c r="D4673" t="inlineStr">
        <is>
          <t>Jul</t>
        </is>
      </c>
      <c r="E4673" t="inlineStr">
        <is>
          <t>Emerging markets</t>
        </is>
      </c>
      <c r="F4673" t="inlineStr">
        <is>
          <t>China</t>
        </is>
      </c>
      <c r="G4673" t="inlineStr">
        <is>
          <t>Eliquis</t>
        </is>
      </c>
      <c r="H4673" t="inlineStr">
        <is>
          <t>Retail pharmacy</t>
        </is>
      </c>
      <c r="I4673" t="inlineStr">
        <is>
          <t>Public payer</t>
        </is>
      </c>
      <c r="J4673" t="inlineStr">
        <is>
          <t>Arjun Mehta</t>
        </is>
      </c>
      <c r="K4673" s="70" t="n">
        <v>689</v>
      </c>
      <c r="L4673" s="71" t="n">
        <v>425.35</v>
      </c>
      <c r="M4673" s="71" t="n">
        <v>293066.15</v>
      </c>
      <c r="N4673" s="71" t="n">
        <v>73266.53999999999</v>
      </c>
      <c r="O4673" s="71" t="n">
        <v>219799.61</v>
      </c>
      <c r="P4673" s="71" t="n">
        <v>50835.53</v>
      </c>
      <c r="Q4673" s="71" t="n">
        <v>168964.08</v>
      </c>
      <c r="R4673" t="inlineStr">
        <is>
          <t>Cardiology</t>
        </is>
      </c>
      <c r="S4673" s="70" t="n">
        <v>654</v>
      </c>
      <c r="T4673" s="71" t="n">
        <v>57684.92</v>
      </c>
      <c r="U4673" t="inlineStr">
        <is>
          <t>High</t>
        </is>
      </c>
      <c r="V4673">
        <f>IF(AND(OR(Dashboard!$C$6="All",E4673=Dashboard!$C$6),OR(Dashboard!$F$6="All",G4673=Dashboard!$F$6),OR(Dashboard!$I$6="All",H4673=Dashboard!$I$6)),1,0)</f>
        <v/>
      </c>
    </row>
    <row r="4674">
      <c r="A4674" t="inlineStr">
        <is>
          <t>PF104665</t>
        </is>
      </c>
      <c r="B4674" s="68" t="n">
        <v>46220</v>
      </c>
      <c r="C4674" s="69" t="n">
        <v>2026</v>
      </c>
      <c r="D4674" t="inlineStr">
        <is>
          <t>Jul</t>
        </is>
      </c>
      <c r="E4674" t="inlineStr">
        <is>
          <t>Europe</t>
        </is>
      </c>
      <c r="F4674" t="inlineStr">
        <is>
          <t>Italy</t>
        </is>
      </c>
      <c r="G4674" t="inlineStr">
        <is>
          <t>Paxlovid</t>
        </is>
      </c>
      <c r="H4674" t="inlineStr">
        <is>
          <t>Hospital</t>
        </is>
      </c>
      <c r="I4674" t="inlineStr">
        <is>
          <t>Public payer</t>
        </is>
      </c>
      <c r="J4674" t="inlineStr">
        <is>
          <t>Fatima Al-Saud</t>
        </is>
      </c>
      <c r="K4674" s="70" t="n">
        <v>842</v>
      </c>
      <c r="L4674" s="71" t="n">
        <v>916.08</v>
      </c>
      <c r="M4674" s="71" t="n">
        <v>771339.36</v>
      </c>
      <c r="N4674" s="71" t="n">
        <v>192834.84</v>
      </c>
      <c r="O4674" s="71" t="n">
        <v>578504.52</v>
      </c>
      <c r="P4674" s="71" t="n">
        <v>226570.14</v>
      </c>
      <c r="Q4674" s="71" t="n">
        <v>351934.38</v>
      </c>
      <c r="R4674" t="inlineStr">
        <is>
          <t>Antiviral</t>
        </is>
      </c>
      <c r="S4674" s="70" t="n">
        <v>551</v>
      </c>
      <c r="T4674" s="71" t="n">
        <v>155747.03</v>
      </c>
      <c r="U4674" t="inlineStr">
        <is>
          <t>Low</t>
        </is>
      </c>
      <c r="V4674">
        <f>IF(AND(OR(Dashboard!$C$6="All",E4674=Dashboard!$C$6),OR(Dashboard!$F$6="All",G4674=Dashboard!$F$6),OR(Dashboard!$I$6="All",H4674=Dashboard!$I$6)),1,0)</f>
        <v/>
      </c>
    </row>
    <row r="4675">
      <c r="A4675" t="inlineStr">
        <is>
          <t>PF104666</t>
        </is>
      </c>
      <c r="B4675" s="68" t="n">
        <v>46220</v>
      </c>
      <c r="C4675" s="69" t="n">
        <v>2026</v>
      </c>
      <c r="D4675" t="inlineStr">
        <is>
          <t>Jul</t>
        </is>
      </c>
      <c r="E4675" t="inlineStr">
        <is>
          <t>United States</t>
        </is>
      </c>
      <c r="F4675" t="inlineStr">
        <is>
          <t>USA</t>
        </is>
      </c>
      <c r="G4675" t="inlineStr">
        <is>
          <t>Paxlovid</t>
        </is>
      </c>
      <c r="H4675" t="inlineStr">
        <is>
          <t>Hospital</t>
        </is>
      </c>
      <c r="I4675" t="inlineStr">
        <is>
          <t>Public payer</t>
        </is>
      </c>
      <c r="J4675" t="inlineStr">
        <is>
          <t>Ruhi Shaikh</t>
        </is>
      </c>
      <c r="K4675" s="70" t="n">
        <v>810</v>
      </c>
      <c r="L4675" s="71" t="n">
        <v>1421.69</v>
      </c>
      <c r="M4675" s="71" t="n">
        <v>1151568.9</v>
      </c>
      <c r="N4675" s="71" t="n">
        <v>403049.11</v>
      </c>
      <c r="O4675" s="71" t="n">
        <v>748519.79</v>
      </c>
      <c r="P4675" s="71" t="n">
        <v>227189.36</v>
      </c>
      <c r="Q4675" s="71" t="n">
        <v>521330.43</v>
      </c>
      <c r="R4675" t="inlineStr">
        <is>
          <t>Antiviral</t>
        </is>
      </c>
      <c r="S4675" s="70" t="n">
        <v>538</v>
      </c>
      <c r="T4675" s="71" t="n">
        <v>278908.52</v>
      </c>
      <c r="U4675" t="inlineStr">
        <is>
          <t>Low</t>
        </is>
      </c>
      <c r="V4675">
        <f>IF(AND(OR(Dashboard!$C$6="All",E4675=Dashboard!$C$6),OR(Dashboard!$F$6="All",G4675=Dashboard!$F$6),OR(Dashboard!$I$6="All",H4675=Dashboard!$I$6)),1,0)</f>
        <v/>
      </c>
    </row>
    <row r="4676">
      <c r="A4676" t="inlineStr">
        <is>
          <t>PF104667</t>
        </is>
      </c>
      <c r="B4676" s="68" t="n">
        <v>46220</v>
      </c>
      <c r="C4676" s="69" t="n">
        <v>2026</v>
      </c>
      <c r="D4676" t="inlineStr">
        <is>
          <t>Jul</t>
        </is>
      </c>
      <c r="E4676" t="inlineStr">
        <is>
          <t>Europe</t>
        </is>
      </c>
      <c r="F4676" t="inlineStr">
        <is>
          <t>Spain</t>
        </is>
      </c>
      <c r="G4676" t="inlineStr">
        <is>
          <t>Vyndaqel</t>
        </is>
      </c>
      <c r="H4676" t="inlineStr">
        <is>
          <t>Hospital</t>
        </is>
      </c>
      <c r="I4676" t="inlineStr">
        <is>
          <t>Self-pay</t>
        </is>
      </c>
      <c r="J4676" t="inlineStr">
        <is>
          <t>Liam O'Brien</t>
        </is>
      </c>
      <c r="K4676" s="70" t="n">
        <v>3272</v>
      </c>
      <c r="L4676" s="71" t="n">
        <v>5234.1</v>
      </c>
      <c r="M4676" s="71" t="n">
        <v>17125975.2</v>
      </c>
      <c r="N4676" s="71" t="n">
        <v>4281493.8</v>
      </c>
      <c r="O4676" s="71" t="n">
        <v>12844481.4</v>
      </c>
      <c r="P4676" s="71" t="n">
        <v>2003767.15</v>
      </c>
      <c r="Q4676" s="71" t="n">
        <v>10840714.25</v>
      </c>
      <c r="R4676" t="inlineStr">
        <is>
          <t>Rare disease</t>
        </is>
      </c>
      <c r="S4676" s="70" t="n">
        <v>2486</v>
      </c>
      <c r="T4676" s="71" t="n">
        <v>2621753.43</v>
      </c>
      <c r="U4676" t="inlineStr">
        <is>
          <t>Medium</t>
        </is>
      </c>
      <c r="V4676">
        <f>IF(AND(OR(Dashboard!$C$6="All",E4676=Dashboard!$C$6),OR(Dashboard!$F$6="All",G4676=Dashboard!$F$6),OR(Dashboard!$I$6="All",H4676=Dashboard!$I$6)),1,0)</f>
        <v/>
      </c>
    </row>
    <row r="4677">
      <c r="A4677" t="inlineStr">
        <is>
          <t>PF104668</t>
        </is>
      </c>
      <c r="B4677" s="68" t="n">
        <v>46220</v>
      </c>
      <c r="C4677" s="69" t="n">
        <v>2026</v>
      </c>
      <c r="D4677" t="inlineStr">
        <is>
          <t>Jul</t>
        </is>
      </c>
      <c r="E4677" t="inlineStr">
        <is>
          <t>Emerging markets</t>
        </is>
      </c>
      <c r="F4677" t="inlineStr">
        <is>
          <t>China</t>
        </is>
      </c>
      <c r="G4677" t="inlineStr">
        <is>
          <t>Comirnaty</t>
        </is>
      </c>
      <c r="H4677" t="inlineStr">
        <is>
          <t>Retail pharmacy</t>
        </is>
      </c>
      <c r="I4677" t="inlineStr">
        <is>
          <t>Private insurer</t>
        </is>
      </c>
      <c r="J4677" t="inlineStr">
        <is>
          <t>Wei Chen</t>
        </is>
      </c>
      <c r="K4677" s="70" t="n">
        <v>724</v>
      </c>
      <c r="L4677" s="71" t="n">
        <v>97.26000000000001</v>
      </c>
      <c r="M4677" s="71" t="n">
        <v>70416.24000000001</v>
      </c>
      <c r="N4677" s="71" t="n">
        <v>3520.81</v>
      </c>
      <c r="O4677" s="71" t="n">
        <v>66895.42999999999</v>
      </c>
      <c r="P4677" s="71" t="n">
        <v>28138.15</v>
      </c>
      <c r="Q4677" s="71" t="n">
        <v>38757.28</v>
      </c>
      <c r="R4677" t="inlineStr">
        <is>
          <t>Vaccines</t>
        </is>
      </c>
      <c r="S4677" s="70" t="n">
        <v>463</v>
      </c>
      <c r="T4677" s="71" t="n">
        <v>11029.86</v>
      </c>
      <c r="U4677" t="inlineStr">
        <is>
          <t>Low</t>
        </is>
      </c>
      <c r="V4677">
        <f>IF(AND(OR(Dashboard!$C$6="All",E4677=Dashboard!$C$6),OR(Dashboard!$F$6="All",G4677=Dashboard!$F$6),OR(Dashboard!$I$6="All",H4677=Dashboard!$I$6)),1,0)</f>
        <v/>
      </c>
    </row>
    <row r="4678">
      <c r="A4678" t="inlineStr">
        <is>
          <t>PF104669</t>
        </is>
      </c>
      <c r="B4678" s="68" t="n">
        <v>46220</v>
      </c>
      <c r="C4678" s="69" t="n">
        <v>2026</v>
      </c>
      <c r="D4678" t="inlineStr">
        <is>
          <t>Jul</t>
        </is>
      </c>
      <c r="E4678" t="inlineStr">
        <is>
          <t>International developed</t>
        </is>
      </c>
      <c r="F4678" t="inlineStr">
        <is>
          <t>Australia</t>
        </is>
      </c>
      <c r="G4678" t="inlineStr">
        <is>
          <t>Abrysvo</t>
        </is>
      </c>
      <c r="H4678" t="inlineStr">
        <is>
          <t>Hospital</t>
        </is>
      </c>
      <c r="I4678" t="inlineStr">
        <is>
          <t>Public payer</t>
        </is>
      </c>
      <c r="J4678" t="inlineStr">
        <is>
          <t>Liam O'Brien</t>
        </is>
      </c>
      <c r="K4678" s="70" t="n">
        <v>2539</v>
      </c>
      <c r="L4678" s="71" t="n">
        <v>304.35</v>
      </c>
      <c r="M4678" s="71" t="n">
        <v>772744.65</v>
      </c>
      <c r="N4678" s="71" t="n">
        <v>115911.7</v>
      </c>
      <c r="O4678" s="71" t="n">
        <v>656832.95</v>
      </c>
      <c r="P4678" s="71" t="n">
        <v>208906.66</v>
      </c>
      <c r="Q4678" s="71" t="n">
        <v>447926.29</v>
      </c>
      <c r="R4678" t="inlineStr">
        <is>
          <t>Vaccines</t>
        </is>
      </c>
      <c r="S4678" s="70" t="n">
        <v>1602</v>
      </c>
      <c r="T4678" s="71" t="n">
        <v>108214.11</v>
      </c>
      <c r="U4678" t="inlineStr">
        <is>
          <t>Low</t>
        </is>
      </c>
      <c r="V4678">
        <f>IF(AND(OR(Dashboard!$C$6="All",E4678=Dashboard!$C$6),OR(Dashboard!$F$6="All",G4678=Dashboard!$F$6),OR(Dashboard!$I$6="All",H4678=Dashboard!$I$6)),1,0)</f>
        <v/>
      </c>
    </row>
    <row r="4679">
      <c r="A4679" t="inlineStr">
        <is>
          <t>PF104670</t>
        </is>
      </c>
      <c r="B4679" s="68" t="n">
        <v>46220</v>
      </c>
      <c r="C4679" s="69" t="n">
        <v>2026</v>
      </c>
      <c r="D4679" t="inlineStr">
        <is>
          <t>Jul</t>
        </is>
      </c>
      <c r="E4679" t="inlineStr">
        <is>
          <t>United States</t>
        </is>
      </c>
      <c r="F4679" t="inlineStr">
        <is>
          <t>USA</t>
        </is>
      </c>
      <c r="G4679" t="inlineStr">
        <is>
          <t>Prevnar 20</t>
        </is>
      </c>
      <c r="H4679" t="inlineStr">
        <is>
          <t>Retail pharmacy</t>
        </is>
      </c>
      <c r="I4679" t="inlineStr">
        <is>
          <t>Private insurer</t>
        </is>
      </c>
      <c r="J4679" t="inlineStr">
        <is>
          <t>Lucas Martin</t>
        </is>
      </c>
      <c r="K4679" s="70" t="n">
        <v>1301</v>
      </c>
      <c r="L4679" s="71" t="n">
        <v>394.56</v>
      </c>
      <c r="M4679" s="71" t="n">
        <v>513322.56</v>
      </c>
      <c r="N4679" s="71" t="n">
        <v>76998.38</v>
      </c>
      <c r="O4679" s="71" t="n">
        <v>436324.18</v>
      </c>
      <c r="P4679" s="71" t="n">
        <v>86489.2</v>
      </c>
      <c r="Q4679" s="71" t="n">
        <v>349834.98</v>
      </c>
      <c r="R4679" t="inlineStr">
        <is>
          <t>Vaccines</t>
        </is>
      </c>
      <c r="S4679" s="70" t="n">
        <v>884</v>
      </c>
      <c r="T4679" s="71" t="n">
        <v>84552.21000000001</v>
      </c>
      <c r="U4679" t="inlineStr">
        <is>
          <t>Low</t>
        </is>
      </c>
      <c r="V4679">
        <f>IF(AND(OR(Dashboard!$C$6="All",E4679=Dashboard!$C$6),OR(Dashboard!$F$6="All",G4679=Dashboard!$F$6),OR(Dashboard!$I$6="All",H4679=Dashboard!$I$6)),1,0)</f>
        <v/>
      </c>
    </row>
    <row r="4680">
      <c r="A4680" t="inlineStr">
        <is>
          <t>PF104671</t>
        </is>
      </c>
      <c r="B4680" s="68" t="n">
        <v>46220</v>
      </c>
      <c r="C4680" s="69" t="n">
        <v>2026</v>
      </c>
      <c r="D4680" t="inlineStr">
        <is>
          <t>Jul</t>
        </is>
      </c>
      <c r="E4680" t="inlineStr">
        <is>
          <t>Emerging markets</t>
        </is>
      </c>
      <c r="F4680" t="inlineStr">
        <is>
          <t>India</t>
        </is>
      </c>
      <c r="G4680" t="inlineStr">
        <is>
          <t>Abrysvo</t>
        </is>
      </c>
      <c r="H4680" t="inlineStr">
        <is>
          <t>Retail pharmacy</t>
        </is>
      </c>
      <c r="I4680" t="inlineStr">
        <is>
          <t>Public payer</t>
        </is>
      </c>
      <c r="J4680" t="inlineStr">
        <is>
          <t>Hiroshi Tanaka</t>
        </is>
      </c>
      <c r="K4680" s="70" t="n">
        <v>1988</v>
      </c>
      <c r="L4680" s="71" t="n">
        <v>330.11</v>
      </c>
      <c r="M4680" s="71" t="n">
        <v>656258.6800000001</v>
      </c>
      <c r="N4680" s="71" t="n">
        <v>164064.67</v>
      </c>
      <c r="O4680" s="71" t="n">
        <v>492194.01</v>
      </c>
      <c r="P4680" s="71" t="n">
        <v>164224.78</v>
      </c>
      <c r="Q4680" s="71" t="n">
        <v>327969.23</v>
      </c>
      <c r="R4680" t="inlineStr">
        <is>
          <t>Vaccines</t>
        </is>
      </c>
      <c r="S4680" s="70" t="n">
        <v>1375</v>
      </c>
      <c r="T4680" s="71" t="n">
        <v>82770.75999999999</v>
      </c>
      <c r="U4680" t="inlineStr">
        <is>
          <t>Low</t>
        </is>
      </c>
      <c r="V4680">
        <f>IF(AND(OR(Dashboard!$C$6="All",E4680=Dashboard!$C$6),OR(Dashboard!$F$6="All",G4680=Dashboard!$F$6),OR(Dashboard!$I$6="All",H4680=Dashboard!$I$6)),1,0)</f>
        <v/>
      </c>
    </row>
    <row r="4681">
      <c r="A4681" t="inlineStr">
        <is>
          <t>PF104672</t>
        </is>
      </c>
      <c r="B4681" s="68" t="n">
        <v>46220</v>
      </c>
      <c r="C4681" s="69" t="n">
        <v>2026</v>
      </c>
      <c r="D4681" t="inlineStr">
        <is>
          <t>Jul</t>
        </is>
      </c>
      <c r="E4681" t="inlineStr">
        <is>
          <t>United States</t>
        </is>
      </c>
      <c r="F4681" t="inlineStr">
        <is>
          <t>USA</t>
        </is>
      </c>
      <c r="G4681" t="inlineStr">
        <is>
          <t>Prevnar 20</t>
        </is>
      </c>
      <c r="H4681" t="inlineStr">
        <is>
          <t>Retail pharmacy</t>
        </is>
      </c>
      <c r="I4681" t="inlineStr">
        <is>
          <t>Public payer</t>
        </is>
      </c>
      <c r="J4681" t="inlineStr">
        <is>
          <t>Yuki Sato</t>
        </is>
      </c>
      <c r="K4681" s="70" t="n">
        <v>2472</v>
      </c>
      <c r="L4681" s="71" t="n">
        <v>351.79</v>
      </c>
      <c r="M4681" s="71" t="n">
        <v>869624.88</v>
      </c>
      <c r="N4681" s="71" t="n">
        <v>130443.73</v>
      </c>
      <c r="O4681" s="71" t="n">
        <v>739181.15</v>
      </c>
      <c r="P4681" s="71" t="n">
        <v>164462.92</v>
      </c>
      <c r="Q4681" s="71" t="n">
        <v>574718.23</v>
      </c>
      <c r="R4681" t="inlineStr">
        <is>
          <t>Vaccines</t>
        </is>
      </c>
      <c r="S4681" s="70" t="n">
        <v>2272</v>
      </c>
      <c r="T4681" s="71" t="n">
        <v>132813.38</v>
      </c>
      <c r="U4681" t="inlineStr">
        <is>
          <t>Low</t>
        </is>
      </c>
      <c r="V4681">
        <f>IF(AND(OR(Dashboard!$C$6="All",E4681=Dashboard!$C$6),OR(Dashboard!$F$6="All",G4681=Dashboard!$F$6),OR(Dashboard!$I$6="All",H4681=Dashboard!$I$6)),1,0)</f>
        <v/>
      </c>
    </row>
    <row r="4682">
      <c r="A4682" t="inlineStr">
        <is>
          <t>PF104673</t>
        </is>
      </c>
      <c r="B4682" s="68" t="n">
        <v>46220</v>
      </c>
      <c r="C4682" s="69" t="n">
        <v>2026</v>
      </c>
      <c r="D4682" t="inlineStr">
        <is>
          <t>Jul</t>
        </is>
      </c>
      <c r="E4682" t="inlineStr">
        <is>
          <t>Europe</t>
        </is>
      </c>
      <c r="F4682" t="inlineStr">
        <is>
          <t>UK</t>
        </is>
      </c>
      <c r="G4682" t="inlineStr">
        <is>
          <t>Abrysvo</t>
        </is>
      </c>
      <c r="H4682" t="inlineStr">
        <is>
          <t>Hospital</t>
        </is>
      </c>
      <c r="I4682" t="inlineStr">
        <is>
          <t>Public payer</t>
        </is>
      </c>
      <c r="J4682" t="inlineStr">
        <is>
          <t>Shraddha Kulkarni</t>
        </is>
      </c>
      <c r="K4682" s="70" t="n">
        <v>2348</v>
      </c>
      <c r="L4682" s="71" t="n">
        <v>339.6</v>
      </c>
      <c r="M4682" s="71" t="n">
        <v>797380.8</v>
      </c>
      <c r="N4682" s="71" t="n">
        <v>119607.12</v>
      </c>
      <c r="O4682" s="71" t="n">
        <v>677773.6800000001</v>
      </c>
      <c r="P4682" s="71" t="n">
        <v>193347.86</v>
      </c>
      <c r="Q4682" s="71" t="n">
        <v>484425.82</v>
      </c>
      <c r="R4682" t="inlineStr">
        <is>
          <t>Vaccines</t>
        </is>
      </c>
      <c r="S4682" s="70" t="n">
        <v>2203</v>
      </c>
      <c r="T4682" s="71" t="n">
        <v>113576.34</v>
      </c>
      <c r="U4682" t="inlineStr">
        <is>
          <t>Low</t>
        </is>
      </c>
      <c r="V4682">
        <f>IF(AND(OR(Dashboard!$C$6="All",E4682=Dashboard!$C$6),OR(Dashboard!$F$6="All",G4682=Dashboard!$F$6),OR(Dashboard!$I$6="All",H4682=Dashboard!$I$6)),1,0)</f>
        <v/>
      </c>
    </row>
    <row r="4683">
      <c r="A4683" t="inlineStr">
        <is>
          <t>PF104674</t>
        </is>
      </c>
      <c r="B4683" s="68" t="n">
        <v>46220</v>
      </c>
      <c r="C4683" s="69" t="n">
        <v>2026</v>
      </c>
      <c r="D4683" t="inlineStr">
        <is>
          <t>Jul</t>
        </is>
      </c>
      <c r="E4683" t="inlineStr">
        <is>
          <t>United States</t>
        </is>
      </c>
      <c r="F4683" t="inlineStr">
        <is>
          <t>USA</t>
        </is>
      </c>
      <c r="G4683" t="inlineStr">
        <is>
          <t>Vyndaqel</t>
        </is>
      </c>
      <c r="H4683" t="inlineStr">
        <is>
          <t>Retail pharmacy</t>
        </is>
      </c>
      <c r="I4683" t="inlineStr">
        <is>
          <t>Private insurer</t>
        </is>
      </c>
      <c r="J4683" t="inlineStr">
        <is>
          <t>Yuki Sato</t>
        </is>
      </c>
      <c r="K4683" s="70" t="n">
        <v>478</v>
      </c>
      <c r="L4683" s="71" t="n">
        <v>8551.870000000001</v>
      </c>
      <c r="M4683" s="71" t="n">
        <v>4087793.86</v>
      </c>
      <c r="N4683" s="71" t="n">
        <v>613169.08</v>
      </c>
      <c r="O4683" s="71" t="n">
        <v>3474624.78</v>
      </c>
      <c r="P4683" s="71" t="n">
        <v>295070.07</v>
      </c>
      <c r="Q4683" s="71" t="n">
        <v>3179554.71</v>
      </c>
      <c r="R4683" t="inlineStr">
        <is>
          <t>Rare disease</t>
        </is>
      </c>
      <c r="S4683" s="70" t="n">
        <v>315</v>
      </c>
      <c r="T4683" s="71" t="n">
        <v>774327.59</v>
      </c>
      <c r="U4683" t="inlineStr">
        <is>
          <t>Medium</t>
        </is>
      </c>
      <c r="V4683">
        <f>IF(AND(OR(Dashboard!$C$6="All",E4683=Dashboard!$C$6),OR(Dashboard!$F$6="All",G4683=Dashboard!$F$6),OR(Dashboard!$I$6="All",H4683=Dashboard!$I$6)),1,0)</f>
        <v/>
      </c>
    </row>
    <row r="4684">
      <c r="A4684" t="inlineStr">
        <is>
          <t>PF104675</t>
        </is>
      </c>
      <c r="B4684" s="68" t="n">
        <v>46220</v>
      </c>
      <c r="C4684" s="69" t="n">
        <v>2026</v>
      </c>
      <c r="D4684" t="inlineStr">
        <is>
          <t>Jul</t>
        </is>
      </c>
      <c r="E4684" t="inlineStr">
        <is>
          <t>Europe</t>
        </is>
      </c>
      <c r="F4684" t="inlineStr">
        <is>
          <t>France</t>
        </is>
      </c>
      <c r="G4684" t="inlineStr">
        <is>
          <t>Comirnaty</t>
        </is>
      </c>
      <c r="H4684" t="inlineStr">
        <is>
          <t>Hospital</t>
        </is>
      </c>
      <c r="I4684" t="inlineStr">
        <is>
          <t>Public payer</t>
        </is>
      </c>
      <c r="J4684" t="inlineStr">
        <is>
          <t>Ruhi Shaikh</t>
        </is>
      </c>
      <c r="K4684" s="70" t="n">
        <v>1161</v>
      </c>
      <c r="L4684" s="71" t="n">
        <v>92.55</v>
      </c>
      <c r="M4684" s="71" t="n">
        <v>107450.55</v>
      </c>
      <c r="N4684" s="71" t="n">
        <v>21490.11</v>
      </c>
      <c r="O4684" s="71" t="n">
        <v>85960.44</v>
      </c>
      <c r="P4684" s="71" t="n">
        <v>43226.39</v>
      </c>
      <c r="Q4684" s="71" t="n">
        <v>42734.05</v>
      </c>
      <c r="R4684" t="inlineStr">
        <is>
          <t>Vaccines</t>
        </is>
      </c>
      <c r="S4684" s="70" t="n">
        <v>909</v>
      </c>
      <c r="T4684" s="71" t="n">
        <v>25564.04</v>
      </c>
      <c r="U4684" t="inlineStr">
        <is>
          <t>Low</t>
        </is>
      </c>
      <c r="V4684">
        <f>IF(AND(OR(Dashboard!$C$6="All",E4684=Dashboard!$C$6),OR(Dashboard!$F$6="All",G4684=Dashboard!$F$6),OR(Dashboard!$I$6="All",H4684=Dashboard!$I$6)),1,0)</f>
        <v/>
      </c>
    </row>
    <row r="4685">
      <c r="A4685" t="inlineStr">
        <is>
          <t>PF104676</t>
        </is>
      </c>
      <c r="B4685" s="68" t="n">
        <v>46221</v>
      </c>
      <c r="C4685" s="69" t="n">
        <v>2026</v>
      </c>
      <c r="D4685" t="inlineStr">
        <is>
          <t>Jul</t>
        </is>
      </c>
      <c r="E4685" t="inlineStr">
        <is>
          <t>United States</t>
        </is>
      </c>
      <c r="F4685" t="inlineStr">
        <is>
          <t>USA</t>
        </is>
      </c>
      <c r="G4685" t="inlineStr">
        <is>
          <t>Ibrance</t>
        </is>
      </c>
      <c r="H4685" t="inlineStr">
        <is>
          <t>Hospital</t>
        </is>
      </c>
      <c r="I4685" t="inlineStr">
        <is>
          <t>Public payer</t>
        </is>
      </c>
      <c r="J4685" t="inlineStr">
        <is>
          <t>Aisha Bello</t>
        </is>
      </c>
      <c r="K4685" s="70" t="n">
        <v>242</v>
      </c>
      <c r="L4685" s="71" t="n">
        <v>4313.62</v>
      </c>
      <c r="M4685" s="71" t="n">
        <v>1043896.04</v>
      </c>
      <c r="N4685" s="71" t="n">
        <v>260974.01</v>
      </c>
      <c r="O4685" s="71" t="n">
        <v>782922.03</v>
      </c>
      <c r="P4685" s="71" t="n">
        <v>101775.37</v>
      </c>
      <c r="Q4685" s="71" t="n">
        <v>681146.66</v>
      </c>
      <c r="R4685" t="inlineStr">
        <is>
          <t>Oncology</t>
        </is>
      </c>
      <c r="S4685" s="70" t="n">
        <v>172</v>
      </c>
      <c r="T4685" s="71" t="n">
        <v>147022.05</v>
      </c>
      <c r="U4685" t="inlineStr">
        <is>
          <t>High</t>
        </is>
      </c>
      <c r="V4685">
        <f>IF(AND(OR(Dashboard!$C$6="All",E4685=Dashboard!$C$6),OR(Dashboard!$F$6="All",G4685=Dashboard!$F$6),OR(Dashboard!$I$6="All",H4685=Dashboard!$I$6)),1,0)</f>
        <v/>
      </c>
    </row>
    <row r="4686">
      <c r="A4686" t="inlineStr">
        <is>
          <t>PF104677</t>
        </is>
      </c>
      <c r="B4686" s="68" t="n">
        <v>46221</v>
      </c>
      <c r="C4686" s="69" t="n">
        <v>2026</v>
      </c>
      <c r="D4686" t="inlineStr">
        <is>
          <t>Jul</t>
        </is>
      </c>
      <c r="E4686" t="inlineStr">
        <is>
          <t>United States</t>
        </is>
      </c>
      <c r="F4686" t="inlineStr">
        <is>
          <t>USA</t>
        </is>
      </c>
      <c r="G4686" t="inlineStr">
        <is>
          <t>Vyndaqel</t>
        </is>
      </c>
      <c r="H4686" t="inlineStr">
        <is>
          <t>Retail pharmacy</t>
        </is>
      </c>
      <c r="I4686" t="inlineStr">
        <is>
          <t>Public payer</t>
        </is>
      </c>
      <c r="J4686" t="inlineStr">
        <is>
          <t>Hiroshi Tanaka</t>
        </is>
      </c>
      <c r="K4686" s="70" t="n">
        <v>1725</v>
      </c>
      <c r="L4686" s="71" t="n">
        <v>9329.74</v>
      </c>
      <c r="M4686" s="71" t="n">
        <v>16093801.5</v>
      </c>
      <c r="N4686" s="71" t="n">
        <v>3218760.3</v>
      </c>
      <c r="O4686" s="71" t="n">
        <v>12875041.2</v>
      </c>
      <c r="P4686" s="71" t="n">
        <v>1053309.51</v>
      </c>
      <c r="Q4686" s="71" t="n">
        <v>11821731.69</v>
      </c>
      <c r="R4686" t="inlineStr">
        <is>
          <t>Rare disease</t>
        </is>
      </c>
      <c r="S4686" s="70" t="n">
        <v>1536</v>
      </c>
      <c r="T4686" s="71" t="n">
        <v>1839238.29</v>
      </c>
      <c r="U4686" t="inlineStr">
        <is>
          <t>Medium</t>
        </is>
      </c>
      <c r="V4686">
        <f>IF(AND(OR(Dashboard!$C$6="All",E4686=Dashboard!$C$6),OR(Dashboard!$F$6="All",G4686=Dashboard!$F$6),OR(Dashboard!$I$6="All",H4686=Dashboard!$I$6)),1,0)</f>
        <v/>
      </c>
    </row>
    <row r="4687">
      <c r="A4687" t="inlineStr">
        <is>
          <t>PF104678</t>
        </is>
      </c>
      <c r="B4687" s="68" t="n">
        <v>46221</v>
      </c>
      <c r="C4687" s="69" t="n">
        <v>2026</v>
      </c>
      <c r="D4687" t="inlineStr">
        <is>
          <t>Jul</t>
        </is>
      </c>
      <c r="E4687" t="inlineStr">
        <is>
          <t>International developed</t>
        </is>
      </c>
      <c r="F4687" t="inlineStr">
        <is>
          <t>Australia</t>
        </is>
      </c>
      <c r="G4687" t="inlineStr">
        <is>
          <t>Abrysvo</t>
        </is>
      </c>
      <c r="H4687" t="inlineStr">
        <is>
          <t>Government / tender</t>
        </is>
      </c>
      <c r="I4687" t="inlineStr">
        <is>
          <t>Public payer</t>
        </is>
      </c>
      <c r="J4687" t="inlineStr">
        <is>
          <t>Olivia Brown</t>
        </is>
      </c>
      <c r="K4687" s="70" t="n">
        <v>356</v>
      </c>
      <c r="L4687" s="71" t="n">
        <v>317.25</v>
      </c>
      <c r="M4687" s="71" t="n">
        <v>112941</v>
      </c>
      <c r="N4687" s="71" t="n">
        <v>28235.25</v>
      </c>
      <c r="O4687" s="71" t="n">
        <v>84705.75</v>
      </c>
      <c r="P4687" s="71" t="n">
        <v>28816.47</v>
      </c>
      <c r="Q4687" s="71" t="n">
        <v>55889.28</v>
      </c>
      <c r="R4687" t="inlineStr">
        <is>
          <t>Vaccines</t>
        </is>
      </c>
      <c r="S4687" s="70" t="n">
        <v>255</v>
      </c>
      <c r="T4687" s="71" t="n">
        <v>19488.04</v>
      </c>
      <c r="U4687" t="inlineStr">
        <is>
          <t>Low</t>
        </is>
      </c>
      <c r="V4687">
        <f>IF(AND(OR(Dashboard!$C$6="All",E4687=Dashboard!$C$6),OR(Dashboard!$F$6="All",G4687=Dashboard!$F$6),OR(Dashboard!$I$6="All",H4687=Dashboard!$I$6)),1,0)</f>
        <v/>
      </c>
    </row>
    <row r="4688">
      <c r="A4688" t="inlineStr">
        <is>
          <t>PF104679</t>
        </is>
      </c>
      <c r="B4688" s="68" t="n">
        <v>46221</v>
      </c>
      <c r="C4688" s="69" t="n">
        <v>2026</v>
      </c>
      <c r="D4688" t="inlineStr">
        <is>
          <t>Jul</t>
        </is>
      </c>
      <c r="E4688" t="inlineStr">
        <is>
          <t>Europe</t>
        </is>
      </c>
      <c r="F4688" t="inlineStr">
        <is>
          <t>Italy</t>
        </is>
      </c>
      <c r="G4688" t="inlineStr">
        <is>
          <t>Comirnaty</t>
        </is>
      </c>
      <c r="H4688" t="inlineStr">
        <is>
          <t>Hospital</t>
        </is>
      </c>
      <c r="I4688" t="inlineStr">
        <is>
          <t>Private insurer</t>
        </is>
      </c>
      <c r="J4688" t="inlineStr">
        <is>
          <t>Shraddha Kulkarni</t>
        </is>
      </c>
      <c r="K4688" s="70" t="n">
        <v>722</v>
      </c>
      <c r="L4688" s="71" t="n">
        <v>83.22</v>
      </c>
      <c r="M4688" s="71" t="n">
        <v>60084.84</v>
      </c>
      <c r="N4688" s="71" t="n">
        <v>12016.97</v>
      </c>
      <c r="O4688" s="71" t="n">
        <v>48067.87</v>
      </c>
      <c r="P4688" s="71" t="n">
        <v>27076.5</v>
      </c>
      <c r="Q4688" s="71" t="n">
        <v>20991.37</v>
      </c>
      <c r="R4688" t="inlineStr">
        <is>
          <t>Vaccines</t>
        </is>
      </c>
      <c r="S4688" s="70" t="n">
        <v>563</v>
      </c>
      <c r="T4688" s="71" t="n">
        <v>15924.84</v>
      </c>
      <c r="U4688" t="inlineStr">
        <is>
          <t>Low</t>
        </is>
      </c>
      <c r="V4688">
        <f>IF(AND(OR(Dashboard!$C$6="All",E4688=Dashboard!$C$6),OR(Dashboard!$F$6="All",G4688=Dashboard!$F$6),OR(Dashboard!$I$6="All",H4688=Dashboard!$I$6)),1,0)</f>
        <v/>
      </c>
    </row>
    <row r="4689">
      <c r="A4689" t="inlineStr">
        <is>
          <t>PF104680</t>
        </is>
      </c>
      <c r="B4689" s="68" t="n">
        <v>46222</v>
      </c>
      <c r="C4689" s="69" t="n">
        <v>2026</v>
      </c>
      <c r="D4689" t="inlineStr">
        <is>
          <t>Jul</t>
        </is>
      </c>
      <c r="E4689" t="inlineStr">
        <is>
          <t>Emerging markets</t>
        </is>
      </c>
      <c r="F4689" t="inlineStr">
        <is>
          <t>Brazil</t>
        </is>
      </c>
      <c r="G4689" t="inlineStr">
        <is>
          <t>Vyndaqel</t>
        </is>
      </c>
      <c r="H4689" t="inlineStr">
        <is>
          <t>Hospital</t>
        </is>
      </c>
      <c r="I4689" t="inlineStr">
        <is>
          <t>Public payer</t>
        </is>
      </c>
      <c r="J4689" t="inlineStr">
        <is>
          <t>Yuki Sato</t>
        </is>
      </c>
      <c r="K4689" s="70" t="n">
        <v>2085</v>
      </c>
      <c r="L4689" s="71" t="n">
        <v>5815.8</v>
      </c>
      <c r="M4689" s="71" t="n">
        <v>12125943</v>
      </c>
      <c r="N4689" s="71" t="n">
        <v>606297.15</v>
      </c>
      <c r="O4689" s="71" t="n">
        <v>11519645.85</v>
      </c>
      <c r="P4689" s="71" t="n">
        <v>1268648.39</v>
      </c>
      <c r="Q4689" s="71" t="n">
        <v>10250997.46</v>
      </c>
      <c r="R4689" t="inlineStr">
        <is>
          <t>Rare disease</t>
        </is>
      </c>
      <c r="S4689" s="70" t="n">
        <v>1702</v>
      </c>
      <c r="T4689" s="71" t="n">
        <v>1931056.54</v>
      </c>
      <c r="U4689" t="inlineStr">
        <is>
          <t>Medium</t>
        </is>
      </c>
      <c r="V4689">
        <f>IF(AND(OR(Dashboard!$C$6="All",E4689=Dashboard!$C$6),OR(Dashboard!$F$6="All",G4689=Dashboard!$F$6),OR(Dashboard!$I$6="All",H4689=Dashboard!$I$6)),1,0)</f>
        <v/>
      </c>
    </row>
    <row r="4690">
      <c r="A4690" t="inlineStr">
        <is>
          <t>PF104681</t>
        </is>
      </c>
      <c r="B4690" s="68" t="n">
        <v>46222</v>
      </c>
      <c r="C4690" s="69" t="n">
        <v>2026</v>
      </c>
      <c r="D4690" t="inlineStr">
        <is>
          <t>Jul</t>
        </is>
      </c>
      <c r="E4690" t="inlineStr">
        <is>
          <t>United States</t>
        </is>
      </c>
      <c r="F4690" t="inlineStr">
        <is>
          <t>USA</t>
        </is>
      </c>
      <c r="G4690" t="inlineStr">
        <is>
          <t>Paxlovid</t>
        </is>
      </c>
      <c r="H4690" t="inlineStr">
        <is>
          <t>Retail pharmacy</t>
        </is>
      </c>
      <c r="I4690" t="inlineStr">
        <is>
          <t>Public payer</t>
        </is>
      </c>
      <c r="J4690" t="inlineStr">
        <is>
          <t>Sophie Müller</t>
        </is>
      </c>
      <c r="K4690" s="70" t="n">
        <v>2274</v>
      </c>
      <c r="L4690" s="71" t="n">
        <v>1482.85</v>
      </c>
      <c r="M4690" s="71" t="n">
        <v>3372000.9</v>
      </c>
      <c r="N4690" s="71" t="n">
        <v>1011600.27</v>
      </c>
      <c r="O4690" s="71" t="n">
        <v>2360400.63</v>
      </c>
      <c r="P4690" s="71" t="n">
        <v>607525.16</v>
      </c>
      <c r="Q4690" s="71" t="n">
        <v>1752875.47</v>
      </c>
      <c r="R4690" t="inlineStr">
        <is>
          <t>Antiviral</t>
        </is>
      </c>
      <c r="S4690" s="70" t="n">
        <v>1567</v>
      </c>
      <c r="T4690" s="71" t="n">
        <v>832191.03</v>
      </c>
      <c r="U4690" t="inlineStr">
        <is>
          <t>Low</t>
        </is>
      </c>
      <c r="V4690">
        <f>IF(AND(OR(Dashboard!$C$6="All",E4690=Dashboard!$C$6),OR(Dashboard!$F$6="All",G4690=Dashboard!$F$6),OR(Dashboard!$I$6="All",H4690=Dashboard!$I$6)),1,0)</f>
        <v/>
      </c>
    </row>
    <row r="4691">
      <c r="A4691" t="inlineStr">
        <is>
          <t>PF104682</t>
        </is>
      </c>
      <c r="B4691" s="68" t="n">
        <v>46222</v>
      </c>
      <c r="C4691" s="69" t="n">
        <v>2026</v>
      </c>
      <c r="D4691" t="inlineStr">
        <is>
          <t>Jul</t>
        </is>
      </c>
      <c r="E4691" t="inlineStr">
        <is>
          <t>Emerging markets</t>
        </is>
      </c>
      <c r="F4691" t="inlineStr">
        <is>
          <t>Brazil</t>
        </is>
      </c>
      <c r="G4691" t="inlineStr">
        <is>
          <t>Prevnar 20</t>
        </is>
      </c>
      <c r="H4691" t="inlineStr">
        <is>
          <t>Hospital</t>
        </is>
      </c>
      <c r="I4691" t="inlineStr">
        <is>
          <t>Public payer</t>
        </is>
      </c>
      <c r="J4691" t="inlineStr">
        <is>
          <t>Shraddha Kulkarni</t>
        </is>
      </c>
      <c r="K4691" s="70" t="n">
        <v>960</v>
      </c>
      <c r="L4691" s="71" t="n">
        <v>239.5</v>
      </c>
      <c r="M4691" s="71" t="n">
        <v>229920</v>
      </c>
      <c r="N4691" s="71" t="n">
        <v>45984</v>
      </c>
      <c r="O4691" s="71" t="n">
        <v>183936</v>
      </c>
      <c r="P4691" s="71" t="n">
        <v>66478.14999999999</v>
      </c>
      <c r="Q4691" s="71" t="n">
        <v>117457.85</v>
      </c>
      <c r="R4691" t="inlineStr">
        <is>
          <t>Vaccines</t>
        </is>
      </c>
      <c r="S4691" s="70" t="n">
        <v>700</v>
      </c>
      <c r="T4691" s="71" t="n">
        <v>31389.32</v>
      </c>
      <c r="U4691" t="inlineStr">
        <is>
          <t>Low</t>
        </is>
      </c>
      <c r="V4691">
        <f>IF(AND(OR(Dashboard!$C$6="All",E4691=Dashboard!$C$6),OR(Dashboard!$F$6="All",G4691=Dashboard!$F$6),OR(Dashboard!$I$6="All",H4691=Dashboard!$I$6)),1,0)</f>
        <v/>
      </c>
    </row>
    <row r="4692">
      <c r="A4692" t="inlineStr">
        <is>
          <t>PF104683</t>
        </is>
      </c>
      <c r="B4692" s="68" t="n">
        <v>46222</v>
      </c>
      <c r="C4692" s="69" t="n">
        <v>2026</v>
      </c>
      <c r="D4692" t="inlineStr">
        <is>
          <t>Jul</t>
        </is>
      </c>
      <c r="E4692" t="inlineStr">
        <is>
          <t>United States</t>
        </is>
      </c>
      <c r="F4692" t="inlineStr">
        <is>
          <t>USA</t>
        </is>
      </c>
      <c r="G4692" t="inlineStr">
        <is>
          <t>Vyndaqel</t>
        </is>
      </c>
      <c r="H4692" t="inlineStr">
        <is>
          <t>Hospital</t>
        </is>
      </c>
      <c r="I4692" t="inlineStr">
        <is>
          <t>Private insurer</t>
        </is>
      </c>
      <c r="J4692" t="inlineStr">
        <is>
          <t>Ravindra Patil</t>
        </is>
      </c>
      <c r="K4692" s="70" t="n">
        <v>3007</v>
      </c>
      <c r="L4692" s="71" t="n">
        <v>9748.719999999999</v>
      </c>
      <c r="M4692" s="71" t="n">
        <v>29314401.04</v>
      </c>
      <c r="N4692" s="71" t="n">
        <v>4397160.16</v>
      </c>
      <c r="O4692" s="71" t="n">
        <v>24917240.88</v>
      </c>
      <c r="P4692" s="71" t="n">
        <v>1944210.35</v>
      </c>
      <c r="Q4692" s="71" t="n">
        <v>22973030.53</v>
      </c>
      <c r="R4692" t="inlineStr">
        <is>
          <t>Rare disease</t>
        </is>
      </c>
      <c r="S4692" s="70" t="n">
        <v>2171</v>
      </c>
      <c r="T4692" s="71" t="n">
        <v>4636268.92</v>
      </c>
      <c r="U4692" t="inlineStr">
        <is>
          <t>Medium</t>
        </is>
      </c>
      <c r="V4692">
        <f>IF(AND(OR(Dashboard!$C$6="All",E4692=Dashboard!$C$6),OR(Dashboard!$F$6="All",G4692=Dashboard!$F$6),OR(Dashboard!$I$6="All",H4692=Dashboard!$I$6)),1,0)</f>
        <v/>
      </c>
    </row>
    <row r="4693">
      <c r="A4693" t="inlineStr">
        <is>
          <t>PF104684</t>
        </is>
      </c>
      <c r="B4693" s="68" t="n">
        <v>46222</v>
      </c>
      <c r="C4693" s="69" t="n">
        <v>2026</v>
      </c>
      <c r="D4693" t="inlineStr">
        <is>
          <t>Jul</t>
        </is>
      </c>
      <c r="E4693" t="inlineStr">
        <is>
          <t>International developed</t>
        </is>
      </c>
      <c r="F4693" t="inlineStr">
        <is>
          <t>Australia</t>
        </is>
      </c>
      <c r="G4693" t="inlineStr">
        <is>
          <t>Ibrance</t>
        </is>
      </c>
      <c r="H4693" t="inlineStr">
        <is>
          <t>Hospital</t>
        </is>
      </c>
      <c r="I4693" t="inlineStr">
        <is>
          <t>Public payer</t>
        </is>
      </c>
      <c r="J4693" t="inlineStr">
        <is>
          <t>Yuki Sato</t>
        </is>
      </c>
      <c r="K4693" s="70" t="n">
        <v>1891</v>
      </c>
      <c r="L4693" s="71" t="n">
        <v>2929.67</v>
      </c>
      <c r="M4693" s="71" t="n">
        <v>5540005.97</v>
      </c>
      <c r="N4693" s="71" t="n">
        <v>1108001.19</v>
      </c>
      <c r="O4693" s="71" t="n">
        <v>4432004.78</v>
      </c>
      <c r="P4693" s="71" t="n">
        <v>816341.39</v>
      </c>
      <c r="Q4693" s="71" t="n">
        <v>3615663.39</v>
      </c>
      <c r="R4693" t="inlineStr">
        <is>
          <t>Oncology</t>
        </is>
      </c>
      <c r="S4693" s="70" t="n">
        <v>1845</v>
      </c>
      <c r="T4693" s="71" t="n">
        <v>724952.09</v>
      </c>
      <c r="U4693" t="inlineStr">
        <is>
          <t>High</t>
        </is>
      </c>
      <c r="V4693">
        <f>IF(AND(OR(Dashboard!$C$6="All",E4693=Dashboard!$C$6),OR(Dashboard!$F$6="All",G4693=Dashboard!$F$6),OR(Dashboard!$I$6="All",H4693=Dashboard!$I$6)),1,0)</f>
        <v/>
      </c>
    </row>
    <row r="4694">
      <c r="A4694" t="inlineStr">
        <is>
          <t>PF104685</t>
        </is>
      </c>
      <c r="B4694" s="68" t="n">
        <v>46222</v>
      </c>
      <c r="C4694" s="69" t="n">
        <v>2026</v>
      </c>
      <c r="D4694" t="inlineStr">
        <is>
          <t>Jul</t>
        </is>
      </c>
      <c r="E4694" t="inlineStr">
        <is>
          <t>International developed</t>
        </is>
      </c>
      <c r="F4694" t="inlineStr">
        <is>
          <t>Canada</t>
        </is>
      </c>
      <c r="G4694" t="inlineStr">
        <is>
          <t>Eliquis</t>
        </is>
      </c>
      <c r="H4694" t="inlineStr">
        <is>
          <t>Retail pharmacy</t>
        </is>
      </c>
      <c r="I4694" t="inlineStr">
        <is>
          <t>Private insurer</t>
        </is>
      </c>
      <c r="J4694" t="inlineStr">
        <is>
          <t>Liam O'Brien</t>
        </is>
      </c>
      <c r="K4694" s="70" t="n">
        <v>604</v>
      </c>
      <c r="L4694" s="71" t="n">
        <v>400.36</v>
      </c>
      <c r="M4694" s="71" t="n">
        <v>241817.44</v>
      </c>
      <c r="N4694" s="71" t="n">
        <v>60454.36</v>
      </c>
      <c r="O4694" s="71" t="n">
        <v>181363.08</v>
      </c>
      <c r="P4694" s="71" t="n">
        <v>46970.44</v>
      </c>
      <c r="Q4694" s="71" t="n">
        <v>134392.64</v>
      </c>
      <c r="R4694" t="inlineStr">
        <is>
          <t>Cardiology</t>
        </is>
      </c>
      <c r="S4694" s="70" t="n">
        <v>593</v>
      </c>
      <c r="T4694" s="71" t="n">
        <v>35459.38</v>
      </c>
      <c r="U4694" t="inlineStr">
        <is>
          <t>High</t>
        </is>
      </c>
      <c r="V4694">
        <f>IF(AND(OR(Dashboard!$C$6="All",E4694=Dashboard!$C$6),OR(Dashboard!$F$6="All",G4694=Dashboard!$F$6),OR(Dashboard!$I$6="All",H4694=Dashboard!$I$6)),1,0)</f>
        <v/>
      </c>
    </row>
    <row r="4695">
      <c r="A4695" t="inlineStr">
        <is>
          <t>PF104686</t>
        </is>
      </c>
      <c r="B4695" s="68" t="n">
        <v>46223</v>
      </c>
      <c r="C4695" s="69" t="n">
        <v>2026</v>
      </c>
      <c r="D4695" t="inlineStr">
        <is>
          <t>Jul</t>
        </is>
      </c>
      <c r="E4695" t="inlineStr">
        <is>
          <t>Emerging markets</t>
        </is>
      </c>
      <c r="F4695" t="inlineStr">
        <is>
          <t>India</t>
        </is>
      </c>
      <c r="G4695" t="inlineStr">
        <is>
          <t>Eliquis</t>
        </is>
      </c>
      <c r="H4695" t="inlineStr">
        <is>
          <t>Hospital</t>
        </is>
      </c>
      <c r="I4695" t="inlineStr">
        <is>
          <t>Private insurer</t>
        </is>
      </c>
      <c r="J4695" t="inlineStr">
        <is>
          <t>Hiroshi Tanaka</t>
        </is>
      </c>
      <c r="K4695" s="70" t="n">
        <v>3120</v>
      </c>
      <c r="L4695" s="71" t="n">
        <v>439.14</v>
      </c>
      <c r="M4695" s="71" t="n">
        <v>1370116.8</v>
      </c>
      <c r="N4695" s="71" t="n">
        <v>205517.52</v>
      </c>
      <c r="O4695" s="71" t="n">
        <v>1164599.28</v>
      </c>
      <c r="P4695" s="71" t="n">
        <v>227220.4</v>
      </c>
      <c r="Q4695" s="71" t="n">
        <v>937378.88</v>
      </c>
      <c r="R4695" t="inlineStr">
        <is>
          <t>Cardiology</t>
        </is>
      </c>
      <c r="S4695" s="70" t="n">
        <v>2071</v>
      </c>
      <c r="T4695" s="71" t="n">
        <v>222929.75</v>
      </c>
      <c r="U4695" t="inlineStr">
        <is>
          <t>High</t>
        </is>
      </c>
      <c r="V4695">
        <f>IF(AND(OR(Dashboard!$C$6="All",E4695=Dashboard!$C$6),OR(Dashboard!$F$6="All",G4695=Dashboard!$F$6),OR(Dashboard!$I$6="All",H4695=Dashboard!$I$6)),1,0)</f>
        <v/>
      </c>
    </row>
    <row r="4696">
      <c r="A4696" t="inlineStr">
        <is>
          <t>PF104687</t>
        </is>
      </c>
      <c r="B4696" s="68" t="n">
        <v>46223</v>
      </c>
      <c r="C4696" s="69" t="n">
        <v>2026</v>
      </c>
      <c r="D4696" t="inlineStr">
        <is>
          <t>Jul</t>
        </is>
      </c>
      <c r="E4696" t="inlineStr">
        <is>
          <t>Emerging markets</t>
        </is>
      </c>
      <c r="F4696" t="inlineStr">
        <is>
          <t>Mexico</t>
        </is>
      </c>
      <c r="G4696" t="inlineStr">
        <is>
          <t>Prevnar 20</t>
        </is>
      </c>
      <c r="H4696" t="inlineStr">
        <is>
          <t>Retail pharmacy</t>
        </is>
      </c>
      <c r="I4696" t="inlineStr">
        <is>
          <t>Public payer</t>
        </is>
      </c>
      <c r="J4696" t="inlineStr">
        <is>
          <t>Hiroshi Tanaka</t>
        </is>
      </c>
      <c r="K4696" s="70" t="n">
        <v>2848</v>
      </c>
      <c r="L4696" s="71" t="n">
        <v>251.57</v>
      </c>
      <c r="M4696" s="71" t="n">
        <v>716471.36</v>
      </c>
      <c r="N4696" s="71" t="n">
        <v>143294.27</v>
      </c>
      <c r="O4696" s="71" t="n">
        <v>573177.09</v>
      </c>
      <c r="P4696" s="71" t="n">
        <v>201591.45</v>
      </c>
      <c r="Q4696" s="71" t="n">
        <v>371585.64</v>
      </c>
      <c r="R4696" t="inlineStr">
        <is>
          <t>Vaccines</t>
        </is>
      </c>
      <c r="S4696" s="70" t="n">
        <v>1781</v>
      </c>
      <c r="T4696" s="71" t="n">
        <v>111244.64</v>
      </c>
      <c r="U4696" t="inlineStr">
        <is>
          <t>Low</t>
        </is>
      </c>
      <c r="V4696">
        <f>IF(AND(OR(Dashboard!$C$6="All",E4696=Dashboard!$C$6),OR(Dashboard!$F$6="All",G4696=Dashboard!$F$6),OR(Dashboard!$I$6="All",H4696=Dashboard!$I$6)),1,0)</f>
        <v/>
      </c>
    </row>
    <row r="4697">
      <c r="A4697" t="inlineStr">
        <is>
          <t>PF104688</t>
        </is>
      </c>
      <c r="B4697" s="68" t="n">
        <v>46223</v>
      </c>
      <c r="C4697" s="69" t="n">
        <v>2026</v>
      </c>
      <c r="D4697" t="inlineStr">
        <is>
          <t>Jul</t>
        </is>
      </c>
      <c r="E4697" t="inlineStr">
        <is>
          <t>Emerging markets</t>
        </is>
      </c>
      <c r="F4697" t="inlineStr">
        <is>
          <t>India</t>
        </is>
      </c>
      <c r="G4697" t="inlineStr">
        <is>
          <t>Prevnar 20</t>
        </is>
      </c>
      <c r="H4697" t="inlineStr">
        <is>
          <t>Retail pharmacy</t>
        </is>
      </c>
      <c r="I4697" t="inlineStr">
        <is>
          <t>Public payer</t>
        </is>
      </c>
      <c r="J4697" t="inlineStr">
        <is>
          <t>Yuki Sato</t>
        </is>
      </c>
      <c r="K4697" s="70" t="n">
        <v>2810</v>
      </c>
      <c r="L4697" s="71" t="n">
        <v>238.85</v>
      </c>
      <c r="M4697" s="71" t="n">
        <v>671168.5</v>
      </c>
      <c r="N4697" s="71" t="n">
        <v>134233.7</v>
      </c>
      <c r="O4697" s="71" t="n">
        <v>536934.8</v>
      </c>
      <c r="P4697" s="71" t="n">
        <v>188202.26</v>
      </c>
      <c r="Q4697" s="71" t="n">
        <v>348732.54</v>
      </c>
      <c r="R4697" t="inlineStr">
        <is>
          <t>Vaccines</t>
        </is>
      </c>
      <c r="S4697" s="70" t="n">
        <v>1783</v>
      </c>
      <c r="T4697" s="71" t="n">
        <v>122139.62</v>
      </c>
      <c r="U4697" t="inlineStr">
        <is>
          <t>Low</t>
        </is>
      </c>
      <c r="V4697">
        <f>IF(AND(OR(Dashboard!$C$6="All",E4697=Dashboard!$C$6),OR(Dashboard!$F$6="All",G4697=Dashboard!$F$6),OR(Dashboard!$I$6="All",H4697=Dashboard!$I$6)),1,0)</f>
        <v/>
      </c>
    </row>
    <row r="4698">
      <c r="A4698" t="inlineStr">
        <is>
          <t>PF104689</t>
        </is>
      </c>
      <c r="B4698" s="68" t="n">
        <v>46223</v>
      </c>
      <c r="C4698" s="69" t="n">
        <v>2026</v>
      </c>
      <c r="D4698" t="inlineStr">
        <is>
          <t>Jul</t>
        </is>
      </c>
      <c r="E4698" t="inlineStr">
        <is>
          <t>International developed</t>
        </is>
      </c>
      <c r="F4698" t="inlineStr">
        <is>
          <t>Canada</t>
        </is>
      </c>
      <c r="G4698" t="inlineStr">
        <is>
          <t>Comirnaty</t>
        </is>
      </c>
      <c r="H4698" t="inlineStr">
        <is>
          <t>Retail pharmacy</t>
        </is>
      </c>
      <c r="I4698" t="inlineStr">
        <is>
          <t>Private insurer</t>
        </is>
      </c>
      <c r="J4698" t="inlineStr">
        <is>
          <t>Lucas Martin</t>
        </is>
      </c>
      <c r="K4698" s="70" t="n">
        <v>2327</v>
      </c>
      <c r="L4698" s="71" t="n">
        <v>84.17</v>
      </c>
      <c r="M4698" s="71" t="n">
        <v>195863.59</v>
      </c>
      <c r="N4698" s="71" t="n">
        <v>9793.18</v>
      </c>
      <c r="O4698" s="71" t="n">
        <v>186070.41</v>
      </c>
      <c r="P4698" s="71" t="n">
        <v>92788.03</v>
      </c>
      <c r="Q4698" s="71" t="n">
        <v>93282.38</v>
      </c>
      <c r="R4698" t="inlineStr">
        <is>
          <t>Vaccines</t>
        </is>
      </c>
      <c r="S4698" s="70" t="n">
        <v>1736</v>
      </c>
      <c r="T4698" s="71" t="n">
        <v>39200.72</v>
      </c>
      <c r="U4698" t="inlineStr">
        <is>
          <t>Low</t>
        </is>
      </c>
      <c r="V4698">
        <f>IF(AND(OR(Dashboard!$C$6="All",E4698=Dashboard!$C$6),OR(Dashboard!$F$6="All",G4698=Dashboard!$F$6),OR(Dashboard!$I$6="All",H4698=Dashboard!$I$6)),1,0)</f>
        <v/>
      </c>
    </row>
    <row r="4699">
      <c r="A4699" t="inlineStr">
        <is>
          <t>PF104690</t>
        </is>
      </c>
      <c r="B4699" s="68" t="n">
        <v>46223</v>
      </c>
      <c r="C4699" s="69" t="n">
        <v>2026</v>
      </c>
      <c r="D4699" t="inlineStr">
        <is>
          <t>Jul</t>
        </is>
      </c>
      <c r="E4699" t="inlineStr">
        <is>
          <t>United States</t>
        </is>
      </c>
      <c r="F4699" t="inlineStr">
        <is>
          <t>USA</t>
        </is>
      </c>
      <c r="G4699" t="inlineStr">
        <is>
          <t>Comirnaty</t>
        </is>
      </c>
      <c r="H4699" t="inlineStr">
        <is>
          <t>Hospital</t>
        </is>
      </c>
      <c r="I4699" t="inlineStr">
        <is>
          <t>Public payer</t>
        </is>
      </c>
      <c r="J4699" t="inlineStr">
        <is>
          <t>Zoya Ahmed</t>
        </is>
      </c>
      <c r="K4699" s="70" t="n">
        <v>953</v>
      </c>
      <c r="L4699" s="71" t="n">
        <v>136.17</v>
      </c>
      <c r="M4699" s="71" t="n">
        <v>129770.01</v>
      </c>
      <c r="N4699" s="71" t="n">
        <v>25954</v>
      </c>
      <c r="O4699" s="71" t="n">
        <v>103816.01</v>
      </c>
      <c r="P4699" s="71" t="n">
        <v>35987.9</v>
      </c>
      <c r="Q4699" s="71" t="n">
        <v>67828.11</v>
      </c>
      <c r="R4699" t="inlineStr">
        <is>
          <t>Vaccines</t>
        </is>
      </c>
      <c r="S4699" s="70" t="n">
        <v>936</v>
      </c>
      <c r="T4699" s="71" t="n">
        <v>27419.48</v>
      </c>
      <c r="U4699" t="inlineStr">
        <is>
          <t>Low</t>
        </is>
      </c>
      <c r="V4699">
        <f>IF(AND(OR(Dashboard!$C$6="All",E4699=Dashboard!$C$6),OR(Dashboard!$F$6="All",G4699=Dashboard!$F$6),OR(Dashboard!$I$6="All",H4699=Dashboard!$I$6)),1,0)</f>
        <v/>
      </c>
    </row>
    <row r="4700">
      <c r="A4700" t="inlineStr">
        <is>
          <t>PF104691</t>
        </is>
      </c>
      <c r="B4700" s="68" t="n">
        <v>46224</v>
      </c>
      <c r="C4700" s="69" t="n">
        <v>2026</v>
      </c>
      <c r="D4700" t="inlineStr">
        <is>
          <t>Jul</t>
        </is>
      </c>
      <c r="E4700" t="inlineStr">
        <is>
          <t>Emerging markets</t>
        </is>
      </c>
      <c r="F4700" t="inlineStr">
        <is>
          <t>Mexico</t>
        </is>
      </c>
      <c r="G4700" t="inlineStr">
        <is>
          <t>Vyndaqel</t>
        </is>
      </c>
      <c r="H4700" t="inlineStr">
        <is>
          <t>Hospital</t>
        </is>
      </c>
      <c r="I4700" t="inlineStr">
        <is>
          <t>Public payer</t>
        </is>
      </c>
      <c r="J4700" t="inlineStr">
        <is>
          <t>Shraddha Kulkarni</t>
        </is>
      </c>
      <c r="K4700" s="70" t="n">
        <v>3320</v>
      </c>
      <c r="L4700" s="71" t="n">
        <v>6141.56</v>
      </c>
      <c r="M4700" s="71" t="n">
        <v>20389979.2</v>
      </c>
      <c r="N4700" s="71" t="n">
        <v>1019498.96</v>
      </c>
      <c r="O4700" s="71" t="n">
        <v>19370480.24</v>
      </c>
      <c r="P4700" s="71" t="n">
        <v>2070391.38</v>
      </c>
      <c r="Q4700" s="71" t="n">
        <v>17300088.86</v>
      </c>
      <c r="R4700" t="inlineStr">
        <is>
          <t>Rare disease</t>
        </is>
      </c>
      <c r="S4700" s="70" t="n">
        <v>2115</v>
      </c>
      <c r="T4700" s="71" t="n">
        <v>3227254.87</v>
      </c>
      <c r="U4700" t="inlineStr">
        <is>
          <t>Medium</t>
        </is>
      </c>
      <c r="V4700">
        <f>IF(AND(OR(Dashboard!$C$6="All",E4700=Dashboard!$C$6),OR(Dashboard!$F$6="All",G4700=Dashboard!$F$6),OR(Dashboard!$I$6="All",H4700=Dashboard!$I$6)),1,0)</f>
        <v/>
      </c>
    </row>
    <row r="4701">
      <c r="A4701" t="inlineStr">
        <is>
          <t>PF104692</t>
        </is>
      </c>
      <c r="B4701" s="68" t="n">
        <v>46224</v>
      </c>
      <c r="C4701" s="69" t="n">
        <v>2026</v>
      </c>
      <c r="D4701" t="inlineStr">
        <is>
          <t>Jul</t>
        </is>
      </c>
      <c r="E4701" t="inlineStr">
        <is>
          <t>United States</t>
        </is>
      </c>
      <c r="F4701" t="inlineStr">
        <is>
          <t>USA</t>
        </is>
      </c>
      <c r="G4701" t="inlineStr">
        <is>
          <t>Comirnaty</t>
        </is>
      </c>
      <c r="H4701" t="inlineStr">
        <is>
          <t>Retail pharmacy</t>
        </is>
      </c>
      <c r="I4701" t="inlineStr">
        <is>
          <t>Private insurer</t>
        </is>
      </c>
      <c r="J4701" t="inlineStr">
        <is>
          <t>Ana Costa</t>
        </is>
      </c>
      <c r="K4701" s="70" t="n">
        <v>742</v>
      </c>
      <c r="L4701" s="71" t="n">
        <v>129.62</v>
      </c>
      <c r="M4701" s="71" t="n">
        <v>96178.03999999999</v>
      </c>
      <c r="N4701" s="71" t="n">
        <v>28853.41</v>
      </c>
      <c r="O4701" s="71" t="n">
        <v>67324.63</v>
      </c>
      <c r="P4701" s="71" t="n">
        <v>29611.67</v>
      </c>
      <c r="Q4701" s="71" t="n">
        <v>37712.96</v>
      </c>
      <c r="R4701" t="inlineStr">
        <is>
          <t>Vaccines</t>
        </is>
      </c>
      <c r="S4701" s="70" t="n">
        <v>475</v>
      </c>
      <c r="T4701" s="71" t="n">
        <v>24877.2</v>
      </c>
      <c r="U4701" t="inlineStr">
        <is>
          <t>Low</t>
        </is>
      </c>
      <c r="V4701">
        <f>IF(AND(OR(Dashboard!$C$6="All",E4701=Dashboard!$C$6),OR(Dashboard!$F$6="All",G4701=Dashboard!$F$6),OR(Dashboard!$I$6="All",H4701=Dashboard!$I$6)),1,0)</f>
        <v/>
      </c>
    </row>
    <row r="4702">
      <c r="A4702" t="inlineStr">
        <is>
          <t>PF104693</t>
        </is>
      </c>
      <c r="B4702" s="68" t="n">
        <v>46224</v>
      </c>
      <c r="C4702" s="69" t="n">
        <v>2026</v>
      </c>
      <c r="D4702" t="inlineStr">
        <is>
          <t>Jul</t>
        </is>
      </c>
      <c r="E4702" t="inlineStr">
        <is>
          <t>International developed</t>
        </is>
      </c>
      <c r="F4702" t="inlineStr">
        <is>
          <t>Australia</t>
        </is>
      </c>
      <c r="G4702" t="inlineStr">
        <is>
          <t>Paxlovid</t>
        </is>
      </c>
      <c r="H4702" t="inlineStr">
        <is>
          <t>Government / tender</t>
        </is>
      </c>
      <c r="I4702" t="inlineStr">
        <is>
          <t>Public payer</t>
        </is>
      </c>
      <c r="J4702" t="inlineStr">
        <is>
          <t>Amir Khan</t>
        </is>
      </c>
      <c r="K4702" s="70" t="n">
        <v>1235</v>
      </c>
      <c r="L4702" s="71" t="n">
        <v>907.64</v>
      </c>
      <c r="M4702" s="71" t="n">
        <v>1120935.4</v>
      </c>
      <c r="N4702" s="71" t="n">
        <v>56046.77</v>
      </c>
      <c r="O4702" s="71" t="n">
        <v>1064888.63</v>
      </c>
      <c r="P4702" s="71" t="n">
        <v>339511.01</v>
      </c>
      <c r="Q4702" s="71" t="n">
        <v>725377.62</v>
      </c>
      <c r="R4702" t="inlineStr">
        <is>
          <t>Antiviral</t>
        </is>
      </c>
      <c r="S4702" s="70" t="n">
        <v>1111</v>
      </c>
      <c r="T4702" s="71" t="n">
        <v>228515.63</v>
      </c>
      <c r="U4702" t="inlineStr">
        <is>
          <t>Low</t>
        </is>
      </c>
      <c r="V4702">
        <f>IF(AND(OR(Dashboard!$C$6="All",E4702=Dashboard!$C$6),OR(Dashboard!$F$6="All",G4702=Dashboard!$F$6),OR(Dashboard!$I$6="All",H4702=Dashboard!$I$6)),1,0)</f>
        <v/>
      </c>
    </row>
    <row r="4703">
      <c r="A4703" t="inlineStr">
        <is>
          <t>PF104694</t>
        </is>
      </c>
      <c r="B4703" s="68" t="n">
        <v>46224</v>
      </c>
      <c r="C4703" s="69" t="n">
        <v>2026</v>
      </c>
      <c r="D4703" t="inlineStr">
        <is>
          <t>Jul</t>
        </is>
      </c>
      <c r="E4703" t="inlineStr">
        <is>
          <t>Europe</t>
        </is>
      </c>
      <c r="F4703" t="inlineStr">
        <is>
          <t>France</t>
        </is>
      </c>
      <c r="G4703" t="inlineStr">
        <is>
          <t>Prevnar 20</t>
        </is>
      </c>
      <c r="H4703" t="inlineStr">
        <is>
          <t>Government / tender</t>
        </is>
      </c>
      <c r="I4703" t="inlineStr">
        <is>
          <t>Public payer</t>
        </is>
      </c>
      <c r="J4703" t="inlineStr">
        <is>
          <t>Ravindra Patil</t>
        </is>
      </c>
      <c r="K4703" s="70" t="n">
        <v>1842</v>
      </c>
      <c r="L4703" s="71" t="n">
        <v>222.22</v>
      </c>
      <c r="M4703" s="71" t="n">
        <v>409329.24</v>
      </c>
      <c r="N4703" s="71" t="n">
        <v>102332.31</v>
      </c>
      <c r="O4703" s="71" t="n">
        <v>306996.93</v>
      </c>
      <c r="P4703" s="71" t="n">
        <v>122222.26</v>
      </c>
      <c r="Q4703" s="71" t="n">
        <v>184774.67</v>
      </c>
      <c r="R4703" t="inlineStr">
        <is>
          <t>Vaccines</t>
        </is>
      </c>
      <c r="S4703" s="70" t="n">
        <v>1455</v>
      </c>
      <c r="T4703" s="71" t="n">
        <v>67653.49000000001</v>
      </c>
      <c r="U4703" t="inlineStr">
        <is>
          <t>Low</t>
        </is>
      </c>
      <c r="V4703">
        <f>IF(AND(OR(Dashboard!$C$6="All",E4703=Dashboard!$C$6),OR(Dashboard!$F$6="All",G4703=Dashboard!$F$6),OR(Dashboard!$I$6="All",H4703=Dashboard!$I$6)),1,0)</f>
        <v/>
      </c>
    </row>
    <row r="4704">
      <c r="A4704" t="inlineStr">
        <is>
          <t>PF104695</t>
        </is>
      </c>
      <c r="B4704" s="68" t="n">
        <v>46224</v>
      </c>
      <c r="C4704" s="69" t="n">
        <v>2026</v>
      </c>
      <c r="D4704" t="inlineStr">
        <is>
          <t>Jul</t>
        </is>
      </c>
      <c r="E4704" t="inlineStr">
        <is>
          <t>United States</t>
        </is>
      </c>
      <c r="F4704" t="inlineStr">
        <is>
          <t>USA</t>
        </is>
      </c>
      <c r="G4704" t="inlineStr">
        <is>
          <t>Xeljanz</t>
        </is>
      </c>
      <c r="H4704" t="inlineStr">
        <is>
          <t>Hospital</t>
        </is>
      </c>
      <c r="I4704" t="inlineStr">
        <is>
          <t>Private insurer</t>
        </is>
      </c>
      <c r="J4704" t="inlineStr">
        <is>
          <t>Ana Costa</t>
        </is>
      </c>
      <c r="K4704" s="70" t="n">
        <v>459</v>
      </c>
      <c r="L4704" s="71" t="n">
        <v>1977.88</v>
      </c>
      <c r="M4704" s="71" t="n">
        <v>907846.92</v>
      </c>
      <c r="N4704" s="71" t="n">
        <v>181569.38</v>
      </c>
      <c r="O4704" s="71" t="n">
        <v>726277.54</v>
      </c>
      <c r="P4704" s="71" t="n">
        <v>111180.99</v>
      </c>
      <c r="Q4704" s="71" t="n">
        <v>615096.55</v>
      </c>
      <c r="R4704" t="inlineStr">
        <is>
          <t>Inflammation</t>
        </is>
      </c>
      <c r="S4704" s="70" t="n">
        <v>388</v>
      </c>
      <c r="T4704" s="71" t="n">
        <v>152114.82</v>
      </c>
      <c r="U4704" t="inlineStr">
        <is>
          <t>High</t>
        </is>
      </c>
      <c r="V4704">
        <f>IF(AND(OR(Dashboard!$C$6="All",E4704=Dashboard!$C$6),OR(Dashboard!$F$6="All",G4704=Dashboard!$F$6),OR(Dashboard!$I$6="All",H4704=Dashboard!$I$6)),1,0)</f>
        <v/>
      </c>
    </row>
    <row r="4705">
      <c r="A4705" t="inlineStr">
        <is>
          <t>PF104696</t>
        </is>
      </c>
      <c r="B4705" s="68" t="n">
        <v>46224</v>
      </c>
      <c r="C4705" s="69" t="n">
        <v>2026</v>
      </c>
      <c r="D4705" t="inlineStr">
        <is>
          <t>Jul</t>
        </is>
      </c>
      <c r="E4705" t="inlineStr">
        <is>
          <t>Emerging markets</t>
        </is>
      </c>
      <c r="F4705" t="inlineStr">
        <is>
          <t>Mexico</t>
        </is>
      </c>
      <c r="G4705" t="inlineStr">
        <is>
          <t>Eliquis</t>
        </is>
      </c>
      <c r="H4705" t="inlineStr">
        <is>
          <t>Retail pharmacy</t>
        </is>
      </c>
      <c r="I4705" t="inlineStr">
        <is>
          <t>Private insurer</t>
        </is>
      </c>
      <c r="J4705" t="inlineStr">
        <is>
          <t>Ana Costa</t>
        </is>
      </c>
      <c r="K4705" s="70" t="n">
        <v>809</v>
      </c>
      <c r="L4705" s="71" t="n">
        <v>420.05</v>
      </c>
      <c r="M4705" s="71" t="n">
        <v>339820.45</v>
      </c>
      <c r="N4705" s="71" t="n">
        <v>67964.09</v>
      </c>
      <c r="O4705" s="71" t="n">
        <v>271856.36</v>
      </c>
      <c r="P4705" s="71" t="n">
        <v>61349</v>
      </c>
      <c r="Q4705" s="71" t="n">
        <v>210507.36</v>
      </c>
      <c r="R4705" t="inlineStr">
        <is>
          <t>Cardiology</t>
        </is>
      </c>
      <c r="S4705" s="70" t="n">
        <v>517</v>
      </c>
      <c r="T4705" s="71" t="n">
        <v>41702.58</v>
      </c>
      <c r="U4705" t="inlineStr">
        <is>
          <t>High</t>
        </is>
      </c>
      <c r="V4705">
        <f>IF(AND(OR(Dashboard!$C$6="All",E4705=Dashboard!$C$6),OR(Dashboard!$F$6="All",G4705=Dashboard!$F$6),OR(Dashboard!$I$6="All",H4705=Dashboard!$I$6)),1,0)</f>
        <v/>
      </c>
    </row>
    <row r="4706">
      <c r="A4706" t="inlineStr">
        <is>
          <t>PF104697</t>
        </is>
      </c>
      <c r="B4706" s="68" t="n">
        <v>46224</v>
      </c>
      <c r="C4706" s="69" t="n">
        <v>2026</v>
      </c>
      <c r="D4706" t="inlineStr">
        <is>
          <t>Jul</t>
        </is>
      </c>
      <c r="E4706" t="inlineStr">
        <is>
          <t>United States</t>
        </is>
      </c>
      <c r="F4706" t="inlineStr">
        <is>
          <t>USA</t>
        </is>
      </c>
      <c r="G4706" t="inlineStr">
        <is>
          <t>Comirnaty</t>
        </is>
      </c>
      <c r="H4706" t="inlineStr">
        <is>
          <t>Retail pharmacy</t>
        </is>
      </c>
      <c r="I4706" t="inlineStr">
        <is>
          <t>Public payer</t>
        </is>
      </c>
      <c r="J4706" t="inlineStr">
        <is>
          <t>Amir Khan</t>
        </is>
      </c>
      <c r="K4706" s="70" t="n">
        <v>2278</v>
      </c>
      <c r="L4706" s="71" t="n">
        <v>138.98</v>
      </c>
      <c r="M4706" s="71" t="n">
        <v>316596.44</v>
      </c>
      <c r="N4706" s="71" t="n">
        <v>47489.47</v>
      </c>
      <c r="O4706" s="71" t="n">
        <v>269106.97</v>
      </c>
      <c r="P4706" s="71" t="n">
        <v>84775.97</v>
      </c>
      <c r="Q4706" s="71" t="n">
        <v>184331</v>
      </c>
      <c r="R4706" t="inlineStr">
        <is>
          <t>Vaccines</t>
        </is>
      </c>
      <c r="S4706" s="70" t="n">
        <v>2202</v>
      </c>
      <c r="T4706" s="71" t="n">
        <v>66704.16</v>
      </c>
      <c r="U4706" t="inlineStr">
        <is>
          <t>Low</t>
        </is>
      </c>
      <c r="V4706">
        <f>IF(AND(OR(Dashboard!$C$6="All",E4706=Dashboard!$C$6),OR(Dashboard!$F$6="All",G4706=Dashboard!$F$6),OR(Dashboard!$I$6="All",H4706=Dashboard!$I$6)),1,0)</f>
        <v/>
      </c>
    </row>
    <row r="4707">
      <c r="A4707" t="inlineStr">
        <is>
          <t>PF104698</t>
        </is>
      </c>
      <c r="B4707" s="68" t="n">
        <v>46224</v>
      </c>
      <c r="C4707" s="69" t="n">
        <v>2026</v>
      </c>
      <c r="D4707" t="inlineStr">
        <is>
          <t>Jul</t>
        </is>
      </c>
      <c r="E4707" t="inlineStr">
        <is>
          <t>United States</t>
        </is>
      </c>
      <c r="F4707" t="inlineStr">
        <is>
          <t>USA</t>
        </is>
      </c>
      <c r="G4707" t="inlineStr">
        <is>
          <t>Paxlovid</t>
        </is>
      </c>
      <c r="H4707" t="inlineStr">
        <is>
          <t>Retail pharmacy</t>
        </is>
      </c>
      <c r="I4707" t="inlineStr">
        <is>
          <t>Self-pay</t>
        </is>
      </c>
      <c r="J4707" t="inlineStr">
        <is>
          <t>Lucas Martin</t>
        </is>
      </c>
      <c r="K4707" s="70" t="n">
        <v>529</v>
      </c>
      <c r="L4707" s="71" t="n">
        <v>1476.63</v>
      </c>
      <c r="M4707" s="71" t="n">
        <v>781137.27</v>
      </c>
      <c r="N4707" s="71" t="n">
        <v>273398.04</v>
      </c>
      <c r="O4707" s="71" t="n">
        <v>507739.23</v>
      </c>
      <c r="P4707" s="71" t="n">
        <v>144781.43</v>
      </c>
      <c r="Q4707" s="71" t="n">
        <v>362957.8</v>
      </c>
      <c r="R4707" t="inlineStr">
        <is>
          <t>Antiviral</t>
        </is>
      </c>
      <c r="S4707" s="70" t="n">
        <v>432</v>
      </c>
      <c r="T4707" s="71" t="n">
        <v>155654.09</v>
      </c>
      <c r="U4707" t="inlineStr">
        <is>
          <t>Low</t>
        </is>
      </c>
      <c r="V4707">
        <f>IF(AND(OR(Dashboard!$C$6="All",E4707=Dashboard!$C$6),OR(Dashboard!$F$6="All",G4707=Dashboard!$F$6),OR(Dashboard!$I$6="All",H4707=Dashboard!$I$6)),1,0)</f>
        <v/>
      </c>
    </row>
    <row r="4708">
      <c r="A4708" t="inlineStr">
        <is>
          <t>PF104699</t>
        </is>
      </c>
      <c r="B4708" s="68" t="n">
        <v>46224</v>
      </c>
      <c r="C4708" s="69" t="n">
        <v>2026</v>
      </c>
      <c r="D4708" t="inlineStr">
        <is>
          <t>Jul</t>
        </is>
      </c>
      <c r="E4708" t="inlineStr">
        <is>
          <t>Europe</t>
        </is>
      </c>
      <c r="F4708" t="inlineStr">
        <is>
          <t>Italy</t>
        </is>
      </c>
      <c r="G4708" t="inlineStr">
        <is>
          <t>Prevnar 20</t>
        </is>
      </c>
      <c r="H4708" t="inlineStr">
        <is>
          <t>Retail pharmacy</t>
        </is>
      </c>
      <c r="I4708" t="inlineStr">
        <is>
          <t>Private insurer</t>
        </is>
      </c>
      <c r="J4708" t="inlineStr">
        <is>
          <t>Yuki Sato</t>
        </is>
      </c>
      <c r="K4708" s="70" t="n">
        <v>863</v>
      </c>
      <c r="L4708" s="71" t="n">
        <v>241.17</v>
      </c>
      <c r="M4708" s="71" t="n">
        <v>208129.71</v>
      </c>
      <c r="N4708" s="71" t="n">
        <v>41625.94</v>
      </c>
      <c r="O4708" s="71" t="n">
        <v>166503.77</v>
      </c>
      <c r="P4708" s="71" t="n">
        <v>60392.85</v>
      </c>
      <c r="Q4708" s="71" t="n">
        <v>106110.92</v>
      </c>
      <c r="R4708" t="inlineStr">
        <is>
          <t>Vaccines</t>
        </is>
      </c>
      <c r="S4708" s="70" t="n">
        <v>558</v>
      </c>
      <c r="T4708" s="71" t="n">
        <v>29643.87</v>
      </c>
      <c r="U4708" t="inlineStr">
        <is>
          <t>Low</t>
        </is>
      </c>
      <c r="V4708">
        <f>IF(AND(OR(Dashboard!$C$6="All",E4708=Dashboard!$C$6),OR(Dashboard!$F$6="All",G4708=Dashboard!$F$6),OR(Dashboard!$I$6="All",H4708=Dashboard!$I$6)),1,0)</f>
        <v/>
      </c>
    </row>
    <row r="4709">
      <c r="A4709" t="inlineStr">
        <is>
          <t>PF104700</t>
        </is>
      </c>
      <c r="B4709" s="68" t="n">
        <v>46224</v>
      </c>
      <c r="C4709" s="69" t="n">
        <v>2026</v>
      </c>
      <c r="D4709" t="inlineStr">
        <is>
          <t>Jul</t>
        </is>
      </c>
      <c r="E4709" t="inlineStr">
        <is>
          <t>United States</t>
        </is>
      </c>
      <c r="F4709" t="inlineStr">
        <is>
          <t>USA</t>
        </is>
      </c>
      <c r="G4709" t="inlineStr">
        <is>
          <t>Prevnar 20</t>
        </is>
      </c>
      <c r="H4709" t="inlineStr">
        <is>
          <t>Hospital</t>
        </is>
      </c>
      <c r="I4709" t="inlineStr">
        <is>
          <t>Private insurer</t>
        </is>
      </c>
      <c r="J4709" t="inlineStr">
        <is>
          <t>Wei Chen</t>
        </is>
      </c>
      <c r="K4709" s="70" t="n">
        <v>3049</v>
      </c>
      <c r="L4709" s="71" t="n">
        <v>405.88</v>
      </c>
      <c r="M4709" s="71" t="n">
        <v>1237528.12</v>
      </c>
      <c r="N4709" s="71" t="n">
        <v>371258.44</v>
      </c>
      <c r="O4709" s="71" t="n">
        <v>866269.6800000001</v>
      </c>
      <c r="P4709" s="71" t="n">
        <v>206390.18</v>
      </c>
      <c r="Q4709" s="71" t="n">
        <v>659879.5</v>
      </c>
      <c r="R4709" t="inlineStr">
        <is>
          <t>Vaccines</t>
        </is>
      </c>
      <c r="S4709" s="70" t="n">
        <v>1972</v>
      </c>
      <c r="T4709" s="71" t="n">
        <v>198660.64</v>
      </c>
      <c r="U4709" t="inlineStr">
        <is>
          <t>Low</t>
        </is>
      </c>
      <c r="V4709">
        <f>IF(AND(OR(Dashboard!$C$6="All",E4709=Dashboard!$C$6),OR(Dashboard!$F$6="All",G4709=Dashboard!$F$6),OR(Dashboard!$I$6="All",H4709=Dashboard!$I$6)),1,0)</f>
        <v/>
      </c>
    </row>
    <row r="4710">
      <c r="A4710" t="inlineStr">
        <is>
          <t>PF104701</t>
        </is>
      </c>
      <c r="B4710" s="68" t="n">
        <v>46224</v>
      </c>
      <c r="C4710" s="69" t="n">
        <v>2026</v>
      </c>
      <c r="D4710" t="inlineStr">
        <is>
          <t>Jul</t>
        </is>
      </c>
      <c r="E4710" t="inlineStr">
        <is>
          <t>United States</t>
        </is>
      </c>
      <c r="F4710" t="inlineStr">
        <is>
          <t>USA</t>
        </is>
      </c>
      <c r="G4710" t="inlineStr">
        <is>
          <t>Prevnar 20</t>
        </is>
      </c>
      <c r="H4710" t="inlineStr">
        <is>
          <t>Hospital</t>
        </is>
      </c>
      <c r="I4710" t="inlineStr">
        <is>
          <t>Private insurer</t>
        </is>
      </c>
      <c r="J4710" t="inlineStr">
        <is>
          <t>Priya Nair</t>
        </is>
      </c>
      <c r="K4710" s="70" t="n">
        <v>1951</v>
      </c>
      <c r="L4710" s="71" t="n">
        <v>365.22</v>
      </c>
      <c r="M4710" s="71" t="n">
        <v>712544.22</v>
      </c>
      <c r="N4710" s="71" t="n">
        <v>249390.48</v>
      </c>
      <c r="O4710" s="71" t="n">
        <v>463153.74</v>
      </c>
      <c r="P4710" s="71" t="n">
        <v>135607.82</v>
      </c>
      <c r="Q4710" s="71" t="n">
        <v>327545.92</v>
      </c>
      <c r="R4710" t="inlineStr">
        <is>
          <t>Vaccines</t>
        </is>
      </c>
      <c r="S4710" s="70" t="n">
        <v>1924</v>
      </c>
      <c r="T4710" s="71" t="n">
        <v>110558.4</v>
      </c>
      <c r="U4710" t="inlineStr">
        <is>
          <t>Low</t>
        </is>
      </c>
      <c r="V4710">
        <f>IF(AND(OR(Dashboard!$C$6="All",E4710=Dashboard!$C$6),OR(Dashboard!$F$6="All",G4710=Dashboard!$F$6),OR(Dashboard!$I$6="All",H4710=Dashboard!$I$6)),1,0)</f>
        <v/>
      </c>
    </row>
    <row r="4711">
      <c r="A4711" t="inlineStr">
        <is>
          <t>PF104702</t>
        </is>
      </c>
      <c r="B4711" s="68" t="n">
        <v>46224</v>
      </c>
      <c r="C4711" s="69" t="n">
        <v>2026</v>
      </c>
      <c r="D4711" t="inlineStr">
        <is>
          <t>Jul</t>
        </is>
      </c>
      <c r="E4711" t="inlineStr">
        <is>
          <t>United States</t>
        </is>
      </c>
      <c r="F4711" t="inlineStr">
        <is>
          <t>USA</t>
        </is>
      </c>
      <c r="G4711" t="inlineStr">
        <is>
          <t>Prevnar 20</t>
        </is>
      </c>
      <c r="H4711" t="inlineStr">
        <is>
          <t>Retail pharmacy</t>
        </is>
      </c>
      <c r="I4711" t="inlineStr">
        <is>
          <t>Private insurer</t>
        </is>
      </c>
      <c r="J4711" t="inlineStr">
        <is>
          <t>Yuki Sato</t>
        </is>
      </c>
      <c r="K4711" s="70" t="n">
        <v>1111</v>
      </c>
      <c r="L4711" s="71" t="n">
        <v>385.24</v>
      </c>
      <c r="M4711" s="71" t="n">
        <v>428001.64</v>
      </c>
      <c r="N4711" s="71" t="n">
        <v>149800.57</v>
      </c>
      <c r="O4711" s="71" t="n">
        <v>278201.07</v>
      </c>
      <c r="P4711" s="71" t="n">
        <v>74658.92</v>
      </c>
      <c r="Q4711" s="71" t="n">
        <v>203542.15</v>
      </c>
      <c r="R4711" t="inlineStr">
        <is>
          <t>Vaccines</t>
        </is>
      </c>
      <c r="S4711" s="70" t="n">
        <v>938</v>
      </c>
      <c r="T4711" s="71" t="n">
        <v>60639.62</v>
      </c>
      <c r="U4711" t="inlineStr">
        <is>
          <t>Low</t>
        </is>
      </c>
      <c r="V4711">
        <f>IF(AND(OR(Dashboard!$C$6="All",E4711=Dashboard!$C$6),OR(Dashboard!$F$6="All",G4711=Dashboard!$F$6),OR(Dashboard!$I$6="All",H4711=Dashboard!$I$6)),1,0)</f>
        <v/>
      </c>
    </row>
    <row r="4712">
      <c r="A4712" t="inlineStr">
        <is>
          <t>PF104703</t>
        </is>
      </c>
      <c r="B4712" s="68" t="n">
        <v>46224</v>
      </c>
      <c r="C4712" s="69" t="n">
        <v>2026</v>
      </c>
      <c r="D4712" t="inlineStr">
        <is>
          <t>Jul</t>
        </is>
      </c>
      <c r="E4712" t="inlineStr">
        <is>
          <t>United States</t>
        </is>
      </c>
      <c r="F4712" t="inlineStr">
        <is>
          <t>USA</t>
        </is>
      </c>
      <c r="G4712" t="inlineStr">
        <is>
          <t>Prevnar 20</t>
        </is>
      </c>
      <c r="H4712" t="inlineStr">
        <is>
          <t>Government / tender</t>
        </is>
      </c>
      <c r="I4712" t="inlineStr">
        <is>
          <t>Public payer</t>
        </is>
      </c>
      <c r="J4712" t="inlineStr">
        <is>
          <t>Arjun Mehta</t>
        </is>
      </c>
      <c r="K4712" s="70" t="n">
        <v>2287</v>
      </c>
      <c r="L4712" s="71" t="n">
        <v>368.6</v>
      </c>
      <c r="M4712" s="71" t="n">
        <v>842988.2</v>
      </c>
      <c r="N4712" s="71" t="n">
        <v>295045.87</v>
      </c>
      <c r="O4712" s="71" t="n">
        <v>547942.33</v>
      </c>
      <c r="P4712" s="71" t="n">
        <v>152444.91</v>
      </c>
      <c r="Q4712" s="71" t="n">
        <v>395497.42</v>
      </c>
      <c r="R4712" t="inlineStr">
        <is>
          <t>Vaccines</t>
        </is>
      </c>
      <c r="S4712" s="70" t="n">
        <v>1559</v>
      </c>
      <c r="T4712" s="71" t="n">
        <v>146025.1</v>
      </c>
      <c r="U4712" t="inlineStr">
        <is>
          <t>Low</t>
        </is>
      </c>
      <c r="V4712">
        <f>IF(AND(OR(Dashboard!$C$6="All",E4712=Dashboard!$C$6),OR(Dashboard!$F$6="All",G4712=Dashboard!$F$6),OR(Dashboard!$I$6="All",H4712=Dashboard!$I$6)),1,0)</f>
        <v/>
      </c>
    </row>
    <row r="4713">
      <c r="A4713" t="inlineStr">
        <is>
          <t>PF104704</t>
        </is>
      </c>
      <c r="B4713" s="68" t="n">
        <v>46224</v>
      </c>
      <c r="C4713" s="69" t="n">
        <v>2026</v>
      </c>
      <c r="D4713" t="inlineStr">
        <is>
          <t>Jul</t>
        </is>
      </c>
      <c r="E4713" t="inlineStr">
        <is>
          <t>Europe</t>
        </is>
      </c>
      <c r="F4713" t="inlineStr">
        <is>
          <t>Spain</t>
        </is>
      </c>
      <c r="G4713" t="inlineStr">
        <is>
          <t>Xeljanz</t>
        </is>
      </c>
      <c r="H4713" t="inlineStr">
        <is>
          <t>Hospital</t>
        </is>
      </c>
      <c r="I4713" t="inlineStr">
        <is>
          <t>Private insurer</t>
        </is>
      </c>
      <c r="J4713" t="inlineStr">
        <is>
          <t>Ravindra Patil</t>
        </is>
      </c>
      <c r="K4713" s="70" t="n">
        <v>181</v>
      </c>
      <c r="L4713" s="71" t="n">
        <v>1274.19</v>
      </c>
      <c r="M4713" s="71" t="n">
        <v>230628.39</v>
      </c>
      <c r="N4713" s="71" t="n">
        <v>23062.84</v>
      </c>
      <c r="O4713" s="71" t="n">
        <v>207565.55</v>
      </c>
      <c r="P4713" s="71" t="n">
        <v>47166.02</v>
      </c>
      <c r="Q4713" s="71" t="n">
        <v>160399.53</v>
      </c>
      <c r="R4713" t="inlineStr">
        <is>
          <t>Inflammation</t>
        </is>
      </c>
      <c r="S4713" s="70" t="n">
        <v>114</v>
      </c>
      <c r="T4713" s="71" t="n">
        <v>40677.25</v>
      </c>
      <c r="U4713" t="inlineStr">
        <is>
          <t>High</t>
        </is>
      </c>
      <c r="V4713">
        <f>IF(AND(OR(Dashboard!$C$6="All",E4713=Dashboard!$C$6),OR(Dashboard!$F$6="All",G4713=Dashboard!$F$6),OR(Dashboard!$I$6="All",H4713=Dashboard!$I$6)),1,0)</f>
        <v/>
      </c>
    </row>
    <row r="4714">
      <c r="A4714" t="inlineStr">
        <is>
          <t>PF104705</t>
        </is>
      </c>
      <c r="B4714" s="68" t="n">
        <v>46224</v>
      </c>
      <c r="C4714" s="69" t="n">
        <v>2026</v>
      </c>
      <c r="D4714" t="inlineStr">
        <is>
          <t>Jul</t>
        </is>
      </c>
      <c r="E4714" t="inlineStr">
        <is>
          <t>International developed</t>
        </is>
      </c>
      <c r="F4714" t="inlineStr">
        <is>
          <t>Australia</t>
        </is>
      </c>
      <c r="G4714" t="inlineStr">
        <is>
          <t>Xeljanz</t>
        </is>
      </c>
      <c r="H4714" t="inlineStr">
        <is>
          <t>Government / tender</t>
        </is>
      </c>
      <c r="I4714" t="inlineStr">
        <is>
          <t>Private insurer</t>
        </is>
      </c>
      <c r="J4714" t="inlineStr">
        <is>
          <t>Liam O'Brien</t>
        </is>
      </c>
      <c r="K4714" s="70" t="n">
        <v>766</v>
      </c>
      <c r="L4714" s="71" t="n">
        <v>1315.53</v>
      </c>
      <c r="M4714" s="71" t="n">
        <v>1007695.98</v>
      </c>
      <c r="N4714" s="71" t="n">
        <v>100769.6</v>
      </c>
      <c r="O4714" s="71" t="n">
        <v>906926.38</v>
      </c>
      <c r="P4714" s="71" t="n">
        <v>190103.36</v>
      </c>
      <c r="Q4714" s="71" t="n">
        <v>716823.02</v>
      </c>
      <c r="R4714" t="inlineStr">
        <is>
          <t>Inflammation</t>
        </is>
      </c>
      <c r="S4714" s="70" t="n">
        <v>557</v>
      </c>
      <c r="T4714" s="71" t="n">
        <v>145827.45</v>
      </c>
      <c r="U4714" t="inlineStr">
        <is>
          <t>High</t>
        </is>
      </c>
      <c r="V4714">
        <f>IF(AND(OR(Dashboard!$C$6="All",E4714=Dashboard!$C$6),OR(Dashboard!$F$6="All",G4714=Dashboard!$F$6),OR(Dashboard!$I$6="All",H4714=Dashboard!$I$6)),1,0)</f>
        <v/>
      </c>
    </row>
    <row r="4715">
      <c r="A4715" t="inlineStr">
        <is>
          <t>PF104706</t>
        </is>
      </c>
      <c r="B4715" s="68" t="n">
        <v>46225</v>
      </c>
      <c r="C4715" s="69" t="n">
        <v>2026</v>
      </c>
      <c r="D4715" t="inlineStr">
        <is>
          <t>Jul</t>
        </is>
      </c>
      <c r="E4715" t="inlineStr">
        <is>
          <t>United States</t>
        </is>
      </c>
      <c r="F4715" t="inlineStr">
        <is>
          <t>USA</t>
        </is>
      </c>
      <c r="G4715" t="inlineStr">
        <is>
          <t>Xeljanz</t>
        </is>
      </c>
      <c r="H4715" t="inlineStr">
        <is>
          <t>Retail pharmacy</t>
        </is>
      </c>
      <c r="I4715" t="inlineStr">
        <is>
          <t>Private insurer</t>
        </is>
      </c>
      <c r="J4715" t="inlineStr">
        <is>
          <t>Priya Nair</t>
        </is>
      </c>
      <c r="K4715" s="70" t="n">
        <v>2619</v>
      </c>
      <c r="L4715" s="71" t="n">
        <v>2283.94</v>
      </c>
      <c r="M4715" s="71" t="n">
        <v>5981638.86</v>
      </c>
      <c r="N4715" s="71" t="n">
        <v>1495409.72</v>
      </c>
      <c r="O4715" s="71" t="n">
        <v>4486229.14</v>
      </c>
      <c r="P4715" s="71" t="n">
        <v>641077.13</v>
      </c>
      <c r="Q4715" s="71" t="n">
        <v>3845152.01</v>
      </c>
      <c r="R4715" t="inlineStr">
        <is>
          <t>Inflammation</t>
        </is>
      </c>
      <c r="S4715" s="70" t="n">
        <v>2276</v>
      </c>
      <c r="T4715" s="71" t="n">
        <v>797099.16</v>
      </c>
      <c r="U4715" t="inlineStr">
        <is>
          <t>High</t>
        </is>
      </c>
      <c r="V4715">
        <f>IF(AND(OR(Dashboard!$C$6="All",E4715=Dashboard!$C$6),OR(Dashboard!$F$6="All",G4715=Dashboard!$F$6),OR(Dashboard!$I$6="All",H4715=Dashboard!$I$6)),1,0)</f>
        <v/>
      </c>
    </row>
    <row r="4716">
      <c r="A4716" t="inlineStr">
        <is>
          <t>PF104707</t>
        </is>
      </c>
      <c r="B4716" s="68" t="n">
        <v>46225</v>
      </c>
      <c r="C4716" s="69" t="n">
        <v>2026</v>
      </c>
      <c r="D4716" t="inlineStr">
        <is>
          <t>Jul</t>
        </is>
      </c>
      <c r="E4716" t="inlineStr">
        <is>
          <t>United States</t>
        </is>
      </c>
      <c r="F4716" t="inlineStr">
        <is>
          <t>USA</t>
        </is>
      </c>
      <c r="G4716" t="inlineStr">
        <is>
          <t>Comirnaty</t>
        </is>
      </c>
      <c r="H4716" t="inlineStr">
        <is>
          <t>Government / tender</t>
        </is>
      </c>
      <c r="I4716" t="inlineStr">
        <is>
          <t>Public payer</t>
        </is>
      </c>
      <c r="J4716" t="inlineStr">
        <is>
          <t>Zoya Ahmed</t>
        </is>
      </c>
      <c r="K4716" s="70" t="n">
        <v>425</v>
      </c>
      <c r="L4716" s="71" t="n">
        <v>141.48</v>
      </c>
      <c r="M4716" s="71" t="n">
        <v>60129</v>
      </c>
      <c r="N4716" s="71" t="n">
        <v>9019.35</v>
      </c>
      <c r="O4716" s="71" t="n">
        <v>51109.65</v>
      </c>
      <c r="P4716" s="71" t="n">
        <v>16194.79</v>
      </c>
      <c r="Q4716" s="71" t="n">
        <v>34914.86</v>
      </c>
      <c r="R4716" t="inlineStr">
        <is>
          <t>Vaccines</t>
        </is>
      </c>
      <c r="S4716" s="70" t="n">
        <v>304</v>
      </c>
      <c r="T4716" s="71" t="n">
        <v>10261.77</v>
      </c>
      <c r="U4716" t="inlineStr">
        <is>
          <t>Low</t>
        </is>
      </c>
      <c r="V4716">
        <f>IF(AND(OR(Dashboard!$C$6="All",E4716=Dashboard!$C$6),OR(Dashboard!$F$6="All",G4716=Dashboard!$F$6),OR(Dashboard!$I$6="All",H4716=Dashboard!$I$6)),1,0)</f>
        <v/>
      </c>
    </row>
    <row r="4717">
      <c r="A4717" t="inlineStr">
        <is>
          <t>PF104708</t>
        </is>
      </c>
      <c r="B4717" s="68" t="n">
        <v>46225</v>
      </c>
      <c r="C4717" s="69" t="n">
        <v>2026</v>
      </c>
      <c r="D4717" t="inlineStr">
        <is>
          <t>Jul</t>
        </is>
      </c>
      <c r="E4717" t="inlineStr">
        <is>
          <t>United States</t>
        </is>
      </c>
      <c r="F4717" t="inlineStr">
        <is>
          <t>USA</t>
        </is>
      </c>
      <c r="G4717" t="inlineStr">
        <is>
          <t>Prevnar 20</t>
        </is>
      </c>
      <c r="H4717" t="inlineStr">
        <is>
          <t>Hospital</t>
        </is>
      </c>
      <c r="I4717" t="inlineStr">
        <is>
          <t>Private insurer</t>
        </is>
      </c>
      <c r="J4717" t="inlineStr">
        <is>
          <t>Kofi Mensah</t>
        </is>
      </c>
      <c r="K4717" s="70" t="n">
        <v>719</v>
      </c>
      <c r="L4717" s="71" t="n">
        <v>395.11</v>
      </c>
      <c r="M4717" s="71" t="n">
        <v>284084.09</v>
      </c>
      <c r="N4717" s="71" t="n">
        <v>85225.23</v>
      </c>
      <c r="O4717" s="71" t="n">
        <v>198858.86</v>
      </c>
      <c r="P4717" s="71" t="n">
        <v>49813.53</v>
      </c>
      <c r="Q4717" s="71" t="n">
        <v>149045.33</v>
      </c>
      <c r="R4717" t="inlineStr">
        <is>
          <t>Vaccines</t>
        </is>
      </c>
      <c r="S4717" s="70" t="n">
        <v>508</v>
      </c>
      <c r="T4717" s="71" t="n">
        <v>56170.38</v>
      </c>
      <c r="U4717" t="inlineStr">
        <is>
          <t>Low</t>
        </is>
      </c>
      <c r="V4717">
        <f>IF(AND(OR(Dashboard!$C$6="All",E4717=Dashboard!$C$6),OR(Dashboard!$F$6="All",G4717=Dashboard!$F$6),OR(Dashboard!$I$6="All",H4717=Dashboard!$I$6)),1,0)</f>
        <v/>
      </c>
    </row>
    <row r="4718">
      <c r="A4718" t="inlineStr">
        <is>
          <t>PF104709</t>
        </is>
      </c>
      <c r="B4718" s="68" t="n">
        <v>46225</v>
      </c>
      <c r="C4718" s="69" t="n">
        <v>2026</v>
      </c>
      <c r="D4718" t="inlineStr">
        <is>
          <t>Jul</t>
        </is>
      </c>
      <c r="E4718" t="inlineStr">
        <is>
          <t>Europe</t>
        </is>
      </c>
      <c r="F4718" t="inlineStr">
        <is>
          <t>France</t>
        </is>
      </c>
      <c r="G4718" t="inlineStr">
        <is>
          <t>Xeljanz</t>
        </is>
      </c>
      <c r="H4718" t="inlineStr">
        <is>
          <t>Hospital</t>
        </is>
      </c>
      <c r="I4718" t="inlineStr">
        <is>
          <t>Public payer</t>
        </is>
      </c>
      <c r="J4718" t="inlineStr">
        <is>
          <t>Priya Nair</t>
        </is>
      </c>
      <c r="K4718" s="70" t="n">
        <v>381</v>
      </c>
      <c r="L4718" s="71" t="n">
        <v>1375.43</v>
      </c>
      <c r="M4718" s="71" t="n">
        <v>524038.83</v>
      </c>
      <c r="N4718" s="71" t="n">
        <v>52403.88</v>
      </c>
      <c r="O4718" s="71" t="n">
        <v>471634.95</v>
      </c>
      <c r="P4718" s="71" t="n">
        <v>97563.52</v>
      </c>
      <c r="Q4718" s="71" t="n">
        <v>374071.43</v>
      </c>
      <c r="R4718" t="inlineStr">
        <is>
          <t>Inflammation</t>
        </is>
      </c>
      <c r="S4718" s="70" t="n">
        <v>280</v>
      </c>
      <c r="T4718" s="71" t="n">
        <v>117398.17</v>
      </c>
      <c r="U4718" t="inlineStr">
        <is>
          <t>High</t>
        </is>
      </c>
      <c r="V4718">
        <f>IF(AND(OR(Dashboard!$C$6="All",E4718=Dashboard!$C$6),OR(Dashboard!$F$6="All",G4718=Dashboard!$F$6),OR(Dashboard!$I$6="All",H4718=Dashboard!$I$6)),1,0)</f>
        <v/>
      </c>
    </row>
    <row r="4719">
      <c r="A4719" t="inlineStr">
        <is>
          <t>PF104710</t>
        </is>
      </c>
      <c r="B4719" s="68" t="n">
        <v>46225</v>
      </c>
      <c r="C4719" s="69" t="n">
        <v>2026</v>
      </c>
      <c r="D4719" t="inlineStr">
        <is>
          <t>Jul</t>
        </is>
      </c>
      <c r="E4719" t="inlineStr">
        <is>
          <t>United States</t>
        </is>
      </c>
      <c r="F4719" t="inlineStr">
        <is>
          <t>USA</t>
        </is>
      </c>
      <c r="G4719" t="inlineStr">
        <is>
          <t>Xeljanz</t>
        </is>
      </c>
      <c r="H4719" t="inlineStr">
        <is>
          <t>Retail pharmacy</t>
        </is>
      </c>
      <c r="I4719" t="inlineStr">
        <is>
          <t>Public payer</t>
        </is>
      </c>
      <c r="J4719" t="inlineStr">
        <is>
          <t>Wei Chen</t>
        </is>
      </c>
      <c r="K4719" s="70" t="n">
        <v>407</v>
      </c>
      <c r="L4719" s="71" t="n">
        <v>1995.96</v>
      </c>
      <c r="M4719" s="71" t="n">
        <v>812355.72</v>
      </c>
      <c r="N4719" s="71" t="n">
        <v>243706.72</v>
      </c>
      <c r="O4719" s="71" t="n">
        <v>568649</v>
      </c>
      <c r="P4719" s="71" t="n">
        <v>105115.17</v>
      </c>
      <c r="Q4719" s="71" t="n">
        <v>463533.83</v>
      </c>
      <c r="R4719" t="inlineStr">
        <is>
          <t>Inflammation</t>
        </is>
      </c>
      <c r="S4719" s="70" t="n">
        <v>305</v>
      </c>
      <c r="T4719" s="71" t="n">
        <v>160592.65</v>
      </c>
      <c r="U4719" t="inlineStr">
        <is>
          <t>High</t>
        </is>
      </c>
      <c r="V4719">
        <f>IF(AND(OR(Dashboard!$C$6="All",E4719=Dashboard!$C$6),OR(Dashboard!$F$6="All",G4719=Dashboard!$F$6),OR(Dashboard!$I$6="All",H4719=Dashboard!$I$6)),1,0)</f>
        <v/>
      </c>
    </row>
    <row r="4720">
      <c r="A4720" t="inlineStr">
        <is>
          <t>PF104711</t>
        </is>
      </c>
      <c r="B4720" s="68" t="n">
        <v>46225</v>
      </c>
      <c r="C4720" s="69" t="n">
        <v>2026</v>
      </c>
      <c r="D4720" t="inlineStr">
        <is>
          <t>Jul</t>
        </is>
      </c>
      <c r="E4720" t="inlineStr">
        <is>
          <t>Europe</t>
        </is>
      </c>
      <c r="F4720" t="inlineStr">
        <is>
          <t>France</t>
        </is>
      </c>
      <c r="G4720" t="inlineStr">
        <is>
          <t>Eliquis</t>
        </is>
      </c>
      <c r="H4720" t="inlineStr">
        <is>
          <t>Retail pharmacy</t>
        </is>
      </c>
      <c r="I4720" t="inlineStr">
        <is>
          <t>Private insurer</t>
        </is>
      </c>
      <c r="J4720" t="inlineStr">
        <is>
          <t>Emma Clarke</t>
        </is>
      </c>
      <c r="K4720" s="70" t="n">
        <v>707</v>
      </c>
      <c r="L4720" s="71" t="n">
        <v>430.33</v>
      </c>
      <c r="M4720" s="71" t="n">
        <v>304243.31</v>
      </c>
      <c r="N4720" s="71" t="n">
        <v>60848.66</v>
      </c>
      <c r="O4720" s="71" t="n">
        <v>243394.65</v>
      </c>
      <c r="P4720" s="71" t="n">
        <v>52950.3</v>
      </c>
      <c r="Q4720" s="71" t="n">
        <v>190444.35</v>
      </c>
      <c r="R4720" t="inlineStr">
        <is>
          <t>Cardiology</t>
        </is>
      </c>
      <c r="S4720" s="70" t="n">
        <v>602</v>
      </c>
      <c r="T4720" s="71" t="n">
        <v>46337.06</v>
      </c>
      <c r="U4720" t="inlineStr">
        <is>
          <t>High</t>
        </is>
      </c>
      <c r="V4720">
        <f>IF(AND(OR(Dashboard!$C$6="All",E4720=Dashboard!$C$6),OR(Dashboard!$F$6="All",G4720=Dashboard!$F$6),OR(Dashboard!$I$6="All",H4720=Dashboard!$I$6)),1,0)</f>
        <v/>
      </c>
    </row>
    <row r="4721">
      <c r="A4721" t="inlineStr">
        <is>
          <t>PF104712</t>
        </is>
      </c>
      <c r="B4721" s="68" t="n">
        <v>46225</v>
      </c>
      <c r="C4721" s="69" t="n">
        <v>2026</v>
      </c>
      <c r="D4721" t="inlineStr">
        <is>
          <t>Jul</t>
        </is>
      </c>
      <c r="E4721" t="inlineStr">
        <is>
          <t>Emerging markets</t>
        </is>
      </c>
      <c r="F4721" t="inlineStr">
        <is>
          <t>Brazil</t>
        </is>
      </c>
      <c r="G4721" t="inlineStr">
        <is>
          <t>Prevnar 20</t>
        </is>
      </c>
      <c r="H4721" t="inlineStr">
        <is>
          <t>Government / tender</t>
        </is>
      </c>
      <c r="I4721" t="inlineStr">
        <is>
          <t>Public payer</t>
        </is>
      </c>
      <c r="J4721" t="inlineStr">
        <is>
          <t>Kofi Mensah</t>
        </is>
      </c>
      <c r="K4721" s="70" t="n">
        <v>1841</v>
      </c>
      <c r="L4721" s="71" t="n">
        <v>236.08</v>
      </c>
      <c r="M4721" s="71" t="n">
        <v>434623.28</v>
      </c>
      <c r="N4721" s="71" t="n">
        <v>86924.66</v>
      </c>
      <c r="O4721" s="71" t="n">
        <v>347698.62</v>
      </c>
      <c r="P4721" s="71" t="n">
        <v>130031.39</v>
      </c>
      <c r="Q4721" s="71" t="n">
        <v>217667.23</v>
      </c>
      <c r="R4721" t="inlineStr">
        <is>
          <t>Vaccines</t>
        </is>
      </c>
      <c r="S4721" s="70" t="n">
        <v>1711</v>
      </c>
      <c r="T4721" s="71" t="n">
        <v>58206.5</v>
      </c>
      <c r="U4721" t="inlineStr">
        <is>
          <t>Low</t>
        </is>
      </c>
      <c r="V4721">
        <f>IF(AND(OR(Dashboard!$C$6="All",E4721=Dashboard!$C$6),OR(Dashboard!$F$6="All",G4721=Dashboard!$F$6),OR(Dashboard!$I$6="All",H4721=Dashboard!$I$6)),1,0)</f>
        <v/>
      </c>
    </row>
    <row r="4722">
      <c r="A4722" t="inlineStr">
        <is>
          <t>PF104713</t>
        </is>
      </c>
      <c r="B4722" s="68" t="n">
        <v>46225</v>
      </c>
      <c r="C4722" s="69" t="n">
        <v>2026</v>
      </c>
      <c r="D4722" t="inlineStr">
        <is>
          <t>Jul</t>
        </is>
      </c>
      <c r="E4722" t="inlineStr">
        <is>
          <t>International developed</t>
        </is>
      </c>
      <c r="F4722" t="inlineStr">
        <is>
          <t>Australia</t>
        </is>
      </c>
      <c r="G4722" t="inlineStr">
        <is>
          <t>Prevnar 20</t>
        </is>
      </c>
      <c r="H4722" t="inlineStr">
        <is>
          <t>Government / tender</t>
        </is>
      </c>
      <c r="I4722" t="inlineStr">
        <is>
          <t>Private insurer</t>
        </is>
      </c>
      <c r="J4722" t="inlineStr">
        <is>
          <t>Hiroshi Tanaka</t>
        </is>
      </c>
      <c r="K4722" s="70" t="n">
        <v>118</v>
      </c>
      <c r="L4722" s="71" t="n">
        <v>229.67</v>
      </c>
      <c r="M4722" s="71" t="n">
        <v>27101.06</v>
      </c>
      <c r="N4722" s="71" t="n">
        <v>2710.11</v>
      </c>
      <c r="O4722" s="71" t="n">
        <v>24390.95</v>
      </c>
      <c r="P4722" s="71" t="n">
        <v>8246.190000000001</v>
      </c>
      <c r="Q4722" s="71" t="n">
        <v>16144.76</v>
      </c>
      <c r="R4722" t="inlineStr">
        <is>
          <t>Vaccines</t>
        </is>
      </c>
      <c r="S4722" s="70" t="n">
        <v>87</v>
      </c>
      <c r="T4722" s="71" t="n">
        <v>4670.71</v>
      </c>
      <c r="U4722" t="inlineStr">
        <is>
          <t>Low</t>
        </is>
      </c>
      <c r="V4722">
        <f>IF(AND(OR(Dashboard!$C$6="All",E4722=Dashboard!$C$6),OR(Dashboard!$F$6="All",G4722=Dashboard!$F$6),OR(Dashboard!$I$6="All",H4722=Dashboard!$I$6)),1,0)</f>
        <v/>
      </c>
    </row>
    <row r="4723">
      <c r="A4723" t="inlineStr">
        <is>
          <t>PF104714</t>
        </is>
      </c>
      <c r="B4723" s="68" t="n">
        <v>46225</v>
      </c>
      <c r="C4723" s="69" t="n">
        <v>2026</v>
      </c>
      <c r="D4723" t="inlineStr">
        <is>
          <t>Jul</t>
        </is>
      </c>
      <c r="E4723" t="inlineStr">
        <is>
          <t>Emerging markets</t>
        </is>
      </c>
      <c r="F4723" t="inlineStr">
        <is>
          <t>Brazil</t>
        </is>
      </c>
      <c r="G4723" t="inlineStr">
        <is>
          <t>Eliquis</t>
        </is>
      </c>
      <c r="H4723" t="inlineStr">
        <is>
          <t>Retail pharmacy</t>
        </is>
      </c>
      <c r="I4723" t="inlineStr">
        <is>
          <t>Public payer</t>
        </is>
      </c>
      <c r="J4723" t="inlineStr">
        <is>
          <t>Aisha Bello</t>
        </is>
      </c>
      <c r="K4723" s="70" t="n">
        <v>378</v>
      </c>
      <c r="L4723" s="71" t="n">
        <v>429.34</v>
      </c>
      <c r="M4723" s="71" t="n">
        <v>162290.52</v>
      </c>
      <c r="N4723" s="71" t="n">
        <v>40572.63</v>
      </c>
      <c r="O4723" s="71" t="n">
        <v>121717.89</v>
      </c>
      <c r="P4723" s="71" t="n">
        <v>27976.69</v>
      </c>
      <c r="Q4723" s="71" t="n">
        <v>93741.2</v>
      </c>
      <c r="R4723" t="inlineStr">
        <is>
          <t>Cardiology</t>
        </is>
      </c>
      <c r="S4723" s="70" t="n">
        <v>249</v>
      </c>
      <c r="T4723" s="71" t="n">
        <v>26445.64</v>
      </c>
      <c r="U4723" t="inlineStr">
        <is>
          <t>High</t>
        </is>
      </c>
      <c r="V4723">
        <f>IF(AND(OR(Dashboard!$C$6="All",E4723=Dashboard!$C$6),OR(Dashboard!$F$6="All",G4723=Dashboard!$F$6),OR(Dashboard!$I$6="All",H4723=Dashboard!$I$6)),1,0)</f>
        <v/>
      </c>
    </row>
    <row r="4724">
      <c r="A4724" t="inlineStr">
        <is>
          <t>PF104715</t>
        </is>
      </c>
      <c r="B4724" s="68" t="n">
        <v>46226</v>
      </c>
      <c r="C4724" s="69" t="n">
        <v>2026</v>
      </c>
      <c r="D4724" t="inlineStr">
        <is>
          <t>Jul</t>
        </is>
      </c>
      <c r="E4724" t="inlineStr">
        <is>
          <t>International developed</t>
        </is>
      </c>
      <c r="F4724" t="inlineStr">
        <is>
          <t>Japan</t>
        </is>
      </c>
      <c r="G4724" t="inlineStr">
        <is>
          <t>Vyndaqel</t>
        </is>
      </c>
      <c r="H4724" t="inlineStr">
        <is>
          <t>Hospital</t>
        </is>
      </c>
      <c r="I4724" t="inlineStr">
        <is>
          <t>Self-pay</t>
        </is>
      </c>
      <c r="J4724" t="inlineStr">
        <is>
          <t>Ravindra Patil</t>
        </is>
      </c>
      <c r="K4724" s="70" t="n">
        <v>2350</v>
      </c>
      <c r="L4724" s="71" t="n">
        <v>5283.74</v>
      </c>
      <c r="M4724" s="71" t="n">
        <v>12416789</v>
      </c>
      <c r="N4724" s="71" t="n">
        <v>1862518.35</v>
      </c>
      <c r="O4724" s="71" t="n">
        <v>10554270.65</v>
      </c>
      <c r="P4724" s="71" t="n">
        <v>1504096.29</v>
      </c>
      <c r="Q4724" s="71" t="n">
        <v>9050174.359999999</v>
      </c>
      <c r="R4724" t="inlineStr">
        <is>
          <t>Rare disease</t>
        </is>
      </c>
      <c r="S4724" s="70" t="n">
        <v>1843</v>
      </c>
      <c r="T4724" s="71" t="n">
        <v>2394217.81</v>
      </c>
      <c r="U4724" t="inlineStr">
        <is>
          <t>Medium</t>
        </is>
      </c>
      <c r="V4724">
        <f>IF(AND(OR(Dashboard!$C$6="All",E4724=Dashboard!$C$6),OR(Dashboard!$F$6="All",G4724=Dashboard!$F$6),OR(Dashboard!$I$6="All",H4724=Dashboard!$I$6)),1,0)</f>
        <v/>
      </c>
    </row>
    <row r="4725">
      <c r="A4725" t="inlineStr">
        <is>
          <t>PF104716</t>
        </is>
      </c>
      <c r="B4725" s="68" t="n">
        <v>46226</v>
      </c>
      <c r="C4725" s="69" t="n">
        <v>2026</v>
      </c>
      <c r="D4725" t="inlineStr">
        <is>
          <t>Jul</t>
        </is>
      </c>
      <c r="E4725" t="inlineStr">
        <is>
          <t>United States</t>
        </is>
      </c>
      <c r="F4725" t="inlineStr">
        <is>
          <t>USA</t>
        </is>
      </c>
      <c r="G4725" t="inlineStr">
        <is>
          <t>Abrysvo</t>
        </is>
      </c>
      <c r="H4725" t="inlineStr">
        <is>
          <t>Retail pharmacy</t>
        </is>
      </c>
      <c r="I4725" t="inlineStr">
        <is>
          <t>Private insurer</t>
        </is>
      </c>
      <c r="J4725" t="inlineStr">
        <is>
          <t>Lucas Martin</t>
        </is>
      </c>
      <c r="K4725" s="70" t="n">
        <v>1432</v>
      </c>
      <c r="L4725" s="71" t="n">
        <v>520.6799999999999</v>
      </c>
      <c r="M4725" s="71" t="n">
        <v>745613.76</v>
      </c>
      <c r="N4725" s="71" t="n">
        <v>223684.13</v>
      </c>
      <c r="O4725" s="71" t="n">
        <v>521929.63</v>
      </c>
      <c r="P4725" s="71" t="n">
        <v>120291.86</v>
      </c>
      <c r="Q4725" s="71" t="n">
        <v>401637.77</v>
      </c>
      <c r="R4725" t="inlineStr">
        <is>
          <t>Vaccines</t>
        </is>
      </c>
      <c r="S4725" s="70" t="n">
        <v>966</v>
      </c>
      <c r="T4725" s="71" t="n">
        <v>111462.95</v>
      </c>
      <c r="U4725" t="inlineStr">
        <is>
          <t>Low</t>
        </is>
      </c>
      <c r="V4725">
        <f>IF(AND(OR(Dashboard!$C$6="All",E4725=Dashboard!$C$6),OR(Dashboard!$F$6="All",G4725=Dashboard!$F$6),OR(Dashboard!$I$6="All",H4725=Dashboard!$I$6)),1,0)</f>
        <v/>
      </c>
    </row>
    <row r="4726">
      <c r="A4726" t="inlineStr">
        <is>
          <t>PF104717</t>
        </is>
      </c>
      <c r="B4726" s="68" t="n">
        <v>46226</v>
      </c>
      <c r="C4726" s="69" t="n">
        <v>2026</v>
      </c>
      <c r="D4726" t="inlineStr">
        <is>
          <t>Jul</t>
        </is>
      </c>
      <c r="E4726" t="inlineStr">
        <is>
          <t>Europe</t>
        </is>
      </c>
      <c r="F4726" t="inlineStr">
        <is>
          <t>Italy</t>
        </is>
      </c>
      <c r="G4726" t="inlineStr">
        <is>
          <t>Paxlovid</t>
        </is>
      </c>
      <c r="H4726" t="inlineStr">
        <is>
          <t>Retail pharmacy</t>
        </is>
      </c>
      <c r="I4726" t="inlineStr">
        <is>
          <t>Private insurer</t>
        </is>
      </c>
      <c r="J4726" t="inlineStr">
        <is>
          <t>Lucas Martin</t>
        </is>
      </c>
      <c r="K4726" s="70" t="n">
        <v>300</v>
      </c>
      <c r="L4726" s="71" t="n">
        <v>970.72</v>
      </c>
      <c r="M4726" s="71" t="n">
        <v>291216</v>
      </c>
      <c r="N4726" s="71" t="n">
        <v>29121.6</v>
      </c>
      <c r="O4726" s="71" t="n">
        <v>262094.4</v>
      </c>
      <c r="P4726" s="71" t="n">
        <v>81930.11</v>
      </c>
      <c r="Q4726" s="71" t="n">
        <v>180164.29</v>
      </c>
      <c r="R4726" t="inlineStr">
        <is>
          <t>Antiviral</t>
        </is>
      </c>
      <c r="S4726" s="70" t="n">
        <v>227</v>
      </c>
      <c r="T4726" s="71" t="n">
        <v>72166.45</v>
      </c>
      <c r="U4726" t="inlineStr">
        <is>
          <t>Low</t>
        </is>
      </c>
      <c r="V4726">
        <f>IF(AND(OR(Dashboard!$C$6="All",E4726=Dashboard!$C$6),OR(Dashboard!$F$6="All",G4726=Dashboard!$F$6),OR(Dashboard!$I$6="All",H4726=Dashboard!$I$6)),1,0)</f>
        <v/>
      </c>
    </row>
    <row r="4727">
      <c r="A4727" t="inlineStr">
        <is>
          <t>PF104718</t>
        </is>
      </c>
      <c r="B4727" s="68" t="n">
        <v>46226</v>
      </c>
      <c r="C4727" s="69" t="n">
        <v>2026</v>
      </c>
      <c r="D4727" t="inlineStr">
        <is>
          <t>Jul</t>
        </is>
      </c>
      <c r="E4727" t="inlineStr">
        <is>
          <t>International developed</t>
        </is>
      </c>
      <c r="F4727" t="inlineStr">
        <is>
          <t>Canada</t>
        </is>
      </c>
      <c r="G4727" t="inlineStr">
        <is>
          <t>Paxlovid</t>
        </is>
      </c>
      <c r="H4727" t="inlineStr">
        <is>
          <t>Retail pharmacy</t>
        </is>
      </c>
      <c r="I4727" t="inlineStr">
        <is>
          <t>Public payer</t>
        </is>
      </c>
      <c r="J4727" t="inlineStr">
        <is>
          <t>Ana Costa</t>
        </is>
      </c>
      <c r="K4727" s="70" t="n">
        <v>1557</v>
      </c>
      <c r="L4727" s="71" t="n">
        <v>858.52</v>
      </c>
      <c r="M4727" s="71" t="n">
        <v>1336715.64</v>
      </c>
      <c r="N4727" s="71" t="n">
        <v>334178.91</v>
      </c>
      <c r="O4727" s="71" t="n">
        <v>1002536.73</v>
      </c>
      <c r="P4727" s="71" t="n">
        <v>444153.44</v>
      </c>
      <c r="Q4727" s="71" t="n">
        <v>558383.29</v>
      </c>
      <c r="R4727" t="inlineStr">
        <is>
          <t>Antiviral</t>
        </is>
      </c>
      <c r="S4727" s="70" t="n">
        <v>1359</v>
      </c>
      <c r="T4727" s="71" t="n">
        <v>209178.37</v>
      </c>
      <c r="U4727" t="inlineStr">
        <is>
          <t>Low</t>
        </is>
      </c>
      <c r="V4727">
        <f>IF(AND(OR(Dashboard!$C$6="All",E4727=Dashboard!$C$6),OR(Dashboard!$F$6="All",G4727=Dashboard!$F$6),OR(Dashboard!$I$6="All",H4727=Dashboard!$I$6)),1,0)</f>
        <v/>
      </c>
    </row>
    <row r="4728">
      <c r="A4728" t="inlineStr">
        <is>
          <t>PF104719</t>
        </is>
      </c>
      <c r="B4728" s="68" t="n">
        <v>46226</v>
      </c>
      <c r="C4728" s="69" t="n">
        <v>2026</v>
      </c>
      <c r="D4728" t="inlineStr">
        <is>
          <t>Jul</t>
        </is>
      </c>
      <c r="E4728" t="inlineStr">
        <is>
          <t>Emerging markets</t>
        </is>
      </c>
      <c r="F4728" t="inlineStr">
        <is>
          <t>Mexico</t>
        </is>
      </c>
      <c r="G4728" t="inlineStr">
        <is>
          <t>Eliquis</t>
        </is>
      </c>
      <c r="H4728" t="inlineStr">
        <is>
          <t>Retail pharmacy</t>
        </is>
      </c>
      <c r="I4728" t="inlineStr">
        <is>
          <t>Private insurer</t>
        </is>
      </c>
      <c r="J4728" t="inlineStr">
        <is>
          <t>Ravindra Patil</t>
        </is>
      </c>
      <c r="K4728" s="70" t="n">
        <v>3069</v>
      </c>
      <c r="L4728" s="71" t="n">
        <v>474.77</v>
      </c>
      <c r="M4728" s="71" t="n">
        <v>1457069.13</v>
      </c>
      <c r="N4728" s="71" t="n">
        <v>364267.28</v>
      </c>
      <c r="O4728" s="71" t="n">
        <v>1092801.85</v>
      </c>
      <c r="P4728" s="71" t="n">
        <v>235201.39</v>
      </c>
      <c r="Q4728" s="71" t="n">
        <v>857600.46</v>
      </c>
      <c r="R4728" t="inlineStr">
        <is>
          <t>Cardiology</t>
        </is>
      </c>
      <c r="S4728" s="70" t="n">
        <v>2944</v>
      </c>
      <c r="T4728" s="71" t="n">
        <v>283262.04</v>
      </c>
      <c r="U4728" t="inlineStr">
        <is>
          <t>High</t>
        </is>
      </c>
      <c r="V4728">
        <f>IF(AND(OR(Dashboard!$C$6="All",E4728=Dashboard!$C$6),OR(Dashboard!$F$6="All",G4728=Dashboard!$F$6),OR(Dashboard!$I$6="All",H4728=Dashboard!$I$6)),1,0)</f>
        <v/>
      </c>
    </row>
    <row r="4729">
      <c r="A4729" t="inlineStr">
        <is>
          <t>PF104720</t>
        </is>
      </c>
      <c r="B4729" s="68" t="n">
        <v>46226</v>
      </c>
      <c r="C4729" s="69" t="n">
        <v>2026</v>
      </c>
      <c r="D4729" t="inlineStr">
        <is>
          <t>Jul</t>
        </is>
      </c>
      <c r="E4729" t="inlineStr">
        <is>
          <t>International developed</t>
        </is>
      </c>
      <c r="F4729" t="inlineStr">
        <is>
          <t>Canada</t>
        </is>
      </c>
      <c r="G4729" t="inlineStr">
        <is>
          <t>Eliquis</t>
        </is>
      </c>
      <c r="H4729" t="inlineStr">
        <is>
          <t>Hospital</t>
        </is>
      </c>
      <c r="I4729" t="inlineStr">
        <is>
          <t>Private insurer</t>
        </is>
      </c>
      <c r="J4729" t="inlineStr">
        <is>
          <t>Priya Nair</t>
        </is>
      </c>
      <c r="K4729" s="70" t="n">
        <v>963</v>
      </c>
      <c r="L4729" s="71" t="n">
        <v>418.11</v>
      </c>
      <c r="M4729" s="71" t="n">
        <v>402639.93</v>
      </c>
      <c r="N4729" s="71" t="n">
        <v>80527.99000000001</v>
      </c>
      <c r="O4729" s="71" t="n">
        <v>322111.94</v>
      </c>
      <c r="P4729" s="71" t="n">
        <v>75061.03999999999</v>
      </c>
      <c r="Q4729" s="71" t="n">
        <v>247050.9</v>
      </c>
      <c r="R4729" t="inlineStr">
        <is>
          <t>Cardiology</t>
        </is>
      </c>
      <c r="S4729" s="70" t="n">
        <v>915</v>
      </c>
      <c r="T4729" s="71" t="n">
        <v>79830.96000000001</v>
      </c>
      <c r="U4729" t="inlineStr">
        <is>
          <t>High</t>
        </is>
      </c>
      <c r="V4729">
        <f>IF(AND(OR(Dashboard!$C$6="All",E4729=Dashboard!$C$6),OR(Dashboard!$F$6="All",G4729=Dashboard!$F$6),OR(Dashboard!$I$6="All",H4729=Dashboard!$I$6)),1,0)</f>
        <v/>
      </c>
    </row>
    <row r="4730">
      <c r="A4730" t="inlineStr">
        <is>
          <t>PF104721</t>
        </is>
      </c>
      <c r="B4730" s="68" t="n">
        <v>46226</v>
      </c>
      <c r="C4730" s="69" t="n">
        <v>2026</v>
      </c>
      <c r="D4730" t="inlineStr">
        <is>
          <t>Jul</t>
        </is>
      </c>
      <c r="E4730" t="inlineStr">
        <is>
          <t>United States</t>
        </is>
      </c>
      <c r="F4730" t="inlineStr">
        <is>
          <t>USA</t>
        </is>
      </c>
      <c r="G4730" t="inlineStr">
        <is>
          <t>Ibrance</t>
        </is>
      </c>
      <c r="H4730" t="inlineStr">
        <is>
          <t>Hospital</t>
        </is>
      </c>
      <c r="I4730" t="inlineStr">
        <is>
          <t>Private insurer</t>
        </is>
      </c>
      <c r="J4730" t="inlineStr">
        <is>
          <t>Noah Smith</t>
        </is>
      </c>
      <c r="K4730" s="70" t="n">
        <v>148</v>
      </c>
      <c r="L4730" s="71" t="n">
        <v>4357.44</v>
      </c>
      <c r="M4730" s="71" t="n">
        <v>644901.12</v>
      </c>
      <c r="N4730" s="71" t="n">
        <v>96735.17</v>
      </c>
      <c r="O4730" s="71" t="n">
        <v>548165.95</v>
      </c>
      <c r="P4730" s="71" t="n">
        <v>62864.35</v>
      </c>
      <c r="Q4730" s="71" t="n">
        <v>485301.6</v>
      </c>
      <c r="R4730" t="inlineStr">
        <is>
          <t>Oncology</t>
        </is>
      </c>
      <c r="S4730" s="70" t="n">
        <v>117</v>
      </c>
      <c r="T4730" s="71" t="n">
        <v>100765.78</v>
      </c>
      <c r="U4730" t="inlineStr">
        <is>
          <t>High</t>
        </is>
      </c>
      <c r="V4730">
        <f>IF(AND(OR(Dashboard!$C$6="All",E4730=Dashboard!$C$6),OR(Dashboard!$F$6="All",G4730=Dashboard!$F$6),OR(Dashboard!$I$6="All",H4730=Dashboard!$I$6)),1,0)</f>
        <v/>
      </c>
    </row>
    <row r="4731">
      <c r="A4731" t="inlineStr">
        <is>
          <t>PF104722</t>
        </is>
      </c>
      <c r="B4731" s="68" t="n">
        <v>46226</v>
      </c>
      <c r="C4731" s="69" t="n">
        <v>2026</v>
      </c>
      <c r="D4731" t="inlineStr">
        <is>
          <t>Jul</t>
        </is>
      </c>
      <c r="E4731" t="inlineStr">
        <is>
          <t>Europe</t>
        </is>
      </c>
      <c r="F4731" t="inlineStr">
        <is>
          <t>Italy</t>
        </is>
      </c>
      <c r="G4731" t="inlineStr">
        <is>
          <t>Paxlovid</t>
        </is>
      </c>
      <c r="H4731" t="inlineStr">
        <is>
          <t>Hospital</t>
        </is>
      </c>
      <c r="I4731" t="inlineStr">
        <is>
          <t>Self-pay</t>
        </is>
      </c>
      <c r="J4731" t="inlineStr">
        <is>
          <t>Ana Costa</t>
        </is>
      </c>
      <c r="K4731" s="70" t="n">
        <v>2069</v>
      </c>
      <c r="L4731" s="71" t="n">
        <v>990.05</v>
      </c>
      <c r="M4731" s="71" t="n">
        <v>2048413.45</v>
      </c>
      <c r="N4731" s="71" t="n">
        <v>204841.35</v>
      </c>
      <c r="O4731" s="71" t="n">
        <v>1843572.1</v>
      </c>
      <c r="P4731" s="71" t="n">
        <v>580034.96</v>
      </c>
      <c r="Q4731" s="71" t="n">
        <v>1263537.14</v>
      </c>
      <c r="R4731" t="inlineStr">
        <is>
          <t>Antiviral</t>
        </is>
      </c>
      <c r="S4731" s="70" t="n">
        <v>1526</v>
      </c>
      <c r="T4731" s="71" t="n">
        <v>300887.69</v>
      </c>
      <c r="U4731" t="inlineStr">
        <is>
          <t>Low</t>
        </is>
      </c>
      <c r="V4731">
        <f>IF(AND(OR(Dashboard!$C$6="All",E4731=Dashboard!$C$6),OR(Dashboard!$F$6="All",G4731=Dashboard!$F$6),OR(Dashboard!$I$6="All",H4731=Dashboard!$I$6)),1,0)</f>
        <v/>
      </c>
    </row>
    <row r="4732">
      <c r="A4732" t="inlineStr">
        <is>
          <t>PF104723</t>
        </is>
      </c>
      <c r="B4732" s="68" t="n">
        <v>46226</v>
      </c>
      <c r="C4732" s="69" t="n">
        <v>2026</v>
      </c>
      <c r="D4732" t="inlineStr">
        <is>
          <t>Jul</t>
        </is>
      </c>
      <c r="E4732" t="inlineStr">
        <is>
          <t>Emerging markets</t>
        </is>
      </c>
      <c r="F4732" t="inlineStr">
        <is>
          <t>China</t>
        </is>
      </c>
      <c r="G4732" t="inlineStr">
        <is>
          <t>Paxlovid</t>
        </is>
      </c>
      <c r="H4732" t="inlineStr">
        <is>
          <t>Retail pharmacy</t>
        </is>
      </c>
      <c r="I4732" t="inlineStr">
        <is>
          <t>Public payer</t>
        </is>
      </c>
      <c r="J4732" t="inlineStr">
        <is>
          <t>Wei Chen</t>
        </is>
      </c>
      <c r="K4732" s="70" t="n">
        <v>1487</v>
      </c>
      <c r="L4732" s="71" t="n">
        <v>952.96</v>
      </c>
      <c r="M4732" s="71" t="n">
        <v>1417051.52</v>
      </c>
      <c r="N4732" s="71" t="n">
        <v>212557.73</v>
      </c>
      <c r="O4732" s="71" t="n">
        <v>1204493.79</v>
      </c>
      <c r="P4732" s="71" t="n">
        <v>398053.6</v>
      </c>
      <c r="Q4732" s="71" t="n">
        <v>806440.1899999999</v>
      </c>
      <c r="R4732" t="inlineStr">
        <is>
          <t>Antiviral</t>
        </is>
      </c>
      <c r="S4732" s="70" t="n">
        <v>1411</v>
      </c>
      <c r="T4732" s="71" t="n">
        <v>310725.3</v>
      </c>
      <c r="U4732" t="inlineStr">
        <is>
          <t>Low</t>
        </is>
      </c>
      <c r="V4732">
        <f>IF(AND(OR(Dashboard!$C$6="All",E4732=Dashboard!$C$6),OR(Dashboard!$F$6="All",G4732=Dashboard!$F$6),OR(Dashboard!$I$6="All",H4732=Dashboard!$I$6)),1,0)</f>
        <v/>
      </c>
    </row>
    <row r="4733">
      <c r="A4733" t="inlineStr">
        <is>
          <t>PF104724</t>
        </is>
      </c>
      <c r="B4733" s="68" t="n">
        <v>46226</v>
      </c>
      <c r="C4733" s="69" t="n">
        <v>2026</v>
      </c>
      <c r="D4733" t="inlineStr">
        <is>
          <t>Jul</t>
        </is>
      </c>
      <c r="E4733" t="inlineStr">
        <is>
          <t>United States</t>
        </is>
      </c>
      <c r="F4733" t="inlineStr">
        <is>
          <t>USA</t>
        </is>
      </c>
      <c r="G4733" t="inlineStr">
        <is>
          <t>Ibrance</t>
        </is>
      </c>
      <c r="H4733" t="inlineStr">
        <is>
          <t>Retail pharmacy</t>
        </is>
      </c>
      <c r="I4733" t="inlineStr">
        <is>
          <t>Public payer</t>
        </is>
      </c>
      <c r="J4733" t="inlineStr">
        <is>
          <t>Lucas Martin</t>
        </is>
      </c>
      <c r="K4733" s="70" t="n">
        <v>1000</v>
      </c>
      <c r="L4733" s="71" t="n">
        <v>4740.43</v>
      </c>
      <c r="M4733" s="71" t="n">
        <v>4740430</v>
      </c>
      <c r="N4733" s="71" t="n">
        <v>948086</v>
      </c>
      <c r="O4733" s="71" t="n">
        <v>3792344</v>
      </c>
      <c r="P4733" s="71" t="n">
        <v>445138.53</v>
      </c>
      <c r="Q4733" s="71" t="n">
        <v>3347205.47</v>
      </c>
      <c r="R4733" t="inlineStr">
        <is>
          <t>Oncology</t>
        </is>
      </c>
      <c r="S4733" s="70" t="n">
        <v>631</v>
      </c>
      <c r="T4733" s="71" t="n">
        <v>705758.6</v>
      </c>
      <c r="U4733" t="inlineStr">
        <is>
          <t>High</t>
        </is>
      </c>
      <c r="V4733">
        <f>IF(AND(OR(Dashboard!$C$6="All",E4733=Dashboard!$C$6),OR(Dashboard!$F$6="All",G4733=Dashboard!$F$6),OR(Dashboard!$I$6="All",H4733=Dashboard!$I$6)),1,0)</f>
        <v/>
      </c>
    </row>
    <row r="4734">
      <c r="A4734" t="inlineStr">
        <is>
          <t>PF104725</t>
        </is>
      </c>
      <c r="B4734" s="68" t="n">
        <v>46226</v>
      </c>
      <c r="C4734" s="69" t="n">
        <v>2026</v>
      </c>
      <c r="D4734" t="inlineStr">
        <is>
          <t>Jul</t>
        </is>
      </c>
      <c r="E4734" t="inlineStr">
        <is>
          <t>Emerging markets</t>
        </is>
      </c>
      <c r="F4734" t="inlineStr">
        <is>
          <t>Mexico</t>
        </is>
      </c>
      <c r="G4734" t="inlineStr">
        <is>
          <t>Eliquis</t>
        </is>
      </c>
      <c r="H4734" t="inlineStr">
        <is>
          <t>Hospital</t>
        </is>
      </c>
      <c r="I4734" t="inlineStr">
        <is>
          <t>Private insurer</t>
        </is>
      </c>
      <c r="J4734" t="inlineStr">
        <is>
          <t>Shraddha Kulkarni</t>
        </is>
      </c>
      <c r="K4734" s="70" t="n">
        <v>2574</v>
      </c>
      <c r="L4734" s="71" t="n">
        <v>395.63</v>
      </c>
      <c r="M4734" s="71" t="n">
        <v>1018351.62</v>
      </c>
      <c r="N4734" s="71" t="n">
        <v>254587.9</v>
      </c>
      <c r="O4734" s="71" t="n">
        <v>763763.72</v>
      </c>
      <c r="P4734" s="71" t="n">
        <v>191303.37</v>
      </c>
      <c r="Q4734" s="71" t="n">
        <v>572460.35</v>
      </c>
      <c r="R4734" t="inlineStr">
        <is>
          <t>Cardiology</t>
        </is>
      </c>
      <c r="S4734" s="70" t="n">
        <v>1750</v>
      </c>
      <c r="T4734" s="71" t="n">
        <v>181239.2</v>
      </c>
      <c r="U4734" t="inlineStr">
        <is>
          <t>High</t>
        </is>
      </c>
      <c r="V4734">
        <f>IF(AND(OR(Dashboard!$C$6="All",E4734=Dashboard!$C$6),OR(Dashboard!$F$6="All",G4734=Dashboard!$F$6),OR(Dashboard!$I$6="All",H4734=Dashboard!$I$6)),1,0)</f>
        <v/>
      </c>
    </row>
    <row r="4735">
      <c r="A4735" t="inlineStr">
        <is>
          <t>PF104726</t>
        </is>
      </c>
      <c r="B4735" s="68" t="n">
        <v>46227</v>
      </c>
      <c r="C4735" s="69" t="n">
        <v>2026</v>
      </c>
      <c r="D4735" t="inlineStr">
        <is>
          <t>Jul</t>
        </is>
      </c>
      <c r="E4735" t="inlineStr">
        <is>
          <t>Europe</t>
        </is>
      </c>
      <c r="F4735" t="inlineStr">
        <is>
          <t>Spain</t>
        </is>
      </c>
      <c r="G4735" t="inlineStr">
        <is>
          <t>Comirnaty</t>
        </is>
      </c>
      <c r="H4735" t="inlineStr">
        <is>
          <t>Retail pharmacy</t>
        </is>
      </c>
      <c r="I4735" t="inlineStr">
        <is>
          <t>Public payer</t>
        </is>
      </c>
      <c r="J4735" t="inlineStr">
        <is>
          <t>Priya Nair</t>
        </is>
      </c>
      <c r="K4735" s="70" t="n">
        <v>923</v>
      </c>
      <c r="L4735" s="71" t="n">
        <v>96.34</v>
      </c>
      <c r="M4735" s="71" t="n">
        <v>88921.82000000001</v>
      </c>
      <c r="N4735" s="71" t="n">
        <v>22230.46</v>
      </c>
      <c r="O4735" s="71" t="n">
        <v>66691.36</v>
      </c>
      <c r="P4735" s="71" t="n">
        <v>35512.28</v>
      </c>
      <c r="Q4735" s="71" t="n">
        <v>31179.08</v>
      </c>
      <c r="R4735" t="inlineStr">
        <is>
          <t>Vaccines</t>
        </is>
      </c>
      <c r="S4735" s="70" t="n">
        <v>722</v>
      </c>
      <c r="T4735" s="71" t="n">
        <v>21890.46</v>
      </c>
      <c r="U4735" t="inlineStr">
        <is>
          <t>Low</t>
        </is>
      </c>
      <c r="V4735">
        <f>IF(AND(OR(Dashboard!$C$6="All",E4735=Dashboard!$C$6),OR(Dashboard!$F$6="All",G4735=Dashboard!$F$6),OR(Dashboard!$I$6="All",H4735=Dashboard!$I$6)),1,0)</f>
        <v/>
      </c>
    </row>
    <row r="4736">
      <c r="A4736" t="inlineStr">
        <is>
          <t>PF104727</t>
        </is>
      </c>
      <c r="B4736" s="68" t="n">
        <v>46227</v>
      </c>
      <c r="C4736" s="69" t="n">
        <v>2026</v>
      </c>
      <c r="D4736" t="inlineStr">
        <is>
          <t>Jul</t>
        </is>
      </c>
      <c r="E4736" t="inlineStr">
        <is>
          <t>Europe</t>
        </is>
      </c>
      <c r="F4736" t="inlineStr">
        <is>
          <t>UK</t>
        </is>
      </c>
      <c r="G4736" t="inlineStr">
        <is>
          <t>Prevnar 20</t>
        </is>
      </c>
      <c r="H4736" t="inlineStr">
        <is>
          <t>Retail pharmacy</t>
        </is>
      </c>
      <c r="I4736" t="inlineStr">
        <is>
          <t>Public payer</t>
        </is>
      </c>
      <c r="J4736" t="inlineStr">
        <is>
          <t>Carlos Silva</t>
        </is>
      </c>
      <c r="K4736" s="70" t="n">
        <v>129</v>
      </c>
      <c r="L4736" s="71" t="n">
        <v>227.2</v>
      </c>
      <c r="M4736" s="71" t="n">
        <v>29308.8</v>
      </c>
      <c r="N4736" s="71" t="n">
        <v>5861.76</v>
      </c>
      <c r="O4736" s="71" t="n">
        <v>23447.04</v>
      </c>
      <c r="P4736" s="71" t="n">
        <v>9041.299999999999</v>
      </c>
      <c r="Q4736" s="71" t="n">
        <v>14405.74</v>
      </c>
      <c r="R4736" t="inlineStr">
        <is>
          <t>Vaccines</t>
        </is>
      </c>
      <c r="S4736" s="70" t="n">
        <v>114</v>
      </c>
      <c r="T4736" s="71" t="n">
        <v>4733.89</v>
      </c>
      <c r="U4736" t="inlineStr">
        <is>
          <t>Low</t>
        </is>
      </c>
      <c r="V4736">
        <f>IF(AND(OR(Dashboard!$C$6="All",E4736=Dashboard!$C$6),OR(Dashboard!$F$6="All",G4736=Dashboard!$F$6),OR(Dashboard!$I$6="All",H4736=Dashboard!$I$6)),1,0)</f>
        <v/>
      </c>
    </row>
    <row r="4737">
      <c r="A4737" t="inlineStr">
        <is>
          <t>PF104728</t>
        </is>
      </c>
      <c r="B4737" s="68" t="n">
        <v>46227</v>
      </c>
      <c r="C4737" s="69" t="n">
        <v>2026</v>
      </c>
      <c r="D4737" t="inlineStr">
        <is>
          <t>Jul</t>
        </is>
      </c>
      <c r="E4737" t="inlineStr">
        <is>
          <t>Europe</t>
        </is>
      </c>
      <c r="F4737" t="inlineStr">
        <is>
          <t>France</t>
        </is>
      </c>
      <c r="G4737" t="inlineStr">
        <is>
          <t>Xeljanz</t>
        </is>
      </c>
      <c r="H4737" t="inlineStr">
        <is>
          <t>Hospital</t>
        </is>
      </c>
      <c r="I4737" t="inlineStr">
        <is>
          <t>Self-pay</t>
        </is>
      </c>
      <c r="J4737" t="inlineStr">
        <is>
          <t>Yuki Sato</t>
        </is>
      </c>
      <c r="K4737" s="70" t="n">
        <v>1397</v>
      </c>
      <c r="L4737" s="71" t="n">
        <v>1346.52</v>
      </c>
      <c r="M4737" s="71" t="n">
        <v>1881088.44</v>
      </c>
      <c r="N4737" s="71" t="n">
        <v>282163.27</v>
      </c>
      <c r="O4737" s="71" t="n">
        <v>1598925.17</v>
      </c>
      <c r="P4737" s="71" t="n">
        <v>357342.32</v>
      </c>
      <c r="Q4737" s="71" t="n">
        <v>1241582.85</v>
      </c>
      <c r="R4737" t="inlineStr">
        <is>
          <t>Inflammation</t>
        </is>
      </c>
      <c r="S4737" s="70" t="n">
        <v>883</v>
      </c>
      <c r="T4737" s="71" t="n">
        <v>268762</v>
      </c>
      <c r="U4737" t="inlineStr">
        <is>
          <t>High</t>
        </is>
      </c>
      <c r="V4737">
        <f>IF(AND(OR(Dashboard!$C$6="All",E4737=Dashboard!$C$6),OR(Dashboard!$F$6="All",G4737=Dashboard!$F$6),OR(Dashboard!$I$6="All",H4737=Dashboard!$I$6)),1,0)</f>
        <v/>
      </c>
    </row>
    <row r="4738">
      <c r="A4738" t="inlineStr">
        <is>
          <t>PF104729</t>
        </is>
      </c>
      <c r="B4738" s="68" t="n">
        <v>46227</v>
      </c>
      <c r="C4738" s="69" t="n">
        <v>2026</v>
      </c>
      <c r="D4738" t="inlineStr">
        <is>
          <t>Jul</t>
        </is>
      </c>
      <c r="E4738" t="inlineStr">
        <is>
          <t>United States</t>
        </is>
      </c>
      <c r="F4738" t="inlineStr">
        <is>
          <t>USA</t>
        </is>
      </c>
      <c r="G4738" t="inlineStr">
        <is>
          <t>Paxlovid</t>
        </is>
      </c>
      <c r="H4738" t="inlineStr">
        <is>
          <t>Hospital</t>
        </is>
      </c>
      <c r="I4738" t="inlineStr">
        <is>
          <t>Public payer</t>
        </is>
      </c>
      <c r="J4738" t="inlineStr">
        <is>
          <t>Emma Clarke</t>
        </is>
      </c>
      <c r="K4738" s="70" t="n">
        <v>1087</v>
      </c>
      <c r="L4738" s="71" t="n">
        <v>1612.06</v>
      </c>
      <c r="M4738" s="71" t="n">
        <v>1752309.22</v>
      </c>
      <c r="N4738" s="71" t="n">
        <v>262846.38</v>
      </c>
      <c r="O4738" s="71" t="n">
        <v>1489462.84</v>
      </c>
      <c r="P4738" s="71" t="n">
        <v>300953.13</v>
      </c>
      <c r="Q4738" s="71" t="n">
        <v>1188509.71</v>
      </c>
      <c r="R4738" t="inlineStr">
        <is>
          <t>Antiviral</t>
        </is>
      </c>
      <c r="S4738" s="70" t="n">
        <v>962</v>
      </c>
      <c r="T4738" s="71" t="n">
        <v>290179.45</v>
      </c>
      <c r="U4738" t="inlineStr">
        <is>
          <t>Low</t>
        </is>
      </c>
      <c r="V4738">
        <f>IF(AND(OR(Dashboard!$C$6="All",E4738=Dashboard!$C$6),OR(Dashboard!$F$6="All",G4738=Dashboard!$F$6),OR(Dashboard!$I$6="All",H4738=Dashboard!$I$6)),1,0)</f>
        <v/>
      </c>
    </row>
    <row r="4739">
      <c r="A4739" t="inlineStr">
        <is>
          <t>PF104730</t>
        </is>
      </c>
      <c r="B4739" s="68" t="n">
        <v>46227</v>
      </c>
      <c r="C4739" s="69" t="n">
        <v>2026</v>
      </c>
      <c r="D4739" t="inlineStr">
        <is>
          <t>Jul</t>
        </is>
      </c>
      <c r="E4739" t="inlineStr">
        <is>
          <t>International developed</t>
        </is>
      </c>
      <c r="F4739" t="inlineStr">
        <is>
          <t>Japan</t>
        </is>
      </c>
      <c r="G4739" t="inlineStr">
        <is>
          <t>Paxlovid</t>
        </is>
      </c>
      <c r="H4739" t="inlineStr">
        <is>
          <t>Retail pharmacy</t>
        </is>
      </c>
      <c r="I4739" t="inlineStr">
        <is>
          <t>Private insurer</t>
        </is>
      </c>
      <c r="J4739" t="inlineStr">
        <is>
          <t>Sophie Müller</t>
        </is>
      </c>
      <c r="K4739" s="70" t="n">
        <v>948</v>
      </c>
      <c r="L4739" s="71" t="n">
        <v>988.77</v>
      </c>
      <c r="M4739" s="71" t="n">
        <v>937353.96</v>
      </c>
      <c r="N4739" s="71" t="n">
        <v>187470.79</v>
      </c>
      <c r="O4739" s="71" t="n">
        <v>749883.17</v>
      </c>
      <c r="P4739" s="71" t="n">
        <v>266482.99</v>
      </c>
      <c r="Q4739" s="71" t="n">
        <v>483400.18</v>
      </c>
      <c r="R4739" t="inlineStr">
        <is>
          <t>Antiviral</t>
        </is>
      </c>
      <c r="S4739" s="70" t="n">
        <v>646</v>
      </c>
      <c r="T4739" s="71" t="n">
        <v>243617.45</v>
      </c>
      <c r="U4739" t="inlineStr">
        <is>
          <t>Low</t>
        </is>
      </c>
      <c r="V4739">
        <f>IF(AND(OR(Dashboard!$C$6="All",E4739=Dashboard!$C$6),OR(Dashboard!$F$6="All",G4739=Dashboard!$F$6),OR(Dashboard!$I$6="All",H4739=Dashboard!$I$6)),1,0)</f>
        <v/>
      </c>
    </row>
    <row r="4740">
      <c r="A4740" t="inlineStr">
        <is>
          <t>PF104731</t>
        </is>
      </c>
      <c r="B4740" s="68" t="n">
        <v>46227</v>
      </c>
      <c r="C4740" s="69" t="n">
        <v>2026</v>
      </c>
      <c r="D4740" t="inlineStr">
        <is>
          <t>Jul</t>
        </is>
      </c>
      <c r="E4740" t="inlineStr">
        <is>
          <t>Europe</t>
        </is>
      </c>
      <c r="F4740" t="inlineStr">
        <is>
          <t>Germany</t>
        </is>
      </c>
      <c r="G4740" t="inlineStr">
        <is>
          <t>Paxlovid</t>
        </is>
      </c>
      <c r="H4740" t="inlineStr">
        <is>
          <t>Government / tender</t>
        </is>
      </c>
      <c r="I4740" t="inlineStr">
        <is>
          <t>Public payer</t>
        </is>
      </c>
      <c r="J4740" t="inlineStr">
        <is>
          <t>Mei Lin</t>
        </is>
      </c>
      <c r="K4740" s="70" t="n">
        <v>497</v>
      </c>
      <c r="L4740" s="71" t="n">
        <v>884.15</v>
      </c>
      <c r="M4740" s="71" t="n">
        <v>439422.55</v>
      </c>
      <c r="N4740" s="71" t="n">
        <v>65913.38</v>
      </c>
      <c r="O4740" s="71" t="n">
        <v>373509.17</v>
      </c>
      <c r="P4740" s="71" t="n">
        <v>139905.3</v>
      </c>
      <c r="Q4740" s="71" t="n">
        <v>233603.87</v>
      </c>
      <c r="R4740" t="inlineStr">
        <is>
          <t>Antiviral</t>
        </is>
      </c>
      <c r="S4740" s="70" t="n">
        <v>346</v>
      </c>
      <c r="T4740" s="71" t="n">
        <v>88772.89999999999</v>
      </c>
      <c r="U4740" t="inlineStr">
        <is>
          <t>Low</t>
        </is>
      </c>
      <c r="V4740">
        <f>IF(AND(OR(Dashboard!$C$6="All",E4740=Dashboard!$C$6),OR(Dashboard!$F$6="All",G4740=Dashboard!$F$6),OR(Dashboard!$I$6="All",H4740=Dashboard!$I$6)),1,0)</f>
        <v/>
      </c>
    </row>
    <row r="4741">
      <c r="A4741" t="inlineStr">
        <is>
          <t>PF104732</t>
        </is>
      </c>
      <c r="B4741" s="68" t="n">
        <v>46227</v>
      </c>
      <c r="C4741" s="69" t="n">
        <v>2026</v>
      </c>
      <c r="D4741" t="inlineStr">
        <is>
          <t>Jul</t>
        </is>
      </c>
      <c r="E4741" t="inlineStr">
        <is>
          <t>Emerging markets</t>
        </is>
      </c>
      <c r="F4741" t="inlineStr">
        <is>
          <t>India</t>
        </is>
      </c>
      <c r="G4741" t="inlineStr">
        <is>
          <t>Abrysvo</t>
        </is>
      </c>
      <c r="H4741" t="inlineStr">
        <is>
          <t>Retail pharmacy</t>
        </is>
      </c>
      <c r="I4741" t="inlineStr">
        <is>
          <t>Private insurer</t>
        </is>
      </c>
      <c r="J4741" t="inlineStr">
        <is>
          <t>Sophie Müller</t>
        </is>
      </c>
      <c r="K4741" s="70" t="n">
        <v>775</v>
      </c>
      <c r="L4741" s="71" t="n">
        <v>310.13</v>
      </c>
      <c r="M4741" s="71" t="n">
        <v>240350.75</v>
      </c>
      <c r="N4741" s="71" t="n">
        <v>36052.61</v>
      </c>
      <c r="O4741" s="71" t="n">
        <v>204298.14</v>
      </c>
      <c r="P4741" s="71" t="n">
        <v>63370.19</v>
      </c>
      <c r="Q4741" s="71" t="n">
        <v>140927.95</v>
      </c>
      <c r="R4741" t="inlineStr">
        <is>
          <t>Vaccines</t>
        </is>
      </c>
      <c r="S4741" s="70" t="n">
        <v>706</v>
      </c>
      <c r="T4741" s="71" t="n">
        <v>31949.04</v>
      </c>
      <c r="U4741" t="inlineStr">
        <is>
          <t>Low</t>
        </is>
      </c>
      <c r="V4741">
        <f>IF(AND(OR(Dashboard!$C$6="All",E4741=Dashboard!$C$6),OR(Dashboard!$F$6="All",G4741=Dashboard!$F$6),OR(Dashboard!$I$6="All",H4741=Dashboard!$I$6)),1,0)</f>
        <v/>
      </c>
    </row>
    <row r="4742">
      <c r="A4742" t="inlineStr">
        <is>
          <t>PF104733</t>
        </is>
      </c>
      <c r="B4742" s="68" t="n">
        <v>46227</v>
      </c>
      <c r="C4742" s="69" t="n">
        <v>2026</v>
      </c>
      <c r="D4742" t="inlineStr">
        <is>
          <t>Jul</t>
        </is>
      </c>
      <c r="E4742" t="inlineStr">
        <is>
          <t>United States</t>
        </is>
      </c>
      <c r="F4742" t="inlineStr">
        <is>
          <t>USA</t>
        </is>
      </c>
      <c r="G4742" t="inlineStr">
        <is>
          <t>Abrysvo</t>
        </is>
      </c>
      <c r="H4742" t="inlineStr">
        <is>
          <t>Retail pharmacy</t>
        </is>
      </c>
      <c r="I4742" t="inlineStr">
        <is>
          <t>Private insurer</t>
        </is>
      </c>
      <c r="J4742" t="inlineStr">
        <is>
          <t>Yuki Sato</t>
        </is>
      </c>
      <c r="K4742" s="70" t="n">
        <v>223</v>
      </c>
      <c r="L4742" s="71" t="n">
        <v>538.8200000000001</v>
      </c>
      <c r="M4742" s="71" t="n">
        <v>120156.86</v>
      </c>
      <c r="N4742" s="71" t="n">
        <v>24031.37</v>
      </c>
      <c r="O4742" s="71" t="n">
        <v>96125.49000000001</v>
      </c>
      <c r="P4742" s="71" t="n">
        <v>18088.67</v>
      </c>
      <c r="Q4742" s="71" t="n">
        <v>78036.82000000001</v>
      </c>
      <c r="R4742" t="inlineStr">
        <is>
          <t>Vaccines</t>
        </is>
      </c>
      <c r="S4742" s="70" t="n">
        <v>171</v>
      </c>
      <c r="T4742" s="71" t="n">
        <v>13653.52</v>
      </c>
      <c r="U4742" t="inlineStr">
        <is>
          <t>Low</t>
        </is>
      </c>
      <c r="V4742">
        <f>IF(AND(OR(Dashboard!$C$6="All",E4742=Dashboard!$C$6),OR(Dashboard!$F$6="All",G4742=Dashboard!$F$6),OR(Dashboard!$I$6="All",H4742=Dashboard!$I$6)),1,0)</f>
        <v/>
      </c>
    </row>
    <row r="4743">
      <c r="A4743" t="inlineStr">
        <is>
          <t>PF104734</t>
        </is>
      </c>
      <c r="B4743" s="68" t="n">
        <v>46227</v>
      </c>
      <c r="C4743" s="69" t="n">
        <v>2026</v>
      </c>
      <c r="D4743" t="inlineStr">
        <is>
          <t>Jul</t>
        </is>
      </c>
      <c r="E4743" t="inlineStr">
        <is>
          <t>United States</t>
        </is>
      </c>
      <c r="F4743" t="inlineStr">
        <is>
          <t>USA</t>
        </is>
      </c>
      <c r="G4743" t="inlineStr">
        <is>
          <t>Ibrance</t>
        </is>
      </c>
      <c r="H4743" t="inlineStr">
        <is>
          <t>Hospital</t>
        </is>
      </c>
      <c r="I4743" t="inlineStr">
        <is>
          <t>Private insurer</t>
        </is>
      </c>
      <c r="J4743" t="inlineStr">
        <is>
          <t>Ravindra Patil</t>
        </is>
      </c>
      <c r="K4743" s="70" t="n">
        <v>726</v>
      </c>
      <c r="L4743" s="71" t="n">
        <v>4595.03</v>
      </c>
      <c r="M4743" s="71" t="n">
        <v>3335991.78</v>
      </c>
      <c r="N4743" s="71" t="n">
        <v>1167597.12</v>
      </c>
      <c r="O4743" s="71" t="n">
        <v>2168394.66</v>
      </c>
      <c r="P4743" s="71" t="n">
        <v>309644.73</v>
      </c>
      <c r="Q4743" s="71" t="n">
        <v>1858749.93</v>
      </c>
      <c r="R4743" t="inlineStr">
        <is>
          <t>Oncology</t>
        </is>
      </c>
      <c r="S4743" s="70" t="n">
        <v>507</v>
      </c>
      <c r="T4743" s="71" t="n">
        <v>723559.79</v>
      </c>
      <c r="U4743" t="inlineStr">
        <is>
          <t>High</t>
        </is>
      </c>
      <c r="V4743">
        <f>IF(AND(OR(Dashboard!$C$6="All",E4743=Dashboard!$C$6),OR(Dashboard!$F$6="All",G4743=Dashboard!$F$6),OR(Dashboard!$I$6="All",H4743=Dashboard!$I$6)),1,0)</f>
        <v/>
      </c>
    </row>
    <row r="4744">
      <c r="A4744" t="inlineStr">
        <is>
          <t>PF104735</t>
        </is>
      </c>
      <c r="B4744" s="68" t="n">
        <v>46228</v>
      </c>
      <c r="C4744" s="69" t="n">
        <v>2026</v>
      </c>
      <c r="D4744" t="inlineStr">
        <is>
          <t>Jul</t>
        </is>
      </c>
      <c r="E4744" t="inlineStr">
        <is>
          <t>Europe</t>
        </is>
      </c>
      <c r="F4744" t="inlineStr">
        <is>
          <t>Italy</t>
        </is>
      </c>
      <c r="G4744" t="inlineStr">
        <is>
          <t>Abrysvo</t>
        </is>
      </c>
      <c r="H4744" t="inlineStr">
        <is>
          <t>Retail pharmacy</t>
        </is>
      </c>
      <c r="I4744" t="inlineStr">
        <is>
          <t>Public payer</t>
        </is>
      </c>
      <c r="J4744" t="inlineStr">
        <is>
          <t>Noah Smith</t>
        </is>
      </c>
      <c r="K4744" s="70" t="n">
        <v>3489</v>
      </c>
      <c r="L4744" s="71" t="n">
        <v>295.31</v>
      </c>
      <c r="M4744" s="71" t="n">
        <v>1030336.59</v>
      </c>
      <c r="N4744" s="71" t="n">
        <v>103033.66</v>
      </c>
      <c r="O4744" s="71" t="n">
        <v>927302.9300000001</v>
      </c>
      <c r="P4744" s="71" t="n">
        <v>294983.16</v>
      </c>
      <c r="Q4744" s="71" t="n">
        <v>632319.77</v>
      </c>
      <c r="R4744" t="inlineStr">
        <is>
          <t>Vaccines</t>
        </is>
      </c>
      <c r="S4744" s="70" t="n">
        <v>3096</v>
      </c>
      <c r="T4744" s="71" t="n">
        <v>164651.27</v>
      </c>
      <c r="U4744" t="inlineStr">
        <is>
          <t>Low</t>
        </is>
      </c>
      <c r="V4744">
        <f>IF(AND(OR(Dashboard!$C$6="All",E4744=Dashboard!$C$6),OR(Dashboard!$F$6="All",G4744=Dashboard!$F$6),OR(Dashboard!$I$6="All",H4744=Dashboard!$I$6)),1,0)</f>
        <v/>
      </c>
    </row>
    <row r="4745">
      <c r="A4745" t="inlineStr">
        <is>
          <t>PF104736</t>
        </is>
      </c>
      <c r="B4745" s="68" t="n">
        <v>46228</v>
      </c>
      <c r="C4745" s="69" t="n">
        <v>2026</v>
      </c>
      <c r="D4745" t="inlineStr">
        <is>
          <t>Jul</t>
        </is>
      </c>
      <c r="E4745" t="inlineStr">
        <is>
          <t>Europe</t>
        </is>
      </c>
      <c r="F4745" t="inlineStr">
        <is>
          <t>UK</t>
        </is>
      </c>
      <c r="G4745" t="inlineStr">
        <is>
          <t>Vyndaqel</t>
        </is>
      </c>
      <c r="H4745" t="inlineStr">
        <is>
          <t>Government / tender</t>
        </is>
      </c>
      <c r="I4745" t="inlineStr">
        <is>
          <t>Public payer</t>
        </is>
      </c>
      <c r="J4745" t="inlineStr">
        <is>
          <t>Carlos Silva</t>
        </is>
      </c>
      <c r="K4745" s="70" t="n">
        <v>3135</v>
      </c>
      <c r="L4745" s="71" t="n">
        <v>5657.93</v>
      </c>
      <c r="M4745" s="71" t="n">
        <v>17737610.55</v>
      </c>
      <c r="N4745" s="71" t="n">
        <v>2660641.58</v>
      </c>
      <c r="O4745" s="71" t="n">
        <v>15076968.97</v>
      </c>
      <c r="P4745" s="71" t="n">
        <v>1968474.18</v>
      </c>
      <c r="Q4745" s="71" t="n">
        <v>13108494.79</v>
      </c>
      <c r="R4745" t="inlineStr">
        <is>
          <t>Rare disease</t>
        </is>
      </c>
      <c r="S4745" s="70" t="n">
        <v>2235</v>
      </c>
      <c r="T4745" s="71" t="n">
        <v>2403695.49</v>
      </c>
      <c r="U4745" t="inlineStr">
        <is>
          <t>Medium</t>
        </is>
      </c>
      <c r="V4745">
        <f>IF(AND(OR(Dashboard!$C$6="All",E4745=Dashboard!$C$6),OR(Dashboard!$F$6="All",G4745=Dashboard!$F$6),OR(Dashboard!$I$6="All",H4745=Dashboard!$I$6)),1,0)</f>
        <v/>
      </c>
    </row>
    <row r="4746">
      <c r="A4746" t="inlineStr">
        <is>
          <t>PF104737</t>
        </is>
      </c>
      <c r="B4746" s="68" t="n">
        <v>46228</v>
      </c>
      <c r="C4746" s="69" t="n">
        <v>2026</v>
      </c>
      <c r="D4746" t="inlineStr">
        <is>
          <t>Jul</t>
        </is>
      </c>
      <c r="E4746" t="inlineStr">
        <is>
          <t>Europe</t>
        </is>
      </c>
      <c r="F4746" t="inlineStr">
        <is>
          <t>France</t>
        </is>
      </c>
      <c r="G4746" t="inlineStr">
        <is>
          <t>Eliquis</t>
        </is>
      </c>
      <c r="H4746" t="inlineStr">
        <is>
          <t>Hospital</t>
        </is>
      </c>
      <c r="I4746" t="inlineStr">
        <is>
          <t>Self-pay</t>
        </is>
      </c>
      <c r="J4746" t="inlineStr">
        <is>
          <t>Lucas Martin</t>
        </is>
      </c>
      <c r="K4746" s="70" t="n">
        <v>2318</v>
      </c>
      <c r="L4746" s="71" t="n">
        <v>431.95</v>
      </c>
      <c r="M4746" s="71" t="n">
        <v>1001260.1</v>
      </c>
      <c r="N4746" s="71" t="n">
        <v>100126.01</v>
      </c>
      <c r="O4746" s="71" t="n">
        <v>901134.09</v>
      </c>
      <c r="P4746" s="71" t="n">
        <v>181247.38</v>
      </c>
      <c r="Q4746" s="71" t="n">
        <v>719886.71</v>
      </c>
      <c r="R4746" t="inlineStr">
        <is>
          <t>Cardiology</t>
        </is>
      </c>
      <c r="S4746" s="70" t="n">
        <v>1769</v>
      </c>
      <c r="T4746" s="71" t="n">
        <v>175755.85</v>
      </c>
      <c r="U4746" t="inlineStr">
        <is>
          <t>High</t>
        </is>
      </c>
      <c r="V4746">
        <f>IF(AND(OR(Dashboard!$C$6="All",E4746=Dashboard!$C$6),OR(Dashboard!$F$6="All",G4746=Dashboard!$F$6),OR(Dashboard!$I$6="All",H4746=Dashboard!$I$6)),1,0)</f>
        <v/>
      </c>
    </row>
    <row r="4747">
      <c r="A4747" t="inlineStr">
        <is>
          <t>PF104738</t>
        </is>
      </c>
      <c r="B4747" s="68" t="n">
        <v>46228</v>
      </c>
      <c r="C4747" s="69" t="n">
        <v>2026</v>
      </c>
      <c r="D4747" t="inlineStr">
        <is>
          <t>Jul</t>
        </is>
      </c>
      <c r="E4747" t="inlineStr">
        <is>
          <t>United States</t>
        </is>
      </c>
      <c r="F4747" t="inlineStr">
        <is>
          <t>USA</t>
        </is>
      </c>
      <c r="G4747" t="inlineStr">
        <is>
          <t>Prevnar 20</t>
        </is>
      </c>
      <c r="H4747" t="inlineStr">
        <is>
          <t>Retail pharmacy</t>
        </is>
      </c>
      <c r="I4747" t="inlineStr">
        <is>
          <t>Private insurer</t>
        </is>
      </c>
      <c r="J4747" t="inlineStr">
        <is>
          <t>Wei Chen</t>
        </is>
      </c>
      <c r="K4747" s="70" t="n">
        <v>264</v>
      </c>
      <c r="L4747" s="71" t="n">
        <v>366.12</v>
      </c>
      <c r="M4747" s="71" t="n">
        <v>96655.67999999999</v>
      </c>
      <c r="N4747" s="71" t="n">
        <v>33829.49</v>
      </c>
      <c r="O4747" s="71" t="n">
        <v>62826.19</v>
      </c>
      <c r="P4747" s="71" t="n">
        <v>18302.19</v>
      </c>
      <c r="Q4747" s="71" t="n">
        <v>44524</v>
      </c>
      <c r="R4747" t="inlineStr">
        <is>
          <t>Vaccines</t>
        </is>
      </c>
      <c r="S4747" s="70" t="n">
        <v>197</v>
      </c>
      <c r="T4747" s="71" t="n">
        <v>17183.78</v>
      </c>
      <c r="U4747" t="inlineStr">
        <is>
          <t>Low</t>
        </is>
      </c>
      <c r="V4747">
        <f>IF(AND(OR(Dashboard!$C$6="All",E4747=Dashboard!$C$6),OR(Dashboard!$F$6="All",G4747=Dashboard!$F$6),OR(Dashboard!$I$6="All",H4747=Dashboard!$I$6)),1,0)</f>
        <v/>
      </c>
    </row>
    <row r="4748">
      <c r="A4748" t="inlineStr">
        <is>
          <t>PF104739</t>
        </is>
      </c>
      <c r="B4748" s="68" t="n">
        <v>46228</v>
      </c>
      <c r="C4748" s="69" t="n">
        <v>2026</v>
      </c>
      <c r="D4748" t="inlineStr">
        <is>
          <t>Jul</t>
        </is>
      </c>
      <c r="E4748" t="inlineStr">
        <is>
          <t>International developed</t>
        </is>
      </c>
      <c r="F4748" t="inlineStr">
        <is>
          <t>Australia</t>
        </is>
      </c>
      <c r="G4748" t="inlineStr">
        <is>
          <t>Eliquis</t>
        </is>
      </c>
      <c r="H4748" t="inlineStr">
        <is>
          <t>Hospital</t>
        </is>
      </c>
      <c r="I4748" t="inlineStr">
        <is>
          <t>Self-pay</t>
        </is>
      </c>
      <c r="J4748" t="inlineStr">
        <is>
          <t>Liam O'Brien</t>
        </is>
      </c>
      <c r="K4748" s="70" t="n">
        <v>1281</v>
      </c>
      <c r="L4748" s="71" t="n">
        <v>404.58</v>
      </c>
      <c r="M4748" s="71" t="n">
        <v>518266.98</v>
      </c>
      <c r="N4748" s="71" t="n">
        <v>77740.05</v>
      </c>
      <c r="O4748" s="71" t="n">
        <v>440526.93</v>
      </c>
      <c r="P4748" s="71" t="n">
        <v>96966.25</v>
      </c>
      <c r="Q4748" s="71" t="n">
        <v>343560.68</v>
      </c>
      <c r="R4748" t="inlineStr">
        <is>
          <t>Cardiology</t>
        </is>
      </c>
      <c r="S4748" s="70" t="n">
        <v>1177</v>
      </c>
      <c r="T4748" s="71" t="n">
        <v>66954.17999999999</v>
      </c>
      <c r="U4748" t="inlineStr">
        <is>
          <t>High</t>
        </is>
      </c>
      <c r="V4748">
        <f>IF(AND(OR(Dashboard!$C$6="All",E4748=Dashboard!$C$6),OR(Dashboard!$F$6="All",G4748=Dashboard!$F$6),OR(Dashboard!$I$6="All",H4748=Dashboard!$I$6)),1,0)</f>
        <v/>
      </c>
    </row>
    <row r="4749">
      <c r="A4749" t="inlineStr">
        <is>
          <t>PF104740</t>
        </is>
      </c>
      <c r="B4749" s="68" t="n">
        <v>46228</v>
      </c>
      <c r="C4749" s="69" t="n">
        <v>2026</v>
      </c>
      <c r="D4749" t="inlineStr">
        <is>
          <t>Jul</t>
        </is>
      </c>
      <c r="E4749" t="inlineStr">
        <is>
          <t>United States</t>
        </is>
      </c>
      <c r="F4749" t="inlineStr">
        <is>
          <t>USA</t>
        </is>
      </c>
      <c r="G4749" t="inlineStr">
        <is>
          <t>Xeljanz</t>
        </is>
      </c>
      <c r="H4749" t="inlineStr">
        <is>
          <t>Government / tender</t>
        </is>
      </c>
      <c r="I4749" t="inlineStr">
        <is>
          <t>Public payer</t>
        </is>
      </c>
      <c r="J4749" t="inlineStr">
        <is>
          <t>Lucas Martin</t>
        </is>
      </c>
      <c r="K4749" s="70" t="n">
        <v>1243</v>
      </c>
      <c r="L4749" s="71" t="n">
        <v>2048.09</v>
      </c>
      <c r="M4749" s="71" t="n">
        <v>2545775.87</v>
      </c>
      <c r="N4749" s="71" t="n">
        <v>509155.17</v>
      </c>
      <c r="O4749" s="71" t="n">
        <v>2036620.7</v>
      </c>
      <c r="P4749" s="71" t="n">
        <v>310604.15</v>
      </c>
      <c r="Q4749" s="71" t="n">
        <v>1726016.55</v>
      </c>
      <c r="R4749" t="inlineStr">
        <is>
          <t>Inflammation</t>
        </is>
      </c>
      <c r="S4749" s="70" t="n">
        <v>892</v>
      </c>
      <c r="T4749" s="71" t="n">
        <v>384752.62</v>
      </c>
      <c r="U4749" t="inlineStr">
        <is>
          <t>High</t>
        </is>
      </c>
      <c r="V4749">
        <f>IF(AND(OR(Dashboard!$C$6="All",E4749=Dashboard!$C$6),OR(Dashboard!$F$6="All",G4749=Dashboard!$F$6),OR(Dashboard!$I$6="All",H4749=Dashboard!$I$6)),1,0)</f>
        <v/>
      </c>
    </row>
    <row r="4750">
      <c r="A4750" t="inlineStr">
        <is>
          <t>PF104741</t>
        </is>
      </c>
      <c r="B4750" s="68" t="n">
        <v>46228</v>
      </c>
      <c r="C4750" s="69" t="n">
        <v>2026</v>
      </c>
      <c r="D4750" t="inlineStr">
        <is>
          <t>Jul</t>
        </is>
      </c>
      <c r="E4750" t="inlineStr">
        <is>
          <t>United States</t>
        </is>
      </c>
      <c r="F4750" t="inlineStr">
        <is>
          <t>USA</t>
        </is>
      </c>
      <c r="G4750" t="inlineStr">
        <is>
          <t>Prevnar 20</t>
        </is>
      </c>
      <c r="H4750" t="inlineStr">
        <is>
          <t>Government / tender</t>
        </is>
      </c>
      <c r="I4750" t="inlineStr">
        <is>
          <t>Public payer</t>
        </is>
      </c>
      <c r="J4750" t="inlineStr">
        <is>
          <t>Sara Rossi</t>
        </is>
      </c>
      <c r="K4750" s="70" t="n">
        <v>2516</v>
      </c>
      <c r="L4750" s="71" t="n">
        <v>378.17</v>
      </c>
      <c r="M4750" s="71" t="n">
        <v>951475.72</v>
      </c>
      <c r="N4750" s="71" t="n">
        <v>190295.14</v>
      </c>
      <c r="O4750" s="71" t="n">
        <v>761180.58</v>
      </c>
      <c r="P4750" s="71" t="n">
        <v>179645.52</v>
      </c>
      <c r="Q4750" s="71" t="n">
        <v>581535.0600000001</v>
      </c>
      <c r="R4750" t="inlineStr">
        <is>
          <t>Vaccines</t>
        </is>
      </c>
      <c r="S4750" s="70" t="n">
        <v>1688</v>
      </c>
      <c r="T4750" s="71" t="n">
        <v>136932.06</v>
      </c>
      <c r="U4750" t="inlineStr">
        <is>
          <t>Low</t>
        </is>
      </c>
      <c r="V4750">
        <f>IF(AND(OR(Dashboard!$C$6="All",E4750=Dashboard!$C$6),OR(Dashboard!$F$6="All",G4750=Dashboard!$F$6),OR(Dashboard!$I$6="All",H4750=Dashboard!$I$6)),1,0)</f>
        <v/>
      </c>
    </row>
    <row r="4751">
      <c r="A4751" t="inlineStr">
        <is>
          <t>PF104742</t>
        </is>
      </c>
      <c r="B4751" s="68" t="n">
        <v>46228</v>
      </c>
      <c r="C4751" s="69" t="n">
        <v>2026</v>
      </c>
      <c r="D4751" t="inlineStr">
        <is>
          <t>Jul</t>
        </is>
      </c>
      <c r="E4751" t="inlineStr">
        <is>
          <t>United States</t>
        </is>
      </c>
      <c r="F4751" t="inlineStr">
        <is>
          <t>USA</t>
        </is>
      </c>
      <c r="G4751" t="inlineStr">
        <is>
          <t>Vyndaqel</t>
        </is>
      </c>
      <c r="H4751" t="inlineStr">
        <is>
          <t>Government / tender</t>
        </is>
      </c>
      <c r="I4751" t="inlineStr">
        <is>
          <t>Private insurer</t>
        </is>
      </c>
      <c r="J4751" t="inlineStr">
        <is>
          <t>Wei Chen</t>
        </is>
      </c>
      <c r="K4751" s="70" t="n">
        <v>3033</v>
      </c>
      <c r="L4751" s="71" t="n">
        <v>9387.620000000001</v>
      </c>
      <c r="M4751" s="71" t="n">
        <v>28472651.46</v>
      </c>
      <c r="N4751" s="71" t="n">
        <v>8541795.439999999</v>
      </c>
      <c r="O4751" s="71" t="n">
        <v>19930856.02</v>
      </c>
      <c r="P4751" s="71" t="n">
        <v>1915571.38</v>
      </c>
      <c r="Q4751" s="71" t="n">
        <v>18015284.64</v>
      </c>
      <c r="R4751" t="inlineStr">
        <is>
          <t>Rare disease</t>
        </is>
      </c>
      <c r="S4751" s="70" t="n">
        <v>1949</v>
      </c>
      <c r="T4751" s="71" t="n">
        <v>5011596.51</v>
      </c>
      <c r="U4751" t="inlineStr">
        <is>
          <t>Medium</t>
        </is>
      </c>
      <c r="V4751">
        <f>IF(AND(OR(Dashboard!$C$6="All",E4751=Dashboard!$C$6),OR(Dashboard!$F$6="All",G4751=Dashboard!$F$6),OR(Dashboard!$I$6="All",H4751=Dashboard!$I$6)),1,0)</f>
        <v/>
      </c>
    </row>
    <row r="4752">
      <c r="A4752" t="inlineStr">
        <is>
          <t>PF104743</t>
        </is>
      </c>
      <c r="B4752" s="68" t="n">
        <v>46228</v>
      </c>
      <c r="C4752" s="69" t="n">
        <v>2026</v>
      </c>
      <c r="D4752" t="inlineStr">
        <is>
          <t>Jul</t>
        </is>
      </c>
      <c r="E4752" t="inlineStr">
        <is>
          <t>United States</t>
        </is>
      </c>
      <c r="F4752" t="inlineStr">
        <is>
          <t>USA</t>
        </is>
      </c>
      <c r="G4752" t="inlineStr">
        <is>
          <t>Xeljanz</t>
        </is>
      </c>
      <c r="H4752" t="inlineStr">
        <is>
          <t>Hospital</t>
        </is>
      </c>
      <c r="I4752" t="inlineStr">
        <is>
          <t>Public payer</t>
        </is>
      </c>
      <c r="J4752" t="inlineStr">
        <is>
          <t>Amir Khan</t>
        </is>
      </c>
      <c r="K4752" s="70" t="n">
        <v>2808</v>
      </c>
      <c r="L4752" s="71" t="n">
        <v>2265.35</v>
      </c>
      <c r="M4752" s="71" t="n">
        <v>6361102.8</v>
      </c>
      <c r="N4752" s="71" t="n">
        <v>1272220.56</v>
      </c>
      <c r="O4752" s="71" t="n">
        <v>5088882.24</v>
      </c>
      <c r="P4752" s="71" t="n">
        <v>695612.84</v>
      </c>
      <c r="Q4752" s="71" t="n">
        <v>4393269.4</v>
      </c>
      <c r="R4752" t="inlineStr">
        <is>
          <t>Inflammation</t>
        </is>
      </c>
      <c r="S4752" s="70" t="n">
        <v>2672</v>
      </c>
      <c r="T4752" s="71" t="n">
        <v>1190968.52</v>
      </c>
      <c r="U4752" t="inlineStr">
        <is>
          <t>High</t>
        </is>
      </c>
      <c r="V4752">
        <f>IF(AND(OR(Dashboard!$C$6="All",E4752=Dashboard!$C$6),OR(Dashboard!$F$6="All",G4752=Dashboard!$F$6),OR(Dashboard!$I$6="All",H4752=Dashboard!$I$6)),1,0)</f>
        <v/>
      </c>
    </row>
    <row r="4753">
      <c r="A4753" t="inlineStr">
        <is>
          <t>PF104744</t>
        </is>
      </c>
      <c r="B4753" s="68" t="n">
        <v>46229</v>
      </c>
      <c r="C4753" s="69" t="n">
        <v>2026</v>
      </c>
      <c r="D4753" t="inlineStr">
        <is>
          <t>Jul</t>
        </is>
      </c>
      <c r="E4753" t="inlineStr">
        <is>
          <t>United States</t>
        </is>
      </c>
      <c r="F4753" t="inlineStr">
        <is>
          <t>USA</t>
        </is>
      </c>
      <c r="G4753" t="inlineStr">
        <is>
          <t>Vyndaqel</t>
        </is>
      </c>
      <c r="H4753" t="inlineStr">
        <is>
          <t>Retail pharmacy</t>
        </is>
      </c>
      <c r="I4753" t="inlineStr">
        <is>
          <t>Self-pay</t>
        </is>
      </c>
      <c r="J4753" t="inlineStr">
        <is>
          <t>Arjun Mehta</t>
        </is>
      </c>
      <c r="K4753" s="70" t="n">
        <v>870</v>
      </c>
      <c r="L4753" s="71" t="n">
        <v>9821.74</v>
      </c>
      <c r="M4753" s="71" t="n">
        <v>8544913.800000001</v>
      </c>
      <c r="N4753" s="71" t="n">
        <v>2136228.45</v>
      </c>
      <c r="O4753" s="71" t="n">
        <v>6408685.35</v>
      </c>
      <c r="P4753" s="71" t="n">
        <v>554815.61</v>
      </c>
      <c r="Q4753" s="71" t="n">
        <v>5853869.74</v>
      </c>
      <c r="R4753" t="inlineStr">
        <is>
          <t>Rare disease</t>
        </is>
      </c>
      <c r="S4753" s="70" t="n">
        <v>764</v>
      </c>
      <c r="T4753" s="71" t="n">
        <v>1265271.68</v>
      </c>
      <c r="U4753" t="inlineStr">
        <is>
          <t>Medium</t>
        </is>
      </c>
      <c r="V4753">
        <f>IF(AND(OR(Dashboard!$C$6="All",E4753=Dashboard!$C$6),OR(Dashboard!$F$6="All",G4753=Dashboard!$F$6),OR(Dashboard!$I$6="All",H4753=Dashboard!$I$6)),1,0)</f>
        <v/>
      </c>
    </row>
    <row r="4754">
      <c r="A4754" t="inlineStr">
        <is>
          <t>PF104745</t>
        </is>
      </c>
      <c r="B4754" s="68" t="n">
        <v>46229</v>
      </c>
      <c r="C4754" s="69" t="n">
        <v>2026</v>
      </c>
      <c r="D4754" t="inlineStr">
        <is>
          <t>Jul</t>
        </is>
      </c>
      <c r="E4754" t="inlineStr">
        <is>
          <t>Europe</t>
        </is>
      </c>
      <c r="F4754" t="inlineStr">
        <is>
          <t>Italy</t>
        </is>
      </c>
      <c r="G4754" t="inlineStr">
        <is>
          <t>Vyndaqel</t>
        </is>
      </c>
      <c r="H4754" t="inlineStr">
        <is>
          <t>Government / tender</t>
        </is>
      </c>
      <c r="I4754" t="inlineStr">
        <is>
          <t>Private insurer</t>
        </is>
      </c>
      <c r="J4754" t="inlineStr">
        <is>
          <t>Yuki Sato</t>
        </is>
      </c>
      <c r="K4754" s="70" t="n">
        <v>1967</v>
      </c>
      <c r="L4754" s="71" t="n">
        <v>5716.52</v>
      </c>
      <c r="M4754" s="71" t="n">
        <v>11244394.84</v>
      </c>
      <c r="N4754" s="71" t="n">
        <v>1686659.23</v>
      </c>
      <c r="O4754" s="71" t="n">
        <v>9557735.609999999</v>
      </c>
      <c r="P4754" s="71" t="n">
        <v>1232456.95</v>
      </c>
      <c r="Q4754" s="71" t="n">
        <v>8325278.66</v>
      </c>
      <c r="R4754" t="inlineStr">
        <is>
          <t>Rare disease</t>
        </is>
      </c>
      <c r="S4754" s="70" t="n">
        <v>1342</v>
      </c>
      <c r="T4754" s="71" t="n">
        <v>2121677.84</v>
      </c>
      <c r="U4754" t="inlineStr">
        <is>
          <t>Medium</t>
        </is>
      </c>
      <c r="V4754">
        <f>IF(AND(OR(Dashboard!$C$6="All",E4754=Dashboard!$C$6),OR(Dashboard!$F$6="All",G4754=Dashboard!$F$6),OR(Dashboard!$I$6="All",H4754=Dashboard!$I$6)),1,0)</f>
        <v/>
      </c>
    </row>
    <row r="4755">
      <c r="A4755" t="inlineStr">
        <is>
          <t>PF104746</t>
        </is>
      </c>
      <c r="B4755" s="68" t="n">
        <v>46229</v>
      </c>
      <c r="C4755" s="69" t="n">
        <v>2026</v>
      </c>
      <c r="D4755" t="inlineStr">
        <is>
          <t>Jul</t>
        </is>
      </c>
      <c r="E4755" t="inlineStr">
        <is>
          <t>Europe</t>
        </is>
      </c>
      <c r="F4755" t="inlineStr">
        <is>
          <t>Germany</t>
        </is>
      </c>
      <c r="G4755" t="inlineStr">
        <is>
          <t>Comirnaty</t>
        </is>
      </c>
      <c r="H4755" t="inlineStr">
        <is>
          <t>Hospital</t>
        </is>
      </c>
      <c r="I4755" t="inlineStr">
        <is>
          <t>Self-pay</t>
        </is>
      </c>
      <c r="J4755" t="inlineStr">
        <is>
          <t>Liam O'Brien</t>
        </is>
      </c>
      <c r="K4755" s="70" t="n">
        <v>2053</v>
      </c>
      <c r="L4755" s="71" t="n">
        <v>81.94</v>
      </c>
      <c r="M4755" s="71" t="n">
        <v>168222.82</v>
      </c>
      <c r="N4755" s="71" t="n">
        <v>42055.71</v>
      </c>
      <c r="O4755" s="71" t="n">
        <v>126167.11</v>
      </c>
      <c r="P4755" s="71" t="n">
        <v>80550.59</v>
      </c>
      <c r="Q4755" s="71" t="n">
        <v>45616.52</v>
      </c>
      <c r="R4755" t="inlineStr">
        <is>
          <t>Vaccines</t>
        </is>
      </c>
      <c r="S4755" s="70" t="n">
        <v>1403</v>
      </c>
      <c r="T4755" s="71" t="n">
        <v>33600.53</v>
      </c>
      <c r="U4755" t="inlineStr">
        <is>
          <t>Low</t>
        </is>
      </c>
      <c r="V4755">
        <f>IF(AND(OR(Dashboard!$C$6="All",E4755=Dashboard!$C$6),OR(Dashboard!$F$6="All",G4755=Dashboard!$F$6),OR(Dashboard!$I$6="All",H4755=Dashboard!$I$6)),1,0)</f>
        <v/>
      </c>
    </row>
    <row r="4756">
      <c r="A4756" t="inlineStr">
        <is>
          <t>PF104747</t>
        </is>
      </c>
      <c r="B4756" s="68" t="n">
        <v>46229</v>
      </c>
      <c r="C4756" s="69" t="n">
        <v>2026</v>
      </c>
      <c r="D4756" t="inlineStr">
        <is>
          <t>Jul</t>
        </is>
      </c>
      <c r="E4756" t="inlineStr">
        <is>
          <t>United States</t>
        </is>
      </c>
      <c r="F4756" t="inlineStr">
        <is>
          <t>USA</t>
        </is>
      </c>
      <c r="G4756" t="inlineStr">
        <is>
          <t>Eliquis</t>
        </is>
      </c>
      <c r="H4756" t="inlineStr">
        <is>
          <t>Retail pharmacy</t>
        </is>
      </c>
      <c r="I4756" t="inlineStr">
        <is>
          <t>Public payer</t>
        </is>
      </c>
      <c r="J4756" t="inlineStr">
        <is>
          <t>Noah Smith</t>
        </is>
      </c>
      <c r="K4756" s="70" t="n">
        <v>1352</v>
      </c>
      <c r="L4756" s="71" t="n">
        <v>683.02</v>
      </c>
      <c r="M4756" s="71" t="n">
        <v>923443.04</v>
      </c>
      <c r="N4756" s="71" t="n">
        <v>184688.61</v>
      </c>
      <c r="O4756" s="71" t="n">
        <v>738754.4300000001</v>
      </c>
      <c r="P4756" s="71" t="n">
        <v>100658.98</v>
      </c>
      <c r="Q4756" s="71" t="n">
        <v>638095.45</v>
      </c>
      <c r="R4756" t="inlineStr">
        <is>
          <t>Cardiology</t>
        </is>
      </c>
      <c r="S4756" s="70" t="n">
        <v>877</v>
      </c>
      <c r="T4756" s="71" t="n">
        <v>138325.9</v>
      </c>
      <c r="U4756" t="inlineStr">
        <is>
          <t>High</t>
        </is>
      </c>
      <c r="V4756">
        <f>IF(AND(OR(Dashboard!$C$6="All",E4756=Dashboard!$C$6),OR(Dashboard!$F$6="All",G4756=Dashboard!$F$6),OR(Dashboard!$I$6="All",H4756=Dashboard!$I$6)),1,0)</f>
        <v/>
      </c>
    </row>
    <row r="4757">
      <c r="A4757" t="inlineStr">
        <is>
          <t>PF104748</t>
        </is>
      </c>
      <c r="B4757" s="68" t="n">
        <v>46229</v>
      </c>
      <c r="C4757" s="69" t="n">
        <v>2026</v>
      </c>
      <c r="D4757" t="inlineStr">
        <is>
          <t>Jul</t>
        </is>
      </c>
      <c r="E4757" t="inlineStr">
        <is>
          <t>United States</t>
        </is>
      </c>
      <c r="F4757" t="inlineStr">
        <is>
          <t>USA</t>
        </is>
      </c>
      <c r="G4757" t="inlineStr">
        <is>
          <t>Eliquis</t>
        </is>
      </c>
      <c r="H4757" t="inlineStr">
        <is>
          <t>Hospital</t>
        </is>
      </c>
      <c r="I4757" t="inlineStr">
        <is>
          <t>Public payer</t>
        </is>
      </c>
      <c r="J4757" t="inlineStr">
        <is>
          <t>Kofi Mensah</t>
        </is>
      </c>
      <c r="K4757" s="70" t="n">
        <v>2978</v>
      </c>
      <c r="L4757" s="71" t="n">
        <v>715.87</v>
      </c>
      <c r="M4757" s="71" t="n">
        <v>2131860.86</v>
      </c>
      <c r="N4757" s="71" t="n">
        <v>639558.26</v>
      </c>
      <c r="O4757" s="71" t="n">
        <v>1492302.6</v>
      </c>
      <c r="P4757" s="71" t="n">
        <v>222767.99</v>
      </c>
      <c r="Q4757" s="71" t="n">
        <v>1269534.61</v>
      </c>
      <c r="R4757" t="inlineStr">
        <is>
          <t>Cardiology</t>
        </is>
      </c>
      <c r="S4757" s="70" t="n">
        <v>2626</v>
      </c>
      <c r="T4757" s="71" t="n">
        <v>369622.08</v>
      </c>
      <c r="U4757" t="inlineStr">
        <is>
          <t>High</t>
        </is>
      </c>
      <c r="V4757">
        <f>IF(AND(OR(Dashboard!$C$6="All",E4757=Dashboard!$C$6),OR(Dashboard!$F$6="All",G4757=Dashboard!$F$6),OR(Dashboard!$I$6="All",H4757=Dashboard!$I$6)),1,0)</f>
        <v/>
      </c>
    </row>
    <row r="4758">
      <c r="A4758" t="inlineStr">
        <is>
          <t>PF104749</t>
        </is>
      </c>
      <c r="B4758" s="68" t="n">
        <v>46229</v>
      </c>
      <c r="C4758" s="69" t="n">
        <v>2026</v>
      </c>
      <c r="D4758" t="inlineStr">
        <is>
          <t>Jul</t>
        </is>
      </c>
      <c r="E4758" t="inlineStr">
        <is>
          <t>Emerging markets</t>
        </is>
      </c>
      <c r="F4758" t="inlineStr">
        <is>
          <t>India</t>
        </is>
      </c>
      <c r="G4758" t="inlineStr">
        <is>
          <t>Prevnar 20</t>
        </is>
      </c>
      <c r="H4758" t="inlineStr">
        <is>
          <t>Hospital</t>
        </is>
      </c>
      <c r="I4758" t="inlineStr">
        <is>
          <t>Private insurer</t>
        </is>
      </c>
      <c r="J4758" t="inlineStr">
        <is>
          <t>Fatima Al-Saud</t>
        </is>
      </c>
      <c r="K4758" s="70" t="n">
        <v>2868</v>
      </c>
      <c r="L4758" s="71" t="n">
        <v>239.28</v>
      </c>
      <c r="M4758" s="71" t="n">
        <v>686255.04</v>
      </c>
      <c r="N4758" s="71" t="n">
        <v>68625.5</v>
      </c>
      <c r="O4758" s="71" t="n">
        <v>617629.54</v>
      </c>
      <c r="P4758" s="71" t="n">
        <v>198100.6</v>
      </c>
      <c r="Q4758" s="71" t="n">
        <v>419528.94</v>
      </c>
      <c r="R4758" t="inlineStr">
        <is>
          <t>Vaccines</t>
        </is>
      </c>
      <c r="S4758" s="70" t="n">
        <v>2377</v>
      </c>
      <c r="T4758" s="71" t="n">
        <v>140363.03</v>
      </c>
      <c r="U4758" t="inlineStr">
        <is>
          <t>Low</t>
        </is>
      </c>
      <c r="V4758">
        <f>IF(AND(OR(Dashboard!$C$6="All",E4758=Dashboard!$C$6),OR(Dashboard!$F$6="All",G4758=Dashboard!$F$6),OR(Dashboard!$I$6="All",H4758=Dashboard!$I$6)),1,0)</f>
        <v/>
      </c>
    </row>
    <row r="4759">
      <c r="A4759" t="inlineStr">
        <is>
          <t>PF104750</t>
        </is>
      </c>
      <c r="B4759" s="68" t="n">
        <v>46229</v>
      </c>
      <c r="C4759" s="69" t="n">
        <v>2026</v>
      </c>
      <c r="D4759" t="inlineStr">
        <is>
          <t>Jul</t>
        </is>
      </c>
      <c r="E4759" t="inlineStr">
        <is>
          <t>Europe</t>
        </is>
      </c>
      <c r="F4759" t="inlineStr">
        <is>
          <t>Germany</t>
        </is>
      </c>
      <c r="G4759" t="inlineStr">
        <is>
          <t>Prevnar 20</t>
        </is>
      </c>
      <c r="H4759" t="inlineStr">
        <is>
          <t>Retail pharmacy</t>
        </is>
      </c>
      <c r="I4759" t="inlineStr">
        <is>
          <t>Public payer</t>
        </is>
      </c>
      <c r="J4759" t="inlineStr">
        <is>
          <t>Yuki Sato</t>
        </is>
      </c>
      <c r="K4759" s="70" t="n">
        <v>2146</v>
      </c>
      <c r="L4759" s="71" t="n">
        <v>214.76</v>
      </c>
      <c r="M4759" s="71" t="n">
        <v>460874.96</v>
      </c>
      <c r="N4759" s="71" t="n">
        <v>46087.5</v>
      </c>
      <c r="O4759" s="71" t="n">
        <v>414787.46</v>
      </c>
      <c r="P4759" s="71" t="n">
        <v>145148.99</v>
      </c>
      <c r="Q4759" s="71" t="n">
        <v>269638.47</v>
      </c>
      <c r="R4759" t="inlineStr">
        <is>
          <t>Vaccines</t>
        </is>
      </c>
      <c r="S4759" s="70" t="n">
        <v>1747</v>
      </c>
      <c r="T4759" s="71" t="n">
        <v>64765.96</v>
      </c>
      <c r="U4759" t="inlineStr">
        <is>
          <t>Low</t>
        </is>
      </c>
      <c r="V4759">
        <f>IF(AND(OR(Dashboard!$C$6="All",E4759=Dashboard!$C$6),OR(Dashboard!$F$6="All",G4759=Dashboard!$F$6),OR(Dashboard!$I$6="All",H4759=Dashboard!$I$6)),1,0)</f>
        <v/>
      </c>
    </row>
    <row r="4760">
      <c r="A4760" t="inlineStr">
        <is>
          <t>PF104751</t>
        </is>
      </c>
      <c r="B4760" s="68" t="n">
        <v>46229</v>
      </c>
      <c r="C4760" s="69" t="n">
        <v>2026</v>
      </c>
      <c r="D4760" t="inlineStr">
        <is>
          <t>Jul</t>
        </is>
      </c>
      <c r="E4760" t="inlineStr">
        <is>
          <t>United States</t>
        </is>
      </c>
      <c r="F4760" t="inlineStr">
        <is>
          <t>USA</t>
        </is>
      </c>
      <c r="G4760" t="inlineStr">
        <is>
          <t>Paxlovid</t>
        </is>
      </c>
      <c r="H4760" t="inlineStr">
        <is>
          <t>Retail pharmacy</t>
        </is>
      </c>
      <c r="I4760" t="inlineStr">
        <is>
          <t>Private insurer</t>
        </is>
      </c>
      <c r="J4760" t="inlineStr">
        <is>
          <t>Priya Nair</t>
        </is>
      </c>
      <c r="K4760" s="70" t="n">
        <v>1284</v>
      </c>
      <c r="L4760" s="71" t="n">
        <v>1400.55</v>
      </c>
      <c r="M4760" s="71" t="n">
        <v>1798306.2</v>
      </c>
      <c r="N4760" s="71" t="n">
        <v>449576.55</v>
      </c>
      <c r="O4760" s="71" t="n">
        <v>1348729.65</v>
      </c>
      <c r="P4760" s="71" t="n">
        <v>351046.51</v>
      </c>
      <c r="Q4760" s="71" t="n">
        <v>997683.14</v>
      </c>
      <c r="R4760" t="inlineStr">
        <is>
          <t>Antiviral</t>
        </is>
      </c>
      <c r="S4760" s="70" t="n">
        <v>913</v>
      </c>
      <c r="T4760" s="71" t="n">
        <v>401240.11</v>
      </c>
      <c r="U4760" t="inlineStr">
        <is>
          <t>Low</t>
        </is>
      </c>
      <c r="V4760">
        <f>IF(AND(OR(Dashboard!$C$6="All",E4760=Dashboard!$C$6),OR(Dashboard!$F$6="All",G4760=Dashboard!$F$6),OR(Dashboard!$I$6="All",H4760=Dashboard!$I$6)),1,0)</f>
        <v/>
      </c>
    </row>
    <row r="4761">
      <c r="A4761" t="inlineStr">
        <is>
          <t>PF104752</t>
        </is>
      </c>
      <c r="B4761" s="68" t="n">
        <v>46229</v>
      </c>
      <c r="C4761" s="69" t="n">
        <v>2026</v>
      </c>
      <c r="D4761" t="inlineStr">
        <is>
          <t>Jul</t>
        </is>
      </c>
      <c r="E4761" t="inlineStr">
        <is>
          <t>United States</t>
        </is>
      </c>
      <c r="F4761" t="inlineStr">
        <is>
          <t>USA</t>
        </is>
      </c>
      <c r="G4761" t="inlineStr">
        <is>
          <t>Paxlovid</t>
        </is>
      </c>
      <c r="H4761" t="inlineStr">
        <is>
          <t>Retail pharmacy</t>
        </is>
      </c>
      <c r="I4761" t="inlineStr">
        <is>
          <t>Private insurer</t>
        </is>
      </c>
      <c r="J4761" t="inlineStr">
        <is>
          <t>Liam O'Brien</t>
        </is>
      </c>
      <c r="K4761" s="70" t="n">
        <v>780</v>
      </c>
      <c r="L4761" s="71" t="n">
        <v>1457.51</v>
      </c>
      <c r="M4761" s="71" t="n">
        <v>1136857.8</v>
      </c>
      <c r="N4761" s="71" t="n">
        <v>397900.23</v>
      </c>
      <c r="O4761" s="71" t="n">
        <v>738957.5699999999</v>
      </c>
      <c r="P4761" s="71" t="n">
        <v>222646.76</v>
      </c>
      <c r="Q4761" s="71" t="n">
        <v>516310.81</v>
      </c>
      <c r="R4761" t="inlineStr">
        <is>
          <t>Antiviral</t>
        </is>
      </c>
      <c r="S4761" s="70" t="n">
        <v>670</v>
      </c>
      <c r="T4761" s="71" t="n">
        <v>197753.83</v>
      </c>
      <c r="U4761" t="inlineStr">
        <is>
          <t>Low</t>
        </is>
      </c>
      <c r="V4761">
        <f>IF(AND(OR(Dashboard!$C$6="All",E4761=Dashboard!$C$6),OR(Dashboard!$F$6="All",G4761=Dashboard!$F$6),OR(Dashboard!$I$6="All",H4761=Dashboard!$I$6)),1,0)</f>
        <v/>
      </c>
    </row>
    <row r="4762">
      <c r="A4762" t="inlineStr">
        <is>
          <t>PF104753</t>
        </is>
      </c>
      <c r="B4762" s="68" t="n">
        <v>46229</v>
      </c>
      <c r="C4762" s="69" t="n">
        <v>2026</v>
      </c>
      <c r="D4762" t="inlineStr">
        <is>
          <t>Jul</t>
        </is>
      </c>
      <c r="E4762" t="inlineStr">
        <is>
          <t>International developed</t>
        </is>
      </c>
      <c r="F4762" t="inlineStr">
        <is>
          <t>Australia</t>
        </is>
      </c>
      <c r="G4762" t="inlineStr">
        <is>
          <t>Eliquis</t>
        </is>
      </c>
      <c r="H4762" t="inlineStr">
        <is>
          <t>Hospital</t>
        </is>
      </c>
      <c r="I4762" t="inlineStr">
        <is>
          <t>Public payer</t>
        </is>
      </c>
      <c r="J4762" t="inlineStr">
        <is>
          <t>Carlos Silva</t>
        </is>
      </c>
      <c r="K4762" s="70" t="n">
        <v>1966</v>
      </c>
      <c r="L4762" s="71" t="n">
        <v>440.81</v>
      </c>
      <c r="M4762" s="71" t="n">
        <v>866632.46</v>
      </c>
      <c r="N4762" s="71" t="n">
        <v>43331.62</v>
      </c>
      <c r="O4762" s="71" t="n">
        <v>823300.84</v>
      </c>
      <c r="P4762" s="71" t="n">
        <v>147889.93</v>
      </c>
      <c r="Q4762" s="71" t="n">
        <v>675410.91</v>
      </c>
      <c r="R4762" t="inlineStr">
        <is>
          <t>Cardiology</t>
        </is>
      </c>
      <c r="S4762" s="70" t="n">
        <v>1683</v>
      </c>
      <c r="T4762" s="71" t="n">
        <v>162397.61</v>
      </c>
      <c r="U4762" t="inlineStr">
        <is>
          <t>High</t>
        </is>
      </c>
      <c r="V4762">
        <f>IF(AND(OR(Dashboard!$C$6="All",E4762=Dashboard!$C$6),OR(Dashboard!$F$6="All",G4762=Dashboard!$F$6),OR(Dashboard!$I$6="All",H4762=Dashboard!$I$6)),1,0)</f>
        <v/>
      </c>
    </row>
    <row r="4763">
      <c r="A4763" t="inlineStr">
        <is>
          <t>PF104754</t>
        </is>
      </c>
      <c r="B4763" s="68" t="n">
        <v>46230</v>
      </c>
      <c r="C4763" s="69" t="n">
        <v>2026</v>
      </c>
      <c r="D4763" t="inlineStr">
        <is>
          <t>Jul</t>
        </is>
      </c>
      <c r="E4763" t="inlineStr">
        <is>
          <t>United States</t>
        </is>
      </c>
      <c r="F4763" t="inlineStr">
        <is>
          <t>USA</t>
        </is>
      </c>
      <c r="G4763" t="inlineStr">
        <is>
          <t>Prevnar 20</t>
        </is>
      </c>
      <c r="H4763" t="inlineStr">
        <is>
          <t>Hospital</t>
        </is>
      </c>
      <c r="I4763" t="inlineStr">
        <is>
          <t>Private insurer</t>
        </is>
      </c>
      <c r="J4763" t="inlineStr">
        <is>
          <t>Ravindra Patil</t>
        </is>
      </c>
      <c r="K4763" s="70" t="n">
        <v>2854</v>
      </c>
      <c r="L4763" s="71" t="n">
        <v>372.86</v>
      </c>
      <c r="M4763" s="71" t="n">
        <v>1064142.44</v>
      </c>
      <c r="N4763" s="71" t="n">
        <v>319242.73</v>
      </c>
      <c r="O4763" s="71" t="n">
        <v>744899.71</v>
      </c>
      <c r="P4763" s="71" t="n">
        <v>196669.78</v>
      </c>
      <c r="Q4763" s="71" t="n">
        <v>548229.9300000001</v>
      </c>
      <c r="R4763" t="inlineStr">
        <is>
          <t>Vaccines</t>
        </is>
      </c>
      <c r="S4763" s="70" t="n">
        <v>2176</v>
      </c>
      <c r="T4763" s="71" t="n">
        <v>156024.83</v>
      </c>
      <c r="U4763" t="inlineStr">
        <is>
          <t>Low</t>
        </is>
      </c>
      <c r="V4763">
        <f>IF(AND(OR(Dashboard!$C$6="All",E4763=Dashboard!$C$6),OR(Dashboard!$F$6="All",G4763=Dashboard!$F$6),OR(Dashboard!$I$6="All",H4763=Dashboard!$I$6)),1,0)</f>
        <v/>
      </c>
    </row>
    <row r="4764">
      <c r="A4764" t="inlineStr">
        <is>
          <t>PF104755</t>
        </is>
      </c>
      <c r="B4764" s="68" t="n">
        <v>46230</v>
      </c>
      <c r="C4764" s="69" t="n">
        <v>2026</v>
      </c>
      <c r="D4764" t="inlineStr">
        <is>
          <t>Jul</t>
        </is>
      </c>
      <c r="E4764" t="inlineStr">
        <is>
          <t>Europe</t>
        </is>
      </c>
      <c r="F4764" t="inlineStr">
        <is>
          <t>Spain</t>
        </is>
      </c>
      <c r="G4764" t="inlineStr">
        <is>
          <t>Ibrance</t>
        </is>
      </c>
      <c r="H4764" t="inlineStr">
        <is>
          <t>Retail pharmacy</t>
        </is>
      </c>
      <c r="I4764" t="inlineStr">
        <is>
          <t>Self-pay</t>
        </is>
      </c>
      <c r="J4764" t="inlineStr">
        <is>
          <t>Noah Smith</t>
        </is>
      </c>
      <c r="K4764" s="70" t="n">
        <v>2716</v>
      </c>
      <c r="L4764" s="71" t="n">
        <v>2775.12</v>
      </c>
      <c r="M4764" s="71" t="n">
        <v>7537225.92</v>
      </c>
      <c r="N4764" s="71" t="n">
        <v>1884306.48</v>
      </c>
      <c r="O4764" s="71" t="n">
        <v>5652919.44</v>
      </c>
      <c r="P4764" s="71" t="n">
        <v>1197035.09</v>
      </c>
      <c r="Q4764" s="71" t="n">
        <v>4455884.35</v>
      </c>
      <c r="R4764" t="inlineStr">
        <is>
          <t>Oncology</t>
        </is>
      </c>
      <c r="S4764" s="70" t="n">
        <v>2419</v>
      </c>
      <c r="T4764" s="71" t="n">
        <v>1491192.15</v>
      </c>
      <c r="U4764" t="inlineStr">
        <is>
          <t>High</t>
        </is>
      </c>
      <c r="V4764">
        <f>IF(AND(OR(Dashboard!$C$6="All",E4764=Dashboard!$C$6),OR(Dashboard!$F$6="All",G4764=Dashboard!$F$6),OR(Dashboard!$I$6="All",H4764=Dashboard!$I$6)),1,0)</f>
        <v/>
      </c>
    </row>
    <row r="4765">
      <c r="A4765" t="inlineStr">
        <is>
          <t>PF104756</t>
        </is>
      </c>
      <c r="B4765" s="68" t="n">
        <v>46230</v>
      </c>
      <c r="C4765" s="69" t="n">
        <v>2026</v>
      </c>
      <c r="D4765" t="inlineStr">
        <is>
          <t>Jul</t>
        </is>
      </c>
      <c r="E4765" t="inlineStr">
        <is>
          <t>Europe</t>
        </is>
      </c>
      <c r="F4765" t="inlineStr">
        <is>
          <t>Germany</t>
        </is>
      </c>
      <c r="G4765" t="inlineStr">
        <is>
          <t>Comirnaty</t>
        </is>
      </c>
      <c r="H4765" t="inlineStr">
        <is>
          <t>Hospital</t>
        </is>
      </c>
      <c r="I4765" t="inlineStr">
        <is>
          <t>Private insurer</t>
        </is>
      </c>
      <c r="J4765" t="inlineStr">
        <is>
          <t>Aisha Bello</t>
        </is>
      </c>
      <c r="K4765" s="70" t="n">
        <v>1968</v>
      </c>
      <c r="L4765" s="71" t="n">
        <v>87.31</v>
      </c>
      <c r="M4765" s="71" t="n">
        <v>171826.08</v>
      </c>
      <c r="N4765" s="71" t="n">
        <v>17182.61</v>
      </c>
      <c r="O4765" s="71" t="n">
        <v>154643.47</v>
      </c>
      <c r="P4765" s="71" t="n">
        <v>76041.03</v>
      </c>
      <c r="Q4765" s="71" t="n">
        <v>78602.44</v>
      </c>
      <c r="R4765" t="inlineStr">
        <is>
          <t>Vaccines</t>
        </is>
      </c>
      <c r="S4765" s="70" t="n">
        <v>1709</v>
      </c>
      <c r="T4765" s="71" t="n">
        <v>35613.57</v>
      </c>
      <c r="U4765" t="inlineStr">
        <is>
          <t>Low</t>
        </is>
      </c>
      <c r="V4765">
        <f>IF(AND(OR(Dashboard!$C$6="All",E4765=Dashboard!$C$6),OR(Dashboard!$F$6="All",G4765=Dashboard!$F$6),OR(Dashboard!$I$6="All",H4765=Dashboard!$I$6)),1,0)</f>
        <v/>
      </c>
    </row>
    <row r="4766">
      <c r="A4766" t="inlineStr">
        <is>
          <t>PF104757</t>
        </is>
      </c>
      <c r="B4766" s="68" t="n">
        <v>46230</v>
      </c>
      <c r="C4766" s="69" t="n">
        <v>2026</v>
      </c>
      <c r="D4766" t="inlineStr">
        <is>
          <t>Jul</t>
        </is>
      </c>
      <c r="E4766" t="inlineStr">
        <is>
          <t>Europe</t>
        </is>
      </c>
      <c r="F4766" t="inlineStr">
        <is>
          <t>France</t>
        </is>
      </c>
      <c r="G4766" t="inlineStr">
        <is>
          <t>Abrysvo</t>
        </is>
      </c>
      <c r="H4766" t="inlineStr">
        <is>
          <t>Retail pharmacy</t>
        </is>
      </c>
      <c r="I4766" t="inlineStr">
        <is>
          <t>Private insurer</t>
        </is>
      </c>
      <c r="J4766" t="inlineStr">
        <is>
          <t>Arjun Mehta</t>
        </is>
      </c>
      <c r="K4766" s="70" t="n">
        <v>990</v>
      </c>
      <c r="L4766" s="71" t="n">
        <v>333.27</v>
      </c>
      <c r="M4766" s="71" t="n">
        <v>329937.3</v>
      </c>
      <c r="N4766" s="71" t="n">
        <v>65987.46000000001</v>
      </c>
      <c r="O4766" s="71" t="n">
        <v>263949.84</v>
      </c>
      <c r="P4766" s="71" t="n">
        <v>82571.08</v>
      </c>
      <c r="Q4766" s="71" t="n">
        <v>181378.76</v>
      </c>
      <c r="R4766" t="inlineStr">
        <is>
          <t>Vaccines</t>
        </is>
      </c>
      <c r="S4766" s="70" t="n">
        <v>762</v>
      </c>
      <c r="T4766" s="71" t="n">
        <v>58806.26</v>
      </c>
      <c r="U4766" t="inlineStr">
        <is>
          <t>Low</t>
        </is>
      </c>
      <c r="V4766">
        <f>IF(AND(OR(Dashboard!$C$6="All",E4766=Dashboard!$C$6),OR(Dashboard!$F$6="All",G4766=Dashboard!$F$6),OR(Dashboard!$I$6="All",H4766=Dashboard!$I$6)),1,0)</f>
        <v/>
      </c>
    </row>
    <row r="4767">
      <c r="A4767" t="inlineStr">
        <is>
          <t>PF104758</t>
        </is>
      </c>
      <c r="B4767" s="68" t="n">
        <v>46230</v>
      </c>
      <c r="C4767" s="69" t="n">
        <v>2026</v>
      </c>
      <c r="D4767" t="inlineStr">
        <is>
          <t>Jul</t>
        </is>
      </c>
      <c r="E4767" t="inlineStr">
        <is>
          <t>United States</t>
        </is>
      </c>
      <c r="F4767" t="inlineStr">
        <is>
          <t>USA</t>
        </is>
      </c>
      <c r="G4767" t="inlineStr">
        <is>
          <t>Comirnaty</t>
        </is>
      </c>
      <c r="H4767" t="inlineStr">
        <is>
          <t>Retail pharmacy</t>
        </is>
      </c>
      <c r="I4767" t="inlineStr">
        <is>
          <t>Public payer</t>
        </is>
      </c>
      <c r="J4767" t="inlineStr">
        <is>
          <t>Olivia Brown</t>
        </is>
      </c>
      <c r="K4767" s="70" t="n">
        <v>365</v>
      </c>
      <c r="L4767" s="71" t="n">
        <v>147.14</v>
      </c>
      <c r="M4767" s="71" t="n">
        <v>53706.1</v>
      </c>
      <c r="N4767" s="71" t="n">
        <v>8055.92</v>
      </c>
      <c r="O4767" s="71" t="n">
        <v>45650.18</v>
      </c>
      <c r="P4767" s="71" t="n">
        <v>13513.8</v>
      </c>
      <c r="Q4767" s="71" t="n">
        <v>32136.38</v>
      </c>
      <c r="R4767" t="inlineStr">
        <is>
          <t>Vaccines</t>
        </is>
      </c>
      <c r="S4767" s="70" t="n">
        <v>238</v>
      </c>
      <c r="T4767" s="71" t="n">
        <v>9239.48</v>
      </c>
      <c r="U4767" t="inlineStr">
        <is>
          <t>Low</t>
        </is>
      </c>
      <c r="V4767">
        <f>IF(AND(OR(Dashboard!$C$6="All",E4767=Dashboard!$C$6),OR(Dashboard!$F$6="All",G4767=Dashboard!$F$6),OR(Dashboard!$I$6="All",H4767=Dashboard!$I$6)),1,0)</f>
        <v/>
      </c>
    </row>
    <row r="4768">
      <c r="A4768" t="inlineStr">
        <is>
          <t>PF104759</t>
        </is>
      </c>
      <c r="B4768" s="68" t="n">
        <v>46230</v>
      </c>
      <c r="C4768" s="69" t="n">
        <v>2026</v>
      </c>
      <c r="D4768" t="inlineStr">
        <is>
          <t>Jul</t>
        </is>
      </c>
      <c r="E4768" t="inlineStr">
        <is>
          <t>United States</t>
        </is>
      </c>
      <c r="F4768" t="inlineStr">
        <is>
          <t>USA</t>
        </is>
      </c>
      <c r="G4768" t="inlineStr">
        <is>
          <t>Prevnar 20</t>
        </is>
      </c>
      <c r="H4768" t="inlineStr">
        <is>
          <t>Hospital</t>
        </is>
      </c>
      <c r="I4768" t="inlineStr">
        <is>
          <t>Public payer</t>
        </is>
      </c>
      <c r="J4768" t="inlineStr">
        <is>
          <t>Emma Clarke</t>
        </is>
      </c>
      <c r="K4768" s="70" t="n">
        <v>1693</v>
      </c>
      <c r="L4768" s="71" t="n">
        <v>354.55</v>
      </c>
      <c r="M4768" s="71" t="n">
        <v>600253.15</v>
      </c>
      <c r="N4768" s="71" t="n">
        <v>180075.95</v>
      </c>
      <c r="O4768" s="71" t="n">
        <v>420177.2</v>
      </c>
      <c r="P4768" s="71" t="n">
        <v>120396.04</v>
      </c>
      <c r="Q4768" s="71" t="n">
        <v>299781.16</v>
      </c>
      <c r="R4768" t="inlineStr">
        <is>
          <t>Vaccines</t>
        </is>
      </c>
      <c r="S4768" s="70" t="n">
        <v>1563</v>
      </c>
      <c r="T4768" s="71" t="n">
        <v>123223.3</v>
      </c>
      <c r="U4768" t="inlineStr">
        <is>
          <t>Low</t>
        </is>
      </c>
      <c r="V4768">
        <f>IF(AND(OR(Dashboard!$C$6="All",E4768=Dashboard!$C$6),OR(Dashboard!$F$6="All",G4768=Dashboard!$F$6),OR(Dashboard!$I$6="All",H4768=Dashboard!$I$6)),1,0)</f>
        <v/>
      </c>
    </row>
    <row r="4769">
      <c r="A4769" t="inlineStr">
        <is>
          <t>PF104760</t>
        </is>
      </c>
      <c r="B4769" s="68" t="n">
        <v>46230</v>
      </c>
      <c r="C4769" s="69" t="n">
        <v>2026</v>
      </c>
      <c r="D4769" t="inlineStr">
        <is>
          <t>Jul</t>
        </is>
      </c>
      <c r="E4769" t="inlineStr">
        <is>
          <t>International developed</t>
        </is>
      </c>
      <c r="F4769" t="inlineStr">
        <is>
          <t>Australia</t>
        </is>
      </c>
      <c r="G4769" t="inlineStr">
        <is>
          <t>Xeljanz</t>
        </is>
      </c>
      <c r="H4769" t="inlineStr">
        <is>
          <t>Hospital</t>
        </is>
      </c>
      <c r="I4769" t="inlineStr">
        <is>
          <t>Private insurer</t>
        </is>
      </c>
      <c r="J4769" t="inlineStr">
        <is>
          <t>Carlos Silva</t>
        </is>
      </c>
      <c r="K4769" s="70" t="n">
        <v>1638</v>
      </c>
      <c r="L4769" s="71" t="n">
        <v>1257.32</v>
      </c>
      <c r="M4769" s="71" t="n">
        <v>2059490.16</v>
      </c>
      <c r="N4769" s="71" t="n">
        <v>205949.02</v>
      </c>
      <c r="O4769" s="71" t="n">
        <v>1853541.14</v>
      </c>
      <c r="P4769" s="71" t="n">
        <v>399556.88</v>
      </c>
      <c r="Q4769" s="71" t="n">
        <v>1453984.26</v>
      </c>
      <c r="R4769" t="inlineStr">
        <is>
          <t>Inflammation</t>
        </is>
      </c>
      <c r="S4769" s="70" t="n">
        <v>1454</v>
      </c>
      <c r="T4769" s="71" t="n">
        <v>275821.67</v>
      </c>
      <c r="U4769" t="inlineStr">
        <is>
          <t>High</t>
        </is>
      </c>
      <c r="V4769">
        <f>IF(AND(OR(Dashboard!$C$6="All",E4769=Dashboard!$C$6),OR(Dashboard!$F$6="All",G4769=Dashboard!$F$6),OR(Dashboard!$I$6="All",H4769=Dashboard!$I$6)),1,0)</f>
        <v/>
      </c>
    </row>
    <row r="4770">
      <c r="A4770" t="inlineStr">
        <is>
          <t>PF104761</t>
        </is>
      </c>
      <c r="B4770" s="68" t="n">
        <v>46231</v>
      </c>
      <c r="C4770" s="69" t="n">
        <v>2026</v>
      </c>
      <c r="D4770" t="inlineStr">
        <is>
          <t>Jul</t>
        </is>
      </c>
      <c r="E4770" t="inlineStr">
        <is>
          <t>Emerging markets</t>
        </is>
      </c>
      <c r="F4770" t="inlineStr">
        <is>
          <t>Mexico</t>
        </is>
      </c>
      <c r="G4770" t="inlineStr">
        <is>
          <t>Comirnaty</t>
        </is>
      </c>
      <c r="H4770" t="inlineStr">
        <is>
          <t>Retail pharmacy</t>
        </is>
      </c>
      <c r="I4770" t="inlineStr">
        <is>
          <t>Self-pay</t>
        </is>
      </c>
      <c r="J4770" t="inlineStr">
        <is>
          <t>Sophie Müller</t>
        </is>
      </c>
      <c r="K4770" s="70" t="n">
        <v>1130</v>
      </c>
      <c r="L4770" s="71" t="n">
        <v>80.29000000000001</v>
      </c>
      <c r="M4770" s="71" t="n">
        <v>90727.7</v>
      </c>
      <c r="N4770" s="71" t="n">
        <v>13609.15</v>
      </c>
      <c r="O4770" s="71" t="n">
        <v>77118.55</v>
      </c>
      <c r="P4770" s="71" t="n">
        <v>42851.9</v>
      </c>
      <c r="Q4770" s="71" t="n">
        <v>34266.65</v>
      </c>
      <c r="R4770" t="inlineStr">
        <is>
          <t>Vaccines</t>
        </is>
      </c>
      <c r="S4770" s="70" t="n">
        <v>950</v>
      </c>
      <c r="T4770" s="71" t="n">
        <v>17186.67</v>
      </c>
      <c r="U4770" t="inlineStr">
        <is>
          <t>Low</t>
        </is>
      </c>
      <c r="V4770">
        <f>IF(AND(OR(Dashboard!$C$6="All",E4770=Dashboard!$C$6),OR(Dashboard!$F$6="All",G4770=Dashboard!$F$6),OR(Dashboard!$I$6="All",H4770=Dashboard!$I$6)),1,0)</f>
        <v/>
      </c>
    </row>
    <row r="4771">
      <c r="A4771" t="inlineStr">
        <is>
          <t>PF104762</t>
        </is>
      </c>
      <c r="B4771" s="68" t="n">
        <v>46231</v>
      </c>
      <c r="C4771" s="69" t="n">
        <v>2026</v>
      </c>
      <c r="D4771" t="inlineStr">
        <is>
          <t>Jul</t>
        </is>
      </c>
      <c r="E4771" t="inlineStr">
        <is>
          <t>United States</t>
        </is>
      </c>
      <c r="F4771" t="inlineStr">
        <is>
          <t>USA</t>
        </is>
      </c>
      <c r="G4771" t="inlineStr">
        <is>
          <t>Paxlovid</t>
        </is>
      </c>
      <c r="H4771" t="inlineStr">
        <is>
          <t>Retail pharmacy</t>
        </is>
      </c>
      <c r="I4771" t="inlineStr">
        <is>
          <t>Public payer</t>
        </is>
      </c>
      <c r="J4771" t="inlineStr">
        <is>
          <t>Mei Lin</t>
        </is>
      </c>
      <c r="K4771" s="70" t="n">
        <v>1284</v>
      </c>
      <c r="L4771" s="71" t="n">
        <v>1546.97</v>
      </c>
      <c r="M4771" s="71" t="n">
        <v>1986309.48</v>
      </c>
      <c r="N4771" s="71" t="n">
        <v>496577.37</v>
      </c>
      <c r="O4771" s="71" t="n">
        <v>1489732.11</v>
      </c>
      <c r="P4771" s="71" t="n">
        <v>354466.66</v>
      </c>
      <c r="Q4771" s="71" t="n">
        <v>1135265.45</v>
      </c>
      <c r="R4771" t="inlineStr">
        <is>
          <t>Antiviral</t>
        </is>
      </c>
      <c r="S4771" s="70" t="n">
        <v>1258</v>
      </c>
      <c r="T4771" s="71" t="n">
        <v>404134.14</v>
      </c>
      <c r="U4771" t="inlineStr">
        <is>
          <t>Low</t>
        </is>
      </c>
      <c r="V4771">
        <f>IF(AND(OR(Dashboard!$C$6="All",E4771=Dashboard!$C$6),OR(Dashboard!$F$6="All",G4771=Dashboard!$F$6),OR(Dashboard!$I$6="All",H4771=Dashboard!$I$6)),1,0)</f>
        <v/>
      </c>
    </row>
    <row r="4772">
      <c r="A4772" t="inlineStr">
        <is>
          <t>PF104763</t>
        </is>
      </c>
      <c r="B4772" s="68" t="n">
        <v>46231</v>
      </c>
      <c r="C4772" s="69" t="n">
        <v>2026</v>
      </c>
      <c r="D4772" t="inlineStr">
        <is>
          <t>Jul</t>
        </is>
      </c>
      <c r="E4772" t="inlineStr">
        <is>
          <t>United States</t>
        </is>
      </c>
      <c r="F4772" t="inlineStr">
        <is>
          <t>USA</t>
        </is>
      </c>
      <c r="G4772" t="inlineStr">
        <is>
          <t>Eliquis</t>
        </is>
      </c>
      <c r="H4772" t="inlineStr">
        <is>
          <t>Retail pharmacy</t>
        </is>
      </c>
      <c r="I4772" t="inlineStr">
        <is>
          <t>Private insurer</t>
        </is>
      </c>
      <c r="J4772" t="inlineStr">
        <is>
          <t>Yuki Sato</t>
        </is>
      </c>
      <c r="K4772" s="70" t="n">
        <v>2480</v>
      </c>
      <c r="L4772" s="71" t="n">
        <v>694.01</v>
      </c>
      <c r="M4772" s="71" t="n">
        <v>1721144.8</v>
      </c>
      <c r="N4772" s="71" t="n">
        <v>602400.6800000001</v>
      </c>
      <c r="O4772" s="71" t="n">
        <v>1118744.12</v>
      </c>
      <c r="P4772" s="71" t="n">
        <v>182853.3</v>
      </c>
      <c r="Q4772" s="71" t="n">
        <v>935890.8199999999</v>
      </c>
      <c r="R4772" t="inlineStr">
        <is>
          <t>Cardiology</t>
        </is>
      </c>
      <c r="S4772" s="70" t="n">
        <v>2370</v>
      </c>
      <c r="T4772" s="71" t="n">
        <v>285518.29</v>
      </c>
      <c r="U4772" t="inlineStr">
        <is>
          <t>High</t>
        </is>
      </c>
      <c r="V4772">
        <f>IF(AND(OR(Dashboard!$C$6="All",E4772=Dashboard!$C$6),OR(Dashboard!$F$6="All",G4772=Dashboard!$F$6),OR(Dashboard!$I$6="All",H4772=Dashboard!$I$6)),1,0)</f>
        <v/>
      </c>
    </row>
    <row r="4773">
      <c r="A4773" t="inlineStr">
        <is>
          <t>PF104764</t>
        </is>
      </c>
      <c r="B4773" s="68" t="n">
        <v>46231</v>
      </c>
      <c r="C4773" s="69" t="n">
        <v>2026</v>
      </c>
      <c r="D4773" t="inlineStr">
        <is>
          <t>Jul</t>
        </is>
      </c>
      <c r="E4773" t="inlineStr">
        <is>
          <t>Emerging markets</t>
        </is>
      </c>
      <c r="F4773" t="inlineStr">
        <is>
          <t>Brazil</t>
        </is>
      </c>
      <c r="G4773" t="inlineStr">
        <is>
          <t>Vyndaqel</t>
        </is>
      </c>
      <c r="H4773" t="inlineStr">
        <is>
          <t>Retail pharmacy</t>
        </is>
      </c>
      <c r="I4773" t="inlineStr">
        <is>
          <t>Private insurer</t>
        </is>
      </c>
      <c r="J4773" t="inlineStr">
        <is>
          <t>Amir Khan</t>
        </is>
      </c>
      <c r="K4773" s="70" t="n">
        <v>1576</v>
      </c>
      <c r="L4773" s="71" t="n">
        <v>5350.75</v>
      </c>
      <c r="M4773" s="71" t="n">
        <v>8432782</v>
      </c>
      <c r="N4773" s="71" t="n">
        <v>2108195.5</v>
      </c>
      <c r="O4773" s="71" t="n">
        <v>6324586.5</v>
      </c>
      <c r="P4773" s="71" t="n">
        <v>1000502.34</v>
      </c>
      <c r="Q4773" s="71" t="n">
        <v>5324084.16</v>
      </c>
      <c r="R4773" t="inlineStr">
        <is>
          <t>Rare disease</t>
        </is>
      </c>
      <c r="S4773" s="70" t="n">
        <v>1493</v>
      </c>
      <c r="T4773" s="71" t="n">
        <v>1576136.5</v>
      </c>
      <c r="U4773" t="inlineStr">
        <is>
          <t>Medium</t>
        </is>
      </c>
      <c r="V4773">
        <f>IF(AND(OR(Dashboard!$C$6="All",E4773=Dashboard!$C$6),OR(Dashboard!$F$6="All",G4773=Dashboard!$F$6),OR(Dashboard!$I$6="All",H4773=Dashboard!$I$6)),1,0)</f>
        <v/>
      </c>
    </row>
    <row r="4774">
      <c r="A4774" t="inlineStr">
        <is>
          <t>PF104765</t>
        </is>
      </c>
      <c r="B4774" s="68" t="n">
        <v>46231</v>
      </c>
      <c r="C4774" s="69" t="n">
        <v>2026</v>
      </c>
      <c r="D4774" t="inlineStr">
        <is>
          <t>Jul</t>
        </is>
      </c>
      <c r="E4774" t="inlineStr">
        <is>
          <t>Emerging markets</t>
        </is>
      </c>
      <c r="F4774" t="inlineStr">
        <is>
          <t>China</t>
        </is>
      </c>
      <c r="G4774" t="inlineStr">
        <is>
          <t>Xeljanz</t>
        </is>
      </c>
      <c r="H4774" t="inlineStr">
        <is>
          <t>Hospital</t>
        </is>
      </c>
      <c r="I4774" t="inlineStr">
        <is>
          <t>Private insurer</t>
        </is>
      </c>
      <c r="J4774" t="inlineStr">
        <is>
          <t>Olivia Brown</t>
        </is>
      </c>
      <c r="K4774" s="70" t="n">
        <v>599</v>
      </c>
      <c r="L4774" s="71" t="n">
        <v>1257.47</v>
      </c>
      <c r="M4774" s="71" t="n">
        <v>753224.53</v>
      </c>
      <c r="N4774" s="71" t="n">
        <v>188306.13</v>
      </c>
      <c r="O4774" s="71" t="n">
        <v>564918.4</v>
      </c>
      <c r="P4774" s="71" t="n">
        <v>147712.6</v>
      </c>
      <c r="Q4774" s="71" t="n">
        <v>417205.8</v>
      </c>
      <c r="R4774" t="inlineStr">
        <is>
          <t>Inflammation</t>
        </is>
      </c>
      <c r="S4774" s="70" t="n">
        <v>530</v>
      </c>
      <c r="T4774" s="71" t="n">
        <v>145050.98</v>
      </c>
      <c r="U4774" t="inlineStr">
        <is>
          <t>High</t>
        </is>
      </c>
      <c r="V4774">
        <f>IF(AND(OR(Dashboard!$C$6="All",E4774=Dashboard!$C$6),OR(Dashboard!$F$6="All",G4774=Dashboard!$F$6),OR(Dashboard!$I$6="All",H4774=Dashboard!$I$6)),1,0)</f>
        <v/>
      </c>
    </row>
    <row r="4775">
      <c r="A4775" t="inlineStr">
        <is>
          <t>PF104766</t>
        </is>
      </c>
      <c r="B4775" s="68" t="n">
        <v>46235</v>
      </c>
      <c r="C4775" s="69" t="n">
        <v>2026</v>
      </c>
      <c r="D4775" t="inlineStr">
        <is>
          <t>Aug</t>
        </is>
      </c>
      <c r="E4775" t="inlineStr">
        <is>
          <t>Emerging markets</t>
        </is>
      </c>
      <c r="F4775" t="inlineStr">
        <is>
          <t>China</t>
        </is>
      </c>
      <c r="G4775" t="inlineStr">
        <is>
          <t>Vyndaqel</t>
        </is>
      </c>
      <c r="H4775" t="inlineStr">
        <is>
          <t>Retail pharmacy</t>
        </is>
      </c>
      <c r="I4775" t="inlineStr">
        <is>
          <t>Private insurer</t>
        </is>
      </c>
      <c r="J4775" t="inlineStr">
        <is>
          <t>Noah Smith</t>
        </is>
      </c>
      <c r="K4775" s="70" t="n">
        <v>955</v>
      </c>
      <c r="L4775" s="71" t="n">
        <v>5354.48</v>
      </c>
      <c r="M4775" s="71" t="n">
        <v>5113528.4</v>
      </c>
      <c r="N4775" s="71" t="n">
        <v>255676.42</v>
      </c>
      <c r="O4775" s="71" t="n">
        <v>4857851.98</v>
      </c>
      <c r="P4775" s="71" t="n">
        <v>589746.72</v>
      </c>
      <c r="Q4775" s="71" t="n">
        <v>4268105.26</v>
      </c>
      <c r="R4775" t="inlineStr">
        <is>
          <t>Rare disease</t>
        </is>
      </c>
      <c r="S4775" s="70" t="n">
        <v>818</v>
      </c>
      <c r="T4775" s="71" t="n">
        <v>774942.35</v>
      </c>
      <c r="U4775" t="inlineStr">
        <is>
          <t>Medium</t>
        </is>
      </c>
      <c r="V4775">
        <f>IF(AND(OR(Dashboard!$C$6="All",E4775=Dashboard!$C$6),OR(Dashboard!$F$6="All",G4775=Dashboard!$F$6),OR(Dashboard!$I$6="All",H4775=Dashboard!$I$6)),1,0)</f>
        <v/>
      </c>
    </row>
    <row r="4776">
      <c r="A4776" t="inlineStr">
        <is>
          <t>PF104767</t>
        </is>
      </c>
      <c r="B4776" s="68" t="n">
        <v>46235</v>
      </c>
      <c r="C4776" s="69" t="n">
        <v>2026</v>
      </c>
      <c r="D4776" t="inlineStr">
        <is>
          <t>Aug</t>
        </is>
      </c>
      <c r="E4776" t="inlineStr">
        <is>
          <t>Europe</t>
        </is>
      </c>
      <c r="F4776" t="inlineStr">
        <is>
          <t>Spain</t>
        </is>
      </c>
      <c r="G4776" t="inlineStr">
        <is>
          <t>Paxlovid</t>
        </is>
      </c>
      <c r="H4776" t="inlineStr">
        <is>
          <t>Retail pharmacy</t>
        </is>
      </c>
      <c r="I4776" t="inlineStr">
        <is>
          <t>Public payer</t>
        </is>
      </c>
      <c r="J4776" t="inlineStr">
        <is>
          <t>Sophie Müller</t>
        </is>
      </c>
      <c r="K4776" s="70" t="n">
        <v>2137</v>
      </c>
      <c r="L4776" s="71" t="n">
        <v>930.91</v>
      </c>
      <c r="M4776" s="71" t="n">
        <v>1989354.67</v>
      </c>
      <c r="N4776" s="71" t="n">
        <v>298403.2</v>
      </c>
      <c r="O4776" s="71" t="n">
        <v>1690951.47</v>
      </c>
      <c r="P4776" s="71" t="n">
        <v>594384.77</v>
      </c>
      <c r="Q4776" s="71" t="n">
        <v>1096566.7</v>
      </c>
      <c r="R4776" t="inlineStr">
        <is>
          <t>Antiviral</t>
        </is>
      </c>
      <c r="S4776" s="70" t="n">
        <v>2097</v>
      </c>
      <c r="T4776" s="71" t="n">
        <v>518659.85</v>
      </c>
      <c r="U4776" t="inlineStr">
        <is>
          <t>Low</t>
        </is>
      </c>
      <c r="V4776">
        <f>IF(AND(OR(Dashboard!$C$6="All",E4776=Dashboard!$C$6),OR(Dashboard!$F$6="All",G4776=Dashboard!$F$6),OR(Dashboard!$I$6="All",H4776=Dashboard!$I$6)),1,0)</f>
        <v/>
      </c>
    </row>
    <row r="4777">
      <c r="A4777" t="inlineStr">
        <is>
          <t>PF104768</t>
        </is>
      </c>
      <c r="B4777" s="68" t="n">
        <v>46235</v>
      </c>
      <c r="C4777" s="69" t="n">
        <v>2026</v>
      </c>
      <c r="D4777" t="inlineStr">
        <is>
          <t>Aug</t>
        </is>
      </c>
      <c r="E4777" t="inlineStr">
        <is>
          <t>Europe</t>
        </is>
      </c>
      <c r="F4777" t="inlineStr">
        <is>
          <t>France</t>
        </is>
      </c>
      <c r="G4777" t="inlineStr">
        <is>
          <t>Prevnar 20</t>
        </is>
      </c>
      <c r="H4777" t="inlineStr">
        <is>
          <t>Hospital</t>
        </is>
      </c>
      <c r="I4777" t="inlineStr">
        <is>
          <t>Private insurer</t>
        </is>
      </c>
      <c r="J4777" t="inlineStr">
        <is>
          <t>Shraddha Kulkarni</t>
        </is>
      </c>
      <c r="K4777" s="70" t="n">
        <v>2511</v>
      </c>
      <c r="L4777" s="71" t="n">
        <v>224.65</v>
      </c>
      <c r="M4777" s="71" t="n">
        <v>564096.15</v>
      </c>
      <c r="N4777" s="71" t="n">
        <v>112819.23</v>
      </c>
      <c r="O4777" s="71" t="n">
        <v>451276.92</v>
      </c>
      <c r="P4777" s="71" t="n">
        <v>174040.74</v>
      </c>
      <c r="Q4777" s="71" t="n">
        <v>277236.18</v>
      </c>
      <c r="R4777" t="inlineStr">
        <is>
          <t>Vaccines</t>
        </is>
      </c>
      <c r="S4777" s="70" t="n">
        <v>2305</v>
      </c>
      <c r="T4777" s="71" t="n">
        <v>79727.22</v>
      </c>
      <c r="U4777" t="inlineStr">
        <is>
          <t>Low</t>
        </is>
      </c>
      <c r="V4777">
        <f>IF(AND(OR(Dashboard!$C$6="All",E4777=Dashboard!$C$6),OR(Dashboard!$F$6="All",G4777=Dashboard!$F$6),OR(Dashboard!$I$6="All",H4777=Dashboard!$I$6)),1,0)</f>
        <v/>
      </c>
    </row>
    <row r="4778">
      <c r="A4778" t="inlineStr">
        <is>
          <t>PF104769</t>
        </is>
      </c>
      <c r="B4778" s="68" t="n">
        <v>46235</v>
      </c>
      <c r="C4778" s="69" t="n">
        <v>2026</v>
      </c>
      <c r="D4778" t="inlineStr">
        <is>
          <t>Aug</t>
        </is>
      </c>
      <c r="E4778" t="inlineStr">
        <is>
          <t>United States</t>
        </is>
      </c>
      <c r="F4778" t="inlineStr">
        <is>
          <t>USA</t>
        </is>
      </c>
      <c r="G4778" t="inlineStr">
        <is>
          <t>Eliquis</t>
        </is>
      </c>
      <c r="H4778" t="inlineStr">
        <is>
          <t>Government / tender</t>
        </is>
      </c>
      <c r="I4778" t="inlineStr">
        <is>
          <t>Public payer</t>
        </is>
      </c>
      <c r="J4778" t="inlineStr">
        <is>
          <t>Sophie Müller</t>
        </is>
      </c>
      <c r="K4778" s="70" t="n">
        <v>852</v>
      </c>
      <c r="L4778" s="71" t="n">
        <v>632.0700000000001</v>
      </c>
      <c r="M4778" s="71" t="n">
        <v>538523.64</v>
      </c>
      <c r="N4778" s="71" t="n">
        <v>134630.91</v>
      </c>
      <c r="O4778" s="71" t="n">
        <v>403892.73</v>
      </c>
      <c r="P4778" s="71" t="n">
        <v>66401.78</v>
      </c>
      <c r="Q4778" s="71" t="n">
        <v>337490.95</v>
      </c>
      <c r="R4778" t="inlineStr">
        <is>
          <t>Cardiology</t>
        </is>
      </c>
      <c r="S4778" s="70" t="n">
        <v>549</v>
      </c>
      <c r="T4778" s="71" t="n">
        <v>66930.83</v>
      </c>
      <c r="U4778" t="inlineStr">
        <is>
          <t>High</t>
        </is>
      </c>
      <c r="V4778">
        <f>IF(AND(OR(Dashboard!$C$6="All",E4778=Dashboard!$C$6),OR(Dashboard!$F$6="All",G4778=Dashboard!$F$6),OR(Dashboard!$I$6="All",H4778=Dashboard!$I$6)),1,0)</f>
        <v/>
      </c>
    </row>
    <row r="4779">
      <c r="A4779" t="inlineStr">
        <is>
          <t>PF104770</t>
        </is>
      </c>
      <c r="B4779" s="68" t="n">
        <v>46235</v>
      </c>
      <c r="C4779" s="69" t="n">
        <v>2026</v>
      </c>
      <c r="D4779" t="inlineStr">
        <is>
          <t>Aug</t>
        </is>
      </c>
      <c r="E4779" t="inlineStr">
        <is>
          <t>United States</t>
        </is>
      </c>
      <c r="F4779" t="inlineStr">
        <is>
          <t>USA</t>
        </is>
      </c>
      <c r="G4779" t="inlineStr">
        <is>
          <t>Comirnaty</t>
        </is>
      </c>
      <c r="H4779" t="inlineStr">
        <is>
          <t>Retail pharmacy</t>
        </is>
      </c>
      <c r="I4779" t="inlineStr">
        <is>
          <t>Public payer</t>
        </is>
      </c>
      <c r="J4779" t="inlineStr">
        <is>
          <t>Priya Nair</t>
        </is>
      </c>
      <c r="K4779" s="70" t="n">
        <v>1401</v>
      </c>
      <c r="L4779" s="71" t="n">
        <v>132.58</v>
      </c>
      <c r="M4779" s="71" t="n">
        <v>185744.58</v>
      </c>
      <c r="N4779" s="71" t="n">
        <v>37148.92</v>
      </c>
      <c r="O4779" s="71" t="n">
        <v>148595.66</v>
      </c>
      <c r="P4779" s="71" t="n">
        <v>51907.75</v>
      </c>
      <c r="Q4779" s="71" t="n">
        <v>96687.91</v>
      </c>
      <c r="R4779" t="inlineStr">
        <is>
          <t>Vaccines</t>
        </is>
      </c>
      <c r="S4779" s="70" t="n">
        <v>949</v>
      </c>
      <c r="T4779" s="71" t="n">
        <v>43446.49</v>
      </c>
      <c r="U4779" t="inlineStr">
        <is>
          <t>Low</t>
        </is>
      </c>
      <c r="V4779">
        <f>IF(AND(OR(Dashboard!$C$6="All",E4779=Dashboard!$C$6),OR(Dashboard!$F$6="All",G4779=Dashboard!$F$6),OR(Dashboard!$I$6="All",H4779=Dashboard!$I$6)),1,0)</f>
        <v/>
      </c>
    </row>
    <row r="4780">
      <c r="A4780" t="inlineStr">
        <is>
          <t>PF104771</t>
        </is>
      </c>
      <c r="B4780" s="68" t="n">
        <v>46235</v>
      </c>
      <c r="C4780" s="69" t="n">
        <v>2026</v>
      </c>
      <c r="D4780" t="inlineStr">
        <is>
          <t>Aug</t>
        </is>
      </c>
      <c r="E4780" t="inlineStr">
        <is>
          <t>United States</t>
        </is>
      </c>
      <c r="F4780" t="inlineStr">
        <is>
          <t>USA</t>
        </is>
      </c>
      <c r="G4780" t="inlineStr">
        <is>
          <t>Eliquis</t>
        </is>
      </c>
      <c r="H4780" t="inlineStr">
        <is>
          <t>Retail pharmacy</t>
        </is>
      </c>
      <c r="I4780" t="inlineStr">
        <is>
          <t>Private insurer</t>
        </is>
      </c>
      <c r="J4780" t="inlineStr">
        <is>
          <t>Amir Khan</t>
        </is>
      </c>
      <c r="K4780" s="70" t="n">
        <v>2136</v>
      </c>
      <c r="L4780" s="71" t="n">
        <v>637.86</v>
      </c>
      <c r="M4780" s="71" t="n">
        <v>1362468.96</v>
      </c>
      <c r="N4780" s="71" t="n">
        <v>476864.14</v>
      </c>
      <c r="O4780" s="71" t="n">
        <v>885604.8199999999</v>
      </c>
      <c r="P4780" s="71" t="n">
        <v>155176.31</v>
      </c>
      <c r="Q4780" s="71" t="n">
        <v>730428.51</v>
      </c>
      <c r="R4780" t="inlineStr">
        <is>
          <t>Cardiology</t>
        </is>
      </c>
      <c r="S4780" s="70" t="n">
        <v>1528</v>
      </c>
      <c r="T4780" s="71" t="n">
        <v>166459.22</v>
      </c>
      <c r="U4780" t="inlineStr">
        <is>
          <t>High</t>
        </is>
      </c>
      <c r="V4780">
        <f>IF(AND(OR(Dashboard!$C$6="All",E4780=Dashboard!$C$6),OR(Dashboard!$F$6="All",G4780=Dashboard!$F$6),OR(Dashboard!$I$6="All",H4780=Dashboard!$I$6)),1,0)</f>
        <v/>
      </c>
    </row>
    <row r="4781">
      <c r="A4781" t="inlineStr">
        <is>
          <t>PF104772</t>
        </is>
      </c>
      <c r="B4781" s="68" t="n">
        <v>46235</v>
      </c>
      <c r="C4781" s="69" t="n">
        <v>2026</v>
      </c>
      <c r="D4781" t="inlineStr">
        <is>
          <t>Aug</t>
        </is>
      </c>
      <c r="E4781" t="inlineStr">
        <is>
          <t>United States</t>
        </is>
      </c>
      <c r="F4781" t="inlineStr">
        <is>
          <t>USA</t>
        </is>
      </c>
      <c r="G4781" t="inlineStr">
        <is>
          <t>Paxlovid</t>
        </is>
      </c>
      <c r="H4781" t="inlineStr">
        <is>
          <t>Retail pharmacy</t>
        </is>
      </c>
      <c r="I4781" t="inlineStr">
        <is>
          <t>Private insurer</t>
        </is>
      </c>
      <c r="J4781" t="inlineStr">
        <is>
          <t>Carlos Silva</t>
        </is>
      </c>
      <c r="K4781" s="70" t="n">
        <v>513</v>
      </c>
      <c r="L4781" s="71" t="n">
        <v>1393.73</v>
      </c>
      <c r="M4781" s="71" t="n">
        <v>714983.49</v>
      </c>
      <c r="N4781" s="71" t="n">
        <v>107247.52</v>
      </c>
      <c r="O4781" s="71" t="n">
        <v>607735.97</v>
      </c>
      <c r="P4781" s="71" t="n">
        <v>146363.57</v>
      </c>
      <c r="Q4781" s="71" t="n">
        <v>461372.4</v>
      </c>
      <c r="R4781" t="inlineStr">
        <is>
          <t>Antiviral</t>
        </is>
      </c>
      <c r="S4781" s="70" t="n">
        <v>430</v>
      </c>
      <c r="T4781" s="71" t="n">
        <v>124135.62</v>
      </c>
      <c r="U4781" t="inlineStr">
        <is>
          <t>Low</t>
        </is>
      </c>
      <c r="V4781">
        <f>IF(AND(OR(Dashboard!$C$6="All",E4781=Dashboard!$C$6),OR(Dashboard!$F$6="All",G4781=Dashboard!$F$6),OR(Dashboard!$I$6="All",H4781=Dashboard!$I$6)),1,0)</f>
        <v/>
      </c>
    </row>
    <row r="4782">
      <c r="A4782" t="inlineStr">
        <is>
          <t>PF104773</t>
        </is>
      </c>
      <c r="B4782" s="68" t="n">
        <v>46235</v>
      </c>
      <c r="C4782" s="69" t="n">
        <v>2026</v>
      </c>
      <c r="D4782" t="inlineStr">
        <is>
          <t>Aug</t>
        </is>
      </c>
      <c r="E4782" t="inlineStr">
        <is>
          <t>United States</t>
        </is>
      </c>
      <c r="F4782" t="inlineStr">
        <is>
          <t>USA</t>
        </is>
      </c>
      <c r="G4782" t="inlineStr">
        <is>
          <t>Prevnar 20</t>
        </is>
      </c>
      <c r="H4782" t="inlineStr">
        <is>
          <t>Retail pharmacy</t>
        </is>
      </c>
      <c r="I4782" t="inlineStr">
        <is>
          <t>Private insurer</t>
        </is>
      </c>
      <c r="J4782" t="inlineStr">
        <is>
          <t>Lucas Martin</t>
        </is>
      </c>
      <c r="K4782" s="70" t="n">
        <v>2777</v>
      </c>
      <c r="L4782" s="71" t="n">
        <v>345.4</v>
      </c>
      <c r="M4782" s="71" t="n">
        <v>959175.8</v>
      </c>
      <c r="N4782" s="71" t="n">
        <v>335711.53</v>
      </c>
      <c r="O4782" s="71" t="n">
        <v>623464.27</v>
      </c>
      <c r="P4782" s="71" t="n">
        <v>184931.71</v>
      </c>
      <c r="Q4782" s="71" t="n">
        <v>438532.56</v>
      </c>
      <c r="R4782" t="inlineStr">
        <is>
          <t>Vaccines</t>
        </is>
      </c>
      <c r="S4782" s="70" t="n">
        <v>2511</v>
      </c>
      <c r="T4782" s="71" t="n">
        <v>189210.5</v>
      </c>
      <c r="U4782" t="inlineStr">
        <is>
          <t>Low</t>
        </is>
      </c>
      <c r="V4782">
        <f>IF(AND(OR(Dashboard!$C$6="All",E4782=Dashboard!$C$6),OR(Dashboard!$F$6="All",G4782=Dashboard!$F$6),OR(Dashboard!$I$6="All",H4782=Dashboard!$I$6)),1,0)</f>
        <v/>
      </c>
    </row>
    <row r="4783">
      <c r="A4783" t="inlineStr">
        <is>
          <t>PF104774</t>
        </is>
      </c>
      <c r="B4783" s="68" t="n">
        <v>46235</v>
      </c>
      <c r="C4783" s="69" t="n">
        <v>2026</v>
      </c>
      <c r="D4783" t="inlineStr">
        <is>
          <t>Aug</t>
        </is>
      </c>
      <c r="E4783" t="inlineStr">
        <is>
          <t>Europe</t>
        </is>
      </c>
      <c r="F4783" t="inlineStr">
        <is>
          <t>Spain</t>
        </is>
      </c>
      <c r="G4783" t="inlineStr">
        <is>
          <t>Comirnaty</t>
        </is>
      </c>
      <c r="H4783" t="inlineStr">
        <is>
          <t>Government / tender</t>
        </is>
      </c>
      <c r="I4783" t="inlineStr">
        <is>
          <t>Private insurer</t>
        </is>
      </c>
      <c r="J4783" t="inlineStr">
        <is>
          <t>Arjun Mehta</t>
        </is>
      </c>
      <c r="K4783" s="70" t="n">
        <v>2098</v>
      </c>
      <c r="L4783" s="71" t="n">
        <v>85.66</v>
      </c>
      <c r="M4783" s="71" t="n">
        <v>179714.68</v>
      </c>
      <c r="N4783" s="71" t="n">
        <v>35942.94</v>
      </c>
      <c r="O4783" s="71" t="n">
        <v>143771.74</v>
      </c>
      <c r="P4783" s="71" t="n">
        <v>81298.95</v>
      </c>
      <c r="Q4783" s="71" t="n">
        <v>62472.79</v>
      </c>
      <c r="R4783" t="inlineStr">
        <is>
          <t>Vaccines</t>
        </is>
      </c>
      <c r="S4783" s="70" t="n">
        <v>2005</v>
      </c>
      <c r="T4783" s="71" t="n">
        <v>34128.11</v>
      </c>
      <c r="U4783" t="inlineStr">
        <is>
          <t>Low</t>
        </is>
      </c>
      <c r="V4783">
        <f>IF(AND(OR(Dashboard!$C$6="All",E4783=Dashboard!$C$6),OR(Dashboard!$F$6="All",G4783=Dashboard!$F$6),OR(Dashboard!$I$6="All",H4783=Dashboard!$I$6)),1,0)</f>
        <v/>
      </c>
    </row>
    <row r="4784">
      <c r="A4784" t="inlineStr">
        <is>
          <t>PF104775</t>
        </is>
      </c>
      <c r="B4784" s="68" t="n">
        <v>46235</v>
      </c>
      <c r="C4784" s="69" t="n">
        <v>2026</v>
      </c>
      <c r="D4784" t="inlineStr">
        <is>
          <t>Aug</t>
        </is>
      </c>
      <c r="E4784" t="inlineStr">
        <is>
          <t>United States</t>
        </is>
      </c>
      <c r="F4784" t="inlineStr">
        <is>
          <t>USA</t>
        </is>
      </c>
      <c r="G4784" t="inlineStr">
        <is>
          <t>Comirnaty</t>
        </is>
      </c>
      <c r="H4784" t="inlineStr">
        <is>
          <t>Retail pharmacy</t>
        </is>
      </c>
      <c r="I4784" t="inlineStr">
        <is>
          <t>Self-pay</t>
        </is>
      </c>
      <c r="J4784" t="inlineStr">
        <is>
          <t>Liam O'Brien</t>
        </is>
      </c>
      <c r="K4784" s="70" t="n">
        <v>2409</v>
      </c>
      <c r="L4784" s="71" t="n">
        <v>145.01</v>
      </c>
      <c r="M4784" s="71" t="n">
        <v>349329.09</v>
      </c>
      <c r="N4784" s="71" t="n">
        <v>52399.36</v>
      </c>
      <c r="O4784" s="71" t="n">
        <v>296929.73</v>
      </c>
      <c r="P4784" s="71" t="n">
        <v>89909.22</v>
      </c>
      <c r="Q4784" s="71" t="n">
        <v>207020.51</v>
      </c>
      <c r="R4784" t="inlineStr">
        <is>
          <t>Vaccines</t>
        </is>
      </c>
      <c r="S4784" s="70" t="n">
        <v>2352</v>
      </c>
      <c r="T4784" s="71" t="n">
        <v>91646.48</v>
      </c>
      <c r="U4784" t="inlineStr">
        <is>
          <t>Low</t>
        </is>
      </c>
      <c r="V4784">
        <f>IF(AND(OR(Dashboard!$C$6="All",E4784=Dashboard!$C$6),OR(Dashboard!$F$6="All",G4784=Dashboard!$F$6),OR(Dashboard!$I$6="All",H4784=Dashboard!$I$6)),1,0)</f>
        <v/>
      </c>
    </row>
    <row r="4785">
      <c r="A4785" t="inlineStr">
        <is>
          <t>PF104776</t>
        </is>
      </c>
      <c r="B4785" s="68" t="n">
        <v>46236</v>
      </c>
      <c r="C4785" s="69" t="n">
        <v>2026</v>
      </c>
      <c r="D4785" t="inlineStr">
        <is>
          <t>Aug</t>
        </is>
      </c>
      <c r="E4785" t="inlineStr">
        <is>
          <t>United States</t>
        </is>
      </c>
      <c r="F4785" t="inlineStr">
        <is>
          <t>USA</t>
        </is>
      </c>
      <c r="G4785" t="inlineStr">
        <is>
          <t>Abrysvo</t>
        </is>
      </c>
      <c r="H4785" t="inlineStr">
        <is>
          <t>Hospital</t>
        </is>
      </c>
      <c r="I4785" t="inlineStr">
        <is>
          <t>Private insurer</t>
        </is>
      </c>
      <c r="J4785" t="inlineStr">
        <is>
          <t>Zoya Ahmed</t>
        </is>
      </c>
      <c r="K4785" s="70" t="n">
        <v>102</v>
      </c>
      <c r="L4785" s="71" t="n">
        <v>513.1900000000001</v>
      </c>
      <c r="M4785" s="71" t="n">
        <v>52345.38</v>
      </c>
      <c r="N4785" s="71" t="n">
        <v>10469.08</v>
      </c>
      <c r="O4785" s="71" t="n">
        <v>41876.3</v>
      </c>
      <c r="P4785" s="71" t="n">
        <v>8371.200000000001</v>
      </c>
      <c r="Q4785" s="71" t="n">
        <v>33505.1</v>
      </c>
      <c r="R4785" t="inlineStr">
        <is>
          <t>Vaccines</t>
        </is>
      </c>
      <c r="S4785" s="70" t="n">
        <v>78</v>
      </c>
      <c r="T4785" s="71" t="n">
        <v>8111.64</v>
      </c>
      <c r="U4785" t="inlineStr">
        <is>
          <t>Low</t>
        </is>
      </c>
      <c r="V4785">
        <f>IF(AND(OR(Dashboard!$C$6="All",E4785=Dashboard!$C$6),OR(Dashboard!$F$6="All",G4785=Dashboard!$F$6),OR(Dashboard!$I$6="All",H4785=Dashboard!$I$6)),1,0)</f>
        <v/>
      </c>
    </row>
    <row r="4786">
      <c r="A4786" t="inlineStr">
        <is>
          <t>PF104777</t>
        </is>
      </c>
      <c r="B4786" s="68" t="n">
        <v>46236</v>
      </c>
      <c r="C4786" s="69" t="n">
        <v>2026</v>
      </c>
      <c r="D4786" t="inlineStr">
        <is>
          <t>Aug</t>
        </is>
      </c>
      <c r="E4786" t="inlineStr">
        <is>
          <t>Europe</t>
        </is>
      </c>
      <c r="F4786" t="inlineStr">
        <is>
          <t>Germany</t>
        </is>
      </c>
      <c r="G4786" t="inlineStr">
        <is>
          <t>Xeljanz</t>
        </is>
      </c>
      <c r="H4786" t="inlineStr">
        <is>
          <t>Government / tender</t>
        </is>
      </c>
      <c r="I4786" t="inlineStr">
        <is>
          <t>Public payer</t>
        </is>
      </c>
      <c r="J4786" t="inlineStr">
        <is>
          <t>Ruhi Shaikh</t>
        </is>
      </c>
      <c r="K4786" s="70" t="n">
        <v>227</v>
      </c>
      <c r="L4786" s="71" t="n">
        <v>1310.47</v>
      </c>
      <c r="M4786" s="71" t="n">
        <v>297476.69</v>
      </c>
      <c r="N4786" s="71" t="n">
        <v>44621.5</v>
      </c>
      <c r="O4786" s="71" t="n">
        <v>252855.19</v>
      </c>
      <c r="P4786" s="71" t="n">
        <v>57341.5</v>
      </c>
      <c r="Q4786" s="71" t="n">
        <v>195513.69</v>
      </c>
      <c r="R4786" t="inlineStr">
        <is>
          <t>Inflammation</t>
        </is>
      </c>
      <c r="S4786" s="70" t="n">
        <v>220</v>
      </c>
      <c r="T4786" s="71" t="n">
        <v>59220.29</v>
      </c>
      <c r="U4786" t="inlineStr">
        <is>
          <t>High</t>
        </is>
      </c>
      <c r="V4786">
        <f>IF(AND(OR(Dashboard!$C$6="All",E4786=Dashboard!$C$6),OR(Dashboard!$F$6="All",G4786=Dashboard!$F$6),OR(Dashboard!$I$6="All",H4786=Dashboard!$I$6)),1,0)</f>
        <v/>
      </c>
    </row>
    <row r="4787">
      <c r="A4787" t="inlineStr">
        <is>
          <t>PF104778</t>
        </is>
      </c>
      <c r="B4787" s="68" t="n">
        <v>46236</v>
      </c>
      <c r="C4787" s="69" t="n">
        <v>2026</v>
      </c>
      <c r="D4787" t="inlineStr">
        <is>
          <t>Aug</t>
        </is>
      </c>
      <c r="E4787" t="inlineStr">
        <is>
          <t>United States</t>
        </is>
      </c>
      <c r="F4787" t="inlineStr">
        <is>
          <t>USA</t>
        </is>
      </c>
      <c r="G4787" t="inlineStr">
        <is>
          <t>Abrysvo</t>
        </is>
      </c>
      <c r="H4787" t="inlineStr">
        <is>
          <t>Hospital</t>
        </is>
      </c>
      <c r="I4787" t="inlineStr">
        <is>
          <t>Private insurer</t>
        </is>
      </c>
      <c r="J4787" t="inlineStr">
        <is>
          <t>Arjun Mehta</t>
        </is>
      </c>
      <c r="K4787" s="70" t="n">
        <v>2351</v>
      </c>
      <c r="L4787" s="71" t="n">
        <v>546.6799999999999</v>
      </c>
      <c r="M4787" s="71" t="n">
        <v>1285244.68</v>
      </c>
      <c r="N4787" s="71" t="n">
        <v>192786.7</v>
      </c>
      <c r="O4787" s="71" t="n">
        <v>1092457.98</v>
      </c>
      <c r="P4787" s="71" t="n">
        <v>192625.69</v>
      </c>
      <c r="Q4787" s="71" t="n">
        <v>899832.29</v>
      </c>
      <c r="R4787" t="inlineStr">
        <is>
          <t>Vaccines</t>
        </is>
      </c>
      <c r="S4787" s="70" t="n">
        <v>1716</v>
      </c>
      <c r="T4787" s="71" t="n">
        <v>152923.44</v>
      </c>
      <c r="U4787" t="inlineStr">
        <is>
          <t>Low</t>
        </is>
      </c>
      <c r="V4787">
        <f>IF(AND(OR(Dashboard!$C$6="All",E4787=Dashboard!$C$6),OR(Dashboard!$F$6="All",G4787=Dashboard!$F$6),OR(Dashboard!$I$6="All",H4787=Dashboard!$I$6)),1,0)</f>
        <v/>
      </c>
    </row>
    <row r="4788">
      <c r="A4788" t="inlineStr">
        <is>
          <t>PF104779</t>
        </is>
      </c>
      <c r="B4788" s="68" t="n">
        <v>46236</v>
      </c>
      <c r="C4788" s="69" t="n">
        <v>2026</v>
      </c>
      <c r="D4788" t="inlineStr">
        <is>
          <t>Aug</t>
        </is>
      </c>
      <c r="E4788" t="inlineStr">
        <is>
          <t>United States</t>
        </is>
      </c>
      <c r="F4788" t="inlineStr">
        <is>
          <t>USA</t>
        </is>
      </c>
      <c r="G4788" t="inlineStr">
        <is>
          <t>Eliquis</t>
        </is>
      </c>
      <c r="H4788" t="inlineStr">
        <is>
          <t>Government / tender</t>
        </is>
      </c>
      <c r="I4788" t="inlineStr">
        <is>
          <t>Public payer</t>
        </is>
      </c>
      <c r="J4788" t="inlineStr">
        <is>
          <t>Wei Chen</t>
        </is>
      </c>
      <c r="K4788" s="70" t="n">
        <v>1110</v>
      </c>
      <c r="L4788" s="71" t="n">
        <v>694.04</v>
      </c>
      <c r="M4788" s="71" t="n">
        <v>770384.4</v>
      </c>
      <c r="N4788" s="71" t="n">
        <v>231115.32</v>
      </c>
      <c r="O4788" s="71" t="n">
        <v>539269.08</v>
      </c>
      <c r="P4788" s="71" t="n">
        <v>84841.53999999999</v>
      </c>
      <c r="Q4788" s="71" t="n">
        <v>454427.54</v>
      </c>
      <c r="R4788" t="inlineStr">
        <is>
          <t>Cardiology</t>
        </is>
      </c>
      <c r="S4788" s="70" t="n">
        <v>695</v>
      </c>
      <c r="T4788" s="71" t="n">
        <v>127250.25</v>
      </c>
      <c r="U4788" t="inlineStr">
        <is>
          <t>High</t>
        </is>
      </c>
      <c r="V4788">
        <f>IF(AND(OR(Dashboard!$C$6="All",E4788=Dashboard!$C$6),OR(Dashboard!$F$6="All",G4788=Dashboard!$F$6),OR(Dashboard!$I$6="All",H4788=Dashboard!$I$6)),1,0)</f>
        <v/>
      </c>
    </row>
    <row r="4789">
      <c r="A4789" t="inlineStr">
        <is>
          <t>PF104780</t>
        </is>
      </c>
      <c r="B4789" s="68" t="n">
        <v>46236</v>
      </c>
      <c r="C4789" s="69" t="n">
        <v>2026</v>
      </c>
      <c r="D4789" t="inlineStr">
        <is>
          <t>Aug</t>
        </is>
      </c>
      <c r="E4789" t="inlineStr">
        <is>
          <t>United States</t>
        </is>
      </c>
      <c r="F4789" t="inlineStr">
        <is>
          <t>USA</t>
        </is>
      </c>
      <c r="G4789" t="inlineStr">
        <is>
          <t>Comirnaty</t>
        </is>
      </c>
      <c r="H4789" t="inlineStr">
        <is>
          <t>Hospital</t>
        </is>
      </c>
      <c r="I4789" t="inlineStr">
        <is>
          <t>Private insurer</t>
        </is>
      </c>
      <c r="J4789" t="inlineStr">
        <is>
          <t>Kofi Mensah</t>
        </is>
      </c>
      <c r="K4789" s="70" t="n">
        <v>122</v>
      </c>
      <c r="L4789" s="71" t="n">
        <v>128.89</v>
      </c>
      <c r="M4789" s="71" t="n">
        <v>15724.58</v>
      </c>
      <c r="N4789" s="71" t="n">
        <v>4717.37</v>
      </c>
      <c r="O4789" s="71" t="n">
        <v>11007.21</v>
      </c>
      <c r="P4789" s="71" t="n">
        <v>4807.39</v>
      </c>
      <c r="Q4789" s="71" t="n">
        <v>6199.82</v>
      </c>
      <c r="R4789" t="inlineStr">
        <is>
          <t>Vaccines</t>
        </is>
      </c>
      <c r="S4789" s="70" t="n">
        <v>116</v>
      </c>
      <c r="T4789" s="71" t="n">
        <v>3554.46</v>
      </c>
      <c r="U4789" t="inlineStr">
        <is>
          <t>Low</t>
        </is>
      </c>
      <c r="V4789">
        <f>IF(AND(OR(Dashboard!$C$6="All",E4789=Dashboard!$C$6),OR(Dashboard!$F$6="All",G4789=Dashboard!$F$6),OR(Dashboard!$I$6="All",H4789=Dashboard!$I$6)),1,0)</f>
        <v/>
      </c>
    </row>
    <row r="4790">
      <c r="A4790" t="inlineStr">
        <is>
          <t>PF104781</t>
        </is>
      </c>
      <c r="B4790" s="68" t="n">
        <v>46236</v>
      </c>
      <c r="C4790" s="69" t="n">
        <v>2026</v>
      </c>
      <c r="D4790" t="inlineStr">
        <is>
          <t>Aug</t>
        </is>
      </c>
      <c r="E4790" t="inlineStr">
        <is>
          <t>United States</t>
        </is>
      </c>
      <c r="F4790" t="inlineStr">
        <is>
          <t>USA</t>
        </is>
      </c>
      <c r="G4790" t="inlineStr">
        <is>
          <t>Prevnar 20</t>
        </is>
      </c>
      <c r="H4790" t="inlineStr">
        <is>
          <t>Retail pharmacy</t>
        </is>
      </c>
      <c r="I4790" t="inlineStr">
        <is>
          <t>Public payer</t>
        </is>
      </c>
      <c r="J4790" t="inlineStr">
        <is>
          <t>Ruhi Shaikh</t>
        </is>
      </c>
      <c r="K4790" s="70" t="n">
        <v>1570</v>
      </c>
      <c r="L4790" s="71" t="n">
        <v>409.36</v>
      </c>
      <c r="M4790" s="71" t="n">
        <v>642695.2</v>
      </c>
      <c r="N4790" s="71" t="n">
        <v>160673.8</v>
      </c>
      <c r="O4790" s="71" t="n">
        <v>482021.4</v>
      </c>
      <c r="P4790" s="71" t="n">
        <v>111584.9</v>
      </c>
      <c r="Q4790" s="71" t="n">
        <v>370436.5</v>
      </c>
      <c r="R4790" t="inlineStr">
        <is>
          <t>Vaccines</t>
        </is>
      </c>
      <c r="S4790" s="70" t="n">
        <v>1403</v>
      </c>
      <c r="T4790" s="71" t="n">
        <v>83389.25</v>
      </c>
      <c r="U4790" t="inlineStr">
        <is>
          <t>Low</t>
        </is>
      </c>
      <c r="V4790">
        <f>IF(AND(OR(Dashboard!$C$6="All",E4790=Dashboard!$C$6),OR(Dashboard!$F$6="All",G4790=Dashboard!$F$6),OR(Dashboard!$I$6="All",H4790=Dashboard!$I$6)),1,0)</f>
        <v/>
      </c>
    </row>
    <row r="4791">
      <c r="A4791" t="inlineStr">
        <is>
          <t>PF104782</t>
        </is>
      </c>
      <c r="B4791" s="68" t="n">
        <v>46236</v>
      </c>
      <c r="C4791" s="69" t="n">
        <v>2026</v>
      </c>
      <c r="D4791" t="inlineStr">
        <is>
          <t>Aug</t>
        </is>
      </c>
      <c r="E4791" t="inlineStr">
        <is>
          <t>Emerging markets</t>
        </is>
      </c>
      <c r="F4791" t="inlineStr">
        <is>
          <t>India</t>
        </is>
      </c>
      <c r="G4791" t="inlineStr">
        <is>
          <t>Paxlovid</t>
        </is>
      </c>
      <c r="H4791" t="inlineStr">
        <is>
          <t>Retail pharmacy</t>
        </is>
      </c>
      <c r="I4791" t="inlineStr">
        <is>
          <t>Private insurer</t>
        </is>
      </c>
      <c r="J4791" t="inlineStr">
        <is>
          <t>Shraddha Kulkarni</t>
        </is>
      </c>
      <c r="K4791" s="70" t="n">
        <v>472</v>
      </c>
      <c r="L4791" s="71" t="n">
        <v>883.22</v>
      </c>
      <c r="M4791" s="71" t="n">
        <v>416879.84</v>
      </c>
      <c r="N4791" s="71" t="n">
        <v>62531.98</v>
      </c>
      <c r="O4791" s="71" t="n">
        <v>354347.86</v>
      </c>
      <c r="P4791" s="71" t="n">
        <v>128220.88</v>
      </c>
      <c r="Q4791" s="71" t="n">
        <v>226126.98</v>
      </c>
      <c r="R4791" t="inlineStr">
        <is>
          <t>Antiviral</t>
        </is>
      </c>
      <c r="S4791" s="70" t="n">
        <v>356</v>
      </c>
      <c r="T4791" s="71" t="n">
        <v>62722.43</v>
      </c>
      <c r="U4791" t="inlineStr">
        <is>
          <t>Low</t>
        </is>
      </c>
      <c r="V4791">
        <f>IF(AND(OR(Dashboard!$C$6="All",E4791=Dashboard!$C$6),OR(Dashboard!$F$6="All",G4791=Dashboard!$F$6),OR(Dashboard!$I$6="All",H4791=Dashboard!$I$6)),1,0)</f>
        <v/>
      </c>
    </row>
    <row r="4792">
      <c r="A4792" t="inlineStr">
        <is>
          <t>PF104783</t>
        </is>
      </c>
      <c r="B4792" s="68" t="n">
        <v>46236</v>
      </c>
      <c r="C4792" s="69" t="n">
        <v>2026</v>
      </c>
      <c r="D4792" t="inlineStr">
        <is>
          <t>Aug</t>
        </is>
      </c>
      <c r="E4792" t="inlineStr">
        <is>
          <t>Emerging markets</t>
        </is>
      </c>
      <c r="F4792" t="inlineStr">
        <is>
          <t>India</t>
        </is>
      </c>
      <c r="G4792" t="inlineStr">
        <is>
          <t>Eliquis</t>
        </is>
      </c>
      <c r="H4792" t="inlineStr">
        <is>
          <t>Retail pharmacy</t>
        </is>
      </c>
      <c r="I4792" t="inlineStr">
        <is>
          <t>Private insurer</t>
        </is>
      </c>
      <c r="J4792" t="inlineStr">
        <is>
          <t>Fatima Al-Saud</t>
        </is>
      </c>
      <c r="K4792" s="70" t="n">
        <v>1993</v>
      </c>
      <c r="L4792" s="71" t="n">
        <v>398.26</v>
      </c>
      <c r="M4792" s="71" t="n">
        <v>793732.1800000001</v>
      </c>
      <c r="N4792" s="71" t="n">
        <v>39686.61</v>
      </c>
      <c r="O4792" s="71" t="n">
        <v>754045.5699999999</v>
      </c>
      <c r="P4792" s="71" t="n">
        <v>146885.78</v>
      </c>
      <c r="Q4792" s="71" t="n">
        <v>607159.79</v>
      </c>
      <c r="R4792" t="inlineStr">
        <is>
          <t>Cardiology</t>
        </is>
      </c>
      <c r="S4792" s="70" t="n">
        <v>1598</v>
      </c>
      <c r="T4792" s="71" t="n">
        <v>139052.84</v>
      </c>
      <c r="U4792" t="inlineStr">
        <is>
          <t>High</t>
        </is>
      </c>
      <c r="V4792">
        <f>IF(AND(OR(Dashboard!$C$6="All",E4792=Dashboard!$C$6),OR(Dashboard!$F$6="All",G4792=Dashboard!$F$6),OR(Dashboard!$I$6="All",H4792=Dashboard!$I$6)),1,0)</f>
        <v/>
      </c>
    </row>
    <row r="4793">
      <c r="A4793" t="inlineStr">
        <is>
          <t>PF104784</t>
        </is>
      </c>
      <c r="B4793" s="68" t="n">
        <v>46236</v>
      </c>
      <c r="C4793" s="69" t="n">
        <v>2026</v>
      </c>
      <c r="D4793" t="inlineStr">
        <is>
          <t>Aug</t>
        </is>
      </c>
      <c r="E4793" t="inlineStr">
        <is>
          <t>International developed</t>
        </is>
      </c>
      <c r="F4793" t="inlineStr">
        <is>
          <t>Japan</t>
        </is>
      </c>
      <c r="G4793" t="inlineStr">
        <is>
          <t>Ibrance</t>
        </is>
      </c>
      <c r="H4793" t="inlineStr">
        <is>
          <t>Hospital</t>
        </is>
      </c>
      <c r="I4793" t="inlineStr">
        <is>
          <t>Public payer</t>
        </is>
      </c>
      <c r="J4793" t="inlineStr">
        <is>
          <t>Sara Rossi</t>
        </is>
      </c>
      <c r="K4793" s="70" t="n">
        <v>313</v>
      </c>
      <c r="L4793" s="71" t="n">
        <v>2632.7</v>
      </c>
      <c r="M4793" s="71" t="n">
        <v>824035.1</v>
      </c>
      <c r="N4793" s="71" t="n">
        <v>82403.50999999999</v>
      </c>
      <c r="O4793" s="71" t="n">
        <v>741631.59</v>
      </c>
      <c r="P4793" s="71" t="n">
        <v>141272.63</v>
      </c>
      <c r="Q4793" s="71" t="n">
        <v>600358.96</v>
      </c>
      <c r="R4793" t="inlineStr">
        <is>
          <t>Oncology</t>
        </is>
      </c>
      <c r="S4793" s="70" t="n">
        <v>313</v>
      </c>
      <c r="T4793" s="71" t="n">
        <v>167062.76</v>
      </c>
      <c r="U4793" t="inlineStr">
        <is>
          <t>High</t>
        </is>
      </c>
      <c r="V4793">
        <f>IF(AND(OR(Dashboard!$C$6="All",E4793=Dashboard!$C$6),OR(Dashboard!$F$6="All",G4793=Dashboard!$F$6),OR(Dashboard!$I$6="All",H4793=Dashboard!$I$6)),1,0)</f>
        <v/>
      </c>
    </row>
    <row r="4794">
      <c r="A4794" t="inlineStr">
        <is>
          <t>PF104785</t>
        </is>
      </c>
      <c r="B4794" s="68" t="n">
        <v>46236</v>
      </c>
      <c r="C4794" s="69" t="n">
        <v>2026</v>
      </c>
      <c r="D4794" t="inlineStr">
        <is>
          <t>Aug</t>
        </is>
      </c>
      <c r="E4794" t="inlineStr">
        <is>
          <t>Europe</t>
        </is>
      </c>
      <c r="F4794" t="inlineStr">
        <is>
          <t>Spain</t>
        </is>
      </c>
      <c r="G4794" t="inlineStr">
        <is>
          <t>Abrysvo</t>
        </is>
      </c>
      <c r="H4794" t="inlineStr">
        <is>
          <t>Hospital</t>
        </is>
      </c>
      <c r="I4794" t="inlineStr">
        <is>
          <t>Private insurer</t>
        </is>
      </c>
      <c r="J4794" t="inlineStr">
        <is>
          <t>Noah Smith</t>
        </is>
      </c>
      <c r="K4794" s="70" t="n">
        <v>1549</v>
      </c>
      <c r="L4794" s="71" t="n">
        <v>327.8</v>
      </c>
      <c r="M4794" s="71" t="n">
        <v>507762.2</v>
      </c>
      <c r="N4794" s="71" t="n">
        <v>126940.55</v>
      </c>
      <c r="O4794" s="71" t="n">
        <v>380821.65</v>
      </c>
      <c r="P4794" s="71" t="n">
        <v>126899.09</v>
      </c>
      <c r="Q4794" s="71" t="n">
        <v>253922.56</v>
      </c>
      <c r="R4794" t="inlineStr">
        <is>
          <t>Vaccines</t>
        </is>
      </c>
      <c r="S4794" s="70" t="n">
        <v>1006</v>
      </c>
      <c r="T4794" s="71" t="n">
        <v>85196</v>
      </c>
      <c r="U4794" t="inlineStr">
        <is>
          <t>Low</t>
        </is>
      </c>
      <c r="V4794">
        <f>IF(AND(OR(Dashboard!$C$6="All",E4794=Dashboard!$C$6),OR(Dashboard!$F$6="All",G4794=Dashboard!$F$6),OR(Dashboard!$I$6="All",H4794=Dashboard!$I$6)),1,0)</f>
        <v/>
      </c>
    </row>
    <row r="4795">
      <c r="A4795" t="inlineStr">
        <is>
          <t>PF104786</t>
        </is>
      </c>
      <c r="B4795" s="68" t="n">
        <v>46237</v>
      </c>
      <c r="C4795" s="69" t="n">
        <v>2026</v>
      </c>
      <c r="D4795" t="inlineStr">
        <is>
          <t>Aug</t>
        </is>
      </c>
      <c r="E4795" t="inlineStr">
        <is>
          <t>United States</t>
        </is>
      </c>
      <c r="F4795" t="inlineStr">
        <is>
          <t>USA</t>
        </is>
      </c>
      <c r="G4795" t="inlineStr">
        <is>
          <t>Vyndaqel</t>
        </is>
      </c>
      <c r="H4795" t="inlineStr">
        <is>
          <t>Retail pharmacy</t>
        </is>
      </c>
      <c r="I4795" t="inlineStr">
        <is>
          <t>Private insurer</t>
        </is>
      </c>
      <c r="J4795" t="inlineStr">
        <is>
          <t>Ravindra Patil</t>
        </is>
      </c>
      <c r="K4795" s="70" t="n">
        <v>2107</v>
      </c>
      <c r="L4795" s="71" t="n">
        <v>8722.74</v>
      </c>
      <c r="M4795" s="71" t="n">
        <v>18378813.18</v>
      </c>
      <c r="N4795" s="71" t="n">
        <v>6432584.61</v>
      </c>
      <c r="O4795" s="71" t="n">
        <v>11946228.57</v>
      </c>
      <c r="P4795" s="71" t="n">
        <v>1276705.22</v>
      </c>
      <c r="Q4795" s="71" t="n">
        <v>10669523.35</v>
      </c>
      <c r="R4795" t="inlineStr">
        <is>
          <t>Rare disease</t>
        </is>
      </c>
      <c r="S4795" s="70" t="n">
        <v>2071</v>
      </c>
      <c r="T4795" s="71" t="n">
        <v>3119247.04</v>
      </c>
      <c r="U4795" t="inlineStr">
        <is>
          <t>Medium</t>
        </is>
      </c>
      <c r="V4795">
        <f>IF(AND(OR(Dashboard!$C$6="All",E4795=Dashboard!$C$6),OR(Dashboard!$F$6="All",G4795=Dashboard!$F$6),OR(Dashboard!$I$6="All",H4795=Dashboard!$I$6)),1,0)</f>
        <v/>
      </c>
    </row>
    <row r="4796">
      <c r="A4796" t="inlineStr">
        <is>
          <t>PF104787</t>
        </is>
      </c>
      <c r="B4796" s="68" t="n">
        <v>46237</v>
      </c>
      <c r="C4796" s="69" t="n">
        <v>2026</v>
      </c>
      <c r="D4796" t="inlineStr">
        <is>
          <t>Aug</t>
        </is>
      </c>
      <c r="E4796" t="inlineStr">
        <is>
          <t>Europe</t>
        </is>
      </c>
      <c r="F4796" t="inlineStr">
        <is>
          <t>France</t>
        </is>
      </c>
      <c r="G4796" t="inlineStr">
        <is>
          <t>Comirnaty</t>
        </is>
      </c>
      <c r="H4796" t="inlineStr">
        <is>
          <t>Government / tender</t>
        </is>
      </c>
      <c r="I4796" t="inlineStr">
        <is>
          <t>Public payer</t>
        </is>
      </c>
      <c r="J4796" t="inlineStr">
        <is>
          <t>Arjun Mehta</t>
        </is>
      </c>
      <c r="K4796" s="70" t="n">
        <v>2260</v>
      </c>
      <c r="L4796" s="71" t="n">
        <v>91.65000000000001</v>
      </c>
      <c r="M4796" s="71" t="n">
        <v>207129</v>
      </c>
      <c r="N4796" s="71" t="n">
        <v>10356.45</v>
      </c>
      <c r="O4796" s="71" t="n">
        <v>196772.55</v>
      </c>
      <c r="P4796" s="71" t="n">
        <v>84112.25</v>
      </c>
      <c r="Q4796" s="71" t="n">
        <v>112660.3</v>
      </c>
      <c r="R4796" t="inlineStr">
        <is>
          <t>Vaccines</t>
        </is>
      </c>
      <c r="S4796" s="70" t="n">
        <v>1593</v>
      </c>
      <c r="T4796" s="71" t="n">
        <v>35480.44</v>
      </c>
      <c r="U4796" t="inlineStr">
        <is>
          <t>Low</t>
        </is>
      </c>
      <c r="V4796">
        <f>IF(AND(OR(Dashboard!$C$6="All",E4796=Dashboard!$C$6),OR(Dashboard!$F$6="All",G4796=Dashboard!$F$6),OR(Dashboard!$I$6="All",H4796=Dashboard!$I$6)),1,0)</f>
        <v/>
      </c>
    </row>
    <row r="4797">
      <c r="A4797" t="inlineStr">
        <is>
          <t>PF104788</t>
        </is>
      </c>
      <c r="B4797" s="68" t="n">
        <v>46237</v>
      </c>
      <c r="C4797" s="69" t="n">
        <v>2026</v>
      </c>
      <c r="D4797" t="inlineStr">
        <is>
          <t>Aug</t>
        </is>
      </c>
      <c r="E4797" t="inlineStr">
        <is>
          <t>Europe</t>
        </is>
      </c>
      <c r="F4797" t="inlineStr">
        <is>
          <t>France</t>
        </is>
      </c>
      <c r="G4797" t="inlineStr">
        <is>
          <t>Prevnar 20</t>
        </is>
      </c>
      <c r="H4797" t="inlineStr">
        <is>
          <t>Retail pharmacy</t>
        </is>
      </c>
      <c r="I4797" t="inlineStr">
        <is>
          <t>Private insurer</t>
        </is>
      </c>
      <c r="J4797" t="inlineStr">
        <is>
          <t>Priya Nair</t>
        </is>
      </c>
      <c r="K4797" s="70" t="n">
        <v>1160</v>
      </c>
      <c r="L4797" s="71" t="n">
        <v>252.16</v>
      </c>
      <c r="M4797" s="71" t="n">
        <v>292505.6</v>
      </c>
      <c r="N4797" s="71" t="n">
        <v>29250.56</v>
      </c>
      <c r="O4797" s="71" t="n">
        <v>263255.04</v>
      </c>
      <c r="P4797" s="71" t="n">
        <v>78238.69</v>
      </c>
      <c r="Q4797" s="71" t="n">
        <v>185016.35</v>
      </c>
      <c r="R4797" t="inlineStr">
        <is>
          <t>Vaccines</t>
        </is>
      </c>
      <c r="S4797" s="70" t="n">
        <v>830</v>
      </c>
      <c r="T4797" s="71" t="n">
        <v>53516.06</v>
      </c>
      <c r="U4797" t="inlineStr">
        <is>
          <t>Low</t>
        </is>
      </c>
      <c r="V4797">
        <f>IF(AND(OR(Dashboard!$C$6="All",E4797=Dashboard!$C$6),OR(Dashboard!$F$6="All",G4797=Dashboard!$F$6),OR(Dashboard!$I$6="All",H4797=Dashboard!$I$6)),1,0)</f>
        <v/>
      </c>
    </row>
    <row r="4798">
      <c r="A4798" t="inlineStr">
        <is>
          <t>PF104789</t>
        </is>
      </c>
      <c r="B4798" s="68" t="n">
        <v>46237</v>
      </c>
      <c r="C4798" s="69" t="n">
        <v>2026</v>
      </c>
      <c r="D4798" t="inlineStr">
        <is>
          <t>Aug</t>
        </is>
      </c>
      <c r="E4798" t="inlineStr">
        <is>
          <t>Emerging markets</t>
        </is>
      </c>
      <c r="F4798" t="inlineStr">
        <is>
          <t>China</t>
        </is>
      </c>
      <c r="G4798" t="inlineStr">
        <is>
          <t>Prevnar 20</t>
        </is>
      </c>
      <c r="H4798" t="inlineStr">
        <is>
          <t>Hospital</t>
        </is>
      </c>
      <c r="I4798" t="inlineStr">
        <is>
          <t>Public payer</t>
        </is>
      </c>
      <c r="J4798" t="inlineStr">
        <is>
          <t>Ravindra Patil</t>
        </is>
      </c>
      <c r="K4798" s="70" t="n">
        <v>3048</v>
      </c>
      <c r="L4798" s="71" t="n">
        <v>229.3</v>
      </c>
      <c r="M4798" s="71" t="n">
        <v>698906.4</v>
      </c>
      <c r="N4798" s="71" t="n">
        <v>174726.6</v>
      </c>
      <c r="O4798" s="71" t="n">
        <v>524179.8</v>
      </c>
      <c r="P4798" s="71" t="n">
        <v>207474.73</v>
      </c>
      <c r="Q4798" s="71" t="n">
        <v>316705.07</v>
      </c>
      <c r="R4798" t="inlineStr">
        <is>
          <t>Vaccines</t>
        </is>
      </c>
      <c r="S4798" s="70" t="n">
        <v>2397</v>
      </c>
      <c r="T4798" s="71" t="n">
        <v>140477.66</v>
      </c>
      <c r="U4798" t="inlineStr">
        <is>
          <t>Low</t>
        </is>
      </c>
      <c r="V4798">
        <f>IF(AND(OR(Dashboard!$C$6="All",E4798=Dashboard!$C$6),OR(Dashboard!$F$6="All",G4798=Dashboard!$F$6),OR(Dashboard!$I$6="All",H4798=Dashboard!$I$6)),1,0)</f>
        <v/>
      </c>
    </row>
    <row r="4799">
      <c r="A4799" t="inlineStr">
        <is>
          <t>PF104790</t>
        </is>
      </c>
      <c r="B4799" s="68" t="n">
        <v>46237</v>
      </c>
      <c r="C4799" s="69" t="n">
        <v>2026</v>
      </c>
      <c r="D4799" t="inlineStr">
        <is>
          <t>Aug</t>
        </is>
      </c>
      <c r="E4799" t="inlineStr">
        <is>
          <t>United States</t>
        </is>
      </c>
      <c r="F4799" t="inlineStr">
        <is>
          <t>USA</t>
        </is>
      </c>
      <c r="G4799" t="inlineStr">
        <is>
          <t>Eliquis</t>
        </is>
      </c>
      <c r="H4799" t="inlineStr">
        <is>
          <t>Hospital</t>
        </is>
      </c>
      <c r="I4799" t="inlineStr">
        <is>
          <t>Public payer</t>
        </is>
      </c>
      <c r="J4799" t="inlineStr">
        <is>
          <t>Mei Lin</t>
        </is>
      </c>
      <c r="K4799" s="70" t="n">
        <v>887</v>
      </c>
      <c r="L4799" s="71" t="n">
        <v>731.4299999999999</v>
      </c>
      <c r="M4799" s="71" t="n">
        <v>648778.41</v>
      </c>
      <c r="N4799" s="71" t="n">
        <v>129755.68</v>
      </c>
      <c r="O4799" s="71" t="n">
        <v>519022.73</v>
      </c>
      <c r="P4799" s="71" t="n">
        <v>64423.91</v>
      </c>
      <c r="Q4799" s="71" t="n">
        <v>454598.82</v>
      </c>
      <c r="R4799" t="inlineStr">
        <is>
          <t>Cardiology</t>
        </is>
      </c>
      <c r="S4799" s="70" t="n">
        <v>700</v>
      </c>
      <c r="T4799" s="71" t="n">
        <v>126138.28</v>
      </c>
      <c r="U4799" t="inlineStr">
        <is>
          <t>High</t>
        </is>
      </c>
      <c r="V4799">
        <f>IF(AND(OR(Dashboard!$C$6="All",E4799=Dashboard!$C$6),OR(Dashboard!$F$6="All",G4799=Dashboard!$F$6),OR(Dashboard!$I$6="All",H4799=Dashboard!$I$6)),1,0)</f>
        <v/>
      </c>
    </row>
    <row r="4800">
      <c r="A4800" t="inlineStr">
        <is>
          <t>PF104791</t>
        </is>
      </c>
      <c r="B4800" s="68" t="n">
        <v>46237</v>
      </c>
      <c r="C4800" s="69" t="n">
        <v>2026</v>
      </c>
      <c r="D4800" t="inlineStr">
        <is>
          <t>Aug</t>
        </is>
      </c>
      <c r="E4800" t="inlineStr">
        <is>
          <t>Europe</t>
        </is>
      </c>
      <c r="F4800" t="inlineStr">
        <is>
          <t>Italy</t>
        </is>
      </c>
      <c r="G4800" t="inlineStr">
        <is>
          <t>Eliquis</t>
        </is>
      </c>
      <c r="H4800" t="inlineStr">
        <is>
          <t>Retail pharmacy</t>
        </is>
      </c>
      <c r="I4800" t="inlineStr">
        <is>
          <t>Private insurer</t>
        </is>
      </c>
      <c r="J4800" t="inlineStr">
        <is>
          <t>Amir Khan</t>
        </is>
      </c>
      <c r="K4800" s="70" t="n">
        <v>2132</v>
      </c>
      <c r="L4800" s="71" t="n">
        <v>444.49</v>
      </c>
      <c r="M4800" s="71" t="n">
        <v>947652.6800000001</v>
      </c>
      <c r="N4800" s="71" t="n">
        <v>236913.17</v>
      </c>
      <c r="O4800" s="71" t="n">
        <v>710739.51</v>
      </c>
      <c r="P4800" s="71" t="n">
        <v>157751.36</v>
      </c>
      <c r="Q4800" s="71" t="n">
        <v>552988.15</v>
      </c>
      <c r="R4800" t="inlineStr">
        <is>
          <t>Cardiology</t>
        </is>
      </c>
      <c r="S4800" s="70" t="n">
        <v>1911</v>
      </c>
      <c r="T4800" s="71" t="n">
        <v>165705.11</v>
      </c>
      <c r="U4800" t="inlineStr">
        <is>
          <t>High</t>
        </is>
      </c>
      <c r="V4800">
        <f>IF(AND(OR(Dashboard!$C$6="All",E4800=Dashboard!$C$6),OR(Dashboard!$F$6="All",G4800=Dashboard!$F$6),OR(Dashboard!$I$6="All",H4800=Dashboard!$I$6)),1,0)</f>
        <v/>
      </c>
    </row>
    <row r="4801">
      <c r="A4801" t="inlineStr">
        <is>
          <t>PF104792</t>
        </is>
      </c>
      <c r="B4801" s="68" t="n">
        <v>46237</v>
      </c>
      <c r="C4801" s="69" t="n">
        <v>2026</v>
      </c>
      <c r="D4801" t="inlineStr">
        <is>
          <t>Aug</t>
        </is>
      </c>
      <c r="E4801" t="inlineStr">
        <is>
          <t>United States</t>
        </is>
      </c>
      <c r="F4801" t="inlineStr">
        <is>
          <t>USA</t>
        </is>
      </c>
      <c r="G4801" t="inlineStr">
        <is>
          <t>Comirnaty</t>
        </is>
      </c>
      <c r="H4801" t="inlineStr">
        <is>
          <t>Retail pharmacy</t>
        </is>
      </c>
      <c r="I4801" t="inlineStr">
        <is>
          <t>Private insurer</t>
        </is>
      </c>
      <c r="J4801" t="inlineStr">
        <is>
          <t>Ana Costa</t>
        </is>
      </c>
      <c r="K4801" s="70" t="n">
        <v>2269</v>
      </c>
      <c r="L4801" s="71" t="n">
        <v>133.75</v>
      </c>
      <c r="M4801" s="71" t="n">
        <v>303478.75</v>
      </c>
      <c r="N4801" s="71" t="n">
        <v>45521.81</v>
      </c>
      <c r="O4801" s="71" t="n">
        <v>257956.94</v>
      </c>
      <c r="P4801" s="71" t="n">
        <v>84749.02</v>
      </c>
      <c r="Q4801" s="71" t="n">
        <v>173207.92</v>
      </c>
      <c r="R4801" t="inlineStr">
        <is>
          <t>Vaccines</t>
        </is>
      </c>
      <c r="S4801" s="70" t="n">
        <v>1635</v>
      </c>
      <c r="T4801" s="71" t="n">
        <v>70127.84</v>
      </c>
      <c r="U4801" t="inlineStr">
        <is>
          <t>Low</t>
        </is>
      </c>
      <c r="V4801">
        <f>IF(AND(OR(Dashboard!$C$6="All",E4801=Dashboard!$C$6),OR(Dashboard!$F$6="All",G4801=Dashboard!$F$6),OR(Dashboard!$I$6="All",H4801=Dashboard!$I$6)),1,0)</f>
        <v/>
      </c>
    </row>
    <row r="4802">
      <c r="A4802" t="inlineStr">
        <is>
          <t>PF104793</t>
        </is>
      </c>
      <c r="B4802" s="68" t="n">
        <v>46237</v>
      </c>
      <c r="C4802" s="69" t="n">
        <v>2026</v>
      </c>
      <c r="D4802" t="inlineStr">
        <is>
          <t>Aug</t>
        </is>
      </c>
      <c r="E4802" t="inlineStr">
        <is>
          <t>United States</t>
        </is>
      </c>
      <c r="F4802" t="inlineStr">
        <is>
          <t>USA</t>
        </is>
      </c>
      <c r="G4802" t="inlineStr">
        <is>
          <t>Comirnaty</t>
        </is>
      </c>
      <c r="H4802" t="inlineStr">
        <is>
          <t>Retail pharmacy</t>
        </is>
      </c>
      <c r="I4802" t="inlineStr">
        <is>
          <t>Private insurer</t>
        </is>
      </c>
      <c r="J4802" t="inlineStr">
        <is>
          <t>Sophie Müller</t>
        </is>
      </c>
      <c r="K4802" s="70" t="n">
        <v>1733</v>
      </c>
      <c r="L4802" s="71" t="n">
        <v>128.35</v>
      </c>
      <c r="M4802" s="71" t="n">
        <v>222430.55</v>
      </c>
      <c r="N4802" s="71" t="n">
        <v>33364.58</v>
      </c>
      <c r="O4802" s="71" t="n">
        <v>189065.97</v>
      </c>
      <c r="P4802" s="71" t="n">
        <v>66072.19</v>
      </c>
      <c r="Q4802" s="71" t="n">
        <v>122993.78</v>
      </c>
      <c r="R4802" t="inlineStr">
        <is>
          <t>Vaccines</t>
        </is>
      </c>
      <c r="S4802" s="70" t="n">
        <v>1212</v>
      </c>
      <c r="T4802" s="71" t="n">
        <v>37227.45</v>
      </c>
      <c r="U4802" t="inlineStr">
        <is>
          <t>Low</t>
        </is>
      </c>
      <c r="V4802">
        <f>IF(AND(OR(Dashboard!$C$6="All",E4802=Dashboard!$C$6),OR(Dashboard!$F$6="All",G4802=Dashboard!$F$6),OR(Dashboard!$I$6="All",H4802=Dashboard!$I$6)),1,0)</f>
        <v/>
      </c>
    </row>
    <row r="4803">
      <c r="A4803" t="inlineStr">
        <is>
          <t>PF104794</t>
        </is>
      </c>
      <c r="B4803" s="68" t="n">
        <v>46237</v>
      </c>
      <c r="C4803" s="69" t="n">
        <v>2026</v>
      </c>
      <c r="D4803" t="inlineStr">
        <is>
          <t>Aug</t>
        </is>
      </c>
      <c r="E4803" t="inlineStr">
        <is>
          <t>United States</t>
        </is>
      </c>
      <c r="F4803" t="inlineStr">
        <is>
          <t>USA</t>
        </is>
      </c>
      <c r="G4803" t="inlineStr">
        <is>
          <t>Abrysvo</t>
        </is>
      </c>
      <c r="H4803" t="inlineStr">
        <is>
          <t>Retail pharmacy</t>
        </is>
      </c>
      <c r="I4803" t="inlineStr">
        <is>
          <t>Private insurer</t>
        </is>
      </c>
      <c r="J4803" t="inlineStr">
        <is>
          <t>Yuki Sato</t>
        </is>
      </c>
      <c r="K4803" s="70" t="n">
        <v>1794</v>
      </c>
      <c r="L4803" s="71" t="n">
        <v>511.22</v>
      </c>
      <c r="M4803" s="71" t="n">
        <v>917128.6800000001</v>
      </c>
      <c r="N4803" s="71" t="n">
        <v>320995.04</v>
      </c>
      <c r="O4803" s="71" t="n">
        <v>596133.64</v>
      </c>
      <c r="P4803" s="71" t="n">
        <v>151124.67</v>
      </c>
      <c r="Q4803" s="71" t="n">
        <v>445008.97</v>
      </c>
      <c r="R4803" t="inlineStr">
        <is>
          <t>Vaccines</t>
        </is>
      </c>
      <c r="S4803" s="70" t="n">
        <v>1566</v>
      </c>
      <c r="T4803" s="71" t="n">
        <v>127329.69</v>
      </c>
      <c r="U4803" t="inlineStr">
        <is>
          <t>Low</t>
        </is>
      </c>
      <c r="V4803">
        <f>IF(AND(OR(Dashboard!$C$6="All",E4803=Dashboard!$C$6),OR(Dashboard!$F$6="All",G4803=Dashboard!$F$6),OR(Dashboard!$I$6="All",H4803=Dashboard!$I$6)),1,0)</f>
        <v/>
      </c>
    </row>
    <row r="4804">
      <c r="A4804" t="inlineStr">
        <is>
          <t>PF104795</t>
        </is>
      </c>
      <c r="B4804" s="68" t="n">
        <v>46237</v>
      </c>
      <c r="C4804" s="69" t="n">
        <v>2026</v>
      </c>
      <c r="D4804" t="inlineStr">
        <is>
          <t>Aug</t>
        </is>
      </c>
      <c r="E4804" t="inlineStr">
        <is>
          <t>Europe</t>
        </is>
      </c>
      <c r="F4804" t="inlineStr">
        <is>
          <t>Italy</t>
        </is>
      </c>
      <c r="G4804" t="inlineStr">
        <is>
          <t>Ibrance</t>
        </is>
      </c>
      <c r="H4804" t="inlineStr">
        <is>
          <t>Government / tender</t>
        </is>
      </c>
      <c r="I4804" t="inlineStr">
        <is>
          <t>Private insurer</t>
        </is>
      </c>
      <c r="J4804" t="inlineStr">
        <is>
          <t>Emma Clarke</t>
        </is>
      </c>
      <c r="K4804" s="70" t="n">
        <v>2577</v>
      </c>
      <c r="L4804" s="71" t="n">
        <v>2725.99</v>
      </c>
      <c r="M4804" s="71" t="n">
        <v>7024876.23</v>
      </c>
      <c r="N4804" s="71" t="n">
        <v>1404975.25</v>
      </c>
      <c r="O4804" s="71" t="n">
        <v>5619900.98</v>
      </c>
      <c r="P4804" s="71" t="n">
        <v>1122428.42</v>
      </c>
      <c r="Q4804" s="71" t="n">
        <v>4497472.56</v>
      </c>
      <c r="R4804" t="inlineStr">
        <is>
          <t>Oncology</t>
        </is>
      </c>
      <c r="S4804" s="70" t="n">
        <v>1663</v>
      </c>
      <c r="T4804" s="71" t="n">
        <v>1303914.45</v>
      </c>
      <c r="U4804" t="inlineStr">
        <is>
          <t>High</t>
        </is>
      </c>
      <c r="V4804">
        <f>IF(AND(OR(Dashboard!$C$6="All",E4804=Dashboard!$C$6),OR(Dashboard!$F$6="All",G4804=Dashboard!$F$6),OR(Dashboard!$I$6="All",H4804=Dashboard!$I$6)),1,0)</f>
        <v/>
      </c>
    </row>
    <row r="4805">
      <c r="A4805" t="inlineStr">
        <is>
          <t>PF104796</t>
        </is>
      </c>
      <c r="B4805" s="68" t="n">
        <v>46238</v>
      </c>
      <c r="C4805" s="69" t="n">
        <v>2026</v>
      </c>
      <c r="D4805" t="inlineStr">
        <is>
          <t>Aug</t>
        </is>
      </c>
      <c r="E4805" t="inlineStr">
        <is>
          <t>Emerging markets</t>
        </is>
      </c>
      <c r="F4805" t="inlineStr">
        <is>
          <t>Brazil</t>
        </is>
      </c>
      <c r="G4805" t="inlineStr">
        <is>
          <t>Prevnar 20</t>
        </is>
      </c>
      <c r="H4805" t="inlineStr">
        <is>
          <t>Retail pharmacy</t>
        </is>
      </c>
      <c r="I4805" t="inlineStr">
        <is>
          <t>Private insurer</t>
        </is>
      </c>
      <c r="J4805" t="inlineStr">
        <is>
          <t>Olivia Brown</t>
        </is>
      </c>
      <c r="K4805" s="70" t="n">
        <v>2035</v>
      </c>
      <c r="L4805" s="71" t="n">
        <v>218.04</v>
      </c>
      <c r="M4805" s="71" t="n">
        <v>443711.4</v>
      </c>
      <c r="N4805" s="71" t="n">
        <v>66556.71000000001</v>
      </c>
      <c r="O4805" s="71" t="n">
        <v>377154.69</v>
      </c>
      <c r="P4805" s="71" t="n">
        <v>145837.46</v>
      </c>
      <c r="Q4805" s="71" t="n">
        <v>231317.23</v>
      </c>
      <c r="R4805" t="inlineStr">
        <is>
          <t>Vaccines</t>
        </is>
      </c>
      <c r="S4805" s="70" t="n">
        <v>1674</v>
      </c>
      <c r="T4805" s="71" t="n">
        <v>81977.47</v>
      </c>
      <c r="U4805" t="inlineStr">
        <is>
          <t>Low</t>
        </is>
      </c>
      <c r="V4805">
        <f>IF(AND(OR(Dashboard!$C$6="All",E4805=Dashboard!$C$6),OR(Dashboard!$F$6="All",G4805=Dashboard!$F$6),OR(Dashboard!$I$6="All",H4805=Dashboard!$I$6)),1,0)</f>
        <v/>
      </c>
    </row>
    <row r="4806">
      <c r="A4806" t="inlineStr">
        <is>
          <t>PF104797</t>
        </is>
      </c>
      <c r="B4806" s="68" t="n">
        <v>46238</v>
      </c>
      <c r="C4806" s="69" t="n">
        <v>2026</v>
      </c>
      <c r="D4806" t="inlineStr">
        <is>
          <t>Aug</t>
        </is>
      </c>
      <c r="E4806" t="inlineStr">
        <is>
          <t>United States</t>
        </is>
      </c>
      <c r="F4806" t="inlineStr">
        <is>
          <t>USA</t>
        </is>
      </c>
      <c r="G4806" t="inlineStr">
        <is>
          <t>Abrysvo</t>
        </is>
      </c>
      <c r="H4806" t="inlineStr">
        <is>
          <t>Government / tender</t>
        </is>
      </c>
      <c r="I4806" t="inlineStr">
        <is>
          <t>Private insurer</t>
        </is>
      </c>
      <c r="J4806" t="inlineStr">
        <is>
          <t>Ana Costa</t>
        </is>
      </c>
      <c r="K4806" s="70" t="n">
        <v>781</v>
      </c>
      <c r="L4806" s="71" t="n">
        <v>550.88</v>
      </c>
      <c r="M4806" s="71" t="n">
        <v>430237.28</v>
      </c>
      <c r="N4806" s="71" t="n">
        <v>64535.59</v>
      </c>
      <c r="O4806" s="71" t="n">
        <v>365701.69</v>
      </c>
      <c r="P4806" s="71" t="n">
        <v>65394.51</v>
      </c>
      <c r="Q4806" s="71" t="n">
        <v>300307.18</v>
      </c>
      <c r="R4806" t="inlineStr">
        <is>
          <t>Vaccines</t>
        </is>
      </c>
      <c r="S4806" s="70" t="n">
        <v>731</v>
      </c>
      <c r="T4806" s="71" t="n">
        <v>46274.13</v>
      </c>
      <c r="U4806" t="inlineStr">
        <is>
          <t>Low</t>
        </is>
      </c>
      <c r="V4806">
        <f>IF(AND(OR(Dashboard!$C$6="All",E4806=Dashboard!$C$6),OR(Dashboard!$F$6="All",G4806=Dashboard!$F$6),OR(Dashboard!$I$6="All",H4806=Dashboard!$I$6)),1,0)</f>
        <v/>
      </c>
    </row>
    <row r="4807">
      <c r="A4807" t="inlineStr">
        <is>
          <t>PF104798</t>
        </is>
      </c>
      <c r="B4807" s="68" t="n">
        <v>46238</v>
      </c>
      <c r="C4807" s="69" t="n">
        <v>2026</v>
      </c>
      <c r="D4807" t="inlineStr">
        <is>
          <t>Aug</t>
        </is>
      </c>
      <c r="E4807" t="inlineStr">
        <is>
          <t>United States</t>
        </is>
      </c>
      <c r="F4807" t="inlineStr">
        <is>
          <t>USA</t>
        </is>
      </c>
      <c r="G4807" t="inlineStr">
        <is>
          <t>Prevnar 20</t>
        </is>
      </c>
      <c r="H4807" t="inlineStr">
        <is>
          <t>Hospital</t>
        </is>
      </c>
      <c r="I4807" t="inlineStr">
        <is>
          <t>Self-pay</t>
        </is>
      </c>
      <c r="J4807" t="inlineStr">
        <is>
          <t>Shraddha Kulkarni</t>
        </is>
      </c>
      <c r="K4807" s="70" t="n">
        <v>2255</v>
      </c>
      <c r="L4807" s="71" t="n">
        <v>343.57</v>
      </c>
      <c r="M4807" s="71" t="n">
        <v>774750.35</v>
      </c>
      <c r="N4807" s="71" t="n">
        <v>232425.11</v>
      </c>
      <c r="O4807" s="71" t="n">
        <v>542325.24</v>
      </c>
      <c r="P4807" s="71" t="n">
        <v>154064.84</v>
      </c>
      <c r="Q4807" s="71" t="n">
        <v>388260.4</v>
      </c>
      <c r="R4807" t="inlineStr">
        <is>
          <t>Vaccines</t>
        </is>
      </c>
      <c r="S4807" s="70" t="n">
        <v>2143</v>
      </c>
      <c r="T4807" s="71" t="n">
        <v>94972.99000000001</v>
      </c>
      <c r="U4807" t="inlineStr">
        <is>
          <t>Low</t>
        </is>
      </c>
      <c r="V4807">
        <f>IF(AND(OR(Dashboard!$C$6="All",E4807=Dashboard!$C$6),OR(Dashboard!$F$6="All",G4807=Dashboard!$F$6),OR(Dashboard!$I$6="All",H4807=Dashboard!$I$6)),1,0)</f>
        <v/>
      </c>
    </row>
    <row r="4808">
      <c r="A4808" t="inlineStr">
        <is>
          <t>PF104799</t>
        </is>
      </c>
      <c r="B4808" s="68" t="n">
        <v>46238</v>
      </c>
      <c r="C4808" s="69" t="n">
        <v>2026</v>
      </c>
      <c r="D4808" t="inlineStr">
        <is>
          <t>Aug</t>
        </is>
      </c>
      <c r="E4808" t="inlineStr">
        <is>
          <t>Emerging markets</t>
        </is>
      </c>
      <c r="F4808" t="inlineStr">
        <is>
          <t>China</t>
        </is>
      </c>
      <c r="G4808" t="inlineStr">
        <is>
          <t>Eliquis</t>
        </is>
      </c>
      <c r="H4808" t="inlineStr">
        <is>
          <t>Hospital</t>
        </is>
      </c>
      <c r="I4808" t="inlineStr">
        <is>
          <t>Private insurer</t>
        </is>
      </c>
      <c r="J4808" t="inlineStr">
        <is>
          <t>Ruhi Shaikh</t>
        </is>
      </c>
      <c r="K4808" s="70" t="n">
        <v>2846</v>
      </c>
      <c r="L4808" s="71" t="n">
        <v>419.9</v>
      </c>
      <c r="M4808" s="71" t="n">
        <v>1195035.4</v>
      </c>
      <c r="N4808" s="71" t="n">
        <v>298758.85</v>
      </c>
      <c r="O4808" s="71" t="n">
        <v>896276.55</v>
      </c>
      <c r="P4808" s="71" t="n">
        <v>208588.48</v>
      </c>
      <c r="Q4808" s="71" t="n">
        <v>687688.0699999999</v>
      </c>
      <c r="R4808" t="inlineStr">
        <is>
          <t>Cardiology</t>
        </is>
      </c>
      <c r="S4808" s="70" t="n">
        <v>2361</v>
      </c>
      <c r="T4808" s="71" t="n">
        <v>171559.36</v>
      </c>
      <c r="U4808" t="inlineStr">
        <is>
          <t>High</t>
        </is>
      </c>
      <c r="V4808">
        <f>IF(AND(OR(Dashboard!$C$6="All",E4808=Dashboard!$C$6),OR(Dashboard!$F$6="All",G4808=Dashboard!$F$6),OR(Dashboard!$I$6="All",H4808=Dashboard!$I$6)),1,0)</f>
        <v/>
      </c>
    </row>
    <row r="4809">
      <c r="A4809" t="inlineStr">
        <is>
          <t>PF104800</t>
        </is>
      </c>
      <c r="B4809" s="68" t="n">
        <v>46238</v>
      </c>
      <c r="C4809" s="69" t="n">
        <v>2026</v>
      </c>
      <c r="D4809" t="inlineStr">
        <is>
          <t>Aug</t>
        </is>
      </c>
      <c r="E4809" t="inlineStr">
        <is>
          <t>Emerging markets</t>
        </is>
      </c>
      <c r="F4809" t="inlineStr">
        <is>
          <t>China</t>
        </is>
      </c>
      <c r="G4809" t="inlineStr">
        <is>
          <t>Vyndaqel</t>
        </is>
      </c>
      <c r="H4809" t="inlineStr">
        <is>
          <t>Government / tender</t>
        </is>
      </c>
      <c r="I4809" t="inlineStr">
        <is>
          <t>Public payer</t>
        </is>
      </c>
      <c r="J4809" t="inlineStr">
        <is>
          <t>Aisha Bello</t>
        </is>
      </c>
      <c r="K4809" s="70" t="n">
        <v>434</v>
      </c>
      <c r="L4809" s="71" t="n">
        <v>5383.86</v>
      </c>
      <c r="M4809" s="71" t="n">
        <v>2336595.24</v>
      </c>
      <c r="N4809" s="71" t="n">
        <v>116829.76</v>
      </c>
      <c r="O4809" s="71" t="n">
        <v>2219765.48</v>
      </c>
      <c r="P4809" s="71" t="n">
        <v>274337.83</v>
      </c>
      <c r="Q4809" s="71" t="n">
        <v>1945427.65</v>
      </c>
      <c r="R4809" t="inlineStr">
        <is>
          <t>Rare disease</t>
        </is>
      </c>
      <c r="S4809" s="70" t="n">
        <v>387</v>
      </c>
      <c r="T4809" s="71" t="n">
        <v>282690.89</v>
      </c>
      <c r="U4809" t="inlineStr">
        <is>
          <t>Medium</t>
        </is>
      </c>
      <c r="V4809">
        <f>IF(AND(OR(Dashboard!$C$6="All",E4809=Dashboard!$C$6),OR(Dashboard!$F$6="All",G4809=Dashboard!$F$6),OR(Dashboard!$I$6="All",H4809=Dashboard!$I$6)),1,0)</f>
        <v/>
      </c>
    </row>
    <row r="4810">
      <c r="A4810" t="inlineStr">
        <is>
          <t>PF104801</t>
        </is>
      </c>
      <c r="B4810" s="68" t="n">
        <v>46238</v>
      </c>
      <c r="C4810" s="69" t="n">
        <v>2026</v>
      </c>
      <c r="D4810" t="inlineStr">
        <is>
          <t>Aug</t>
        </is>
      </c>
      <c r="E4810" t="inlineStr">
        <is>
          <t>Europe</t>
        </is>
      </c>
      <c r="F4810" t="inlineStr">
        <is>
          <t>Spain</t>
        </is>
      </c>
      <c r="G4810" t="inlineStr">
        <is>
          <t>Prevnar 20</t>
        </is>
      </c>
      <c r="H4810" t="inlineStr">
        <is>
          <t>Retail pharmacy</t>
        </is>
      </c>
      <c r="I4810" t="inlineStr">
        <is>
          <t>Private insurer</t>
        </is>
      </c>
      <c r="J4810" t="inlineStr">
        <is>
          <t>Ruhi Shaikh</t>
        </is>
      </c>
      <c r="K4810" s="70" t="n">
        <v>1357</v>
      </c>
      <c r="L4810" s="71" t="n">
        <v>230.73</v>
      </c>
      <c r="M4810" s="71" t="n">
        <v>313100.61</v>
      </c>
      <c r="N4810" s="71" t="n">
        <v>78275.14999999999</v>
      </c>
      <c r="O4810" s="71" t="n">
        <v>234825.46</v>
      </c>
      <c r="P4810" s="71" t="n">
        <v>96752.61</v>
      </c>
      <c r="Q4810" s="71" t="n">
        <v>138072.85</v>
      </c>
      <c r="R4810" t="inlineStr">
        <is>
          <t>Vaccines</t>
        </is>
      </c>
      <c r="S4810" s="70" t="n">
        <v>1335</v>
      </c>
      <c r="T4810" s="71" t="n">
        <v>37592.49</v>
      </c>
      <c r="U4810" t="inlineStr">
        <is>
          <t>Low</t>
        </is>
      </c>
      <c r="V4810">
        <f>IF(AND(OR(Dashboard!$C$6="All",E4810=Dashboard!$C$6),OR(Dashboard!$F$6="All",G4810=Dashboard!$F$6),OR(Dashboard!$I$6="All",H4810=Dashboard!$I$6)),1,0)</f>
        <v/>
      </c>
    </row>
    <row r="4811">
      <c r="A4811" t="inlineStr">
        <is>
          <t>PF104802</t>
        </is>
      </c>
      <c r="B4811" s="68" t="n">
        <v>46238</v>
      </c>
      <c r="C4811" s="69" t="n">
        <v>2026</v>
      </c>
      <c r="D4811" t="inlineStr">
        <is>
          <t>Aug</t>
        </is>
      </c>
      <c r="E4811" t="inlineStr">
        <is>
          <t>Europe</t>
        </is>
      </c>
      <c r="F4811" t="inlineStr">
        <is>
          <t>Spain</t>
        </is>
      </c>
      <c r="G4811" t="inlineStr">
        <is>
          <t>Paxlovid</t>
        </is>
      </c>
      <c r="H4811" t="inlineStr">
        <is>
          <t>Retail pharmacy</t>
        </is>
      </c>
      <c r="I4811" t="inlineStr">
        <is>
          <t>Public payer</t>
        </is>
      </c>
      <c r="J4811" t="inlineStr">
        <is>
          <t>Arjun Mehta</t>
        </is>
      </c>
      <c r="K4811" s="70" t="n">
        <v>2000</v>
      </c>
      <c r="L4811" s="71" t="n">
        <v>858.1799999999999</v>
      </c>
      <c r="M4811" s="71" t="n">
        <v>1716360</v>
      </c>
      <c r="N4811" s="71" t="n">
        <v>85818</v>
      </c>
      <c r="O4811" s="71" t="n">
        <v>1630542</v>
      </c>
      <c r="P4811" s="71" t="n">
        <v>568676.55</v>
      </c>
      <c r="Q4811" s="71" t="n">
        <v>1061865.45</v>
      </c>
      <c r="R4811" t="inlineStr">
        <is>
          <t>Antiviral</t>
        </is>
      </c>
      <c r="S4811" s="70" t="n">
        <v>1662</v>
      </c>
      <c r="T4811" s="71" t="n">
        <v>372220.72</v>
      </c>
      <c r="U4811" t="inlineStr">
        <is>
          <t>Low</t>
        </is>
      </c>
      <c r="V4811">
        <f>IF(AND(OR(Dashboard!$C$6="All",E4811=Dashboard!$C$6),OR(Dashboard!$F$6="All",G4811=Dashboard!$F$6),OR(Dashboard!$I$6="All",H4811=Dashboard!$I$6)),1,0)</f>
        <v/>
      </c>
    </row>
    <row r="4812">
      <c r="A4812" t="inlineStr">
        <is>
          <t>PF104803</t>
        </is>
      </c>
      <c r="B4812" s="68" t="n">
        <v>46238</v>
      </c>
      <c r="C4812" s="69" t="n">
        <v>2026</v>
      </c>
      <c r="D4812" t="inlineStr">
        <is>
          <t>Aug</t>
        </is>
      </c>
      <c r="E4812" t="inlineStr">
        <is>
          <t>United States</t>
        </is>
      </c>
      <c r="F4812" t="inlineStr">
        <is>
          <t>USA</t>
        </is>
      </c>
      <c r="G4812" t="inlineStr">
        <is>
          <t>Xeljanz</t>
        </is>
      </c>
      <c r="H4812" t="inlineStr">
        <is>
          <t>Hospital</t>
        </is>
      </c>
      <c r="I4812" t="inlineStr">
        <is>
          <t>Public payer</t>
        </is>
      </c>
      <c r="J4812" t="inlineStr">
        <is>
          <t>Sara Rossi</t>
        </is>
      </c>
      <c r="K4812" s="70" t="n">
        <v>1981</v>
      </c>
      <c r="L4812" s="71" t="n">
        <v>2123.8</v>
      </c>
      <c r="M4812" s="71" t="n">
        <v>4207247.8</v>
      </c>
      <c r="N4812" s="71" t="n">
        <v>1262174.34</v>
      </c>
      <c r="O4812" s="71" t="n">
        <v>2945073.46</v>
      </c>
      <c r="P4812" s="71" t="n">
        <v>517247.35</v>
      </c>
      <c r="Q4812" s="71" t="n">
        <v>2427826.11</v>
      </c>
      <c r="R4812" t="inlineStr">
        <is>
          <t>Inflammation</t>
        </is>
      </c>
      <c r="S4812" s="70" t="n">
        <v>1570</v>
      </c>
      <c r="T4812" s="71" t="n">
        <v>708574.24</v>
      </c>
      <c r="U4812" t="inlineStr">
        <is>
          <t>High</t>
        </is>
      </c>
      <c r="V4812">
        <f>IF(AND(OR(Dashboard!$C$6="All",E4812=Dashboard!$C$6),OR(Dashboard!$F$6="All",G4812=Dashboard!$F$6),OR(Dashboard!$I$6="All",H4812=Dashboard!$I$6)),1,0)</f>
        <v/>
      </c>
    </row>
    <row r="4813">
      <c r="A4813" t="inlineStr">
        <is>
          <t>PF104804</t>
        </is>
      </c>
      <c r="B4813" s="68" t="n">
        <v>46238</v>
      </c>
      <c r="C4813" s="69" t="n">
        <v>2026</v>
      </c>
      <c r="D4813" t="inlineStr">
        <is>
          <t>Aug</t>
        </is>
      </c>
      <c r="E4813" t="inlineStr">
        <is>
          <t>Emerging markets</t>
        </is>
      </c>
      <c r="F4813" t="inlineStr">
        <is>
          <t>China</t>
        </is>
      </c>
      <c r="G4813" t="inlineStr">
        <is>
          <t>Ibrance</t>
        </is>
      </c>
      <c r="H4813" t="inlineStr">
        <is>
          <t>Retail pharmacy</t>
        </is>
      </c>
      <c r="I4813" t="inlineStr">
        <is>
          <t>Private insurer</t>
        </is>
      </c>
      <c r="J4813" t="inlineStr">
        <is>
          <t>Liam O'Brien</t>
        </is>
      </c>
      <c r="K4813" s="70" t="n">
        <v>2149</v>
      </c>
      <c r="L4813" s="71" t="n">
        <v>2977.05</v>
      </c>
      <c r="M4813" s="71" t="n">
        <v>6397680.45</v>
      </c>
      <c r="N4813" s="71" t="n">
        <v>1599420.11</v>
      </c>
      <c r="O4813" s="71" t="n">
        <v>4798260.34</v>
      </c>
      <c r="P4813" s="71" t="n">
        <v>971169.4300000001</v>
      </c>
      <c r="Q4813" s="71" t="n">
        <v>3827090.91</v>
      </c>
      <c r="R4813" t="inlineStr">
        <is>
          <t>Oncology</t>
        </is>
      </c>
      <c r="S4813" s="70" t="n">
        <v>1851</v>
      </c>
      <c r="T4813" s="71" t="n">
        <v>1196017.16</v>
      </c>
      <c r="U4813" t="inlineStr">
        <is>
          <t>High</t>
        </is>
      </c>
      <c r="V4813">
        <f>IF(AND(OR(Dashboard!$C$6="All",E4813=Dashboard!$C$6),OR(Dashboard!$F$6="All",G4813=Dashboard!$F$6),OR(Dashboard!$I$6="All",H4813=Dashboard!$I$6)),1,0)</f>
        <v/>
      </c>
    </row>
    <row r="4814">
      <c r="A4814" t="inlineStr">
        <is>
          <t>PF104805</t>
        </is>
      </c>
      <c r="B4814" s="68" t="n">
        <v>46239</v>
      </c>
      <c r="C4814" s="69" t="n">
        <v>2026</v>
      </c>
      <c r="D4814" t="inlineStr">
        <is>
          <t>Aug</t>
        </is>
      </c>
      <c r="E4814" t="inlineStr">
        <is>
          <t>International developed</t>
        </is>
      </c>
      <c r="F4814" t="inlineStr">
        <is>
          <t>Canada</t>
        </is>
      </c>
      <c r="G4814" t="inlineStr">
        <is>
          <t>Vyndaqel</t>
        </is>
      </c>
      <c r="H4814" t="inlineStr">
        <is>
          <t>Retail pharmacy</t>
        </is>
      </c>
      <c r="I4814" t="inlineStr">
        <is>
          <t>Public payer</t>
        </is>
      </c>
      <c r="J4814" t="inlineStr">
        <is>
          <t>Omar Haddad</t>
        </is>
      </c>
      <c r="K4814" s="70" t="n">
        <v>3375</v>
      </c>
      <c r="L4814" s="71" t="n">
        <v>6046.71</v>
      </c>
      <c r="M4814" s="71" t="n">
        <v>20407646.25</v>
      </c>
      <c r="N4814" s="71" t="n">
        <v>5101911.56</v>
      </c>
      <c r="O4814" s="71" t="n">
        <v>15305734.69</v>
      </c>
      <c r="P4814" s="71" t="n">
        <v>2026314.9</v>
      </c>
      <c r="Q4814" s="71" t="n">
        <v>13279419.79</v>
      </c>
      <c r="R4814" t="inlineStr">
        <is>
          <t>Rare disease</t>
        </is>
      </c>
      <c r="S4814" s="70" t="n">
        <v>2397</v>
      </c>
      <c r="T4814" s="71" t="n">
        <v>3518951.23</v>
      </c>
      <c r="U4814" t="inlineStr">
        <is>
          <t>Medium</t>
        </is>
      </c>
      <c r="V4814">
        <f>IF(AND(OR(Dashboard!$C$6="All",E4814=Dashboard!$C$6),OR(Dashboard!$F$6="All",G4814=Dashboard!$F$6),OR(Dashboard!$I$6="All",H4814=Dashboard!$I$6)),1,0)</f>
        <v/>
      </c>
    </row>
    <row r="4815">
      <c r="A4815" t="inlineStr">
        <is>
          <t>PF104806</t>
        </is>
      </c>
      <c r="B4815" s="68" t="n">
        <v>46239</v>
      </c>
      <c r="C4815" s="69" t="n">
        <v>2026</v>
      </c>
      <c r="D4815" t="inlineStr">
        <is>
          <t>Aug</t>
        </is>
      </c>
      <c r="E4815" t="inlineStr">
        <is>
          <t>United States</t>
        </is>
      </c>
      <c r="F4815" t="inlineStr">
        <is>
          <t>USA</t>
        </is>
      </c>
      <c r="G4815" t="inlineStr">
        <is>
          <t>Prevnar 20</t>
        </is>
      </c>
      <c r="H4815" t="inlineStr">
        <is>
          <t>Hospital</t>
        </is>
      </c>
      <c r="I4815" t="inlineStr">
        <is>
          <t>Private insurer</t>
        </is>
      </c>
      <c r="J4815" t="inlineStr">
        <is>
          <t>Kofi Mensah</t>
        </is>
      </c>
      <c r="K4815" s="70" t="n">
        <v>3033</v>
      </c>
      <c r="L4815" s="71" t="n">
        <v>353.26</v>
      </c>
      <c r="M4815" s="71" t="n">
        <v>1071437.58</v>
      </c>
      <c r="N4815" s="71" t="n">
        <v>214287.52</v>
      </c>
      <c r="O4815" s="71" t="n">
        <v>857150.0600000001</v>
      </c>
      <c r="P4815" s="71" t="n">
        <v>204503.16</v>
      </c>
      <c r="Q4815" s="71" t="n">
        <v>652646.9</v>
      </c>
      <c r="R4815" t="inlineStr">
        <is>
          <t>Vaccines</t>
        </is>
      </c>
      <c r="S4815" s="70" t="n">
        <v>2809</v>
      </c>
      <c r="T4815" s="71" t="n">
        <v>219094.33</v>
      </c>
      <c r="U4815" t="inlineStr">
        <is>
          <t>Low</t>
        </is>
      </c>
      <c r="V4815">
        <f>IF(AND(OR(Dashboard!$C$6="All",E4815=Dashboard!$C$6),OR(Dashboard!$F$6="All",G4815=Dashboard!$F$6),OR(Dashboard!$I$6="All",H4815=Dashboard!$I$6)),1,0)</f>
        <v/>
      </c>
    </row>
    <row r="4816">
      <c r="A4816" t="inlineStr">
        <is>
          <t>PF104807</t>
        </is>
      </c>
      <c r="B4816" s="68" t="n">
        <v>46239</v>
      </c>
      <c r="C4816" s="69" t="n">
        <v>2026</v>
      </c>
      <c r="D4816" t="inlineStr">
        <is>
          <t>Aug</t>
        </is>
      </c>
      <c r="E4816" t="inlineStr">
        <is>
          <t>Emerging markets</t>
        </is>
      </c>
      <c r="F4816" t="inlineStr">
        <is>
          <t>India</t>
        </is>
      </c>
      <c r="G4816" t="inlineStr">
        <is>
          <t>Xeljanz</t>
        </is>
      </c>
      <c r="H4816" t="inlineStr">
        <is>
          <t>Retail pharmacy</t>
        </is>
      </c>
      <c r="I4816" t="inlineStr">
        <is>
          <t>Private insurer</t>
        </is>
      </c>
      <c r="J4816" t="inlineStr">
        <is>
          <t>Lucas Martin</t>
        </is>
      </c>
      <c r="K4816" s="70" t="n">
        <v>185</v>
      </c>
      <c r="L4816" s="71" t="n">
        <v>1284.64</v>
      </c>
      <c r="M4816" s="71" t="n">
        <v>237658.4</v>
      </c>
      <c r="N4816" s="71" t="n">
        <v>35648.76</v>
      </c>
      <c r="O4816" s="71" t="n">
        <v>202009.64</v>
      </c>
      <c r="P4816" s="71" t="n">
        <v>47082.31</v>
      </c>
      <c r="Q4816" s="71" t="n">
        <v>154927.33</v>
      </c>
      <c r="R4816" t="inlineStr">
        <is>
          <t>Inflammation</t>
        </is>
      </c>
      <c r="S4816" s="70" t="n">
        <v>151</v>
      </c>
      <c r="T4816" s="71" t="n">
        <v>50802.87</v>
      </c>
      <c r="U4816" t="inlineStr">
        <is>
          <t>High</t>
        </is>
      </c>
      <c r="V4816">
        <f>IF(AND(OR(Dashboard!$C$6="All",E4816=Dashboard!$C$6),OR(Dashboard!$F$6="All",G4816=Dashboard!$F$6),OR(Dashboard!$I$6="All",H4816=Dashboard!$I$6)),1,0)</f>
        <v/>
      </c>
    </row>
    <row r="4817">
      <c r="A4817" t="inlineStr">
        <is>
          <t>PF104808</t>
        </is>
      </c>
      <c r="B4817" s="68" t="n">
        <v>46239</v>
      </c>
      <c r="C4817" s="69" t="n">
        <v>2026</v>
      </c>
      <c r="D4817" t="inlineStr">
        <is>
          <t>Aug</t>
        </is>
      </c>
      <c r="E4817" t="inlineStr">
        <is>
          <t>Europe</t>
        </is>
      </c>
      <c r="F4817" t="inlineStr">
        <is>
          <t>Italy</t>
        </is>
      </c>
      <c r="G4817" t="inlineStr">
        <is>
          <t>Prevnar 20</t>
        </is>
      </c>
      <c r="H4817" t="inlineStr">
        <is>
          <t>Hospital</t>
        </is>
      </c>
      <c r="I4817" t="inlineStr">
        <is>
          <t>Self-pay</t>
        </is>
      </c>
      <c r="J4817" t="inlineStr">
        <is>
          <t>Mei Lin</t>
        </is>
      </c>
      <c r="K4817" s="70" t="n">
        <v>260</v>
      </c>
      <c r="L4817" s="71" t="n">
        <v>250.3</v>
      </c>
      <c r="M4817" s="71" t="n">
        <v>65078</v>
      </c>
      <c r="N4817" s="71" t="n">
        <v>13015.6</v>
      </c>
      <c r="O4817" s="71" t="n">
        <v>52062.4</v>
      </c>
      <c r="P4817" s="71" t="n">
        <v>17424.3</v>
      </c>
      <c r="Q4817" s="71" t="n">
        <v>34638.1</v>
      </c>
      <c r="R4817" t="inlineStr">
        <is>
          <t>Vaccines</t>
        </is>
      </c>
      <c r="S4817" s="70" t="n">
        <v>211</v>
      </c>
      <c r="T4817" s="71" t="n">
        <v>11178.78</v>
      </c>
      <c r="U4817" t="inlineStr">
        <is>
          <t>Low</t>
        </is>
      </c>
      <c r="V4817">
        <f>IF(AND(OR(Dashboard!$C$6="All",E4817=Dashboard!$C$6),OR(Dashboard!$F$6="All",G4817=Dashboard!$F$6),OR(Dashboard!$I$6="All",H4817=Dashboard!$I$6)),1,0)</f>
        <v/>
      </c>
    </row>
    <row r="4818">
      <c r="A4818" t="inlineStr">
        <is>
          <t>PF104809</t>
        </is>
      </c>
      <c r="B4818" s="68" t="n">
        <v>46239</v>
      </c>
      <c r="C4818" s="69" t="n">
        <v>2026</v>
      </c>
      <c r="D4818" t="inlineStr">
        <is>
          <t>Aug</t>
        </is>
      </c>
      <c r="E4818" t="inlineStr">
        <is>
          <t>Europe</t>
        </is>
      </c>
      <c r="F4818" t="inlineStr">
        <is>
          <t>Germany</t>
        </is>
      </c>
      <c r="G4818" t="inlineStr">
        <is>
          <t>Eliquis</t>
        </is>
      </c>
      <c r="H4818" t="inlineStr">
        <is>
          <t>Government / tender</t>
        </is>
      </c>
      <c r="I4818" t="inlineStr">
        <is>
          <t>Public payer</t>
        </is>
      </c>
      <c r="J4818" t="inlineStr">
        <is>
          <t>Omar Haddad</t>
        </is>
      </c>
      <c r="K4818" s="70" t="n">
        <v>2311</v>
      </c>
      <c r="L4818" s="71" t="n">
        <v>391.15</v>
      </c>
      <c r="M4818" s="71" t="n">
        <v>903947.65</v>
      </c>
      <c r="N4818" s="71" t="n">
        <v>225986.91</v>
      </c>
      <c r="O4818" s="71" t="n">
        <v>677960.74</v>
      </c>
      <c r="P4818" s="71" t="n">
        <v>175235</v>
      </c>
      <c r="Q4818" s="71" t="n">
        <v>502725.74</v>
      </c>
      <c r="R4818" t="inlineStr">
        <is>
          <t>Cardiology</t>
        </is>
      </c>
      <c r="S4818" s="70" t="n">
        <v>1717</v>
      </c>
      <c r="T4818" s="71" t="n">
        <v>168570.55</v>
      </c>
      <c r="U4818" t="inlineStr">
        <is>
          <t>High</t>
        </is>
      </c>
      <c r="V4818">
        <f>IF(AND(OR(Dashboard!$C$6="All",E4818=Dashboard!$C$6),OR(Dashboard!$F$6="All",G4818=Dashboard!$F$6),OR(Dashboard!$I$6="All",H4818=Dashboard!$I$6)),1,0)</f>
        <v/>
      </c>
    </row>
    <row r="4819">
      <c r="A4819" t="inlineStr">
        <is>
          <t>PF104810</t>
        </is>
      </c>
      <c r="B4819" s="68" t="n">
        <v>46239</v>
      </c>
      <c r="C4819" s="69" t="n">
        <v>2026</v>
      </c>
      <c r="D4819" t="inlineStr">
        <is>
          <t>Aug</t>
        </is>
      </c>
      <c r="E4819" t="inlineStr">
        <is>
          <t>United States</t>
        </is>
      </c>
      <c r="F4819" t="inlineStr">
        <is>
          <t>USA</t>
        </is>
      </c>
      <c r="G4819" t="inlineStr">
        <is>
          <t>Xeljanz</t>
        </is>
      </c>
      <c r="H4819" t="inlineStr">
        <is>
          <t>Retail pharmacy</t>
        </is>
      </c>
      <c r="I4819" t="inlineStr">
        <is>
          <t>Public payer</t>
        </is>
      </c>
      <c r="J4819" t="inlineStr">
        <is>
          <t>Shraddha Kulkarni</t>
        </is>
      </c>
      <c r="K4819" s="70" t="n">
        <v>882</v>
      </c>
      <c r="L4819" s="71" t="n">
        <v>1971.74</v>
      </c>
      <c r="M4819" s="71" t="n">
        <v>1739074.68</v>
      </c>
      <c r="N4819" s="71" t="n">
        <v>434768.67</v>
      </c>
      <c r="O4819" s="71" t="n">
        <v>1304306.01</v>
      </c>
      <c r="P4819" s="71" t="n">
        <v>230597.29</v>
      </c>
      <c r="Q4819" s="71" t="n">
        <v>1073708.72</v>
      </c>
      <c r="R4819" t="inlineStr">
        <is>
          <t>Inflammation</t>
        </is>
      </c>
      <c r="S4819" s="70" t="n">
        <v>768</v>
      </c>
      <c r="T4819" s="71" t="n">
        <v>223572.72</v>
      </c>
      <c r="U4819" t="inlineStr">
        <is>
          <t>High</t>
        </is>
      </c>
      <c r="V4819">
        <f>IF(AND(OR(Dashboard!$C$6="All",E4819=Dashboard!$C$6),OR(Dashboard!$F$6="All",G4819=Dashboard!$F$6),OR(Dashboard!$I$6="All",H4819=Dashboard!$I$6)),1,0)</f>
        <v/>
      </c>
    </row>
    <row r="4820">
      <c r="A4820" t="inlineStr">
        <is>
          <t>PF104811</t>
        </is>
      </c>
      <c r="B4820" s="68" t="n">
        <v>46239</v>
      </c>
      <c r="C4820" s="69" t="n">
        <v>2026</v>
      </c>
      <c r="D4820" t="inlineStr">
        <is>
          <t>Aug</t>
        </is>
      </c>
      <c r="E4820" t="inlineStr">
        <is>
          <t>United States</t>
        </is>
      </c>
      <c r="F4820" t="inlineStr">
        <is>
          <t>USA</t>
        </is>
      </c>
      <c r="G4820" t="inlineStr">
        <is>
          <t>Xeljanz</t>
        </is>
      </c>
      <c r="H4820" t="inlineStr">
        <is>
          <t>Retail pharmacy</t>
        </is>
      </c>
      <c r="I4820" t="inlineStr">
        <is>
          <t>Public payer</t>
        </is>
      </c>
      <c r="J4820" t="inlineStr">
        <is>
          <t>Carlos Silva</t>
        </is>
      </c>
      <c r="K4820" s="70" t="n">
        <v>515</v>
      </c>
      <c r="L4820" s="71" t="n">
        <v>2014.89</v>
      </c>
      <c r="M4820" s="71" t="n">
        <v>1037668.35</v>
      </c>
      <c r="N4820" s="71" t="n">
        <v>259417.09</v>
      </c>
      <c r="O4820" s="71" t="n">
        <v>778251.26</v>
      </c>
      <c r="P4820" s="71" t="n">
        <v>133993.22</v>
      </c>
      <c r="Q4820" s="71" t="n">
        <v>644258.04</v>
      </c>
      <c r="R4820" t="inlineStr">
        <is>
          <t>Inflammation</t>
        </is>
      </c>
      <c r="S4820" s="70" t="n">
        <v>507</v>
      </c>
      <c r="T4820" s="71" t="n">
        <v>222520.5</v>
      </c>
      <c r="U4820" t="inlineStr">
        <is>
          <t>High</t>
        </is>
      </c>
      <c r="V4820">
        <f>IF(AND(OR(Dashboard!$C$6="All",E4820=Dashboard!$C$6),OR(Dashboard!$F$6="All",G4820=Dashboard!$F$6),OR(Dashboard!$I$6="All",H4820=Dashboard!$I$6)),1,0)</f>
        <v/>
      </c>
    </row>
    <row r="4821">
      <c r="A4821" t="inlineStr">
        <is>
          <t>PF104812</t>
        </is>
      </c>
      <c r="B4821" s="68" t="n">
        <v>46240</v>
      </c>
      <c r="C4821" s="69" t="n">
        <v>2026</v>
      </c>
      <c r="D4821" t="inlineStr">
        <is>
          <t>Aug</t>
        </is>
      </c>
      <c r="E4821" t="inlineStr">
        <is>
          <t>Europe</t>
        </is>
      </c>
      <c r="F4821" t="inlineStr">
        <is>
          <t>Italy</t>
        </is>
      </c>
      <c r="G4821" t="inlineStr">
        <is>
          <t>Ibrance</t>
        </is>
      </c>
      <c r="H4821" t="inlineStr">
        <is>
          <t>Retail pharmacy</t>
        </is>
      </c>
      <c r="I4821" t="inlineStr">
        <is>
          <t>Public payer</t>
        </is>
      </c>
      <c r="J4821" t="inlineStr">
        <is>
          <t>Yuki Sato</t>
        </is>
      </c>
      <c r="K4821" s="70" t="n">
        <v>709</v>
      </c>
      <c r="L4821" s="71" t="n">
        <v>2822.04</v>
      </c>
      <c r="M4821" s="71" t="n">
        <v>2000826.36</v>
      </c>
      <c r="N4821" s="71" t="n">
        <v>300123.95</v>
      </c>
      <c r="O4821" s="71" t="n">
        <v>1700702.41</v>
      </c>
      <c r="P4821" s="71" t="n">
        <v>310302.21</v>
      </c>
      <c r="Q4821" s="71" t="n">
        <v>1390400.2</v>
      </c>
      <c r="R4821" t="inlineStr">
        <is>
          <t>Oncology</t>
        </is>
      </c>
      <c r="S4821" s="70" t="n">
        <v>562</v>
      </c>
      <c r="T4821" s="71" t="n">
        <v>299067.77</v>
      </c>
      <c r="U4821" t="inlineStr">
        <is>
          <t>High</t>
        </is>
      </c>
      <c r="V4821">
        <f>IF(AND(OR(Dashboard!$C$6="All",E4821=Dashboard!$C$6),OR(Dashboard!$F$6="All",G4821=Dashboard!$F$6),OR(Dashboard!$I$6="All",H4821=Dashboard!$I$6)),1,0)</f>
        <v/>
      </c>
    </row>
    <row r="4822">
      <c r="A4822" t="inlineStr">
        <is>
          <t>PF104813</t>
        </is>
      </c>
      <c r="B4822" s="68" t="n">
        <v>46240</v>
      </c>
      <c r="C4822" s="69" t="n">
        <v>2026</v>
      </c>
      <c r="D4822" t="inlineStr">
        <is>
          <t>Aug</t>
        </is>
      </c>
      <c r="E4822" t="inlineStr">
        <is>
          <t>United States</t>
        </is>
      </c>
      <c r="F4822" t="inlineStr">
        <is>
          <t>USA</t>
        </is>
      </c>
      <c r="G4822" t="inlineStr">
        <is>
          <t>Ibrance</t>
        </is>
      </c>
      <c r="H4822" t="inlineStr">
        <is>
          <t>Government / tender</t>
        </is>
      </c>
      <c r="I4822" t="inlineStr">
        <is>
          <t>Private insurer</t>
        </is>
      </c>
      <c r="J4822" t="inlineStr">
        <is>
          <t>Noah Smith</t>
        </is>
      </c>
      <c r="K4822" s="70" t="n">
        <v>1329</v>
      </c>
      <c r="L4822" s="71" t="n">
        <v>4716.72</v>
      </c>
      <c r="M4822" s="71" t="n">
        <v>6268520.88</v>
      </c>
      <c r="N4822" s="71" t="n">
        <v>1880556.26</v>
      </c>
      <c r="O4822" s="71" t="n">
        <v>4387964.62</v>
      </c>
      <c r="P4822" s="71" t="n">
        <v>583101.72</v>
      </c>
      <c r="Q4822" s="71" t="n">
        <v>3804862.9</v>
      </c>
      <c r="R4822" t="inlineStr">
        <is>
          <t>Oncology</t>
        </is>
      </c>
      <c r="S4822" s="70" t="n">
        <v>1077</v>
      </c>
      <c r="T4822" s="71" t="n">
        <v>1106503.69</v>
      </c>
      <c r="U4822" t="inlineStr">
        <is>
          <t>High</t>
        </is>
      </c>
      <c r="V4822">
        <f>IF(AND(OR(Dashboard!$C$6="All",E4822=Dashboard!$C$6),OR(Dashboard!$F$6="All",G4822=Dashboard!$F$6),OR(Dashboard!$I$6="All",H4822=Dashboard!$I$6)),1,0)</f>
        <v/>
      </c>
    </row>
    <row r="4823">
      <c r="A4823" t="inlineStr">
        <is>
          <t>PF104814</t>
        </is>
      </c>
      <c r="B4823" s="68" t="n">
        <v>46240</v>
      </c>
      <c r="C4823" s="69" t="n">
        <v>2026</v>
      </c>
      <c r="D4823" t="inlineStr">
        <is>
          <t>Aug</t>
        </is>
      </c>
      <c r="E4823" t="inlineStr">
        <is>
          <t>United States</t>
        </is>
      </c>
      <c r="F4823" t="inlineStr">
        <is>
          <t>USA</t>
        </is>
      </c>
      <c r="G4823" t="inlineStr">
        <is>
          <t>Eliquis</t>
        </is>
      </c>
      <c r="H4823" t="inlineStr">
        <is>
          <t>Retail pharmacy</t>
        </is>
      </c>
      <c r="I4823" t="inlineStr">
        <is>
          <t>Public payer</t>
        </is>
      </c>
      <c r="J4823" t="inlineStr">
        <is>
          <t>Kofi Mensah</t>
        </is>
      </c>
      <c r="K4823" s="70" t="n">
        <v>102</v>
      </c>
      <c r="L4823" s="71" t="n">
        <v>687.58</v>
      </c>
      <c r="M4823" s="71" t="n">
        <v>70133.16</v>
      </c>
      <c r="N4823" s="71" t="n">
        <v>14026.63</v>
      </c>
      <c r="O4823" s="71" t="n">
        <v>56106.53</v>
      </c>
      <c r="P4823" s="71" t="n">
        <v>7442.19</v>
      </c>
      <c r="Q4823" s="71" t="n">
        <v>48664.34</v>
      </c>
      <c r="R4823" t="inlineStr">
        <is>
          <t>Cardiology</t>
        </is>
      </c>
      <c r="S4823" s="70" t="n">
        <v>84</v>
      </c>
      <c r="T4823" s="71" t="n">
        <v>9467.9</v>
      </c>
      <c r="U4823" t="inlineStr">
        <is>
          <t>High</t>
        </is>
      </c>
      <c r="V4823">
        <f>IF(AND(OR(Dashboard!$C$6="All",E4823=Dashboard!$C$6),OR(Dashboard!$F$6="All",G4823=Dashboard!$F$6),OR(Dashboard!$I$6="All",H4823=Dashboard!$I$6)),1,0)</f>
        <v/>
      </c>
    </row>
    <row r="4824">
      <c r="A4824" t="inlineStr">
        <is>
          <t>PF104815</t>
        </is>
      </c>
      <c r="B4824" s="68" t="n">
        <v>46240</v>
      </c>
      <c r="C4824" s="69" t="n">
        <v>2026</v>
      </c>
      <c r="D4824" t="inlineStr">
        <is>
          <t>Aug</t>
        </is>
      </c>
      <c r="E4824" t="inlineStr">
        <is>
          <t>United States</t>
        </is>
      </c>
      <c r="F4824" t="inlineStr">
        <is>
          <t>USA</t>
        </is>
      </c>
      <c r="G4824" t="inlineStr">
        <is>
          <t>Paxlovid</t>
        </is>
      </c>
      <c r="H4824" t="inlineStr">
        <is>
          <t>Retail pharmacy</t>
        </is>
      </c>
      <c r="I4824" t="inlineStr">
        <is>
          <t>Private insurer</t>
        </is>
      </c>
      <c r="J4824" t="inlineStr">
        <is>
          <t>Ana Costa</t>
        </is>
      </c>
      <c r="K4824" s="70" t="n">
        <v>552</v>
      </c>
      <c r="L4824" s="71" t="n">
        <v>1358.12</v>
      </c>
      <c r="M4824" s="71" t="n">
        <v>749682.24</v>
      </c>
      <c r="N4824" s="71" t="n">
        <v>224904.67</v>
      </c>
      <c r="O4824" s="71" t="n">
        <v>524777.5699999999</v>
      </c>
      <c r="P4824" s="71" t="n">
        <v>146239.79</v>
      </c>
      <c r="Q4824" s="71" t="n">
        <v>378537.78</v>
      </c>
      <c r="R4824" t="inlineStr">
        <is>
          <t>Antiviral</t>
        </is>
      </c>
      <c r="S4824" s="70" t="n">
        <v>383</v>
      </c>
      <c r="T4824" s="71" t="n">
        <v>139087.15</v>
      </c>
      <c r="U4824" t="inlineStr">
        <is>
          <t>Low</t>
        </is>
      </c>
      <c r="V4824">
        <f>IF(AND(OR(Dashboard!$C$6="All",E4824=Dashboard!$C$6),OR(Dashboard!$F$6="All",G4824=Dashboard!$F$6),OR(Dashboard!$I$6="All",H4824=Dashboard!$I$6)),1,0)</f>
        <v/>
      </c>
    </row>
    <row r="4825">
      <c r="A4825" t="inlineStr">
        <is>
          <t>PF104816</t>
        </is>
      </c>
      <c r="B4825" s="68" t="n">
        <v>46240</v>
      </c>
      <c r="C4825" s="69" t="n">
        <v>2026</v>
      </c>
      <c r="D4825" t="inlineStr">
        <is>
          <t>Aug</t>
        </is>
      </c>
      <c r="E4825" t="inlineStr">
        <is>
          <t>United States</t>
        </is>
      </c>
      <c r="F4825" t="inlineStr">
        <is>
          <t>USA</t>
        </is>
      </c>
      <c r="G4825" t="inlineStr">
        <is>
          <t>Eliquis</t>
        </is>
      </c>
      <c r="H4825" t="inlineStr">
        <is>
          <t>Retail pharmacy</t>
        </is>
      </c>
      <c r="I4825" t="inlineStr">
        <is>
          <t>Public payer</t>
        </is>
      </c>
      <c r="J4825" t="inlineStr">
        <is>
          <t>Shraddha Kulkarni</t>
        </is>
      </c>
      <c r="K4825" s="70" t="n">
        <v>3129</v>
      </c>
      <c r="L4825" s="71" t="n">
        <v>755.48</v>
      </c>
      <c r="M4825" s="71" t="n">
        <v>2363896.92</v>
      </c>
      <c r="N4825" s="71" t="n">
        <v>354584.54</v>
      </c>
      <c r="O4825" s="71" t="n">
        <v>2009312.38</v>
      </c>
      <c r="P4825" s="71" t="n">
        <v>229667.16</v>
      </c>
      <c r="Q4825" s="71" t="n">
        <v>1779645.22</v>
      </c>
      <c r="R4825" t="inlineStr">
        <is>
          <t>Cardiology</t>
        </is>
      </c>
      <c r="S4825" s="70" t="n">
        <v>1960</v>
      </c>
      <c r="T4825" s="71" t="n">
        <v>283381.29</v>
      </c>
      <c r="U4825" t="inlineStr">
        <is>
          <t>High</t>
        </is>
      </c>
      <c r="V4825">
        <f>IF(AND(OR(Dashboard!$C$6="All",E4825=Dashboard!$C$6),OR(Dashboard!$F$6="All",G4825=Dashboard!$F$6),OR(Dashboard!$I$6="All",H4825=Dashboard!$I$6)),1,0)</f>
        <v/>
      </c>
    </row>
    <row r="4826">
      <c r="A4826" t="inlineStr">
        <is>
          <t>PF104817</t>
        </is>
      </c>
      <c r="B4826" s="68" t="n">
        <v>46240</v>
      </c>
      <c r="C4826" s="69" t="n">
        <v>2026</v>
      </c>
      <c r="D4826" t="inlineStr">
        <is>
          <t>Aug</t>
        </is>
      </c>
      <c r="E4826" t="inlineStr">
        <is>
          <t>United States</t>
        </is>
      </c>
      <c r="F4826" t="inlineStr">
        <is>
          <t>USA</t>
        </is>
      </c>
      <c r="G4826" t="inlineStr">
        <is>
          <t>Abrysvo</t>
        </is>
      </c>
      <c r="H4826" t="inlineStr">
        <is>
          <t>Hospital</t>
        </is>
      </c>
      <c r="I4826" t="inlineStr">
        <is>
          <t>Public payer</t>
        </is>
      </c>
      <c r="J4826" t="inlineStr">
        <is>
          <t>Amir Khan</t>
        </is>
      </c>
      <c r="K4826" s="70" t="n">
        <v>3337</v>
      </c>
      <c r="L4826" s="71" t="n">
        <v>541.59</v>
      </c>
      <c r="M4826" s="71" t="n">
        <v>1807285.83</v>
      </c>
      <c r="N4826" s="71" t="n">
        <v>361457.17</v>
      </c>
      <c r="O4826" s="71" t="n">
        <v>1445828.66</v>
      </c>
      <c r="P4826" s="71" t="n">
        <v>273298.05</v>
      </c>
      <c r="Q4826" s="71" t="n">
        <v>1172530.61</v>
      </c>
      <c r="R4826" t="inlineStr">
        <is>
          <t>Vaccines</t>
        </is>
      </c>
      <c r="S4826" s="70" t="n">
        <v>3018</v>
      </c>
      <c r="T4826" s="71" t="n">
        <v>247174.23</v>
      </c>
      <c r="U4826" t="inlineStr">
        <is>
          <t>Low</t>
        </is>
      </c>
      <c r="V4826">
        <f>IF(AND(OR(Dashboard!$C$6="All",E4826=Dashboard!$C$6),OR(Dashboard!$F$6="All",G4826=Dashboard!$F$6),OR(Dashboard!$I$6="All",H4826=Dashboard!$I$6)),1,0)</f>
        <v/>
      </c>
    </row>
    <row r="4827">
      <c r="A4827" t="inlineStr">
        <is>
          <t>PF104818</t>
        </is>
      </c>
      <c r="B4827" s="68" t="n">
        <v>46240</v>
      </c>
      <c r="C4827" s="69" t="n">
        <v>2026</v>
      </c>
      <c r="D4827" t="inlineStr">
        <is>
          <t>Aug</t>
        </is>
      </c>
      <c r="E4827" t="inlineStr">
        <is>
          <t>Europe</t>
        </is>
      </c>
      <c r="F4827" t="inlineStr">
        <is>
          <t>UK</t>
        </is>
      </c>
      <c r="G4827" t="inlineStr">
        <is>
          <t>Ibrance</t>
        </is>
      </c>
      <c r="H4827" t="inlineStr">
        <is>
          <t>Government / tender</t>
        </is>
      </c>
      <c r="I4827" t="inlineStr">
        <is>
          <t>Private insurer</t>
        </is>
      </c>
      <c r="J4827" t="inlineStr">
        <is>
          <t>Carlos Silva</t>
        </is>
      </c>
      <c r="K4827" s="70" t="n">
        <v>2098</v>
      </c>
      <c r="L4827" s="71" t="n">
        <v>2659.71</v>
      </c>
      <c r="M4827" s="71" t="n">
        <v>5580071.58</v>
      </c>
      <c r="N4827" s="71" t="n">
        <v>837010.74</v>
      </c>
      <c r="O4827" s="71" t="n">
        <v>4743060.84</v>
      </c>
      <c r="P4827" s="71" t="n">
        <v>895434.99</v>
      </c>
      <c r="Q4827" s="71" t="n">
        <v>3847625.85</v>
      </c>
      <c r="R4827" t="inlineStr">
        <is>
          <t>Oncology</t>
        </is>
      </c>
      <c r="S4827" s="70" t="n">
        <v>1412</v>
      </c>
      <c r="T4827" s="71" t="n">
        <v>1119695.05</v>
      </c>
      <c r="U4827" t="inlineStr">
        <is>
          <t>High</t>
        </is>
      </c>
      <c r="V4827">
        <f>IF(AND(OR(Dashboard!$C$6="All",E4827=Dashboard!$C$6),OR(Dashboard!$F$6="All",G4827=Dashboard!$F$6),OR(Dashboard!$I$6="All",H4827=Dashboard!$I$6)),1,0)</f>
        <v/>
      </c>
    </row>
    <row r="4828">
      <c r="A4828" t="inlineStr">
        <is>
          <t>PF104819</t>
        </is>
      </c>
      <c r="B4828" s="68" t="n">
        <v>46240</v>
      </c>
      <c r="C4828" s="69" t="n">
        <v>2026</v>
      </c>
      <c r="D4828" t="inlineStr">
        <is>
          <t>Aug</t>
        </is>
      </c>
      <c r="E4828" t="inlineStr">
        <is>
          <t>Europe</t>
        </is>
      </c>
      <c r="F4828" t="inlineStr">
        <is>
          <t>Italy</t>
        </is>
      </c>
      <c r="G4828" t="inlineStr">
        <is>
          <t>Xeljanz</t>
        </is>
      </c>
      <c r="H4828" t="inlineStr">
        <is>
          <t>Hospital</t>
        </is>
      </c>
      <c r="I4828" t="inlineStr">
        <is>
          <t>Public payer</t>
        </is>
      </c>
      <c r="J4828" t="inlineStr">
        <is>
          <t>Amir Khan</t>
        </is>
      </c>
      <c r="K4828" s="70" t="n">
        <v>1675</v>
      </c>
      <c r="L4828" s="71" t="n">
        <v>1295.86</v>
      </c>
      <c r="M4828" s="71" t="n">
        <v>2170565.5</v>
      </c>
      <c r="N4828" s="71" t="n">
        <v>108528.28</v>
      </c>
      <c r="O4828" s="71" t="n">
        <v>2062037.22</v>
      </c>
      <c r="P4828" s="71" t="n">
        <v>427400.35</v>
      </c>
      <c r="Q4828" s="71" t="n">
        <v>1634636.87</v>
      </c>
      <c r="R4828" t="inlineStr">
        <is>
          <t>Inflammation</t>
        </is>
      </c>
      <c r="S4828" s="70" t="n">
        <v>1199</v>
      </c>
      <c r="T4828" s="71" t="n">
        <v>464720.14</v>
      </c>
      <c r="U4828" t="inlineStr">
        <is>
          <t>High</t>
        </is>
      </c>
      <c r="V4828">
        <f>IF(AND(OR(Dashboard!$C$6="All",E4828=Dashboard!$C$6),OR(Dashboard!$F$6="All",G4828=Dashboard!$F$6),OR(Dashboard!$I$6="All",H4828=Dashboard!$I$6)),1,0)</f>
        <v/>
      </c>
    </row>
    <row r="4829">
      <c r="A4829" t="inlineStr">
        <is>
          <t>PF104820</t>
        </is>
      </c>
      <c r="B4829" s="68" t="n">
        <v>46240</v>
      </c>
      <c r="C4829" s="69" t="n">
        <v>2026</v>
      </c>
      <c r="D4829" t="inlineStr">
        <is>
          <t>Aug</t>
        </is>
      </c>
      <c r="E4829" t="inlineStr">
        <is>
          <t>United States</t>
        </is>
      </c>
      <c r="F4829" t="inlineStr">
        <is>
          <t>USA</t>
        </is>
      </c>
      <c r="G4829" t="inlineStr">
        <is>
          <t>Comirnaty</t>
        </is>
      </c>
      <c r="H4829" t="inlineStr">
        <is>
          <t>Retail pharmacy</t>
        </is>
      </c>
      <c r="I4829" t="inlineStr">
        <is>
          <t>Public payer</t>
        </is>
      </c>
      <c r="J4829" t="inlineStr">
        <is>
          <t>Arjun Mehta</t>
        </is>
      </c>
      <c r="K4829" s="70" t="n">
        <v>2385</v>
      </c>
      <c r="L4829" s="71" t="n">
        <v>135.14</v>
      </c>
      <c r="M4829" s="71" t="n">
        <v>322308.9</v>
      </c>
      <c r="N4829" s="71" t="n">
        <v>112808.12</v>
      </c>
      <c r="O4829" s="71" t="n">
        <v>209500.78</v>
      </c>
      <c r="P4829" s="71" t="n">
        <v>89246.42</v>
      </c>
      <c r="Q4829" s="71" t="n">
        <v>120254.36</v>
      </c>
      <c r="R4829" t="inlineStr">
        <is>
          <t>Vaccines</t>
        </is>
      </c>
      <c r="S4829" s="70" t="n">
        <v>1968</v>
      </c>
      <c r="T4829" s="71" t="n">
        <v>82182.53999999999</v>
      </c>
      <c r="U4829" t="inlineStr">
        <is>
          <t>Low</t>
        </is>
      </c>
      <c r="V4829">
        <f>IF(AND(OR(Dashboard!$C$6="All",E4829=Dashboard!$C$6),OR(Dashboard!$F$6="All",G4829=Dashboard!$F$6),OR(Dashboard!$I$6="All",H4829=Dashboard!$I$6)),1,0)</f>
        <v/>
      </c>
    </row>
    <row r="4830">
      <c r="A4830" t="inlineStr">
        <is>
          <t>PF104821</t>
        </is>
      </c>
      <c r="B4830" s="68" t="n">
        <v>46240</v>
      </c>
      <c r="C4830" s="69" t="n">
        <v>2026</v>
      </c>
      <c r="D4830" t="inlineStr">
        <is>
          <t>Aug</t>
        </is>
      </c>
      <c r="E4830" t="inlineStr">
        <is>
          <t>United States</t>
        </is>
      </c>
      <c r="F4830" t="inlineStr">
        <is>
          <t>USA</t>
        </is>
      </c>
      <c r="G4830" t="inlineStr">
        <is>
          <t>Prevnar 20</t>
        </is>
      </c>
      <c r="H4830" t="inlineStr">
        <is>
          <t>Hospital</t>
        </is>
      </c>
      <c r="I4830" t="inlineStr">
        <is>
          <t>Private insurer</t>
        </is>
      </c>
      <c r="J4830" t="inlineStr">
        <is>
          <t>Hiroshi Tanaka</t>
        </is>
      </c>
      <c r="K4830" s="70" t="n">
        <v>3090</v>
      </c>
      <c r="L4830" s="71" t="n">
        <v>387.67</v>
      </c>
      <c r="M4830" s="71" t="n">
        <v>1197900.3</v>
      </c>
      <c r="N4830" s="71" t="n">
        <v>419265.1</v>
      </c>
      <c r="O4830" s="71" t="n">
        <v>778635.2</v>
      </c>
      <c r="P4830" s="71" t="n">
        <v>208387.36</v>
      </c>
      <c r="Q4830" s="71" t="n">
        <v>570247.84</v>
      </c>
      <c r="R4830" t="inlineStr">
        <is>
          <t>Vaccines</t>
        </is>
      </c>
      <c r="S4830" s="70" t="n">
        <v>2950</v>
      </c>
      <c r="T4830" s="71" t="n">
        <v>237085.17</v>
      </c>
      <c r="U4830" t="inlineStr">
        <is>
          <t>Low</t>
        </is>
      </c>
      <c r="V4830">
        <f>IF(AND(OR(Dashboard!$C$6="All",E4830=Dashboard!$C$6),OR(Dashboard!$F$6="All",G4830=Dashboard!$F$6),OR(Dashboard!$I$6="All",H4830=Dashboard!$I$6)),1,0)</f>
        <v/>
      </c>
    </row>
    <row r="4831">
      <c r="A4831" t="inlineStr">
        <is>
          <t>PF104822</t>
        </is>
      </c>
      <c r="B4831" s="68" t="n">
        <v>46240</v>
      </c>
      <c r="C4831" s="69" t="n">
        <v>2026</v>
      </c>
      <c r="D4831" t="inlineStr">
        <is>
          <t>Aug</t>
        </is>
      </c>
      <c r="E4831" t="inlineStr">
        <is>
          <t>United States</t>
        </is>
      </c>
      <c r="F4831" t="inlineStr">
        <is>
          <t>USA</t>
        </is>
      </c>
      <c r="G4831" t="inlineStr">
        <is>
          <t>Prevnar 20</t>
        </is>
      </c>
      <c r="H4831" t="inlineStr">
        <is>
          <t>Retail pharmacy</t>
        </is>
      </c>
      <c r="I4831" t="inlineStr">
        <is>
          <t>Public payer</t>
        </is>
      </c>
      <c r="J4831" t="inlineStr">
        <is>
          <t>Yuki Sato</t>
        </is>
      </c>
      <c r="K4831" s="70" t="n">
        <v>332</v>
      </c>
      <c r="L4831" s="71" t="n">
        <v>395.46</v>
      </c>
      <c r="M4831" s="71" t="n">
        <v>131292.72</v>
      </c>
      <c r="N4831" s="71" t="n">
        <v>19693.91</v>
      </c>
      <c r="O4831" s="71" t="n">
        <v>111598.81</v>
      </c>
      <c r="P4831" s="71" t="n">
        <v>23200.94</v>
      </c>
      <c r="Q4831" s="71" t="n">
        <v>88397.87</v>
      </c>
      <c r="R4831" t="inlineStr">
        <is>
          <t>Vaccines</t>
        </is>
      </c>
      <c r="S4831" s="70" t="n">
        <v>280</v>
      </c>
      <c r="T4831" s="71" t="n">
        <v>26561.84</v>
      </c>
      <c r="U4831" t="inlineStr">
        <is>
          <t>Low</t>
        </is>
      </c>
      <c r="V4831">
        <f>IF(AND(OR(Dashboard!$C$6="All",E4831=Dashboard!$C$6),OR(Dashboard!$F$6="All",G4831=Dashboard!$F$6),OR(Dashboard!$I$6="All",H4831=Dashboard!$I$6)),1,0)</f>
        <v/>
      </c>
    </row>
    <row r="4832">
      <c r="A4832" t="inlineStr">
        <is>
          <t>PF104823</t>
        </is>
      </c>
      <c r="B4832" s="68" t="n">
        <v>46241</v>
      </c>
      <c r="C4832" s="69" t="n">
        <v>2026</v>
      </c>
      <c r="D4832" t="inlineStr">
        <is>
          <t>Aug</t>
        </is>
      </c>
      <c r="E4832" t="inlineStr">
        <is>
          <t>United States</t>
        </is>
      </c>
      <c r="F4832" t="inlineStr">
        <is>
          <t>USA</t>
        </is>
      </c>
      <c r="G4832" t="inlineStr">
        <is>
          <t>Xeljanz</t>
        </is>
      </c>
      <c r="H4832" t="inlineStr">
        <is>
          <t>Hospital</t>
        </is>
      </c>
      <c r="I4832" t="inlineStr">
        <is>
          <t>Private insurer</t>
        </is>
      </c>
      <c r="J4832" t="inlineStr">
        <is>
          <t>Olivia Brown</t>
        </is>
      </c>
      <c r="K4832" s="70" t="n">
        <v>759</v>
      </c>
      <c r="L4832" s="71" t="n">
        <v>1978.29</v>
      </c>
      <c r="M4832" s="71" t="n">
        <v>1501522.11</v>
      </c>
      <c r="N4832" s="71" t="n">
        <v>450456.63</v>
      </c>
      <c r="O4832" s="71" t="n">
        <v>1051065.48</v>
      </c>
      <c r="P4832" s="71" t="n">
        <v>198130.92</v>
      </c>
      <c r="Q4832" s="71" t="n">
        <v>852934.5600000001</v>
      </c>
      <c r="R4832" t="inlineStr">
        <is>
          <t>Inflammation</t>
        </is>
      </c>
      <c r="S4832" s="70" t="n">
        <v>633</v>
      </c>
      <c r="T4832" s="71" t="n">
        <v>249063.17</v>
      </c>
      <c r="U4832" t="inlineStr">
        <is>
          <t>High</t>
        </is>
      </c>
      <c r="V4832">
        <f>IF(AND(OR(Dashboard!$C$6="All",E4832=Dashboard!$C$6),OR(Dashboard!$F$6="All",G4832=Dashboard!$F$6),OR(Dashboard!$I$6="All",H4832=Dashboard!$I$6)),1,0)</f>
        <v/>
      </c>
    </row>
    <row r="4833">
      <c r="A4833" t="inlineStr">
        <is>
          <t>PF104824</t>
        </is>
      </c>
      <c r="B4833" s="68" t="n">
        <v>46241</v>
      </c>
      <c r="C4833" s="69" t="n">
        <v>2026</v>
      </c>
      <c r="D4833" t="inlineStr">
        <is>
          <t>Aug</t>
        </is>
      </c>
      <c r="E4833" t="inlineStr">
        <is>
          <t>Emerging markets</t>
        </is>
      </c>
      <c r="F4833" t="inlineStr">
        <is>
          <t>Brazil</t>
        </is>
      </c>
      <c r="G4833" t="inlineStr">
        <is>
          <t>Comirnaty</t>
        </is>
      </c>
      <c r="H4833" t="inlineStr">
        <is>
          <t>Hospital</t>
        </is>
      </c>
      <c r="I4833" t="inlineStr">
        <is>
          <t>Private insurer</t>
        </is>
      </c>
      <c r="J4833" t="inlineStr">
        <is>
          <t>Amir Khan</t>
        </is>
      </c>
      <c r="K4833" s="70" t="n">
        <v>155</v>
      </c>
      <c r="L4833" s="71" t="n">
        <v>96.95999999999999</v>
      </c>
      <c r="M4833" s="71" t="n">
        <v>15028.8</v>
      </c>
      <c r="N4833" s="71" t="n">
        <v>3757.2</v>
      </c>
      <c r="O4833" s="71" t="n">
        <v>11271.6</v>
      </c>
      <c r="P4833" s="71" t="n">
        <v>5920.03</v>
      </c>
      <c r="Q4833" s="71" t="n">
        <v>5351.57</v>
      </c>
      <c r="R4833" t="inlineStr">
        <is>
          <t>Vaccines</t>
        </is>
      </c>
      <c r="S4833" s="70" t="n">
        <v>97</v>
      </c>
      <c r="T4833" s="71" t="n">
        <v>3847.49</v>
      </c>
      <c r="U4833" t="inlineStr">
        <is>
          <t>Low</t>
        </is>
      </c>
      <c r="V4833">
        <f>IF(AND(OR(Dashboard!$C$6="All",E4833=Dashboard!$C$6),OR(Dashboard!$F$6="All",G4833=Dashboard!$F$6),OR(Dashboard!$I$6="All",H4833=Dashboard!$I$6)),1,0)</f>
        <v/>
      </c>
    </row>
    <row r="4834">
      <c r="A4834" t="inlineStr">
        <is>
          <t>PF104825</t>
        </is>
      </c>
      <c r="B4834" s="68" t="n">
        <v>46241</v>
      </c>
      <c r="C4834" s="69" t="n">
        <v>2026</v>
      </c>
      <c r="D4834" t="inlineStr">
        <is>
          <t>Aug</t>
        </is>
      </c>
      <c r="E4834" t="inlineStr">
        <is>
          <t>United States</t>
        </is>
      </c>
      <c r="F4834" t="inlineStr">
        <is>
          <t>USA</t>
        </is>
      </c>
      <c r="G4834" t="inlineStr">
        <is>
          <t>Prevnar 20</t>
        </is>
      </c>
      <c r="H4834" t="inlineStr">
        <is>
          <t>Retail pharmacy</t>
        </is>
      </c>
      <c r="I4834" t="inlineStr">
        <is>
          <t>Private insurer</t>
        </is>
      </c>
      <c r="J4834" t="inlineStr">
        <is>
          <t>Ravindra Patil</t>
        </is>
      </c>
      <c r="K4834" s="70" t="n">
        <v>2866</v>
      </c>
      <c r="L4834" s="71" t="n">
        <v>353.83</v>
      </c>
      <c r="M4834" s="71" t="n">
        <v>1014076.78</v>
      </c>
      <c r="N4834" s="71" t="n">
        <v>152111.52</v>
      </c>
      <c r="O4834" s="71" t="n">
        <v>861965.26</v>
      </c>
      <c r="P4834" s="71" t="n">
        <v>194133.33</v>
      </c>
      <c r="Q4834" s="71" t="n">
        <v>667831.9300000001</v>
      </c>
      <c r="R4834" t="inlineStr">
        <is>
          <t>Vaccines</t>
        </is>
      </c>
      <c r="S4834" s="70" t="n">
        <v>1915</v>
      </c>
      <c r="T4834" s="71" t="n">
        <v>198150.56</v>
      </c>
      <c r="U4834" t="inlineStr">
        <is>
          <t>Low</t>
        </is>
      </c>
      <c r="V4834">
        <f>IF(AND(OR(Dashboard!$C$6="All",E4834=Dashboard!$C$6),OR(Dashboard!$F$6="All",G4834=Dashboard!$F$6),OR(Dashboard!$I$6="All",H4834=Dashboard!$I$6)),1,0)</f>
        <v/>
      </c>
    </row>
    <row r="4835">
      <c r="A4835" t="inlineStr">
        <is>
          <t>PF104826</t>
        </is>
      </c>
      <c r="B4835" s="68" t="n">
        <v>46241</v>
      </c>
      <c r="C4835" s="69" t="n">
        <v>2026</v>
      </c>
      <c r="D4835" t="inlineStr">
        <is>
          <t>Aug</t>
        </is>
      </c>
      <c r="E4835" t="inlineStr">
        <is>
          <t>International developed</t>
        </is>
      </c>
      <c r="F4835" t="inlineStr">
        <is>
          <t>Australia</t>
        </is>
      </c>
      <c r="G4835" t="inlineStr">
        <is>
          <t>Paxlovid</t>
        </is>
      </c>
      <c r="H4835" t="inlineStr">
        <is>
          <t>Retail pharmacy</t>
        </is>
      </c>
      <c r="I4835" t="inlineStr">
        <is>
          <t>Public payer</t>
        </is>
      </c>
      <c r="J4835" t="inlineStr">
        <is>
          <t>Olivia Brown</t>
        </is>
      </c>
      <c r="K4835" s="70" t="n">
        <v>1929</v>
      </c>
      <c r="L4835" s="71" t="n">
        <v>896.51</v>
      </c>
      <c r="M4835" s="71" t="n">
        <v>1729367.79</v>
      </c>
      <c r="N4835" s="71" t="n">
        <v>345873.56</v>
      </c>
      <c r="O4835" s="71" t="n">
        <v>1383494.23</v>
      </c>
      <c r="P4835" s="71" t="n">
        <v>538449.04</v>
      </c>
      <c r="Q4835" s="71" t="n">
        <v>845045.1899999999</v>
      </c>
      <c r="R4835" t="inlineStr">
        <is>
          <t>Antiviral</t>
        </is>
      </c>
      <c r="S4835" s="70" t="n">
        <v>1333</v>
      </c>
      <c r="T4835" s="71" t="n">
        <v>367984.67</v>
      </c>
      <c r="U4835" t="inlineStr">
        <is>
          <t>Low</t>
        </is>
      </c>
      <c r="V4835">
        <f>IF(AND(OR(Dashboard!$C$6="All",E4835=Dashboard!$C$6),OR(Dashboard!$F$6="All",G4835=Dashboard!$F$6),OR(Dashboard!$I$6="All",H4835=Dashboard!$I$6)),1,0)</f>
        <v/>
      </c>
    </row>
    <row r="4836">
      <c r="A4836" t="inlineStr">
        <is>
          <t>PF104827</t>
        </is>
      </c>
      <c r="B4836" s="68" t="n">
        <v>46241</v>
      </c>
      <c r="C4836" s="69" t="n">
        <v>2026</v>
      </c>
      <c r="D4836" t="inlineStr">
        <is>
          <t>Aug</t>
        </is>
      </c>
      <c r="E4836" t="inlineStr">
        <is>
          <t>United States</t>
        </is>
      </c>
      <c r="F4836" t="inlineStr">
        <is>
          <t>USA</t>
        </is>
      </c>
      <c r="G4836" t="inlineStr">
        <is>
          <t>Xeljanz</t>
        </is>
      </c>
      <c r="H4836" t="inlineStr">
        <is>
          <t>Hospital</t>
        </is>
      </c>
      <c r="I4836" t="inlineStr">
        <is>
          <t>Private insurer</t>
        </is>
      </c>
      <c r="J4836" t="inlineStr">
        <is>
          <t>Noah Smith</t>
        </is>
      </c>
      <c r="K4836" s="70" t="n">
        <v>1134</v>
      </c>
      <c r="L4836" s="71" t="n">
        <v>2331.51</v>
      </c>
      <c r="M4836" s="71" t="n">
        <v>2643932.34</v>
      </c>
      <c r="N4836" s="71" t="n">
        <v>793179.7</v>
      </c>
      <c r="O4836" s="71" t="n">
        <v>1850752.64</v>
      </c>
      <c r="P4836" s="71" t="n">
        <v>294870.83</v>
      </c>
      <c r="Q4836" s="71" t="n">
        <v>1555881.81</v>
      </c>
      <c r="R4836" t="inlineStr">
        <is>
          <t>Inflammation</t>
        </is>
      </c>
      <c r="S4836" s="70" t="n">
        <v>974</v>
      </c>
      <c r="T4836" s="71" t="n">
        <v>602639.3</v>
      </c>
      <c r="U4836" t="inlineStr">
        <is>
          <t>High</t>
        </is>
      </c>
      <c r="V4836">
        <f>IF(AND(OR(Dashboard!$C$6="All",E4836=Dashboard!$C$6),OR(Dashboard!$F$6="All",G4836=Dashboard!$F$6),OR(Dashboard!$I$6="All",H4836=Dashboard!$I$6)),1,0)</f>
        <v/>
      </c>
    </row>
    <row r="4837">
      <c r="A4837" t="inlineStr">
        <is>
          <t>PF104828</t>
        </is>
      </c>
      <c r="B4837" s="68" t="n">
        <v>46241</v>
      </c>
      <c r="C4837" s="69" t="n">
        <v>2026</v>
      </c>
      <c r="D4837" t="inlineStr">
        <is>
          <t>Aug</t>
        </is>
      </c>
      <c r="E4837" t="inlineStr">
        <is>
          <t>Europe</t>
        </is>
      </c>
      <c r="F4837" t="inlineStr">
        <is>
          <t>Germany</t>
        </is>
      </c>
      <c r="G4837" t="inlineStr">
        <is>
          <t>Eliquis</t>
        </is>
      </c>
      <c r="H4837" t="inlineStr">
        <is>
          <t>Hospital</t>
        </is>
      </c>
      <c r="I4837" t="inlineStr">
        <is>
          <t>Public payer</t>
        </is>
      </c>
      <c r="J4837" t="inlineStr">
        <is>
          <t>Lucas Martin</t>
        </is>
      </c>
      <c r="K4837" s="70" t="n">
        <v>2497</v>
      </c>
      <c r="L4837" s="71" t="n">
        <v>445.91</v>
      </c>
      <c r="M4837" s="71" t="n">
        <v>1113437.27</v>
      </c>
      <c r="N4837" s="71" t="n">
        <v>55671.86</v>
      </c>
      <c r="O4837" s="71" t="n">
        <v>1057765.41</v>
      </c>
      <c r="P4837" s="71" t="n">
        <v>190786.63</v>
      </c>
      <c r="Q4837" s="71" t="n">
        <v>866978.78</v>
      </c>
      <c r="R4837" t="inlineStr">
        <is>
          <t>Cardiology</t>
        </is>
      </c>
      <c r="S4837" s="70" t="n">
        <v>2257</v>
      </c>
      <c r="T4837" s="71" t="n">
        <v>172530.76</v>
      </c>
      <c r="U4837" t="inlineStr">
        <is>
          <t>High</t>
        </is>
      </c>
      <c r="V4837">
        <f>IF(AND(OR(Dashboard!$C$6="All",E4837=Dashboard!$C$6),OR(Dashboard!$F$6="All",G4837=Dashboard!$F$6),OR(Dashboard!$I$6="All",H4837=Dashboard!$I$6)),1,0)</f>
        <v/>
      </c>
    </row>
    <row r="4838">
      <c r="A4838" t="inlineStr">
        <is>
          <t>PF104829</t>
        </is>
      </c>
      <c r="B4838" s="68" t="n">
        <v>46241</v>
      </c>
      <c r="C4838" s="69" t="n">
        <v>2026</v>
      </c>
      <c r="D4838" t="inlineStr">
        <is>
          <t>Aug</t>
        </is>
      </c>
      <c r="E4838" t="inlineStr">
        <is>
          <t>United States</t>
        </is>
      </c>
      <c r="F4838" t="inlineStr">
        <is>
          <t>USA</t>
        </is>
      </c>
      <c r="G4838" t="inlineStr">
        <is>
          <t>Vyndaqel</t>
        </is>
      </c>
      <c r="H4838" t="inlineStr">
        <is>
          <t>Hospital</t>
        </is>
      </c>
      <c r="I4838" t="inlineStr">
        <is>
          <t>Private insurer</t>
        </is>
      </c>
      <c r="J4838" t="inlineStr">
        <is>
          <t>Noah Smith</t>
        </is>
      </c>
      <c r="K4838" s="70" t="n">
        <v>3199</v>
      </c>
      <c r="L4838" s="71" t="n">
        <v>9399.25</v>
      </c>
      <c r="M4838" s="71" t="n">
        <v>30068200.75</v>
      </c>
      <c r="N4838" s="71" t="n">
        <v>4510230.11</v>
      </c>
      <c r="O4838" s="71" t="n">
        <v>25557970.64</v>
      </c>
      <c r="P4838" s="71" t="n">
        <v>1977627.52</v>
      </c>
      <c r="Q4838" s="71" t="n">
        <v>23580343.12</v>
      </c>
      <c r="R4838" t="inlineStr">
        <is>
          <t>Rare disease</t>
        </is>
      </c>
      <c r="S4838" s="70" t="n">
        <v>2536</v>
      </c>
      <c r="T4838" s="71" t="n">
        <v>5284541.47</v>
      </c>
      <c r="U4838" t="inlineStr">
        <is>
          <t>Medium</t>
        </is>
      </c>
      <c r="V4838">
        <f>IF(AND(OR(Dashboard!$C$6="All",E4838=Dashboard!$C$6),OR(Dashboard!$F$6="All",G4838=Dashboard!$F$6),OR(Dashboard!$I$6="All",H4838=Dashboard!$I$6)),1,0)</f>
        <v/>
      </c>
    </row>
    <row r="4839">
      <c r="A4839" t="inlineStr">
        <is>
          <t>PF104830</t>
        </is>
      </c>
      <c r="B4839" s="68" t="n">
        <v>46241</v>
      </c>
      <c r="C4839" s="69" t="n">
        <v>2026</v>
      </c>
      <c r="D4839" t="inlineStr">
        <is>
          <t>Aug</t>
        </is>
      </c>
      <c r="E4839" t="inlineStr">
        <is>
          <t>United States</t>
        </is>
      </c>
      <c r="F4839" t="inlineStr">
        <is>
          <t>USA</t>
        </is>
      </c>
      <c r="G4839" t="inlineStr">
        <is>
          <t>Prevnar 20</t>
        </is>
      </c>
      <c r="H4839" t="inlineStr">
        <is>
          <t>Retail pharmacy</t>
        </is>
      </c>
      <c r="I4839" t="inlineStr">
        <is>
          <t>Private insurer</t>
        </is>
      </c>
      <c r="J4839" t="inlineStr">
        <is>
          <t>Lucas Martin</t>
        </is>
      </c>
      <c r="K4839" s="70" t="n">
        <v>1775</v>
      </c>
      <c r="L4839" s="71" t="n">
        <v>393.32</v>
      </c>
      <c r="M4839" s="71" t="n">
        <v>698143</v>
      </c>
      <c r="N4839" s="71" t="n">
        <v>104721.45</v>
      </c>
      <c r="O4839" s="71" t="n">
        <v>593421.55</v>
      </c>
      <c r="P4839" s="71" t="n">
        <v>125176.63</v>
      </c>
      <c r="Q4839" s="71" t="n">
        <v>468244.92</v>
      </c>
      <c r="R4839" t="inlineStr">
        <is>
          <t>Vaccines</t>
        </is>
      </c>
      <c r="S4839" s="70" t="n">
        <v>1531</v>
      </c>
      <c r="T4839" s="71" t="n">
        <v>149824.56</v>
      </c>
      <c r="U4839" t="inlineStr">
        <is>
          <t>Low</t>
        </is>
      </c>
      <c r="V4839">
        <f>IF(AND(OR(Dashboard!$C$6="All",E4839=Dashboard!$C$6),OR(Dashboard!$F$6="All",G4839=Dashboard!$F$6),OR(Dashboard!$I$6="All",H4839=Dashboard!$I$6)),1,0)</f>
        <v/>
      </c>
    </row>
    <row r="4840">
      <c r="A4840" t="inlineStr">
        <is>
          <t>PF104831</t>
        </is>
      </c>
      <c r="B4840" s="68" t="n">
        <v>46241</v>
      </c>
      <c r="C4840" s="69" t="n">
        <v>2026</v>
      </c>
      <c r="D4840" t="inlineStr">
        <is>
          <t>Aug</t>
        </is>
      </c>
      <c r="E4840" t="inlineStr">
        <is>
          <t>United States</t>
        </is>
      </c>
      <c r="F4840" t="inlineStr">
        <is>
          <t>USA</t>
        </is>
      </c>
      <c r="G4840" t="inlineStr">
        <is>
          <t>Eliquis</t>
        </is>
      </c>
      <c r="H4840" t="inlineStr">
        <is>
          <t>Government / tender</t>
        </is>
      </c>
      <c r="I4840" t="inlineStr">
        <is>
          <t>Private insurer</t>
        </is>
      </c>
      <c r="J4840" t="inlineStr">
        <is>
          <t>Noah Smith</t>
        </is>
      </c>
      <c r="K4840" s="70" t="n">
        <v>2469</v>
      </c>
      <c r="L4840" s="71" t="n">
        <v>650.91</v>
      </c>
      <c r="M4840" s="71" t="n">
        <v>1607096.79</v>
      </c>
      <c r="N4840" s="71" t="n">
        <v>562483.88</v>
      </c>
      <c r="O4840" s="71" t="n">
        <v>1044612.91</v>
      </c>
      <c r="P4840" s="71" t="n">
        <v>187354.66</v>
      </c>
      <c r="Q4840" s="71" t="n">
        <v>857258.25</v>
      </c>
      <c r="R4840" t="inlineStr">
        <is>
          <t>Cardiology</t>
        </is>
      </c>
      <c r="S4840" s="70" t="n">
        <v>1990</v>
      </c>
      <c r="T4840" s="71" t="n">
        <v>330844.92</v>
      </c>
      <c r="U4840" t="inlineStr">
        <is>
          <t>High</t>
        </is>
      </c>
      <c r="V4840">
        <f>IF(AND(OR(Dashboard!$C$6="All",E4840=Dashboard!$C$6),OR(Dashboard!$F$6="All",G4840=Dashboard!$F$6),OR(Dashboard!$I$6="All",H4840=Dashboard!$I$6)),1,0)</f>
        <v/>
      </c>
    </row>
    <row r="4841">
      <c r="A4841" t="inlineStr">
        <is>
          <t>PF104832</t>
        </is>
      </c>
      <c r="B4841" s="68" t="n">
        <v>46241</v>
      </c>
      <c r="C4841" s="69" t="n">
        <v>2026</v>
      </c>
      <c r="D4841" t="inlineStr">
        <is>
          <t>Aug</t>
        </is>
      </c>
      <c r="E4841" t="inlineStr">
        <is>
          <t>United States</t>
        </is>
      </c>
      <c r="F4841" t="inlineStr">
        <is>
          <t>USA</t>
        </is>
      </c>
      <c r="G4841" t="inlineStr">
        <is>
          <t>Ibrance</t>
        </is>
      </c>
      <c r="H4841" t="inlineStr">
        <is>
          <t>Hospital</t>
        </is>
      </c>
      <c r="I4841" t="inlineStr">
        <is>
          <t>Private insurer</t>
        </is>
      </c>
      <c r="J4841" t="inlineStr">
        <is>
          <t>Ravindra Patil</t>
        </is>
      </c>
      <c r="K4841" s="70" t="n">
        <v>2135</v>
      </c>
      <c r="L4841" s="71" t="n">
        <v>4496.81</v>
      </c>
      <c r="M4841" s="71" t="n">
        <v>9600689.35</v>
      </c>
      <c r="N4841" s="71" t="n">
        <v>1920137.87</v>
      </c>
      <c r="O4841" s="71" t="n">
        <v>7680551.48</v>
      </c>
      <c r="P4841" s="71" t="n">
        <v>961211.35</v>
      </c>
      <c r="Q4841" s="71" t="n">
        <v>6719340.13</v>
      </c>
      <c r="R4841" t="inlineStr">
        <is>
          <t>Oncology</t>
        </is>
      </c>
      <c r="S4841" s="70" t="n">
        <v>1423</v>
      </c>
      <c r="T4841" s="71" t="n">
        <v>1294230.05</v>
      </c>
      <c r="U4841" t="inlineStr">
        <is>
          <t>High</t>
        </is>
      </c>
      <c r="V4841">
        <f>IF(AND(OR(Dashboard!$C$6="All",E4841=Dashboard!$C$6),OR(Dashboard!$F$6="All",G4841=Dashboard!$F$6),OR(Dashboard!$I$6="All",H4841=Dashboard!$I$6)),1,0)</f>
        <v/>
      </c>
    </row>
    <row r="4842">
      <c r="A4842" t="inlineStr">
        <is>
          <t>PF104833</t>
        </is>
      </c>
      <c r="B4842" s="68" t="n">
        <v>46241</v>
      </c>
      <c r="C4842" s="69" t="n">
        <v>2026</v>
      </c>
      <c r="D4842" t="inlineStr">
        <is>
          <t>Aug</t>
        </is>
      </c>
      <c r="E4842" t="inlineStr">
        <is>
          <t>International developed</t>
        </is>
      </c>
      <c r="F4842" t="inlineStr">
        <is>
          <t>Australia</t>
        </is>
      </c>
      <c r="G4842" t="inlineStr">
        <is>
          <t>Xeljanz</t>
        </is>
      </c>
      <c r="H4842" t="inlineStr">
        <is>
          <t>Retail pharmacy</t>
        </is>
      </c>
      <c r="I4842" t="inlineStr">
        <is>
          <t>Private insurer</t>
        </is>
      </c>
      <c r="J4842" t="inlineStr">
        <is>
          <t>Sophie Müller</t>
        </is>
      </c>
      <c r="K4842" s="70" t="n">
        <v>2318</v>
      </c>
      <c r="L4842" s="71" t="n">
        <v>1360.87</v>
      </c>
      <c r="M4842" s="71" t="n">
        <v>3154496.66</v>
      </c>
      <c r="N4842" s="71" t="n">
        <v>157724.83</v>
      </c>
      <c r="O4842" s="71" t="n">
        <v>2996771.83</v>
      </c>
      <c r="P4842" s="71" t="n">
        <v>566719.4399999999</v>
      </c>
      <c r="Q4842" s="71" t="n">
        <v>2430052.39</v>
      </c>
      <c r="R4842" t="inlineStr">
        <is>
          <t>Inflammation</t>
        </is>
      </c>
      <c r="S4842" s="70" t="n">
        <v>1677</v>
      </c>
      <c r="T4842" s="71" t="n">
        <v>422623.1</v>
      </c>
      <c r="U4842" t="inlineStr">
        <is>
          <t>High</t>
        </is>
      </c>
      <c r="V4842">
        <f>IF(AND(OR(Dashboard!$C$6="All",E4842=Dashboard!$C$6),OR(Dashboard!$F$6="All",G4842=Dashboard!$F$6),OR(Dashboard!$I$6="All",H4842=Dashboard!$I$6)),1,0)</f>
        <v/>
      </c>
    </row>
    <row r="4843">
      <c r="A4843" t="inlineStr">
        <is>
          <t>PF104834</t>
        </is>
      </c>
      <c r="B4843" s="68" t="n">
        <v>46241</v>
      </c>
      <c r="C4843" s="69" t="n">
        <v>2026</v>
      </c>
      <c r="D4843" t="inlineStr">
        <is>
          <t>Aug</t>
        </is>
      </c>
      <c r="E4843" t="inlineStr">
        <is>
          <t>United States</t>
        </is>
      </c>
      <c r="F4843" t="inlineStr">
        <is>
          <t>USA</t>
        </is>
      </c>
      <c r="G4843" t="inlineStr">
        <is>
          <t>Xeljanz</t>
        </is>
      </c>
      <c r="H4843" t="inlineStr">
        <is>
          <t>Hospital</t>
        </is>
      </c>
      <c r="I4843" t="inlineStr">
        <is>
          <t>Public payer</t>
        </is>
      </c>
      <c r="J4843" t="inlineStr">
        <is>
          <t>Hiroshi Tanaka</t>
        </is>
      </c>
      <c r="K4843" s="70" t="n">
        <v>893</v>
      </c>
      <c r="L4843" s="71" t="n">
        <v>1976.93</v>
      </c>
      <c r="M4843" s="71" t="n">
        <v>1765398.49</v>
      </c>
      <c r="N4843" s="71" t="n">
        <v>617889.47</v>
      </c>
      <c r="O4843" s="71" t="n">
        <v>1147509.02</v>
      </c>
      <c r="P4843" s="71" t="n">
        <v>232247.52</v>
      </c>
      <c r="Q4843" s="71" t="n">
        <v>915261.5</v>
      </c>
      <c r="R4843" t="inlineStr">
        <is>
          <t>Inflammation</t>
        </is>
      </c>
      <c r="S4843" s="70" t="n">
        <v>637</v>
      </c>
      <c r="T4843" s="71" t="n">
        <v>311079.32</v>
      </c>
      <c r="U4843" t="inlineStr">
        <is>
          <t>High</t>
        </is>
      </c>
      <c r="V4843">
        <f>IF(AND(OR(Dashboard!$C$6="All",E4843=Dashboard!$C$6),OR(Dashboard!$F$6="All",G4843=Dashboard!$F$6),OR(Dashboard!$I$6="All",H4843=Dashboard!$I$6)),1,0)</f>
        <v/>
      </c>
    </row>
    <row r="4844">
      <c r="A4844" t="inlineStr">
        <is>
          <t>PF104835</t>
        </is>
      </c>
      <c r="B4844" s="68" t="n">
        <v>46242</v>
      </c>
      <c r="C4844" s="69" t="n">
        <v>2026</v>
      </c>
      <c r="D4844" t="inlineStr">
        <is>
          <t>Aug</t>
        </is>
      </c>
      <c r="E4844" t="inlineStr">
        <is>
          <t>International developed</t>
        </is>
      </c>
      <c r="F4844" t="inlineStr">
        <is>
          <t>Australia</t>
        </is>
      </c>
      <c r="G4844" t="inlineStr">
        <is>
          <t>Prevnar 20</t>
        </is>
      </c>
      <c r="H4844" t="inlineStr">
        <is>
          <t>Government / tender</t>
        </is>
      </c>
      <c r="I4844" t="inlineStr">
        <is>
          <t>Public payer</t>
        </is>
      </c>
      <c r="J4844" t="inlineStr">
        <is>
          <t>Zoya Ahmed</t>
        </is>
      </c>
      <c r="K4844" s="70" t="n">
        <v>1185</v>
      </c>
      <c r="L4844" s="71" t="n">
        <v>254.1</v>
      </c>
      <c r="M4844" s="71" t="n">
        <v>301108.5</v>
      </c>
      <c r="N4844" s="71" t="n">
        <v>30110.85</v>
      </c>
      <c r="O4844" s="71" t="n">
        <v>270997.65</v>
      </c>
      <c r="P4844" s="71" t="n">
        <v>79682.97</v>
      </c>
      <c r="Q4844" s="71" t="n">
        <v>191314.68</v>
      </c>
      <c r="R4844" t="inlineStr">
        <is>
          <t>Vaccines</t>
        </is>
      </c>
      <c r="S4844" s="70" t="n">
        <v>904</v>
      </c>
      <c r="T4844" s="71" t="n">
        <v>51091.34</v>
      </c>
      <c r="U4844" t="inlineStr">
        <is>
          <t>Low</t>
        </is>
      </c>
      <c r="V4844">
        <f>IF(AND(OR(Dashboard!$C$6="All",E4844=Dashboard!$C$6),OR(Dashboard!$F$6="All",G4844=Dashboard!$F$6),OR(Dashboard!$I$6="All",H4844=Dashboard!$I$6)),1,0)</f>
        <v/>
      </c>
    </row>
    <row r="4845">
      <c r="A4845" t="inlineStr">
        <is>
          <t>PF104836</t>
        </is>
      </c>
      <c r="B4845" s="68" t="n">
        <v>46242</v>
      </c>
      <c r="C4845" s="69" t="n">
        <v>2026</v>
      </c>
      <c r="D4845" t="inlineStr">
        <is>
          <t>Aug</t>
        </is>
      </c>
      <c r="E4845" t="inlineStr">
        <is>
          <t>United States</t>
        </is>
      </c>
      <c r="F4845" t="inlineStr">
        <is>
          <t>USA</t>
        </is>
      </c>
      <c r="G4845" t="inlineStr">
        <is>
          <t>Abrysvo</t>
        </is>
      </c>
      <c r="H4845" t="inlineStr">
        <is>
          <t>Government / tender</t>
        </is>
      </c>
      <c r="I4845" t="inlineStr">
        <is>
          <t>Private insurer</t>
        </is>
      </c>
      <c r="J4845" t="inlineStr">
        <is>
          <t>Wei Chen</t>
        </is>
      </c>
      <c r="K4845" s="70" t="n">
        <v>3338</v>
      </c>
      <c r="L4845" s="71" t="n">
        <v>556.3099999999999</v>
      </c>
      <c r="M4845" s="71" t="n">
        <v>1856962.78</v>
      </c>
      <c r="N4845" s="71" t="n">
        <v>464240.7</v>
      </c>
      <c r="O4845" s="71" t="n">
        <v>1392722.08</v>
      </c>
      <c r="P4845" s="71" t="n">
        <v>270955.29</v>
      </c>
      <c r="Q4845" s="71" t="n">
        <v>1121766.79</v>
      </c>
      <c r="R4845" t="inlineStr">
        <is>
          <t>Vaccines</t>
        </is>
      </c>
      <c r="S4845" s="70" t="n">
        <v>2169</v>
      </c>
      <c r="T4845" s="71" t="n">
        <v>302197.24</v>
      </c>
      <c r="U4845" t="inlineStr">
        <is>
          <t>Low</t>
        </is>
      </c>
      <c r="V4845">
        <f>IF(AND(OR(Dashboard!$C$6="All",E4845=Dashboard!$C$6),OR(Dashboard!$F$6="All",G4845=Dashboard!$F$6),OR(Dashboard!$I$6="All",H4845=Dashboard!$I$6)),1,0)</f>
        <v/>
      </c>
    </row>
    <row r="4846">
      <c r="A4846" t="inlineStr">
        <is>
          <t>PF104837</t>
        </is>
      </c>
      <c r="B4846" s="68" t="n">
        <v>46242</v>
      </c>
      <c r="C4846" s="69" t="n">
        <v>2026</v>
      </c>
      <c r="D4846" t="inlineStr">
        <is>
          <t>Aug</t>
        </is>
      </c>
      <c r="E4846" t="inlineStr">
        <is>
          <t>United States</t>
        </is>
      </c>
      <c r="F4846" t="inlineStr">
        <is>
          <t>USA</t>
        </is>
      </c>
      <c r="G4846" t="inlineStr">
        <is>
          <t>Abrysvo</t>
        </is>
      </c>
      <c r="H4846" t="inlineStr">
        <is>
          <t>Hospital</t>
        </is>
      </c>
      <c r="I4846" t="inlineStr">
        <is>
          <t>Public payer</t>
        </is>
      </c>
      <c r="J4846" t="inlineStr">
        <is>
          <t>Amir Khan</t>
        </is>
      </c>
      <c r="K4846" s="70" t="n">
        <v>2136</v>
      </c>
      <c r="L4846" s="71" t="n">
        <v>470.79</v>
      </c>
      <c r="M4846" s="71" t="n">
        <v>1005607.44</v>
      </c>
      <c r="N4846" s="71" t="n">
        <v>351962.6</v>
      </c>
      <c r="O4846" s="71" t="n">
        <v>653644.84</v>
      </c>
      <c r="P4846" s="71" t="n">
        <v>174591.55</v>
      </c>
      <c r="Q4846" s="71" t="n">
        <v>479053.29</v>
      </c>
      <c r="R4846" t="inlineStr">
        <is>
          <t>Vaccines</t>
        </is>
      </c>
      <c r="S4846" s="70" t="n">
        <v>2079</v>
      </c>
      <c r="T4846" s="71" t="n">
        <v>178385.12</v>
      </c>
      <c r="U4846" t="inlineStr">
        <is>
          <t>Low</t>
        </is>
      </c>
      <c r="V4846">
        <f>IF(AND(OR(Dashboard!$C$6="All",E4846=Dashboard!$C$6),OR(Dashboard!$F$6="All",G4846=Dashboard!$F$6),OR(Dashboard!$I$6="All",H4846=Dashboard!$I$6)),1,0)</f>
        <v/>
      </c>
    </row>
    <row r="4847">
      <c r="A4847" t="inlineStr">
        <is>
          <t>PF104838</t>
        </is>
      </c>
      <c r="B4847" s="68" t="n">
        <v>46242</v>
      </c>
      <c r="C4847" s="69" t="n">
        <v>2026</v>
      </c>
      <c r="D4847" t="inlineStr">
        <is>
          <t>Aug</t>
        </is>
      </c>
      <c r="E4847" t="inlineStr">
        <is>
          <t>United States</t>
        </is>
      </c>
      <c r="F4847" t="inlineStr">
        <is>
          <t>USA</t>
        </is>
      </c>
      <c r="G4847" t="inlineStr">
        <is>
          <t>Paxlovid</t>
        </is>
      </c>
      <c r="H4847" t="inlineStr">
        <is>
          <t>Hospital</t>
        </is>
      </c>
      <c r="I4847" t="inlineStr">
        <is>
          <t>Private insurer</t>
        </is>
      </c>
      <c r="J4847" t="inlineStr">
        <is>
          <t>Hiroshi Tanaka</t>
        </is>
      </c>
      <c r="K4847" s="70" t="n">
        <v>200</v>
      </c>
      <c r="L4847" s="71" t="n">
        <v>1602.88</v>
      </c>
      <c r="M4847" s="71" t="n">
        <v>320576</v>
      </c>
      <c r="N4847" s="71" t="n">
        <v>112201.6</v>
      </c>
      <c r="O4847" s="71" t="n">
        <v>208374.4</v>
      </c>
      <c r="P4847" s="71" t="n">
        <v>53950.63</v>
      </c>
      <c r="Q4847" s="71" t="n">
        <v>154423.77</v>
      </c>
      <c r="R4847" t="inlineStr">
        <is>
          <t>Antiviral</t>
        </is>
      </c>
      <c r="S4847" s="70" t="n">
        <v>180</v>
      </c>
      <c r="T4847" s="71" t="n">
        <v>56379</v>
      </c>
      <c r="U4847" t="inlineStr">
        <is>
          <t>Low</t>
        </is>
      </c>
      <c r="V4847">
        <f>IF(AND(OR(Dashboard!$C$6="All",E4847=Dashboard!$C$6),OR(Dashboard!$F$6="All",G4847=Dashboard!$F$6),OR(Dashboard!$I$6="All",H4847=Dashboard!$I$6)),1,0)</f>
        <v/>
      </c>
    </row>
    <row r="4848">
      <c r="A4848" t="inlineStr">
        <is>
          <t>PF104839</t>
        </is>
      </c>
      <c r="B4848" s="68" t="n">
        <v>46242</v>
      </c>
      <c r="C4848" s="69" t="n">
        <v>2026</v>
      </c>
      <c r="D4848" t="inlineStr">
        <is>
          <t>Aug</t>
        </is>
      </c>
      <c r="E4848" t="inlineStr">
        <is>
          <t>United States</t>
        </is>
      </c>
      <c r="F4848" t="inlineStr">
        <is>
          <t>USA</t>
        </is>
      </c>
      <c r="G4848" t="inlineStr">
        <is>
          <t>Abrysvo</t>
        </is>
      </c>
      <c r="H4848" t="inlineStr">
        <is>
          <t>Government / tender</t>
        </is>
      </c>
      <c r="I4848" t="inlineStr">
        <is>
          <t>Public payer</t>
        </is>
      </c>
      <c r="J4848" t="inlineStr">
        <is>
          <t>Amir Khan</t>
        </is>
      </c>
      <c r="K4848" s="70" t="n">
        <v>1777</v>
      </c>
      <c r="L4848" s="71" t="n">
        <v>551.02</v>
      </c>
      <c r="M4848" s="71" t="n">
        <v>979162.54</v>
      </c>
      <c r="N4848" s="71" t="n">
        <v>293748.76</v>
      </c>
      <c r="O4848" s="71" t="n">
        <v>685413.78</v>
      </c>
      <c r="P4848" s="71" t="n">
        <v>152131.24</v>
      </c>
      <c r="Q4848" s="71" t="n">
        <v>533282.54</v>
      </c>
      <c r="R4848" t="inlineStr">
        <is>
          <t>Vaccines</t>
        </is>
      </c>
      <c r="S4848" s="70" t="n">
        <v>1575</v>
      </c>
      <c r="T4848" s="71" t="n">
        <v>152068.48</v>
      </c>
      <c r="U4848" t="inlineStr">
        <is>
          <t>Low</t>
        </is>
      </c>
      <c r="V4848">
        <f>IF(AND(OR(Dashboard!$C$6="All",E4848=Dashboard!$C$6),OR(Dashboard!$F$6="All",G4848=Dashboard!$F$6),OR(Dashboard!$I$6="All",H4848=Dashboard!$I$6)),1,0)</f>
        <v/>
      </c>
    </row>
    <row r="4849">
      <c r="A4849" t="inlineStr">
        <is>
          <t>PF104840</t>
        </is>
      </c>
      <c r="B4849" s="68" t="n">
        <v>46242</v>
      </c>
      <c r="C4849" s="69" t="n">
        <v>2026</v>
      </c>
      <c r="D4849" t="inlineStr">
        <is>
          <t>Aug</t>
        </is>
      </c>
      <c r="E4849" t="inlineStr">
        <is>
          <t>International developed</t>
        </is>
      </c>
      <c r="F4849" t="inlineStr">
        <is>
          <t>Australia</t>
        </is>
      </c>
      <c r="G4849" t="inlineStr">
        <is>
          <t>Paxlovid</t>
        </is>
      </c>
      <c r="H4849" t="inlineStr">
        <is>
          <t>Retail pharmacy</t>
        </is>
      </c>
      <c r="I4849" t="inlineStr">
        <is>
          <t>Public payer</t>
        </is>
      </c>
      <c r="J4849" t="inlineStr">
        <is>
          <t>Noah Smith</t>
        </is>
      </c>
      <c r="K4849" s="70" t="n">
        <v>2584</v>
      </c>
      <c r="L4849" s="71" t="n">
        <v>948.45</v>
      </c>
      <c r="M4849" s="71" t="n">
        <v>2450794.8</v>
      </c>
      <c r="N4849" s="71" t="n">
        <v>245079.48</v>
      </c>
      <c r="O4849" s="71" t="n">
        <v>2205715.32</v>
      </c>
      <c r="P4849" s="71" t="n">
        <v>729390.85</v>
      </c>
      <c r="Q4849" s="71" t="n">
        <v>1476324.47</v>
      </c>
      <c r="R4849" t="inlineStr">
        <is>
          <t>Antiviral</t>
        </is>
      </c>
      <c r="S4849" s="70" t="n">
        <v>2438</v>
      </c>
      <c r="T4849" s="71" t="n">
        <v>498337.09</v>
      </c>
      <c r="U4849" t="inlineStr">
        <is>
          <t>Low</t>
        </is>
      </c>
      <c r="V4849">
        <f>IF(AND(OR(Dashboard!$C$6="All",E4849=Dashboard!$C$6),OR(Dashboard!$F$6="All",G4849=Dashboard!$F$6),OR(Dashboard!$I$6="All",H4849=Dashboard!$I$6)),1,0)</f>
        <v/>
      </c>
    </row>
    <row r="4850">
      <c r="A4850" t="inlineStr">
        <is>
          <t>PF104841</t>
        </is>
      </c>
      <c r="B4850" s="68" t="n">
        <v>46242</v>
      </c>
      <c r="C4850" s="69" t="n">
        <v>2026</v>
      </c>
      <c r="D4850" t="inlineStr">
        <is>
          <t>Aug</t>
        </is>
      </c>
      <c r="E4850" t="inlineStr">
        <is>
          <t>International developed</t>
        </is>
      </c>
      <c r="F4850" t="inlineStr">
        <is>
          <t>Australia</t>
        </is>
      </c>
      <c r="G4850" t="inlineStr">
        <is>
          <t>Paxlovid</t>
        </is>
      </c>
      <c r="H4850" t="inlineStr">
        <is>
          <t>Government / tender</t>
        </is>
      </c>
      <c r="I4850" t="inlineStr">
        <is>
          <t>Private insurer</t>
        </is>
      </c>
      <c r="J4850" t="inlineStr">
        <is>
          <t>Amir Khan</t>
        </is>
      </c>
      <c r="K4850" s="70" t="n">
        <v>2412</v>
      </c>
      <c r="L4850" s="71" t="n">
        <v>893.72</v>
      </c>
      <c r="M4850" s="71" t="n">
        <v>2155652.64</v>
      </c>
      <c r="N4850" s="71" t="n">
        <v>431130.53</v>
      </c>
      <c r="O4850" s="71" t="n">
        <v>1724522.11</v>
      </c>
      <c r="P4850" s="71" t="n">
        <v>680257.16</v>
      </c>
      <c r="Q4850" s="71" t="n">
        <v>1044264.95</v>
      </c>
      <c r="R4850" t="inlineStr">
        <is>
          <t>Antiviral</t>
        </is>
      </c>
      <c r="S4850" s="70" t="n">
        <v>1529</v>
      </c>
      <c r="T4850" s="71" t="n">
        <v>456791.44</v>
      </c>
      <c r="U4850" t="inlineStr">
        <is>
          <t>Low</t>
        </is>
      </c>
      <c r="V4850">
        <f>IF(AND(OR(Dashboard!$C$6="All",E4850=Dashboard!$C$6),OR(Dashboard!$F$6="All",G4850=Dashboard!$F$6),OR(Dashboard!$I$6="All",H4850=Dashboard!$I$6)),1,0)</f>
        <v/>
      </c>
    </row>
    <row r="4851">
      <c r="A4851" t="inlineStr">
        <is>
          <t>PF104842</t>
        </is>
      </c>
      <c r="B4851" s="68" t="n">
        <v>46242</v>
      </c>
      <c r="C4851" s="69" t="n">
        <v>2026</v>
      </c>
      <c r="D4851" t="inlineStr">
        <is>
          <t>Aug</t>
        </is>
      </c>
      <c r="E4851" t="inlineStr">
        <is>
          <t>Emerging markets</t>
        </is>
      </c>
      <c r="F4851" t="inlineStr">
        <is>
          <t>India</t>
        </is>
      </c>
      <c r="G4851" t="inlineStr">
        <is>
          <t>Ibrance</t>
        </is>
      </c>
      <c r="H4851" t="inlineStr">
        <is>
          <t>Retail pharmacy</t>
        </is>
      </c>
      <c r="I4851" t="inlineStr">
        <is>
          <t>Private insurer</t>
        </is>
      </c>
      <c r="J4851" t="inlineStr">
        <is>
          <t>Fatima Al-Saud</t>
        </is>
      </c>
      <c r="K4851" s="70" t="n">
        <v>2468</v>
      </c>
      <c r="L4851" s="71" t="n">
        <v>2635.56</v>
      </c>
      <c r="M4851" s="71" t="n">
        <v>6504562.08</v>
      </c>
      <c r="N4851" s="71" t="n">
        <v>325228.1</v>
      </c>
      <c r="O4851" s="71" t="n">
        <v>6179333.98</v>
      </c>
      <c r="P4851" s="71" t="n">
        <v>1096918.34</v>
      </c>
      <c r="Q4851" s="71" t="n">
        <v>5082415.64</v>
      </c>
      <c r="R4851" t="inlineStr">
        <is>
          <t>Oncology</t>
        </is>
      </c>
      <c r="S4851" s="70" t="n">
        <v>2211</v>
      </c>
      <c r="T4851" s="71" t="n">
        <v>1257056.11</v>
      </c>
      <c r="U4851" t="inlineStr">
        <is>
          <t>High</t>
        </is>
      </c>
      <c r="V4851">
        <f>IF(AND(OR(Dashboard!$C$6="All",E4851=Dashboard!$C$6),OR(Dashboard!$F$6="All",G4851=Dashboard!$F$6),OR(Dashboard!$I$6="All",H4851=Dashboard!$I$6)),1,0)</f>
        <v/>
      </c>
    </row>
    <row r="4852">
      <c r="A4852" t="inlineStr">
        <is>
          <t>PF104843</t>
        </is>
      </c>
      <c r="B4852" s="68" t="n">
        <v>46242</v>
      </c>
      <c r="C4852" s="69" t="n">
        <v>2026</v>
      </c>
      <c r="D4852" t="inlineStr">
        <is>
          <t>Aug</t>
        </is>
      </c>
      <c r="E4852" t="inlineStr">
        <is>
          <t>Emerging markets</t>
        </is>
      </c>
      <c r="F4852" t="inlineStr">
        <is>
          <t>Brazil</t>
        </is>
      </c>
      <c r="G4852" t="inlineStr">
        <is>
          <t>Ibrance</t>
        </is>
      </c>
      <c r="H4852" t="inlineStr">
        <is>
          <t>Retail pharmacy</t>
        </is>
      </c>
      <c r="I4852" t="inlineStr">
        <is>
          <t>Public payer</t>
        </is>
      </c>
      <c r="J4852" t="inlineStr">
        <is>
          <t>Sara Rossi</t>
        </is>
      </c>
      <c r="K4852" s="70" t="n">
        <v>1819</v>
      </c>
      <c r="L4852" s="71" t="n">
        <v>2738.71</v>
      </c>
      <c r="M4852" s="71" t="n">
        <v>4981713.49</v>
      </c>
      <c r="N4852" s="71" t="n">
        <v>498171.35</v>
      </c>
      <c r="O4852" s="71" t="n">
        <v>4483542.14</v>
      </c>
      <c r="P4852" s="71" t="n">
        <v>806168.1</v>
      </c>
      <c r="Q4852" s="71" t="n">
        <v>3677374.04</v>
      </c>
      <c r="R4852" t="inlineStr">
        <is>
          <t>Oncology</t>
        </is>
      </c>
      <c r="S4852" s="70" t="n">
        <v>1434</v>
      </c>
      <c r="T4852" s="71" t="n">
        <v>699924.14</v>
      </c>
      <c r="U4852" t="inlineStr">
        <is>
          <t>High</t>
        </is>
      </c>
      <c r="V4852">
        <f>IF(AND(OR(Dashboard!$C$6="All",E4852=Dashboard!$C$6),OR(Dashboard!$F$6="All",G4852=Dashboard!$F$6),OR(Dashboard!$I$6="All",H4852=Dashboard!$I$6)),1,0)</f>
        <v/>
      </c>
    </row>
    <row r="4853">
      <c r="A4853" t="inlineStr">
        <is>
          <t>PF104844</t>
        </is>
      </c>
      <c r="B4853" s="68" t="n">
        <v>46243</v>
      </c>
      <c r="C4853" s="69" t="n">
        <v>2026</v>
      </c>
      <c r="D4853" t="inlineStr">
        <is>
          <t>Aug</t>
        </is>
      </c>
      <c r="E4853" t="inlineStr">
        <is>
          <t>United States</t>
        </is>
      </c>
      <c r="F4853" t="inlineStr">
        <is>
          <t>USA</t>
        </is>
      </c>
      <c r="G4853" t="inlineStr">
        <is>
          <t>Eliquis</t>
        </is>
      </c>
      <c r="H4853" t="inlineStr">
        <is>
          <t>Hospital</t>
        </is>
      </c>
      <c r="I4853" t="inlineStr">
        <is>
          <t>Private insurer</t>
        </is>
      </c>
      <c r="J4853" t="inlineStr">
        <is>
          <t>Yuki Sato</t>
        </is>
      </c>
      <c r="K4853" s="70" t="n">
        <v>1254</v>
      </c>
      <c r="L4853" s="71" t="n">
        <v>719.08</v>
      </c>
      <c r="M4853" s="71" t="n">
        <v>901726.3199999999</v>
      </c>
      <c r="N4853" s="71" t="n">
        <v>135258.95</v>
      </c>
      <c r="O4853" s="71" t="n">
        <v>766467.37</v>
      </c>
      <c r="P4853" s="71" t="n">
        <v>91170.62</v>
      </c>
      <c r="Q4853" s="71" t="n">
        <v>675296.75</v>
      </c>
      <c r="R4853" t="inlineStr">
        <is>
          <t>Cardiology</t>
        </is>
      </c>
      <c r="S4853" s="70" t="n">
        <v>1223</v>
      </c>
      <c r="T4853" s="71" t="n">
        <v>111907.98</v>
      </c>
      <c r="U4853" t="inlineStr">
        <is>
          <t>High</t>
        </is>
      </c>
      <c r="V4853">
        <f>IF(AND(OR(Dashboard!$C$6="All",E4853=Dashboard!$C$6),OR(Dashboard!$F$6="All",G4853=Dashboard!$F$6),OR(Dashboard!$I$6="All",H4853=Dashboard!$I$6)),1,0)</f>
        <v/>
      </c>
    </row>
    <row r="4854">
      <c r="A4854" t="inlineStr">
        <is>
          <t>PF104845</t>
        </is>
      </c>
      <c r="B4854" s="68" t="n">
        <v>46243</v>
      </c>
      <c r="C4854" s="69" t="n">
        <v>2026</v>
      </c>
      <c r="D4854" t="inlineStr">
        <is>
          <t>Aug</t>
        </is>
      </c>
      <c r="E4854" t="inlineStr">
        <is>
          <t>International developed</t>
        </is>
      </c>
      <c r="F4854" t="inlineStr">
        <is>
          <t>Japan</t>
        </is>
      </c>
      <c r="G4854" t="inlineStr">
        <is>
          <t>Paxlovid</t>
        </is>
      </c>
      <c r="H4854" t="inlineStr">
        <is>
          <t>Hospital</t>
        </is>
      </c>
      <c r="I4854" t="inlineStr">
        <is>
          <t>Self-pay</t>
        </is>
      </c>
      <c r="J4854" t="inlineStr">
        <is>
          <t>Hiroshi Tanaka</t>
        </is>
      </c>
      <c r="K4854" s="70" t="n">
        <v>291</v>
      </c>
      <c r="L4854" s="71" t="n">
        <v>922.98</v>
      </c>
      <c r="M4854" s="71" t="n">
        <v>268587.18</v>
      </c>
      <c r="N4854" s="71" t="n">
        <v>67146.78999999999</v>
      </c>
      <c r="O4854" s="71" t="n">
        <v>201440.39</v>
      </c>
      <c r="P4854" s="71" t="n">
        <v>79981.64</v>
      </c>
      <c r="Q4854" s="71" t="n">
        <v>121458.75</v>
      </c>
      <c r="R4854" t="inlineStr">
        <is>
          <t>Antiviral</t>
        </is>
      </c>
      <c r="S4854" s="70" t="n">
        <v>230</v>
      </c>
      <c r="T4854" s="71" t="n">
        <v>65736.88</v>
      </c>
      <c r="U4854" t="inlineStr">
        <is>
          <t>Low</t>
        </is>
      </c>
      <c r="V4854">
        <f>IF(AND(OR(Dashboard!$C$6="All",E4854=Dashboard!$C$6),OR(Dashboard!$F$6="All",G4854=Dashboard!$F$6),OR(Dashboard!$I$6="All",H4854=Dashboard!$I$6)),1,0)</f>
        <v/>
      </c>
    </row>
    <row r="4855">
      <c r="A4855" t="inlineStr">
        <is>
          <t>PF104846</t>
        </is>
      </c>
      <c r="B4855" s="68" t="n">
        <v>46243</v>
      </c>
      <c r="C4855" s="69" t="n">
        <v>2026</v>
      </c>
      <c r="D4855" t="inlineStr">
        <is>
          <t>Aug</t>
        </is>
      </c>
      <c r="E4855" t="inlineStr">
        <is>
          <t>United States</t>
        </is>
      </c>
      <c r="F4855" t="inlineStr">
        <is>
          <t>USA</t>
        </is>
      </c>
      <c r="G4855" t="inlineStr">
        <is>
          <t>Abrysvo</t>
        </is>
      </c>
      <c r="H4855" t="inlineStr">
        <is>
          <t>Retail pharmacy</t>
        </is>
      </c>
      <c r="I4855" t="inlineStr">
        <is>
          <t>Public payer</t>
        </is>
      </c>
      <c r="J4855" t="inlineStr">
        <is>
          <t>Ruhi Shaikh</t>
        </is>
      </c>
      <c r="K4855" s="70" t="n">
        <v>2327</v>
      </c>
      <c r="L4855" s="71" t="n">
        <v>505.26</v>
      </c>
      <c r="M4855" s="71" t="n">
        <v>1175740.02</v>
      </c>
      <c r="N4855" s="71" t="n">
        <v>411509.01</v>
      </c>
      <c r="O4855" s="71" t="n">
        <v>764231.01</v>
      </c>
      <c r="P4855" s="71" t="n">
        <v>189438.22</v>
      </c>
      <c r="Q4855" s="71" t="n">
        <v>574792.79</v>
      </c>
      <c r="R4855" t="inlineStr">
        <is>
          <t>Vaccines</t>
        </is>
      </c>
      <c r="S4855" s="70" t="n">
        <v>1679</v>
      </c>
      <c r="T4855" s="71" t="n">
        <v>212444.27</v>
      </c>
      <c r="U4855" t="inlineStr">
        <is>
          <t>Low</t>
        </is>
      </c>
      <c r="V4855">
        <f>IF(AND(OR(Dashboard!$C$6="All",E4855=Dashboard!$C$6),OR(Dashboard!$F$6="All",G4855=Dashboard!$F$6),OR(Dashboard!$I$6="All",H4855=Dashboard!$I$6)),1,0)</f>
        <v/>
      </c>
    </row>
    <row r="4856">
      <c r="A4856" t="inlineStr">
        <is>
          <t>PF104847</t>
        </is>
      </c>
      <c r="B4856" s="68" t="n">
        <v>46243</v>
      </c>
      <c r="C4856" s="69" t="n">
        <v>2026</v>
      </c>
      <c r="D4856" t="inlineStr">
        <is>
          <t>Aug</t>
        </is>
      </c>
      <c r="E4856" t="inlineStr">
        <is>
          <t>Europe</t>
        </is>
      </c>
      <c r="F4856" t="inlineStr">
        <is>
          <t>UK</t>
        </is>
      </c>
      <c r="G4856" t="inlineStr">
        <is>
          <t>Prevnar 20</t>
        </is>
      </c>
      <c r="H4856" t="inlineStr">
        <is>
          <t>Hospital</t>
        </is>
      </c>
      <c r="I4856" t="inlineStr">
        <is>
          <t>Private insurer</t>
        </is>
      </c>
      <c r="J4856" t="inlineStr">
        <is>
          <t>Priya Nair</t>
        </is>
      </c>
      <c r="K4856" s="70" t="n">
        <v>1158</v>
      </c>
      <c r="L4856" s="71" t="n">
        <v>215.4</v>
      </c>
      <c r="M4856" s="71" t="n">
        <v>249433.2</v>
      </c>
      <c r="N4856" s="71" t="n">
        <v>12471.66</v>
      </c>
      <c r="O4856" s="71" t="n">
        <v>236961.54</v>
      </c>
      <c r="P4856" s="71" t="n">
        <v>82074.06</v>
      </c>
      <c r="Q4856" s="71" t="n">
        <v>154887.48</v>
      </c>
      <c r="R4856" t="inlineStr">
        <is>
          <t>Vaccines</t>
        </is>
      </c>
      <c r="S4856" s="70" t="n">
        <v>1119</v>
      </c>
      <c r="T4856" s="71" t="n">
        <v>34109.84</v>
      </c>
      <c r="U4856" t="inlineStr">
        <is>
          <t>Low</t>
        </is>
      </c>
      <c r="V4856">
        <f>IF(AND(OR(Dashboard!$C$6="All",E4856=Dashboard!$C$6),OR(Dashboard!$F$6="All",G4856=Dashboard!$F$6),OR(Dashboard!$I$6="All",H4856=Dashboard!$I$6)),1,0)</f>
        <v/>
      </c>
    </row>
    <row r="4857">
      <c r="A4857" t="inlineStr">
        <is>
          <t>PF104848</t>
        </is>
      </c>
      <c r="B4857" s="68" t="n">
        <v>46243</v>
      </c>
      <c r="C4857" s="69" t="n">
        <v>2026</v>
      </c>
      <c r="D4857" t="inlineStr">
        <is>
          <t>Aug</t>
        </is>
      </c>
      <c r="E4857" t="inlineStr">
        <is>
          <t>Europe</t>
        </is>
      </c>
      <c r="F4857" t="inlineStr">
        <is>
          <t>France</t>
        </is>
      </c>
      <c r="G4857" t="inlineStr">
        <is>
          <t>Xeljanz</t>
        </is>
      </c>
      <c r="H4857" t="inlineStr">
        <is>
          <t>Hospital</t>
        </is>
      </c>
      <c r="I4857" t="inlineStr">
        <is>
          <t>Private insurer</t>
        </is>
      </c>
      <c r="J4857" t="inlineStr">
        <is>
          <t>Omar Haddad</t>
        </is>
      </c>
      <c r="K4857" s="70" t="n">
        <v>1402</v>
      </c>
      <c r="L4857" s="71" t="n">
        <v>1437.3</v>
      </c>
      <c r="M4857" s="71" t="n">
        <v>2015094.6</v>
      </c>
      <c r="N4857" s="71" t="n">
        <v>201509.46</v>
      </c>
      <c r="O4857" s="71" t="n">
        <v>1813585.14</v>
      </c>
      <c r="P4857" s="71" t="n">
        <v>354979.62</v>
      </c>
      <c r="Q4857" s="71" t="n">
        <v>1458605.52</v>
      </c>
      <c r="R4857" t="inlineStr">
        <is>
          <t>Inflammation</t>
        </is>
      </c>
      <c r="S4857" s="70" t="n">
        <v>1201</v>
      </c>
      <c r="T4857" s="71" t="n">
        <v>405710.86</v>
      </c>
      <c r="U4857" t="inlineStr">
        <is>
          <t>High</t>
        </is>
      </c>
      <c r="V4857">
        <f>IF(AND(OR(Dashboard!$C$6="All",E4857=Dashboard!$C$6),OR(Dashboard!$F$6="All",G4857=Dashboard!$F$6),OR(Dashboard!$I$6="All",H4857=Dashboard!$I$6)),1,0)</f>
        <v/>
      </c>
    </row>
    <row r="4858">
      <c r="A4858" t="inlineStr">
        <is>
          <t>PF104849</t>
        </is>
      </c>
      <c r="B4858" s="68" t="n">
        <v>46243</v>
      </c>
      <c r="C4858" s="69" t="n">
        <v>2026</v>
      </c>
      <c r="D4858" t="inlineStr">
        <is>
          <t>Aug</t>
        </is>
      </c>
      <c r="E4858" t="inlineStr">
        <is>
          <t>United States</t>
        </is>
      </c>
      <c r="F4858" t="inlineStr">
        <is>
          <t>USA</t>
        </is>
      </c>
      <c r="G4858" t="inlineStr">
        <is>
          <t>Ibrance</t>
        </is>
      </c>
      <c r="H4858" t="inlineStr">
        <is>
          <t>Retail pharmacy</t>
        </is>
      </c>
      <c r="I4858" t="inlineStr">
        <is>
          <t>Private insurer</t>
        </is>
      </c>
      <c r="J4858" t="inlineStr">
        <is>
          <t>Olivia Brown</t>
        </is>
      </c>
      <c r="K4858" s="70" t="n">
        <v>792</v>
      </c>
      <c r="L4858" s="71" t="n">
        <v>4462.32</v>
      </c>
      <c r="M4858" s="71" t="n">
        <v>3534157.44</v>
      </c>
      <c r="N4858" s="71" t="n">
        <v>706831.49</v>
      </c>
      <c r="O4858" s="71" t="n">
        <v>2827325.95</v>
      </c>
      <c r="P4858" s="71" t="n">
        <v>348801.75</v>
      </c>
      <c r="Q4858" s="71" t="n">
        <v>2478524.2</v>
      </c>
      <c r="R4858" t="inlineStr">
        <is>
          <t>Oncology</t>
        </is>
      </c>
      <c r="S4858" s="70" t="n">
        <v>557</v>
      </c>
      <c r="T4858" s="71" t="n">
        <v>586731.16</v>
      </c>
      <c r="U4858" t="inlineStr">
        <is>
          <t>High</t>
        </is>
      </c>
      <c r="V4858">
        <f>IF(AND(OR(Dashboard!$C$6="All",E4858=Dashboard!$C$6),OR(Dashboard!$F$6="All",G4858=Dashboard!$F$6),OR(Dashboard!$I$6="All",H4858=Dashboard!$I$6)),1,0)</f>
        <v/>
      </c>
    </row>
    <row r="4859">
      <c r="A4859" t="inlineStr">
        <is>
          <t>PF104850</t>
        </is>
      </c>
      <c r="B4859" s="68" t="n">
        <v>46243</v>
      </c>
      <c r="C4859" s="69" t="n">
        <v>2026</v>
      </c>
      <c r="D4859" t="inlineStr">
        <is>
          <t>Aug</t>
        </is>
      </c>
      <c r="E4859" t="inlineStr">
        <is>
          <t>Emerging markets</t>
        </is>
      </c>
      <c r="F4859" t="inlineStr">
        <is>
          <t>Brazil</t>
        </is>
      </c>
      <c r="G4859" t="inlineStr">
        <is>
          <t>Xeljanz</t>
        </is>
      </c>
      <c r="H4859" t="inlineStr">
        <is>
          <t>Retail pharmacy</t>
        </is>
      </c>
      <c r="I4859" t="inlineStr">
        <is>
          <t>Private insurer</t>
        </is>
      </c>
      <c r="J4859" t="inlineStr">
        <is>
          <t>Ruhi Shaikh</t>
        </is>
      </c>
      <c r="K4859" s="70" t="n">
        <v>2790</v>
      </c>
      <c r="L4859" s="71" t="n">
        <v>1377.13</v>
      </c>
      <c r="M4859" s="71" t="n">
        <v>3842192.7</v>
      </c>
      <c r="N4859" s="71" t="n">
        <v>384219.27</v>
      </c>
      <c r="O4859" s="71" t="n">
        <v>3457973.43</v>
      </c>
      <c r="P4859" s="71" t="n">
        <v>692411.39</v>
      </c>
      <c r="Q4859" s="71" t="n">
        <v>2765562.04</v>
      </c>
      <c r="R4859" t="inlineStr">
        <is>
          <t>Inflammation</t>
        </is>
      </c>
      <c r="S4859" s="70" t="n">
        <v>2731</v>
      </c>
      <c r="T4859" s="71" t="n">
        <v>739327.99</v>
      </c>
      <c r="U4859" t="inlineStr">
        <is>
          <t>High</t>
        </is>
      </c>
      <c r="V4859">
        <f>IF(AND(OR(Dashboard!$C$6="All",E4859=Dashboard!$C$6),OR(Dashboard!$F$6="All",G4859=Dashboard!$F$6),OR(Dashboard!$I$6="All",H4859=Dashboard!$I$6)),1,0)</f>
        <v/>
      </c>
    </row>
    <row r="4860">
      <c r="A4860" t="inlineStr">
        <is>
          <t>PF104851</t>
        </is>
      </c>
      <c r="B4860" s="68" t="n">
        <v>46243</v>
      </c>
      <c r="C4860" s="69" t="n">
        <v>2026</v>
      </c>
      <c r="D4860" t="inlineStr">
        <is>
          <t>Aug</t>
        </is>
      </c>
      <c r="E4860" t="inlineStr">
        <is>
          <t>United States</t>
        </is>
      </c>
      <c r="F4860" t="inlineStr">
        <is>
          <t>USA</t>
        </is>
      </c>
      <c r="G4860" t="inlineStr">
        <is>
          <t>Comirnaty</t>
        </is>
      </c>
      <c r="H4860" t="inlineStr">
        <is>
          <t>Retail pharmacy</t>
        </is>
      </c>
      <c r="I4860" t="inlineStr">
        <is>
          <t>Self-pay</t>
        </is>
      </c>
      <c r="J4860" t="inlineStr">
        <is>
          <t>Liam O'Brien</t>
        </is>
      </c>
      <c r="K4860" s="70" t="n">
        <v>1973</v>
      </c>
      <c r="L4860" s="71" t="n">
        <v>133.36</v>
      </c>
      <c r="M4860" s="71" t="n">
        <v>263119.28</v>
      </c>
      <c r="N4860" s="71" t="n">
        <v>65779.82000000001</v>
      </c>
      <c r="O4860" s="71" t="n">
        <v>197339.46</v>
      </c>
      <c r="P4860" s="71" t="n">
        <v>75629.49000000001</v>
      </c>
      <c r="Q4860" s="71" t="n">
        <v>121709.97</v>
      </c>
      <c r="R4860" t="inlineStr">
        <is>
          <t>Vaccines</t>
        </is>
      </c>
      <c r="S4860" s="70" t="n">
        <v>1912</v>
      </c>
      <c r="T4860" s="71" t="n">
        <v>60254.33</v>
      </c>
      <c r="U4860" t="inlineStr">
        <is>
          <t>Low</t>
        </is>
      </c>
      <c r="V4860">
        <f>IF(AND(OR(Dashboard!$C$6="All",E4860=Dashboard!$C$6),OR(Dashboard!$F$6="All",G4860=Dashboard!$F$6),OR(Dashboard!$I$6="All",H4860=Dashboard!$I$6)),1,0)</f>
        <v/>
      </c>
    </row>
    <row r="4861">
      <c r="A4861" t="inlineStr">
        <is>
          <t>PF104852</t>
        </is>
      </c>
      <c r="B4861" s="68" t="n">
        <v>46243</v>
      </c>
      <c r="C4861" s="69" t="n">
        <v>2026</v>
      </c>
      <c r="D4861" t="inlineStr">
        <is>
          <t>Aug</t>
        </is>
      </c>
      <c r="E4861" t="inlineStr">
        <is>
          <t>United States</t>
        </is>
      </c>
      <c r="F4861" t="inlineStr">
        <is>
          <t>USA</t>
        </is>
      </c>
      <c r="G4861" t="inlineStr">
        <is>
          <t>Comirnaty</t>
        </is>
      </c>
      <c r="H4861" t="inlineStr">
        <is>
          <t>Government / tender</t>
        </is>
      </c>
      <c r="I4861" t="inlineStr">
        <is>
          <t>Public payer</t>
        </is>
      </c>
      <c r="J4861" t="inlineStr">
        <is>
          <t>Sophie Müller</t>
        </is>
      </c>
      <c r="K4861" s="70" t="n">
        <v>491</v>
      </c>
      <c r="L4861" s="71" t="n">
        <v>144.15</v>
      </c>
      <c r="M4861" s="71" t="n">
        <v>70777.64999999999</v>
      </c>
      <c r="N4861" s="71" t="n">
        <v>24772.18</v>
      </c>
      <c r="O4861" s="71" t="n">
        <v>46005.47</v>
      </c>
      <c r="P4861" s="71" t="n">
        <v>18213.8</v>
      </c>
      <c r="Q4861" s="71" t="n">
        <v>27791.67</v>
      </c>
      <c r="R4861" t="inlineStr">
        <is>
          <t>Vaccines</t>
        </is>
      </c>
      <c r="S4861" s="70" t="n">
        <v>373</v>
      </c>
      <c r="T4861" s="71" t="n">
        <v>10904.84</v>
      </c>
      <c r="U4861" t="inlineStr">
        <is>
          <t>Low</t>
        </is>
      </c>
      <c r="V4861">
        <f>IF(AND(OR(Dashboard!$C$6="All",E4861=Dashboard!$C$6),OR(Dashboard!$F$6="All",G4861=Dashboard!$F$6),OR(Dashboard!$I$6="All",H4861=Dashboard!$I$6)),1,0)</f>
        <v/>
      </c>
    </row>
    <row r="4862">
      <c r="A4862" t="inlineStr">
        <is>
          <t>PF104853</t>
        </is>
      </c>
      <c r="B4862" s="68" t="n">
        <v>46243</v>
      </c>
      <c r="C4862" s="69" t="n">
        <v>2026</v>
      </c>
      <c r="D4862" t="inlineStr">
        <is>
          <t>Aug</t>
        </is>
      </c>
      <c r="E4862" t="inlineStr">
        <is>
          <t>Emerging markets</t>
        </is>
      </c>
      <c r="F4862" t="inlineStr">
        <is>
          <t>China</t>
        </is>
      </c>
      <c r="G4862" t="inlineStr">
        <is>
          <t>Vyndaqel</t>
        </is>
      </c>
      <c r="H4862" t="inlineStr">
        <is>
          <t>Retail pharmacy</t>
        </is>
      </c>
      <c r="I4862" t="inlineStr">
        <is>
          <t>Private insurer</t>
        </is>
      </c>
      <c r="J4862" t="inlineStr">
        <is>
          <t>Ruhi Shaikh</t>
        </is>
      </c>
      <c r="K4862" s="70" t="n">
        <v>1772</v>
      </c>
      <c r="L4862" s="71" t="n">
        <v>5874.74</v>
      </c>
      <c r="M4862" s="71" t="n">
        <v>10410039.28</v>
      </c>
      <c r="N4862" s="71" t="n">
        <v>1561505.89</v>
      </c>
      <c r="O4862" s="71" t="n">
        <v>8848533.390000001</v>
      </c>
      <c r="P4862" s="71" t="n">
        <v>1129405.14</v>
      </c>
      <c r="Q4862" s="71" t="n">
        <v>7719128.25</v>
      </c>
      <c r="R4862" t="inlineStr">
        <is>
          <t>Rare disease</t>
        </is>
      </c>
      <c r="S4862" s="70" t="n">
        <v>1276</v>
      </c>
      <c r="T4862" s="71" t="n">
        <v>1673640.72</v>
      </c>
      <c r="U4862" t="inlineStr">
        <is>
          <t>Medium</t>
        </is>
      </c>
      <c r="V4862">
        <f>IF(AND(OR(Dashboard!$C$6="All",E4862=Dashboard!$C$6),OR(Dashboard!$F$6="All",G4862=Dashboard!$F$6),OR(Dashboard!$I$6="All",H4862=Dashboard!$I$6)),1,0)</f>
        <v/>
      </c>
    </row>
    <row r="4863">
      <c r="A4863" t="inlineStr">
        <is>
          <t>PF104854</t>
        </is>
      </c>
      <c r="B4863" s="68" t="n">
        <v>46243</v>
      </c>
      <c r="C4863" s="69" t="n">
        <v>2026</v>
      </c>
      <c r="D4863" t="inlineStr">
        <is>
          <t>Aug</t>
        </is>
      </c>
      <c r="E4863" t="inlineStr">
        <is>
          <t>United States</t>
        </is>
      </c>
      <c r="F4863" t="inlineStr">
        <is>
          <t>USA</t>
        </is>
      </c>
      <c r="G4863" t="inlineStr">
        <is>
          <t>Vyndaqel</t>
        </is>
      </c>
      <c r="H4863" t="inlineStr">
        <is>
          <t>Retail pharmacy</t>
        </is>
      </c>
      <c r="I4863" t="inlineStr">
        <is>
          <t>Public payer</t>
        </is>
      </c>
      <c r="J4863" t="inlineStr">
        <is>
          <t>Noah Smith</t>
        </is>
      </c>
      <c r="K4863" s="70" t="n">
        <v>2596</v>
      </c>
      <c r="L4863" s="71" t="n">
        <v>8779.85</v>
      </c>
      <c r="M4863" s="71" t="n">
        <v>22792490.6</v>
      </c>
      <c r="N4863" s="71" t="n">
        <v>4558498.12</v>
      </c>
      <c r="O4863" s="71" t="n">
        <v>18233992.48</v>
      </c>
      <c r="P4863" s="71" t="n">
        <v>1591398.55</v>
      </c>
      <c r="Q4863" s="71" t="n">
        <v>16642593.93</v>
      </c>
      <c r="R4863" t="inlineStr">
        <is>
          <t>Rare disease</t>
        </is>
      </c>
      <c r="S4863" s="70" t="n">
        <v>2350</v>
      </c>
      <c r="T4863" s="71" t="n">
        <v>3054677.52</v>
      </c>
      <c r="U4863" t="inlineStr">
        <is>
          <t>Medium</t>
        </is>
      </c>
      <c r="V4863">
        <f>IF(AND(OR(Dashboard!$C$6="All",E4863=Dashboard!$C$6),OR(Dashboard!$F$6="All",G4863=Dashboard!$F$6),OR(Dashboard!$I$6="All",H4863=Dashboard!$I$6)),1,0)</f>
        <v/>
      </c>
    </row>
    <row r="4864">
      <c r="A4864" t="inlineStr">
        <is>
          <t>PF104855</t>
        </is>
      </c>
      <c r="B4864" s="68" t="n">
        <v>46244</v>
      </c>
      <c r="C4864" s="69" t="n">
        <v>2026</v>
      </c>
      <c r="D4864" t="inlineStr">
        <is>
          <t>Aug</t>
        </is>
      </c>
      <c r="E4864" t="inlineStr">
        <is>
          <t>International developed</t>
        </is>
      </c>
      <c r="F4864" t="inlineStr">
        <is>
          <t>Canada</t>
        </is>
      </c>
      <c r="G4864" t="inlineStr">
        <is>
          <t>Prevnar 20</t>
        </is>
      </c>
      <c r="H4864" t="inlineStr">
        <is>
          <t>Government / tender</t>
        </is>
      </c>
      <c r="I4864" t="inlineStr">
        <is>
          <t>Private insurer</t>
        </is>
      </c>
      <c r="J4864" t="inlineStr">
        <is>
          <t>Olivia Brown</t>
        </is>
      </c>
      <c r="K4864" s="70" t="n">
        <v>2541</v>
      </c>
      <c r="L4864" s="71" t="n">
        <v>253.92</v>
      </c>
      <c r="M4864" s="71" t="n">
        <v>645210.72</v>
      </c>
      <c r="N4864" s="71" t="n">
        <v>161302.68</v>
      </c>
      <c r="O4864" s="71" t="n">
        <v>483908.04</v>
      </c>
      <c r="P4864" s="71" t="n">
        <v>177919.81</v>
      </c>
      <c r="Q4864" s="71" t="n">
        <v>305988.23</v>
      </c>
      <c r="R4864" t="inlineStr">
        <is>
          <t>Vaccines</t>
        </is>
      </c>
      <c r="S4864" s="70" t="n">
        <v>2348</v>
      </c>
      <c r="T4864" s="71" t="n">
        <v>91726.8</v>
      </c>
      <c r="U4864" t="inlineStr">
        <is>
          <t>Low</t>
        </is>
      </c>
      <c r="V4864">
        <f>IF(AND(OR(Dashboard!$C$6="All",E4864=Dashboard!$C$6),OR(Dashboard!$F$6="All",G4864=Dashboard!$F$6),OR(Dashboard!$I$6="All",H4864=Dashboard!$I$6)),1,0)</f>
        <v/>
      </c>
    </row>
    <row r="4865">
      <c r="A4865" t="inlineStr">
        <is>
          <t>PF104856</t>
        </is>
      </c>
      <c r="B4865" s="68" t="n">
        <v>46244</v>
      </c>
      <c r="C4865" s="69" t="n">
        <v>2026</v>
      </c>
      <c r="D4865" t="inlineStr">
        <is>
          <t>Aug</t>
        </is>
      </c>
      <c r="E4865" t="inlineStr">
        <is>
          <t>United States</t>
        </is>
      </c>
      <c r="F4865" t="inlineStr">
        <is>
          <t>USA</t>
        </is>
      </c>
      <c r="G4865" t="inlineStr">
        <is>
          <t>Eliquis</t>
        </is>
      </c>
      <c r="H4865" t="inlineStr">
        <is>
          <t>Government / tender</t>
        </is>
      </c>
      <c r="I4865" t="inlineStr">
        <is>
          <t>Private insurer</t>
        </is>
      </c>
      <c r="J4865" t="inlineStr">
        <is>
          <t>Wei Chen</t>
        </is>
      </c>
      <c r="K4865" s="70" t="n">
        <v>2600</v>
      </c>
      <c r="L4865" s="71" t="n">
        <v>631.6</v>
      </c>
      <c r="M4865" s="71" t="n">
        <v>1642160</v>
      </c>
      <c r="N4865" s="71" t="n">
        <v>492648</v>
      </c>
      <c r="O4865" s="71" t="n">
        <v>1149512</v>
      </c>
      <c r="P4865" s="71" t="n">
        <v>195259.66</v>
      </c>
      <c r="Q4865" s="71" t="n">
        <v>954252.34</v>
      </c>
      <c r="R4865" t="inlineStr">
        <is>
          <t>Cardiology</t>
        </is>
      </c>
      <c r="S4865" s="70" t="n">
        <v>2100</v>
      </c>
      <c r="T4865" s="71" t="n">
        <v>314227.65</v>
      </c>
      <c r="U4865" t="inlineStr">
        <is>
          <t>High</t>
        </is>
      </c>
      <c r="V4865">
        <f>IF(AND(OR(Dashboard!$C$6="All",E4865=Dashboard!$C$6),OR(Dashboard!$F$6="All",G4865=Dashboard!$F$6),OR(Dashboard!$I$6="All",H4865=Dashboard!$I$6)),1,0)</f>
        <v/>
      </c>
    </row>
    <row r="4866">
      <c r="A4866" t="inlineStr">
        <is>
          <t>PF104857</t>
        </is>
      </c>
      <c r="B4866" s="68" t="n">
        <v>46244</v>
      </c>
      <c r="C4866" s="69" t="n">
        <v>2026</v>
      </c>
      <c r="D4866" t="inlineStr">
        <is>
          <t>Aug</t>
        </is>
      </c>
      <c r="E4866" t="inlineStr">
        <is>
          <t>United States</t>
        </is>
      </c>
      <c r="F4866" t="inlineStr">
        <is>
          <t>USA</t>
        </is>
      </c>
      <c r="G4866" t="inlineStr">
        <is>
          <t>Comirnaty</t>
        </is>
      </c>
      <c r="H4866" t="inlineStr">
        <is>
          <t>Retail pharmacy</t>
        </is>
      </c>
      <c r="I4866" t="inlineStr">
        <is>
          <t>Private insurer</t>
        </is>
      </c>
      <c r="J4866" t="inlineStr">
        <is>
          <t>Zoya Ahmed</t>
        </is>
      </c>
      <c r="K4866" s="70" t="n">
        <v>2057</v>
      </c>
      <c r="L4866" s="71" t="n">
        <v>149.49</v>
      </c>
      <c r="M4866" s="71" t="n">
        <v>307500.93</v>
      </c>
      <c r="N4866" s="71" t="n">
        <v>92250.28</v>
      </c>
      <c r="O4866" s="71" t="n">
        <v>215250.65</v>
      </c>
      <c r="P4866" s="71" t="n">
        <v>79846.64</v>
      </c>
      <c r="Q4866" s="71" t="n">
        <v>135404.01</v>
      </c>
      <c r="R4866" t="inlineStr">
        <is>
          <t>Vaccines</t>
        </is>
      </c>
      <c r="S4866" s="70" t="n">
        <v>1441</v>
      </c>
      <c r="T4866" s="71" t="n">
        <v>47262.29</v>
      </c>
      <c r="U4866" t="inlineStr">
        <is>
          <t>Low</t>
        </is>
      </c>
      <c r="V4866">
        <f>IF(AND(OR(Dashboard!$C$6="All",E4866=Dashboard!$C$6),OR(Dashboard!$F$6="All",G4866=Dashboard!$F$6),OR(Dashboard!$I$6="All",H4866=Dashboard!$I$6)),1,0)</f>
        <v/>
      </c>
    </row>
    <row r="4867">
      <c r="A4867" t="inlineStr">
        <is>
          <t>PF104858</t>
        </is>
      </c>
      <c r="B4867" s="68" t="n">
        <v>46244</v>
      </c>
      <c r="C4867" s="69" t="n">
        <v>2026</v>
      </c>
      <c r="D4867" t="inlineStr">
        <is>
          <t>Aug</t>
        </is>
      </c>
      <c r="E4867" t="inlineStr">
        <is>
          <t>Emerging markets</t>
        </is>
      </c>
      <c r="F4867" t="inlineStr">
        <is>
          <t>Mexico</t>
        </is>
      </c>
      <c r="G4867" t="inlineStr">
        <is>
          <t>Eliquis</t>
        </is>
      </c>
      <c r="H4867" t="inlineStr">
        <is>
          <t>Hospital</t>
        </is>
      </c>
      <c r="I4867" t="inlineStr">
        <is>
          <t>Private insurer</t>
        </is>
      </c>
      <c r="J4867" t="inlineStr">
        <is>
          <t>Carlos Silva</t>
        </is>
      </c>
      <c r="K4867" s="70" t="n">
        <v>502</v>
      </c>
      <c r="L4867" s="71" t="n">
        <v>460.86</v>
      </c>
      <c r="M4867" s="71" t="n">
        <v>231351.72</v>
      </c>
      <c r="N4867" s="71" t="n">
        <v>23135.17</v>
      </c>
      <c r="O4867" s="71" t="n">
        <v>208216.55</v>
      </c>
      <c r="P4867" s="71" t="n">
        <v>36529.44</v>
      </c>
      <c r="Q4867" s="71" t="n">
        <v>171687.11</v>
      </c>
      <c r="R4867" t="inlineStr">
        <is>
          <t>Cardiology</t>
        </is>
      </c>
      <c r="S4867" s="70" t="n">
        <v>326</v>
      </c>
      <c r="T4867" s="71" t="n">
        <v>41732.2</v>
      </c>
      <c r="U4867" t="inlineStr">
        <is>
          <t>High</t>
        </is>
      </c>
      <c r="V4867">
        <f>IF(AND(OR(Dashboard!$C$6="All",E4867=Dashboard!$C$6),OR(Dashboard!$F$6="All",G4867=Dashboard!$F$6),OR(Dashboard!$I$6="All",H4867=Dashboard!$I$6)),1,0)</f>
        <v/>
      </c>
    </row>
    <row r="4868">
      <c r="A4868" t="inlineStr">
        <is>
          <t>PF104859</t>
        </is>
      </c>
      <c r="B4868" s="68" t="n">
        <v>46244</v>
      </c>
      <c r="C4868" s="69" t="n">
        <v>2026</v>
      </c>
      <c r="D4868" t="inlineStr">
        <is>
          <t>Aug</t>
        </is>
      </c>
      <c r="E4868" t="inlineStr">
        <is>
          <t>International developed</t>
        </is>
      </c>
      <c r="F4868" t="inlineStr">
        <is>
          <t>Japan</t>
        </is>
      </c>
      <c r="G4868" t="inlineStr">
        <is>
          <t>Comirnaty</t>
        </is>
      </c>
      <c r="H4868" t="inlineStr">
        <is>
          <t>Hospital</t>
        </is>
      </c>
      <c r="I4868" t="inlineStr">
        <is>
          <t>Self-pay</t>
        </is>
      </c>
      <c r="J4868" t="inlineStr">
        <is>
          <t>Aisha Bello</t>
        </is>
      </c>
      <c r="K4868" s="70" t="n">
        <v>607</v>
      </c>
      <c r="L4868" s="71" t="n">
        <v>81.22</v>
      </c>
      <c r="M4868" s="71" t="n">
        <v>49300.54</v>
      </c>
      <c r="N4868" s="71" t="n">
        <v>4930.05</v>
      </c>
      <c r="O4868" s="71" t="n">
        <v>44370.49</v>
      </c>
      <c r="P4868" s="71" t="n">
        <v>23434.48</v>
      </c>
      <c r="Q4868" s="71" t="n">
        <v>20936.01</v>
      </c>
      <c r="R4868" t="inlineStr">
        <is>
          <t>Vaccines</t>
        </is>
      </c>
      <c r="S4868" s="70" t="n">
        <v>388</v>
      </c>
      <c r="T4868" s="71" t="n">
        <v>11659.67</v>
      </c>
      <c r="U4868" t="inlineStr">
        <is>
          <t>Low</t>
        </is>
      </c>
      <c r="V4868">
        <f>IF(AND(OR(Dashboard!$C$6="All",E4868=Dashboard!$C$6),OR(Dashboard!$F$6="All",G4868=Dashboard!$F$6),OR(Dashboard!$I$6="All",H4868=Dashboard!$I$6)),1,0)</f>
        <v/>
      </c>
    </row>
    <row r="4869">
      <c r="A4869" t="inlineStr">
        <is>
          <t>PF104860</t>
        </is>
      </c>
      <c r="B4869" s="68" t="n">
        <v>46244</v>
      </c>
      <c r="C4869" s="69" t="n">
        <v>2026</v>
      </c>
      <c r="D4869" t="inlineStr">
        <is>
          <t>Aug</t>
        </is>
      </c>
      <c r="E4869" t="inlineStr">
        <is>
          <t>International developed</t>
        </is>
      </c>
      <c r="F4869" t="inlineStr">
        <is>
          <t>Japan</t>
        </is>
      </c>
      <c r="G4869" t="inlineStr">
        <is>
          <t>Abrysvo</t>
        </is>
      </c>
      <c r="H4869" t="inlineStr">
        <is>
          <t>Retail pharmacy</t>
        </is>
      </c>
      <c r="I4869" t="inlineStr">
        <is>
          <t>Private insurer</t>
        </is>
      </c>
      <c r="J4869" t="inlineStr">
        <is>
          <t>Kofi Mensah</t>
        </is>
      </c>
      <c r="K4869" s="70" t="n">
        <v>2794</v>
      </c>
      <c r="L4869" s="71" t="n">
        <v>345.63</v>
      </c>
      <c r="M4869" s="71" t="n">
        <v>965690.22</v>
      </c>
      <c r="N4869" s="71" t="n">
        <v>96569.02</v>
      </c>
      <c r="O4869" s="71" t="n">
        <v>869121.2</v>
      </c>
      <c r="P4869" s="71" t="n">
        <v>243544.99</v>
      </c>
      <c r="Q4869" s="71" t="n">
        <v>625576.21</v>
      </c>
      <c r="R4869" t="inlineStr">
        <is>
          <t>Vaccines</t>
        </is>
      </c>
      <c r="S4869" s="70" t="n">
        <v>2348</v>
      </c>
      <c r="T4869" s="71" t="n">
        <v>171586.93</v>
      </c>
      <c r="U4869" t="inlineStr">
        <is>
          <t>Low</t>
        </is>
      </c>
      <c r="V4869">
        <f>IF(AND(OR(Dashboard!$C$6="All",E4869=Dashboard!$C$6),OR(Dashboard!$F$6="All",G4869=Dashboard!$F$6),OR(Dashboard!$I$6="All",H4869=Dashboard!$I$6)),1,0)</f>
        <v/>
      </c>
    </row>
    <row r="4870">
      <c r="A4870" t="inlineStr">
        <is>
          <t>PF104861</t>
        </is>
      </c>
      <c r="B4870" s="68" t="n">
        <v>46244</v>
      </c>
      <c r="C4870" s="69" t="n">
        <v>2026</v>
      </c>
      <c r="D4870" t="inlineStr">
        <is>
          <t>Aug</t>
        </is>
      </c>
      <c r="E4870" t="inlineStr">
        <is>
          <t>Europe</t>
        </is>
      </c>
      <c r="F4870" t="inlineStr">
        <is>
          <t>UK</t>
        </is>
      </c>
      <c r="G4870" t="inlineStr">
        <is>
          <t>Xeljanz</t>
        </is>
      </c>
      <c r="H4870" t="inlineStr">
        <is>
          <t>Retail pharmacy</t>
        </is>
      </c>
      <c r="I4870" t="inlineStr">
        <is>
          <t>Public payer</t>
        </is>
      </c>
      <c r="J4870" t="inlineStr">
        <is>
          <t>Priya Nair</t>
        </is>
      </c>
      <c r="K4870" s="70" t="n">
        <v>1480</v>
      </c>
      <c r="L4870" s="71" t="n">
        <v>1263.39</v>
      </c>
      <c r="M4870" s="71" t="n">
        <v>1869817.2</v>
      </c>
      <c r="N4870" s="71" t="n">
        <v>93490.86</v>
      </c>
      <c r="O4870" s="71" t="n">
        <v>1776326.34</v>
      </c>
      <c r="P4870" s="71" t="n">
        <v>365178.78</v>
      </c>
      <c r="Q4870" s="71" t="n">
        <v>1411147.56</v>
      </c>
      <c r="R4870" t="inlineStr">
        <is>
          <t>Inflammation</t>
        </is>
      </c>
      <c r="S4870" s="70" t="n">
        <v>1096</v>
      </c>
      <c r="T4870" s="71" t="n">
        <v>397294.2</v>
      </c>
      <c r="U4870" t="inlineStr">
        <is>
          <t>High</t>
        </is>
      </c>
      <c r="V4870">
        <f>IF(AND(OR(Dashboard!$C$6="All",E4870=Dashboard!$C$6),OR(Dashboard!$F$6="All",G4870=Dashboard!$F$6),OR(Dashboard!$I$6="All",H4870=Dashboard!$I$6)),1,0)</f>
        <v/>
      </c>
    </row>
    <row r="4871">
      <c r="A4871" t="inlineStr">
        <is>
          <t>PF104862</t>
        </is>
      </c>
      <c r="B4871" s="68" t="n">
        <v>46244</v>
      </c>
      <c r="C4871" s="69" t="n">
        <v>2026</v>
      </c>
      <c r="D4871" t="inlineStr">
        <is>
          <t>Aug</t>
        </is>
      </c>
      <c r="E4871" t="inlineStr">
        <is>
          <t>Emerging markets</t>
        </is>
      </c>
      <c r="F4871" t="inlineStr">
        <is>
          <t>Brazil</t>
        </is>
      </c>
      <c r="G4871" t="inlineStr">
        <is>
          <t>Comirnaty</t>
        </is>
      </c>
      <c r="H4871" t="inlineStr">
        <is>
          <t>Retail pharmacy</t>
        </is>
      </c>
      <c r="I4871" t="inlineStr">
        <is>
          <t>Public payer</t>
        </is>
      </c>
      <c r="J4871" t="inlineStr">
        <is>
          <t>Wei Chen</t>
        </is>
      </c>
      <c r="K4871" s="70" t="n">
        <v>2289</v>
      </c>
      <c r="L4871" s="71" t="n">
        <v>85.31</v>
      </c>
      <c r="M4871" s="71" t="n">
        <v>195274.59</v>
      </c>
      <c r="N4871" s="71" t="n">
        <v>29291.19</v>
      </c>
      <c r="O4871" s="71" t="n">
        <v>165983.4</v>
      </c>
      <c r="P4871" s="71" t="n">
        <v>90004.53999999999</v>
      </c>
      <c r="Q4871" s="71" t="n">
        <v>75978.86</v>
      </c>
      <c r="R4871" t="inlineStr">
        <is>
          <t>Vaccines</t>
        </is>
      </c>
      <c r="S4871" s="70" t="n">
        <v>1613</v>
      </c>
      <c r="T4871" s="71" t="n">
        <v>51796.45</v>
      </c>
      <c r="U4871" t="inlineStr">
        <is>
          <t>Low</t>
        </is>
      </c>
      <c r="V4871">
        <f>IF(AND(OR(Dashboard!$C$6="All",E4871=Dashboard!$C$6),OR(Dashboard!$F$6="All",G4871=Dashboard!$F$6),OR(Dashboard!$I$6="All",H4871=Dashboard!$I$6)),1,0)</f>
        <v/>
      </c>
    </row>
    <row r="4872">
      <c r="A4872" t="inlineStr">
        <is>
          <t>PF104863</t>
        </is>
      </c>
      <c r="B4872" s="68" t="n">
        <v>46244</v>
      </c>
      <c r="C4872" s="69" t="n">
        <v>2026</v>
      </c>
      <c r="D4872" t="inlineStr">
        <is>
          <t>Aug</t>
        </is>
      </c>
      <c r="E4872" t="inlineStr">
        <is>
          <t>United States</t>
        </is>
      </c>
      <c r="F4872" t="inlineStr">
        <is>
          <t>USA</t>
        </is>
      </c>
      <c r="G4872" t="inlineStr">
        <is>
          <t>Comirnaty</t>
        </is>
      </c>
      <c r="H4872" t="inlineStr">
        <is>
          <t>Retail pharmacy</t>
        </is>
      </c>
      <c r="I4872" t="inlineStr">
        <is>
          <t>Public payer</t>
        </is>
      </c>
      <c r="J4872" t="inlineStr">
        <is>
          <t>Aisha Bello</t>
        </is>
      </c>
      <c r="K4872" s="70" t="n">
        <v>1123</v>
      </c>
      <c r="L4872" s="71" t="n">
        <v>139.07</v>
      </c>
      <c r="M4872" s="71" t="n">
        <v>156175.61</v>
      </c>
      <c r="N4872" s="71" t="n">
        <v>54661.46</v>
      </c>
      <c r="O4872" s="71" t="n">
        <v>101514.15</v>
      </c>
      <c r="P4872" s="71" t="n">
        <v>43395.21</v>
      </c>
      <c r="Q4872" s="71" t="n">
        <v>58118.94</v>
      </c>
      <c r="R4872" t="inlineStr">
        <is>
          <t>Vaccines</t>
        </is>
      </c>
      <c r="S4872" s="70" t="n">
        <v>944</v>
      </c>
      <c r="T4872" s="71" t="n">
        <v>26586.97</v>
      </c>
      <c r="U4872" t="inlineStr">
        <is>
          <t>Low</t>
        </is>
      </c>
      <c r="V4872">
        <f>IF(AND(OR(Dashboard!$C$6="All",E4872=Dashboard!$C$6),OR(Dashboard!$F$6="All",G4872=Dashboard!$F$6),OR(Dashboard!$I$6="All",H4872=Dashboard!$I$6)),1,0)</f>
        <v/>
      </c>
    </row>
    <row r="4873">
      <c r="A4873" t="inlineStr">
        <is>
          <t>PF104864</t>
        </is>
      </c>
      <c r="B4873" s="68" t="n">
        <v>46244</v>
      </c>
      <c r="C4873" s="69" t="n">
        <v>2026</v>
      </c>
      <c r="D4873" t="inlineStr">
        <is>
          <t>Aug</t>
        </is>
      </c>
      <c r="E4873" t="inlineStr">
        <is>
          <t>United States</t>
        </is>
      </c>
      <c r="F4873" t="inlineStr">
        <is>
          <t>USA</t>
        </is>
      </c>
      <c r="G4873" t="inlineStr">
        <is>
          <t>Prevnar 20</t>
        </is>
      </c>
      <c r="H4873" t="inlineStr">
        <is>
          <t>Government / tender</t>
        </is>
      </c>
      <c r="I4873" t="inlineStr">
        <is>
          <t>Private insurer</t>
        </is>
      </c>
      <c r="J4873" t="inlineStr">
        <is>
          <t>Ravindra Patil</t>
        </is>
      </c>
      <c r="K4873" s="70" t="n">
        <v>2051</v>
      </c>
      <c r="L4873" s="71" t="n">
        <v>406.53</v>
      </c>
      <c r="M4873" s="71" t="n">
        <v>833793.03</v>
      </c>
      <c r="N4873" s="71" t="n">
        <v>125068.95</v>
      </c>
      <c r="O4873" s="71" t="n">
        <v>708724.08</v>
      </c>
      <c r="P4873" s="71" t="n">
        <v>141965.8</v>
      </c>
      <c r="Q4873" s="71" t="n">
        <v>566758.28</v>
      </c>
      <c r="R4873" t="inlineStr">
        <is>
          <t>Vaccines</t>
        </is>
      </c>
      <c r="S4873" s="70" t="n">
        <v>1954</v>
      </c>
      <c r="T4873" s="71" t="n">
        <v>136747.24</v>
      </c>
      <c r="U4873" t="inlineStr">
        <is>
          <t>Low</t>
        </is>
      </c>
      <c r="V4873">
        <f>IF(AND(OR(Dashboard!$C$6="All",E4873=Dashboard!$C$6),OR(Dashboard!$F$6="All",G4873=Dashboard!$F$6),OR(Dashboard!$I$6="All",H4873=Dashboard!$I$6)),1,0)</f>
        <v/>
      </c>
    </row>
    <row r="4874">
      <c r="A4874" t="inlineStr">
        <is>
          <t>PF104865</t>
        </is>
      </c>
      <c r="B4874" s="68" t="n">
        <v>46245</v>
      </c>
      <c r="C4874" s="69" t="n">
        <v>2026</v>
      </c>
      <c r="D4874" t="inlineStr">
        <is>
          <t>Aug</t>
        </is>
      </c>
      <c r="E4874" t="inlineStr">
        <is>
          <t>United States</t>
        </is>
      </c>
      <c r="F4874" t="inlineStr">
        <is>
          <t>USA</t>
        </is>
      </c>
      <c r="G4874" t="inlineStr">
        <is>
          <t>Eliquis</t>
        </is>
      </c>
      <c r="H4874" t="inlineStr">
        <is>
          <t>Retail pharmacy</t>
        </is>
      </c>
      <c r="I4874" t="inlineStr">
        <is>
          <t>Public payer</t>
        </is>
      </c>
      <c r="J4874" t="inlineStr">
        <is>
          <t>Noah Smith</t>
        </is>
      </c>
      <c r="K4874" s="70" t="n">
        <v>2660</v>
      </c>
      <c r="L4874" s="71" t="n">
        <v>684.5599999999999</v>
      </c>
      <c r="M4874" s="71" t="n">
        <v>1820929.6</v>
      </c>
      <c r="N4874" s="71" t="n">
        <v>455232.4</v>
      </c>
      <c r="O4874" s="71" t="n">
        <v>1365697.2</v>
      </c>
      <c r="P4874" s="71" t="n">
        <v>201588.78</v>
      </c>
      <c r="Q4874" s="71" t="n">
        <v>1164108.42</v>
      </c>
      <c r="R4874" t="inlineStr">
        <is>
          <t>Cardiology</t>
        </is>
      </c>
      <c r="S4874" s="70" t="n">
        <v>2039</v>
      </c>
      <c r="T4874" s="71" t="n">
        <v>367393.34</v>
      </c>
      <c r="U4874" t="inlineStr">
        <is>
          <t>High</t>
        </is>
      </c>
      <c r="V4874">
        <f>IF(AND(OR(Dashboard!$C$6="All",E4874=Dashboard!$C$6),OR(Dashboard!$F$6="All",G4874=Dashboard!$F$6),OR(Dashboard!$I$6="All",H4874=Dashboard!$I$6)),1,0)</f>
        <v/>
      </c>
    </row>
    <row r="4875">
      <c r="A4875" t="inlineStr">
        <is>
          <t>PF104866</t>
        </is>
      </c>
      <c r="B4875" s="68" t="n">
        <v>46245</v>
      </c>
      <c r="C4875" s="69" t="n">
        <v>2026</v>
      </c>
      <c r="D4875" t="inlineStr">
        <is>
          <t>Aug</t>
        </is>
      </c>
      <c r="E4875" t="inlineStr">
        <is>
          <t>Europe</t>
        </is>
      </c>
      <c r="F4875" t="inlineStr">
        <is>
          <t>Spain</t>
        </is>
      </c>
      <c r="G4875" t="inlineStr">
        <is>
          <t>Comirnaty</t>
        </is>
      </c>
      <c r="H4875" t="inlineStr">
        <is>
          <t>Government / tender</t>
        </is>
      </c>
      <c r="I4875" t="inlineStr">
        <is>
          <t>Public payer</t>
        </is>
      </c>
      <c r="J4875" t="inlineStr">
        <is>
          <t>Arjun Mehta</t>
        </is>
      </c>
      <c r="K4875" s="70" t="n">
        <v>112</v>
      </c>
      <c r="L4875" s="71" t="n">
        <v>87.8</v>
      </c>
      <c r="M4875" s="71" t="n">
        <v>9833.6</v>
      </c>
      <c r="N4875" s="71" t="n">
        <v>1475.04</v>
      </c>
      <c r="O4875" s="71" t="n">
        <v>8358.559999999999</v>
      </c>
      <c r="P4875" s="71" t="n">
        <v>4426.17</v>
      </c>
      <c r="Q4875" s="71" t="n">
        <v>3932.39</v>
      </c>
      <c r="R4875" t="inlineStr">
        <is>
          <t>Vaccines</t>
        </is>
      </c>
      <c r="S4875" s="70" t="n">
        <v>72</v>
      </c>
      <c r="T4875" s="71" t="n">
        <v>2430.89</v>
      </c>
      <c r="U4875" t="inlineStr">
        <is>
          <t>Low</t>
        </is>
      </c>
      <c r="V4875">
        <f>IF(AND(OR(Dashboard!$C$6="All",E4875=Dashboard!$C$6),OR(Dashboard!$F$6="All",G4875=Dashboard!$F$6),OR(Dashboard!$I$6="All",H4875=Dashboard!$I$6)),1,0)</f>
        <v/>
      </c>
    </row>
    <row r="4876">
      <c r="A4876" t="inlineStr">
        <is>
          <t>PF104867</t>
        </is>
      </c>
      <c r="B4876" s="68" t="n">
        <v>46245</v>
      </c>
      <c r="C4876" s="69" t="n">
        <v>2026</v>
      </c>
      <c r="D4876" t="inlineStr">
        <is>
          <t>Aug</t>
        </is>
      </c>
      <c r="E4876" t="inlineStr">
        <is>
          <t>Emerging markets</t>
        </is>
      </c>
      <c r="F4876" t="inlineStr">
        <is>
          <t>Mexico</t>
        </is>
      </c>
      <c r="G4876" t="inlineStr">
        <is>
          <t>Eliquis</t>
        </is>
      </c>
      <c r="H4876" t="inlineStr">
        <is>
          <t>Hospital</t>
        </is>
      </c>
      <c r="I4876" t="inlineStr">
        <is>
          <t>Public payer</t>
        </is>
      </c>
      <c r="J4876" t="inlineStr">
        <is>
          <t>Ana Costa</t>
        </is>
      </c>
      <c r="K4876" s="70" t="n">
        <v>1631</v>
      </c>
      <c r="L4876" s="71" t="n">
        <v>433.53</v>
      </c>
      <c r="M4876" s="71" t="n">
        <v>707087.4300000001</v>
      </c>
      <c r="N4876" s="71" t="n">
        <v>35354.37</v>
      </c>
      <c r="O4876" s="71" t="n">
        <v>671733.0600000001</v>
      </c>
      <c r="P4876" s="71" t="n">
        <v>121187.79</v>
      </c>
      <c r="Q4876" s="71" t="n">
        <v>550545.27</v>
      </c>
      <c r="R4876" t="inlineStr">
        <is>
          <t>Cardiology</t>
        </is>
      </c>
      <c r="S4876" s="70" t="n">
        <v>1360</v>
      </c>
      <c r="T4876" s="71" t="n">
        <v>127622.56</v>
      </c>
      <c r="U4876" t="inlineStr">
        <is>
          <t>High</t>
        </is>
      </c>
      <c r="V4876">
        <f>IF(AND(OR(Dashboard!$C$6="All",E4876=Dashboard!$C$6),OR(Dashboard!$F$6="All",G4876=Dashboard!$F$6),OR(Dashboard!$I$6="All",H4876=Dashboard!$I$6)),1,0)</f>
        <v/>
      </c>
    </row>
    <row r="4877">
      <c r="A4877" t="inlineStr">
        <is>
          <t>PF104868</t>
        </is>
      </c>
      <c r="B4877" s="68" t="n">
        <v>46245</v>
      </c>
      <c r="C4877" s="69" t="n">
        <v>2026</v>
      </c>
      <c r="D4877" t="inlineStr">
        <is>
          <t>Aug</t>
        </is>
      </c>
      <c r="E4877" t="inlineStr">
        <is>
          <t>International developed</t>
        </is>
      </c>
      <c r="F4877" t="inlineStr">
        <is>
          <t>Japan</t>
        </is>
      </c>
      <c r="G4877" t="inlineStr">
        <is>
          <t>Vyndaqel</t>
        </is>
      </c>
      <c r="H4877" t="inlineStr">
        <is>
          <t>Retail pharmacy</t>
        </is>
      </c>
      <c r="I4877" t="inlineStr">
        <is>
          <t>Private insurer</t>
        </is>
      </c>
      <c r="J4877" t="inlineStr">
        <is>
          <t>Kofi Mensah</t>
        </is>
      </c>
      <c r="K4877" s="70" t="n">
        <v>2541</v>
      </c>
      <c r="L4877" s="71" t="n">
        <v>5188.61</v>
      </c>
      <c r="M4877" s="71" t="n">
        <v>13184258.01</v>
      </c>
      <c r="N4877" s="71" t="n">
        <v>3296064.5</v>
      </c>
      <c r="O4877" s="71" t="n">
        <v>9888193.51</v>
      </c>
      <c r="P4877" s="71" t="n">
        <v>1587051.02</v>
      </c>
      <c r="Q4877" s="71" t="n">
        <v>8301142.49</v>
      </c>
      <c r="R4877" t="inlineStr">
        <is>
          <t>Rare disease</t>
        </is>
      </c>
      <c r="S4877" s="70" t="n">
        <v>1921</v>
      </c>
      <c r="T4877" s="71" t="n">
        <v>1832495.07</v>
      </c>
      <c r="U4877" t="inlineStr">
        <is>
          <t>Medium</t>
        </is>
      </c>
      <c r="V4877">
        <f>IF(AND(OR(Dashboard!$C$6="All",E4877=Dashboard!$C$6),OR(Dashboard!$F$6="All",G4877=Dashboard!$F$6),OR(Dashboard!$I$6="All",H4877=Dashboard!$I$6)),1,0)</f>
        <v/>
      </c>
    </row>
    <row r="4878">
      <c r="A4878" t="inlineStr">
        <is>
          <t>PF104869</t>
        </is>
      </c>
      <c r="B4878" s="68" t="n">
        <v>46245</v>
      </c>
      <c r="C4878" s="69" t="n">
        <v>2026</v>
      </c>
      <c r="D4878" t="inlineStr">
        <is>
          <t>Aug</t>
        </is>
      </c>
      <c r="E4878" t="inlineStr">
        <is>
          <t>United States</t>
        </is>
      </c>
      <c r="F4878" t="inlineStr">
        <is>
          <t>USA</t>
        </is>
      </c>
      <c r="G4878" t="inlineStr">
        <is>
          <t>Prevnar 20</t>
        </is>
      </c>
      <c r="H4878" t="inlineStr">
        <is>
          <t>Retail pharmacy</t>
        </is>
      </c>
      <c r="I4878" t="inlineStr">
        <is>
          <t>Private insurer</t>
        </is>
      </c>
      <c r="J4878" t="inlineStr">
        <is>
          <t>Olivia Brown</t>
        </is>
      </c>
      <c r="K4878" s="70" t="n">
        <v>1635</v>
      </c>
      <c r="L4878" s="71" t="n">
        <v>349.64</v>
      </c>
      <c r="M4878" s="71" t="n">
        <v>571661.4</v>
      </c>
      <c r="N4878" s="71" t="n">
        <v>171498.42</v>
      </c>
      <c r="O4878" s="71" t="n">
        <v>400162.98</v>
      </c>
      <c r="P4878" s="71" t="n">
        <v>113497.83</v>
      </c>
      <c r="Q4878" s="71" t="n">
        <v>286665.15</v>
      </c>
      <c r="R4878" t="inlineStr">
        <is>
          <t>Vaccines</t>
        </is>
      </c>
      <c r="S4878" s="70" t="n">
        <v>1412</v>
      </c>
      <c r="T4878" s="71" t="n">
        <v>115108.1</v>
      </c>
      <c r="U4878" t="inlineStr">
        <is>
          <t>Low</t>
        </is>
      </c>
      <c r="V4878">
        <f>IF(AND(OR(Dashboard!$C$6="All",E4878=Dashboard!$C$6),OR(Dashboard!$F$6="All",G4878=Dashboard!$F$6),OR(Dashboard!$I$6="All",H4878=Dashboard!$I$6)),1,0)</f>
        <v/>
      </c>
    </row>
    <row r="4879">
      <c r="A4879" t="inlineStr">
        <is>
          <t>PF104870</t>
        </is>
      </c>
      <c r="B4879" s="68" t="n">
        <v>46245</v>
      </c>
      <c r="C4879" s="69" t="n">
        <v>2026</v>
      </c>
      <c r="D4879" t="inlineStr">
        <is>
          <t>Aug</t>
        </is>
      </c>
      <c r="E4879" t="inlineStr">
        <is>
          <t>Europe</t>
        </is>
      </c>
      <c r="F4879" t="inlineStr">
        <is>
          <t>Spain</t>
        </is>
      </c>
      <c r="G4879" t="inlineStr">
        <is>
          <t>Xeljanz</t>
        </is>
      </c>
      <c r="H4879" t="inlineStr">
        <is>
          <t>Hospital</t>
        </is>
      </c>
      <c r="I4879" t="inlineStr">
        <is>
          <t>Public payer</t>
        </is>
      </c>
      <c r="J4879" t="inlineStr">
        <is>
          <t>Arjun Mehta</t>
        </is>
      </c>
      <c r="K4879" s="70" t="n">
        <v>154</v>
      </c>
      <c r="L4879" s="71" t="n">
        <v>1379.35</v>
      </c>
      <c r="M4879" s="71" t="n">
        <v>212419.9</v>
      </c>
      <c r="N4879" s="71" t="n">
        <v>53104.97</v>
      </c>
      <c r="O4879" s="71" t="n">
        <v>159314.93</v>
      </c>
      <c r="P4879" s="71" t="n">
        <v>38067.6</v>
      </c>
      <c r="Q4879" s="71" t="n">
        <v>121247.33</v>
      </c>
      <c r="R4879" t="inlineStr">
        <is>
          <t>Inflammation</t>
        </is>
      </c>
      <c r="S4879" s="70" t="n">
        <v>153</v>
      </c>
      <c r="T4879" s="71" t="n">
        <v>39926.17</v>
      </c>
      <c r="U4879" t="inlineStr">
        <is>
          <t>High</t>
        </is>
      </c>
      <c r="V4879">
        <f>IF(AND(OR(Dashboard!$C$6="All",E4879=Dashboard!$C$6),OR(Dashboard!$F$6="All",G4879=Dashboard!$F$6),OR(Dashboard!$I$6="All",H4879=Dashboard!$I$6)),1,0)</f>
        <v/>
      </c>
    </row>
    <row r="4880">
      <c r="A4880" t="inlineStr">
        <is>
          <t>PF104871</t>
        </is>
      </c>
      <c r="B4880" s="68" t="n">
        <v>46245</v>
      </c>
      <c r="C4880" s="69" t="n">
        <v>2026</v>
      </c>
      <c r="D4880" t="inlineStr">
        <is>
          <t>Aug</t>
        </is>
      </c>
      <c r="E4880" t="inlineStr">
        <is>
          <t>International developed</t>
        </is>
      </c>
      <c r="F4880" t="inlineStr">
        <is>
          <t>Japan</t>
        </is>
      </c>
      <c r="G4880" t="inlineStr">
        <is>
          <t>Xeljanz</t>
        </is>
      </c>
      <c r="H4880" t="inlineStr">
        <is>
          <t>Retail pharmacy</t>
        </is>
      </c>
      <c r="I4880" t="inlineStr">
        <is>
          <t>Private insurer</t>
        </is>
      </c>
      <c r="J4880" t="inlineStr">
        <is>
          <t>Lucas Martin</t>
        </is>
      </c>
      <c r="K4880" s="70" t="n">
        <v>836</v>
      </c>
      <c r="L4880" s="71" t="n">
        <v>1393.39</v>
      </c>
      <c r="M4880" s="71" t="n">
        <v>1164874.04</v>
      </c>
      <c r="N4880" s="71" t="n">
        <v>291218.51</v>
      </c>
      <c r="O4880" s="71" t="n">
        <v>873655.53</v>
      </c>
      <c r="P4880" s="71" t="n">
        <v>215082.58</v>
      </c>
      <c r="Q4880" s="71" t="n">
        <v>658572.95</v>
      </c>
      <c r="R4880" t="inlineStr">
        <is>
          <t>Inflammation</t>
        </is>
      </c>
      <c r="S4880" s="70" t="n">
        <v>541</v>
      </c>
      <c r="T4880" s="71" t="n">
        <v>166939.49</v>
      </c>
      <c r="U4880" t="inlineStr">
        <is>
          <t>High</t>
        </is>
      </c>
      <c r="V4880">
        <f>IF(AND(OR(Dashboard!$C$6="All",E4880=Dashboard!$C$6),OR(Dashboard!$F$6="All",G4880=Dashboard!$F$6),OR(Dashboard!$I$6="All",H4880=Dashboard!$I$6)),1,0)</f>
        <v/>
      </c>
    </row>
    <row r="4881">
      <c r="A4881" t="inlineStr">
        <is>
          <t>PF104872</t>
        </is>
      </c>
      <c r="B4881" s="68" t="n">
        <v>46246</v>
      </c>
      <c r="C4881" s="69" t="n">
        <v>2026</v>
      </c>
      <c r="D4881" t="inlineStr">
        <is>
          <t>Aug</t>
        </is>
      </c>
      <c r="E4881" t="inlineStr">
        <is>
          <t>United States</t>
        </is>
      </c>
      <c r="F4881" t="inlineStr">
        <is>
          <t>USA</t>
        </is>
      </c>
      <c r="G4881" t="inlineStr">
        <is>
          <t>Abrysvo</t>
        </is>
      </c>
      <c r="H4881" t="inlineStr">
        <is>
          <t>Retail pharmacy</t>
        </is>
      </c>
      <c r="I4881" t="inlineStr">
        <is>
          <t>Public payer</t>
        </is>
      </c>
      <c r="J4881" t="inlineStr">
        <is>
          <t>Hiroshi Tanaka</t>
        </is>
      </c>
      <c r="K4881" s="70" t="n">
        <v>3339</v>
      </c>
      <c r="L4881" s="71" t="n">
        <v>556.9</v>
      </c>
      <c r="M4881" s="71" t="n">
        <v>1859489.1</v>
      </c>
      <c r="N4881" s="71" t="n">
        <v>278923.37</v>
      </c>
      <c r="O4881" s="71" t="n">
        <v>1580565.73</v>
      </c>
      <c r="P4881" s="71" t="n">
        <v>289398.99</v>
      </c>
      <c r="Q4881" s="71" t="n">
        <v>1291166.74</v>
      </c>
      <c r="R4881" t="inlineStr">
        <is>
          <t>Vaccines</t>
        </is>
      </c>
      <c r="S4881" s="70" t="n">
        <v>2562</v>
      </c>
      <c r="T4881" s="71" t="n">
        <v>280699.5</v>
      </c>
      <c r="U4881" t="inlineStr">
        <is>
          <t>Low</t>
        </is>
      </c>
      <c r="V4881">
        <f>IF(AND(OR(Dashboard!$C$6="All",E4881=Dashboard!$C$6),OR(Dashboard!$F$6="All",G4881=Dashboard!$F$6),OR(Dashboard!$I$6="All",H4881=Dashboard!$I$6)),1,0)</f>
        <v/>
      </c>
    </row>
    <row r="4882">
      <c r="A4882" t="inlineStr">
        <is>
          <t>PF104873</t>
        </is>
      </c>
      <c r="B4882" s="68" t="n">
        <v>46246</v>
      </c>
      <c r="C4882" s="69" t="n">
        <v>2026</v>
      </c>
      <c r="D4882" t="inlineStr">
        <is>
          <t>Aug</t>
        </is>
      </c>
      <c r="E4882" t="inlineStr">
        <is>
          <t>Europe</t>
        </is>
      </c>
      <c r="F4882" t="inlineStr">
        <is>
          <t>France</t>
        </is>
      </c>
      <c r="G4882" t="inlineStr">
        <is>
          <t>Ibrance</t>
        </is>
      </c>
      <c r="H4882" t="inlineStr">
        <is>
          <t>Hospital</t>
        </is>
      </c>
      <c r="I4882" t="inlineStr">
        <is>
          <t>Private insurer</t>
        </is>
      </c>
      <c r="J4882" t="inlineStr">
        <is>
          <t>Sara Rossi</t>
        </is>
      </c>
      <c r="K4882" s="70" t="n">
        <v>1038</v>
      </c>
      <c r="L4882" s="71" t="n">
        <v>2833.12</v>
      </c>
      <c r="M4882" s="71" t="n">
        <v>2940778.56</v>
      </c>
      <c r="N4882" s="71" t="n">
        <v>147038.93</v>
      </c>
      <c r="O4882" s="71" t="n">
        <v>2793739.63</v>
      </c>
      <c r="P4882" s="71" t="n">
        <v>467415.4</v>
      </c>
      <c r="Q4882" s="71" t="n">
        <v>2326324.23</v>
      </c>
      <c r="R4882" t="inlineStr">
        <is>
          <t>Oncology</t>
        </is>
      </c>
      <c r="S4882" s="70" t="n">
        <v>930</v>
      </c>
      <c r="T4882" s="71" t="n">
        <v>493028.95</v>
      </c>
      <c r="U4882" t="inlineStr">
        <is>
          <t>High</t>
        </is>
      </c>
      <c r="V4882">
        <f>IF(AND(OR(Dashboard!$C$6="All",E4882=Dashboard!$C$6),OR(Dashboard!$F$6="All",G4882=Dashboard!$F$6),OR(Dashboard!$I$6="All",H4882=Dashboard!$I$6)),1,0)</f>
        <v/>
      </c>
    </row>
    <row r="4883">
      <c r="A4883" t="inlineStr">
        <is>
          <t>PF104874</t>
        </is>
      </c>
      <c r="B4883" s="68" t="n">
        <v>46246</v>
      </c>
      <c r="C4883" s="69" t="n">
        <v>2026</v>
      </c>
      <c r="D4883" t="inlineStr">
        <is>
          <t>Aug</t>
        </is>
      </c>
      <c r="E4883" t="inlineStr">
        <is>
          <t>Europe</t>
        </is>
      </c>
      <c r="F4883" t="inlineStr">
        <is>
          <t>Italy</t>
        </is>
      </c>
      <c r="G4883" t="inlineStr">
        <is>
          <t>Eliquis</t>
        </is>
      </c>
      <c r="H4883" t="inlineStr">
        <is>
          <t>Retail pharmacy</t>
        </is>
      </c>
      <c r="I4883" t="inlineStr">
        <is>
          <t>Private insurer</t>
        </is>
      </c>
      <c r="J4883" t="inlineStr">
        <is>
          <t>Emma Clarke</t>
        </is>
      </c>
      <c r="K4883" s="70" t="n">
        <v>409</v>
      </c>
      <c r="L4883" s="71" t="n">
        <v>391.7</v>
      </c>
      <c r="M4883" s="71" t="n">
        <v>160205.3</v>
      </c>
      <c r="N4883" s="71" t="n">
        <v>40051.32</v>
      </c>
      <c r="O4883" s="71" t="n">
        <v>120153.98</v>
      </c>
      <c r="P4883" s="71" t="n">
        <v>29816.84</v>
      </c>
      <c r="Q4883" s="71" t="n">
        <v>90337.14</v>
      </c>
      <c r="R4883" t="inlineStr">
        <is>
          <t>Cardiology</t>
        </is>
      </c>
      <c r="S4883" s="70" t="n">
        <v>320</v>
      </c>
      <c r="T4883" s="71" t="n">
        <v>18726.32</v>
      </c>
      <c r="U4883" t="inlineStr">
        <is>
          <t>High</t>
        </is>
      </c>
      <c r="V4883">
        <f>IF(AND(OR(Dashboard!$C$6="All",E4883=Dashboard!$C$6),OR(Dashboard!$F$6="All",G4883=Dashboard!$F$6),OR(Dashboard!$I$6="All",H4883=Dashboard!$I$6)),1,0)</f>
        <v/>
      </c>
    </row>
    <row r="4884">
      <c r="A4884" t="inlineStr">
        <is>
          <t>PF104875</t>
        </is>
      </c>
      <c r="B4884" s="68" t="n">
        <v>46246</v>
      </c>
      <c r="C4884" s="69" t="n">
        <v>2026</v>
      </c>
      <c r="D4884" t="inlineStr">
        <is>
          <t>Aug</t>
        </is>
      </c>
      <c r="E4884" t="inlineStr">
        <is>
          <t>International developed</t>
        </is>
      </c>
      <c r="F4884" t="inlineStr">
        <is>
          <t>Australia</t>
        </is>
      </c>
      <c r="G4884" t="inlineStr">
        <is>
          <t>Abrysvo</t>
        </is>
      </c>
      <c r="H4884" t="inlineStr">
        <is>
          <t>Hospital</t>
        </is>
      </c>
      <c r="I4884" t="inlineStr">
        <is>
          <t>Private insurer</t>
        </is>
      </c>
      <c r="J4884" t="inlineStr">
        <is>
          <t>Lucas Martin</t>
        </is>
      </c>
      <c r="K4884" s="70" t="n">
        <v>2701</v>
      </c>
      <c r="L4884" s="71" t="n">
        <v>315.2</v>
      </c>
      <c r="M4884" s="71" t="n">
        <v>851355.2</v>
      </c>
      <c r="N4884" s="71" t="n">
        <v>212838.8</v>
      </c>
      <c r="O4884" s="71" t="n">
        <v>638516.4</v>
      </c>
      <c r="P4884" s="71" t="n">
        <v>227456.84</v>
      </c>
      <c r="Q4884" s="71" t="n">
        <v>411059.56</v>
      </c>
      <c r="R4884" t="inlineStr">
        <is>
          <t>Vaccines</t>
        </is>
      </c>
      <c r="S4884" s="70" t="n">
        <v>2632</v>
      </c>
      <c r="T4884" s="71" t="n">
        <v>145039.23</v>
      </c>
      <c r="U4884" t="inlineStr">
        <is>
          <t>Low</t>
        </is>
      </c>
      <c r="V4884">
        <f>IF(AND(OR(Dashboard!$C$6="All",E4884=Dashboard!$C$6),OR(Dashboard!$F$6="All",G4884=Dashboard!$F$6),OR(Dashboard!$I$6="All",H4884=Dashboard!$I$6)),1,0)</f>
        <v/>
      </c>
    </row>
    <row r="4885">
      <c r="A4885" t="inlineStr">
        <is>
          <t>PF104876</t>
        </is>
      </c>
      <c r="B4885" s="68" t="n">
        <v>46246</v>
      </c>
      <c r="C4885" s="69" t="n">
        <v>2026</v>
      </c>
      <c r="D4885" t="inlineStr">
        <is>
          <t>Aug</t>
        </is>
      </c>
      <c r="E4885" t="inlineStr">
        <is>
          <t>United States</t>
        </is>
      </c>
      <c r="F4885" t="inlineStr">
        <is>
          <t>USA</t>
        </is>
      </c>
      <c r="G4885" t="inlineStr">
        <is>
          <t>Abrysvo</t>
        </is>
      </c>
      <c r="H4885" t="inlineStr">
        <is>
          <t>Hospital</t>
        </is>
      </c>
      <c r="I4885" t="inlineStr">
        <is>
          <t>Private insurer</t>
        </is>
      </c>
      <c r="J4885" t="inlineStr">
        <is>
          <t>Lucas Martin</t>
        </is>
      </c>
      <c r="K4885" s="70" t="n">
        <v>2661</v>
      </c>
      <c r="L4885" s="71" t="n">
        <v>467.31</v>
      </c>
      <c r="M4885" s="71" t="n">
        <v>1243511.91</v>
      </c>
      <c r="N4885" s="71" t="n">
        <v>248702.38</v>
      </c>
      <c r="O4885" s="71" t="n">
        <v>994809.53</v>
      </c>
      <c r="P4885" s="71" t="n">
        <v>216712.93</v>
      </c>
      <c r="Q4885" s="71" t="n">
        <v>778096.6</v>
      </c>
      <c r="R4885" t="inlineStr">
        <is>
          <t>Vaccines</t>
        </is>
      </c>
      <c r="S4885" s="70" t="n">
        <v>2157</v>
      </c>
      <c r="T4885" s="71" t="n">
        <v>174479.17</v>
      </c>
      <c r="U4885" t="inlineStr">
        <is>
          <t>Low</t>
        </is>
      </c>
      <c r="V4885">
        <f>IF(AND(OR(Dashboard!$C$6="All",E4885=Dashboard!$C$6),OR(Dashboard!$F$6="All",G4885=Dashboard!$F$6),OR(Dashboard!$I$6="All",H4885=Dashboard!$I$6)),1,0)</f>
        <v/>
      </c>
    </row>
    <row r="4886">
      <c r="A4886" t="inlineStr">
        <is>
          <t>PF104877</t>
        </is>
      </c>
      <c r="B4886" s="68" t="n">
        <v>46246</v>
      </c>
      <c r="C4886" s="69" t="n">
        <v>2026</v>
      </c>
      <c r="D4886" t="inlineStr">
        <is>
          <t>Aug</t>
        </is>
      </c>
      <c r="E4886" t="inlineStr">
        <is>
          <t>Emerging markets</t>
        </is>
      </c>
      <c r="F4886" t="inlineStr">
        <is>
          <t>Mexico</t>
        </is>
      </c>
      <c r="G4886" t="inlineStr">
        <is>
          <t>Xeljanz</t>
        </is>
      </c>
      <c r="H4886" t="inlineStr">
        <is>
          <t>Government / tender</t>
        </is>
      </c>
      <c r="I4886" t="inlineStr">
        <is>
          <t>Self-pay</t>
        </is>
      </c>
      <c r="J4886" t="inlineStr">
        <is>
          <t>Amir Khan</t>
        </is>
      </c>
      <c r="K4886" s="70" t="n">
        <v>2679</v>
      </c>
      <c r="L4886" s="71" t="n">
        <v>1433.15</v>
      </c>
      <c r="M4886" s="71" t="n">
        <v>3839408.85</v>
      </c>
      <c r="N4886" s="71" t="n">
        <v>767881.77</v>
      </c>
      <c r="O4886" s="71" t="n">
        <v>3071527.08</v>
      </c>
      <c r="P4886" s="71" t="n">
        <v>686965.26</v>
      </c>
      <c r="Q4886" s="71" t="n">
        <v>2384561.82</v>
      </c>
      <c r="R4886" t="inlineStr">
        <is>
          <t>Inflammation</t>
        </is>
      </c>
      <c r="S4886" s="70" t="n">
        <v>1834</v>
      </c>
      <c r="T4886" s="71" t="n">
        <v>790284.27</v>
      </c>
      <c r="U4886" t="inlineStr">
        <is>
          <t>High</t>
        </is>
      </c>
      <c r="V4886">
        <f>IF(AND(OR(Dashboard!$C$6="All",E4886=Dashboard!$C$6),OR(Dashboard!$F$6="All",G4886=Dashboard!$F$6),OR(Dashboard!$I$6="All",H4886=Dashboard!$I$6)),1,0)</f>
        <v/>
      </c>
    </row>
    <row r="4887">
      <c r="A4887" t="inlineStr">
        <is>
          <t>PF104878</t>
        </is>
      </c>
      <c r="B4887" s="68" t="n">
        <v>46246</v>
      </c>
      <c r="C4887" s="69" t="n">
        <v>2026</v>
      </c>
      <c r="D4887" t="inlineStr">
        <is>
          <t>Aug</t>
        </is>
      </c>
      <c r="E4887" t="inlineStr">
        <is>
          <t>Europe</t>
        </is>
      </c>
      <c r="F4887" t="inlineStr">
        <is>
          <t>Spain</t>
        </is>
      </c>
      <c r="G4887" t="inlineStr">
        <is>
          <t>Comirnaty</t>
        </is>
      </c>
      <c r="H4887" t="inlineStr">
        <is>
          <t>Hospital</t>
        </is>
      </c>
      <c r="I4887" t="inlineStr">
        <is>
          <t>Public payer</t>
        </is>
      </c>
      <c r="J4887" t="inlineStr">
        <is>
          <t>Sara Rossi</t>
        </is>
      </c>
      <c r="K4887" s="70" t="n">
        <v>2421</v>
      </c>
      <c r="L4887" s="71" t="n">
        <v>88.59</v>
      </c>
      <c r="M4887" s="71" t="n">
        <v>214476.39</v>
      </c>
      <c r="N4887" s="71" t="n">
        <v>10723.82</v>
      </c>
      <c r="O4887" s="71" t="n">
        <v>203752.57</v>
      </c>
      <c r="P4887" s="71" t="n">
        <v>91342.87</v>
      </c>
      <c r="Q4887" s="71" t="n">
        <v>112409.7</v>
      </c>
      <c r="R4887" t="inlineStr">
        <is>
          <t>Vaccines</t>
        </is>
      </c>
      <c r="S4887" s="70" t="n">
        <v>2305</v>
      </c>
      <c r="T4887" s="71" t="n">
        <v>35606.03</v>
      </c>
      <c r="U4887" t="inlineStr">
        <is>
          <t>Low</t>
        </is>
      </c>
      <c r="V4887">
        <f>IF(AND(OR(Dashboard!$C$6="All",E4887=Dashboard!$C$6),OR(Dashboard!$F$6="All",G4887=Dashboard!$F$6),OR(Dashboard!$I$6="All",H4887=Dashboard!$I$6)),1,0)</f>
        <v/>
      </c>
    </row>
    <row r="4888">
      <c r="A4888" t="inlineStr">
        <is>
          <t>PF104879</t>
        </is>
      </c>
      <c r="B4888" s="68" t="n">
        <v>46247</v>
      </c>
      <c r="C4888" s="69" t="n">
        <v>2026</v>
      </c>
      <c r="D4888" t="inlineStr">
        <is>
          <t>Aug</t>
        </is>
      </c>
      <c r="E4888" t="inlineStr">
        <is>
          <t>International developed</t>
        </is>
      </c>
      <c r="F4888" t="inlineStr">
        <is>
          <t>Japan</t>
        </is>
      </c>
      <c r="G4888" t="inlineStr">
        <is>
          <t>Vyndaqel</t>
        </is>
      </c>
      <c r="H4888" t="inlineStr">
        <is>
          <t>Retail pharmacy</t>
        </is>
      </c>
      <c r="I4888" t="inlineStr">
        <is>
          <t>Public payer</t>
        </is>
      </c>
      <c r="J4888" t="inlineStr">
        <is>
          <t>Carlos Silva</t>
        </is>
      </c>
      <c r="K4888" s="70" t="n">
        <v>2486</v>
      </c>
      <c r="L4888" s="71" t="n">
        <v>5618.76</v>
      </c>
      <c r="M4888" s="71" t="n">
        <v>13968237.36</v>
      </c>
      <c r="N4888" s="71" t="n">
        <v>3492059.34</v>
      </c>
      <c r="O4888" s="71" t="n">
        <v>10476178.02</v>
      </c>
      <c r="P4888" s="71" t="n">
        <v>1589015.4</v>
      </c>
      <c r="Q4888" s="71" t="n">
        <v>8887162.619999999</v>
      </c>
      <c r="R4888" t="inlineStr">
        <is>
          <t>Rare disease</t>
        </is>
      </c>
      <c r="S4888" s="70" t="n">
        <v>1958</v>
      </c>
      <c r="T4888" s="71" t="n">
        <v>2200008.65</v>
      </c>
      <c r="U4888" t="inlineStr">
        <is>
          <t>Medium</t>
        </is>
      </c>
      <c r="V4888">
        <f>IF(AND(OR(Dashboard!$C$6="All",E4888=Dashboard!$C$6),OR(Dashboard!$F$6="All",G4888=Dashboard!$F$6),OR(Dashboard!$I$6="All",H4888=Dashboard!$I$6)),1,0)</f>
        <v/>
      </c>
    </row>
    <row r="4889">
      <c r="A4889" t="inlineStr">
        <is>
          <t>PF104880</t>
        </is>
      </c>
      <c r="B4889" s="68" t="n">
        <v>46247</v>
      </c>
      <c r="C4889" s="69" t="n">
        <v>2026</v>
      </c>
      <c r="D4889" t="inlineStr">
        <is>
          <t>Aug</t>
        </is>
      </c>
      <c r="E4889" t="inlineStr">
        <is>
          <t>United States</t>
        </is>
      </c>
      <c r="F4889" t="inlineStr">
        <is>
          <t>USA</t>
        </is>
      </c>
      <c r="G4889" t="inlineStr">
        <is>
          <t>Comirnaty</t>
        </is>
      </c>
      <c r="H4889" t="inlineStr">
        <is>
          <t>Hospital</t>
        </is>
      </c>
      <c r="I4889" t="inlineStr">
        <is>
          <t>Private insurer</t>
        </is>
      </c>
      <c r="J4889" t="inlineStr">
        <is>
          <t>Kofi Mensah</t>
        </is>
      </c>
      <c r="K4889" s="70" t="n">
        <v>2058</v>
      </c>
      <c r="L4889" s="71" t="n">
        <v>129.54</v>
      </c>
      <c r="M4889" s="71" t="n">
        <v>266593.32</v>
      </c>
      <c r="N4889" s="71" t="n">
        <v>79978</v>
      </c>
      <c r="O4889" s="71" t="n">
        <v>186615.32</v>
      </c>
      <c r="P4889" s="71" t="n">
        <v>79629.63</v>
      </c>
      <c r="Q4889" s="71" t="n">
        <v>106985.69</v>
      </c>
      <c r="R4889" t="inlineStr">
        <is>
          <t>Vaccines</t>
        </is>
      </c>
      <c r="S4889" s="70" t="n">
        <v>1531</v>
      </c>
      <c r="T4889" s="71" t="n">
        <v>71500.53</v>
      </c>
      <c r="U4889" t="inlineStr">
        <is>
          <t>Low</t>
        </is>
      </c>
      <c r="V4889">
        <f>IF(AND(OR(Dashboard!$C$6="All",E4889=Dashboard!$C$6),OR(Dashboard!$F$6="All",G4889=Dashboard!$F$6),OR(Dashboard!$I$6="All",H4889=Dashboard!$I$6)),1,0)</f>
        <v/>
      </c>
    </row>
    <row r="4890">
      <c r="A4890" t="inlineStr">
        <is>
          <t>PF104881</t>
        </is>
      </c>
      <c r="B4890" s="68" t="n">
        <v>46247</v>
      </c>
      <c r="C4890" s="69" t="n">
        <v>2026</v>
      </c>
      <c r="D4890" t="inlineStr">
        <is>
          <t>Aug</t>
        </is>
      </c>
      <c r="E4890" t="inlineStr">
        <is>
          <t>Europe</t>
        </is>
      </c>
      <c r="F4890" t="inlineStr">
        <is>
          <t>Italy</t>
        </is>
      </c>
      <c r="G4890" t="inlineStr">
        <is>
          <t>Prevnar 20</t>
        </is>
      </c>
      <c r="H4890" t="inlineStr">
        <is>
          <t>Government / tender</t>
        </is>
      </c>
      <c r="I4890" t="inlineStr">
        <is>
          <t>Private insurer</t>
        </is>
      </c>
      <c r="J4890" t="inlineStr">
        <is>
          <t>Ruhi Shaikh</t>
        </is>
      </c>
      <c r="K4890" s="70" t="n">
        <v>1291</v>
      </c>
      <c r="L4890" s="71" t="n">
        <v>237.49</v>
      </c>
      <c r="M4890" s="71" t="n">
        <v>306599.59</v>
      </c>
      <c r="N4890" s="71" t="n">
        <v>45989.94</v>
      </c>
      <c r="O4890" s="71" t="n">
        <v>260609.65</v>
      </c>
      <c r="P4890" s="71" t="n">
        <v>88044.60000000001</v>
      </c>
      <c r="Q4890" s="71" t="n">
        <v>172565.05</v>
      </c>
      <c r="R4890" t="inlineStr">
        <is>
          <t>Vaccines</t>
        </is>
      </c>
      <c r="S4890" s="70" t="n">
        <v>865</v>
      </c>
      <c r="T4890" s="71" t="n">
        <v>43569.02</v>
      </c>
      <c r="U4890" t="inlineStr">
        <is>
          <t>Low</t>
        </is>
      </c>
      <c r="V4890">
        <f>IF(AND(OR(Dashboard!$C$6="All",E4890=Dashboard!$C$6),OR(Dashboard!$F$6="All",G4890=Dashboard!$F$6),OR(Dashboard!$I$6="All",H4890=Dashboard!$I$6)),1,0)</f>
        <v/>
      </c>
    </row>
    <row r="4891">
      <c r="A4891" t="inlineStr">
        <is>
          <t>PF104882</t>
        </is>
      </c>
      <c r="B4891" s="68" t="n">
        <v>46247</v>
      </c>
      <c r="C4891" s="69" t="n">
        <v>2026</v>
      </c>
      <c r="D4891" t="inlineStr">
        <is>
          <t>Aug</t>
        </is>
      </c>
      <c r="E4891" t="inlineStr">
        <is>
          <t>Europe</t>
        </is>
      </c>
      <c r="F4891" t="inlineStr">
        <is>
          <t>Spain</t>
        </is>
      </c>
      <c r="G4891" t="inlineStr">
        <is>
          <t>Vyndaqel</t>
        </is>
      </c>
      <c r="H4891" t="inlineStr">
        <is>
          <t>Retail pharmacy</t>
        </is>
      </c>
      <c r="I4891" t="inlineStr">
        <is>
          <t>Private insurer</t>
        </is>
      </c>
      <c r="J4891" t="inlineStr">
        <is>
          <t>Shraddha Kulkarni</t>
        </is>
      </c>
      <c r="K4891" s="70" t="n">
        <v>2663</v>
      </c>
      <c r="L4891" s="71" t="n">
        <v>6213.88</v>
      </c>
      <c r="M4891" s="71" t="n">
        <v>16547562.44</v>
      </c>
      <c r="N4891" s="71" t="n">
        <v>2482134.37</v>
      </c>
      <c r="O4891" s="71" t="n">
        <v>14065428.07</v>
      </c>
      <c r="P4891" s="71" t="n">
        <v>1700586.08</v>
      </c>
      <c r="Q4891" s="71" t="n">
        <v>12364841.99</v>
      </c>
      <c r="R4891" t="inlineStr">
        <is>
          <t>Rare disease</t>
        </is>
      </c>
      <c r="S4891" s="70" t="n">
        <v>2027</v>
      </c>
      <c r="T4891" s="71" t="n">
        <v>2850012.1</v>
      </c>
      <c r="U4891" t="inlineStr">
        <is>
          <t>Medium</t>
        </is>
      </c>
      <c r="V4891">
        <f>IF(AND(OR(Dashboard!$C$6="All",E4891=Dashboard!$C$6),OR(Dashboard!$F$6="All",G4891=Dashboard!$F$6),OR(Dashboard!$I$6="All",H4891=Dashboard!$I$6)),1,0)</f>
        <v/>
      </c>
    </row>
    <row r="4892">
      <c r="A4892" t="inlineStr">
        <is>
          <t>PF104883</t>
        </is>
      </c>
      <c r="B4892" s="68" t="n">
        <v>46247</v>
      </c>
      <c r="C4892" s="69" t="n">
        <v>2026</v>
      </c>
      <c r="D4892" t="inlineStr">
        <is>
          <t>Aug</t>
        </is>
      </c>
      <c r="E4892" t="inlineStr">
        <is>
          <t>International developed</t>
        </is>
      </c>
      <c r="F4892" t="inlineStr">
        <is>
          <t>Canada</t>
        </is>
      </c>
      <c r="G4892" t="inlineStr">
        <is>
          <t>Comirnaty</t>
        </is>
      </c>
      <c r="H4892" t="inlineStr">
        <is>
          <t>Hospital</t>
        </is>
      </c>
      <c r="I4892" t="inlineStr">
        <is>
          <t>Private insurer</t>
        </is>
      </c>
      <c r="J4892" t="inlineStr">
        <is>
          <t>Zoya Ahmed</t>
        </is>
      </c>
      <c r="K4892" s="70" t="n">
        <v>1514</v>
      </c>
      <c r="L4892" s="71" t="n">
        <v>81.92</v>
      </c>
      <c r="M4892" s="71" t="n">
        <v>124026.88</v>
      </c>
      <c r="N4892" s="71" t="n">
        <v>6201.34</v>
      </c>
      <c r="O4892" s="71" t="n">
        <v>117825.54</v>
      </c>
      <c r="P4892" s="71" t="n">
        <v>58086.23</v>
      </c>
      <c r="Q4892" s="71" t="n">
        <v>59739.31</v>
      </c>
      <c r="R4892" t="inlineStr">
        <is>
          <t>Vaccines</t>
        </is>
      </c>
      <c r="S4892" s="70" t="n">
        <v>1101</v>
      </c>
      <c r="T4892" s="71" t="n">
        <v>32121.54</v>
      </c>
      <c r="U4892" t="inlineStr">
        <is>
          <t>Low</t>
        </is>
      </c>
      <c r="V4892">
        <f>IF(AND(OR(Dashboard!$C$6="All",E4892=Dashboard!$C$6),OR(Dashboard!$F$6="All",G4892=Dashboard!$F$6),OR(Dashboard!$I$6="All",H4892=Dashboard!$I$6)),1,0)</f>
        <v/>
      </c>
    </row>
    <row r="4893">
      <c r="A4893" t="inlineStr">
        <is>
          <t>PF104884</t>
        </is>
      </c>
      <c r="B4893" s="68" t="n">
        <v>46247</v>
      </c>
      <c r="C4893" s="69" t="n">
        <v>2026</v>
      </c>
      <c r="D4893" t="inlineStr">
        <is>
          <t>Aug</t>
        </is>
      </c>
      <c r="E4893" t="inlineStr">
        <is>
          <t>Emerging markets</t>
        </is>
      </c>
      <c r="F4893" t="inlineStr">
        <is>
          <t>Brazil</t>
        </is>
      </c>
      <c r="G4893" t="inlineStr">
        <is>
          <t>Eliquis</t>
        </is>
      </c>
      <c r="H4893" t="inlineStr">
        <is>
          <t>Retail pharmacy</t>
        </is>
      </c>
      <c r="I4893" t="inlineStr">
        <is>
          <t>Private insurer</t>
        </is>
      </c>
      <c r="J4893" t="inlineStr">
        <is>
          <t>Sophie Müller</t>
        </is>
      </c>
      <c r="K4893" s="70" t="n">
        <v>2025</v>
      </c>
      <c r="L4893" s="71" t="n">
        <v>470.77</v>
      </c>
      <c r="M4893" s="71" t="n">
        <v>953309.25</v>
      </c>
      <c r="N4893" s="71" t="n">
        <v>95330.92999999999</v>
      </c>
      <c r="O4893" s="71" t="n">
        <v>857978.3199999999</v>
      </c>
      <c r="P4893" s="71" t="n">
        <v>151884.03</v>
      </c>
      <c r="Q4893" s="71" t="n">
        <v>706094.29</v>
      </c>
      <c r="R4893" t="inlineStr">
        <is>
          <t>Cardiology</t>
        </is>
      </c>
      <c r="S4893" s="70" t="n">
        <v>1377</v>
      </c>
      <c r="T4893" s="71" t="n">
        <v>167450.73</v>
      </c>
      <c r="U4893" t="inlineStr">
        <is>
          <t>High</t>
        </is>
      </c>
      <c r="V4893">
        <f>IF(AND(OR(Dashboard!$C$6="All",E4893=Dashboard!$C$6),OR(Dashboard!$F$6="All",G4893=Dashboard!$F$6),OR(Dashboard!$I$6="All",H4893=Dashboard!$I$6)),1,0)</f>
        <v/>
      </c>
    </row>
    <row r="4894">
      <c r="A4894" t="inlineStr">
        <is>
          <t>PF104885</t>
        </is>
      </c>
      <c r="B4894" s="68" t="n">
        <v>46247</v>
      </c>
      <c r="C4894" s="69" t="n">
        <v>2026</v>
      </c>
      <c r="D4894" t="inlineStr">
        <is>
          <t>Aug</t>
        </is>
      </c>
      <c r="E4894" t="inlineStr">
        <is>
          <t>United States</t>
        </is>
      </c>
      <c r="F4894" t="inlineStr">
        <is>
          <t>USA</t>
        </is>
      </c>
      <c r="G4894" t="inlineStr">
        <is>
          <t>Prevnar 20</t>
        </is>
      </c>
      <c r="H4894" t="inlineStr">
        <is>
          <t>Government / tender</t>
        </is>
      </c>
      <c r="I4894" t="inlineStr">
        <is>
          <t>Public payer</t>
        </is>
      </c>
      <c r="J4894" t="inlineStr">
        <is>
          <t>Ravindra Patil</t>
        </is>
      </c>
      <c r="K4894" s="70" t="n">
        <v>3104</v>
      </c>
      <c r="L4894" s="71" t="n">
        <v>371.15</v>
      </c>
      <c r="M4894" s="71" t="n">
        <v>1152049.6</v>
      </c>
      <c r="N4894" s="71" t="n">
        <v>403217.36</v>
      </c>
      <c r="O4894" s="71" t="n">
        <v>748832.24</v>
      </c>
      <c r="P4894" s="71" t="n">
        <v>212896.71</v>
      </c>
      <c r="Q4894" s="71" t="n">
        <v>535935.53</v>
      </c>
      <c r="R4894" t="inlineStr">
        <is>
          <t>Vaccines</t>
        </is>
      </c>
      <c r="S4894" s="70" t="n">
        <v>2327</v>
      </c>
      <c r="T4894" s="71" t="n">
        <v>168195.61</v>
      </c>
      <c r="U4894" t="inlineStr">
        <is>
          <t>Low</t>
        </is>
      </c>
      <c r="V4894">
        <f>IF(AND(OR(Dashboard!$C$6="All",E4894=Dashboard!$C$6),OR(Dashboard!$F$6="All",G4894=Dashboard!$F$6),OR(Dashboard!$I$6="All",H4894=Dashboard!$I$6)),1,0)</f>
        <v/>
      </c>
    </row>
    <row r="4895">
      <c r="A4895" t="inlineStr">
        <is>
          <t>PF104886</t>
        </is>
      </c>
      <c r="B4895" s="68" t="n">
        <v>46248</v>
      </c>
      <c r="C4895" s="69" t="n">
        <v>2026</v>
      </c>
      <c r="D4895" t="inlineStr">
        <is>
          <t>Aug</t>
        </is>
      </c>
      <c r="E4895" t="inlineStr">
        <is>
          <t>Emerging markets</t>
        </is>
      </c>
      <c r="F4895" t="inlineStr">
        <is>
          <t>India</t>
        </is>
      </c>
      <c r="G4895" t="inlineStr">
        <is>
          <t>Eliquis</t>
        </is>
      </c>
      <c r="H4895" t="inlineStr">
        <is>
          <t>Retail pharmacy</t>
        </is>
      </c>
      <c r="I4895" t="inlineStr">
        <is>
          <t>Public payer</t>
        </is>
      </c>
      <c r="J4895" t="inlineStr">
        <is>
          <t>Mei Lin</t>
        </is>
      </c>
      <c r="K4895" s="70" t="n">
        <v>551</v>
      </c>
      <c r="L4895" s="71" t="n">
        <v>451.11</v>
      </c>
      <c r="M4895" s="71" t="n">
        <v>248561.61</v>
      </c>
      <c r="N4895" s="71" t="n">
        <v>12428.08</v>
      </c>
      <c r="O4895" s="71" t="n">
        <v>236133.53</v>
      </c>
      <c r="P4895" s="71" t="n">
        <v>40455.79</v>
      </c>
      <c r="Q4895" s="71" t="n">
        <v>195677.74</v>
      </c>
      <c r="R4895" t="inlineStr">
        <is>
          <t>Cardiology</t>
        </is>
      </c>
      <c r="S4895" s="70" t="n">
        <v>346</v>
      </c>
      <c r="T4895" s="71" t="n">
        <v>36418.06</v>
      </c>
      <c r="U4895" t="inlineStr">
        <is>
          <t>High</t>
        </is>
      </c>
      <c r="V4895">
        <f>IF(AND(OR(Dashboard!$C$6="All",E4895=Dashboard!$C$6),OR(Dashboard!$F$6="All",G4895=Dashboard!$F$6),OR(Dashboard!$I$6="All",H4895=Dashboard!$I$6)),1,0)</f>
        <v/>
      </c>
    </row>
    <row r="4896">
      <c r="A4896" t="inlineStr">
        <is>
          <t>PF104887</t>
        </is>
      </c>
      <c r="B4896" s="68" t="n">
        <v>46248</v>
      </c>
      <c r="C4896" s="69" t="n">
        <v>2026</v>
      </c>
      <c r="D4896" t="inlineStr">
        <is>
          <t>Aug</t>
        </is>
      </c>
      <c r="E4896" t="inlineStr">
        <is>
          <t>International developed</t>
        </is>
      </c>
      <c r="F4896" t="inlineStr">
        <is>
          <t>Canada</t>
        </is>
      </c>
      <c r="G4896" t="inlineStr">
        <is>
          <t>Prevnar 20</t>
        </is>
      </c>
      <c r="H4896" t="inlineStr">
        <is>
          <t>Retail pharmacy</t>
        </is>
      </c>
      <c r="I4896" t="inlineStr">
        <is>
          <t>Public payer</t>
        </is>
      </c>
      <c r="J4896" t="inlineStr">
        <is>
          <t>Sara Rossi</t>
        </is>
      </c>
      <c r="K4896" s="70" t="n">
        <v>2753</v>
      </c>
      <c r="L4896" s="71" t="n">
        <v>229.68</v>
      </c>
      <c r="M4896" s="71" t="n">
        <v>632309.04</v>
      </c>
      <c r="N4896" s="71" t="n">
        <v>158077.26</v>
      </c>
      <c r="O4896" s="71" t="n">
        <v>474231.78</v>
      </c>
      <c r="P4896" s="71" t="n">
        <v>196439.92</v>
      </c>
      <c r="Q4896" s="71" t="n">
        <v>277791.86</v>
      </c>
      <c r="R4896" t="inlineStr">
        <is>
          <t>Vaccines</t>
        </is>
      </c>
      <c r="S4896" s="70" t="n">
        <v>2105</v>
      </c>
      <c r="T4896" s="71" t="n">
        <v>91777.25</v>
      </c>
      <c r="U4896" t="inlineStr">
        <is>
          <t>Low</t>
        </is>
      </c>
      <c r="V4896">
        <f>IF(AND(OR(Dashboard!$C$6="All",E4896=Dashboard!$C$6),OR(Dashboard!$F$6="All",G4896=Dashboard!$F$6),OR(Dashboard!$I$6="All",H4896=Dashboard!$I$6)),1,0)</f>
        <v/>
      </c>
    </row>
    <row r="4897">
      <c r="A4897" t="inlineStr">
        <is>
          <t>PF104888</t>
        </is>
      </c>
      <c r="B4897" s="68" t="n">
        <v>46248</v>
      </c>
      <c r="C4897" s="69" t="n">
        <v>2026</v>
      </c>
      <c r="D4897" t="inlineStr">
        <is>
          <t>Aug</t>
        </is>
      </c>
      <c r="E4897" t="inlineStr">
        <is>
          <t>Europe</t>
        </is>
      </c>
      <c r="F4897" t="inlineStr">
        <is>
          <t>France</t>
        </is>
      </c>
      <c r="G4897" t="inlineStr">
        <is>
          <t>Eliquis</t>
        </is>
      </c>
      <c r="H4897" t="inlineStr">
        <is>
          <t>Retail pharmacy</t>
        </is>
      </c>
      <c r="I4897" t="inlineStr">
        <is>
          <t>Public payer</t>
        </is>
      </c>
      <c r="J4897" t="inlineStr">
        <is>
          <t>Carlos Silva</t>
        </is>
      </c>
      <c r="K4897" s="70" t="n">
        <v>2903</v>
      </c>
      <c r="L4897" s="71" t="n">
        <v>407.68</v>
      </c>
      <c r="M4897" s="71" t="n">
        <v>1183495.04</v>
      </c>
      <c r="N4897" s="71" t="n">
        <v>236699.01</v>
      </c>
      <c r="O4897" s="71" t="n">
        <v>946796.03</v>
      </c>
      <c r="P4897" s="71" t="n">
        <v>227199.84</v>
      </c>
      <c r="Q4897" s="71" t="n">
        <v>719596.1899999999</v>
      </c>
      <c r="R4897" t="inlineStr">
        <is>
          <t>Cardiology</t>
        </is>
      </c>
      <c r="S4897" s="70" t="n">
        <v>2128</v>
      </c>
      <c r="T4897" s="71" t="n">
        <v>229908.53</v>
      </c>
      <c r="U4897" t="inlineStr">
        <is>
          <t>High</t>
        </is>
      </c>
      <c r="V4897">
        <f>IF(AND(OR(Dashboard!$C$6="All",E4897=Dashboard!$C$6),OR(Dashboard!$F$6="All",G4897=Dashboard!$F$6),OR(Dashboard!$I$6="All",H4897=Dashboard!$I$6)),1,0)</f>
        <v/>
      </c>
    </row>
    <row r="4898">
      <c r="A4898" t="inlineStr">
        <is>
          <t>PF104889</t>
        </is>
      </c>
      <c r="B4898" s="68" t="n">
        <v>46248</v>
      </c>
      <c r="C4898" s="69" t="n">
        <v>2026</v>
      </c>
      <c r="D4898" t="inlineStr">
        <is>
          <t>Aug</t>
        </is>
      </c>
      <c r="E4898" t="inlineStr">
        <is>
          <t>Emerging markets</t>
        </is>
      </c>
      <c r="F4898" t="inlineStr">
        <is>
          <t>China</t>
        </is>
      </c>
      <c r="G4898" t="inlineStr">
        <is>
          <t>Vyndaqel</t>
        </is>
      </c>
      <c r="H4898" t="inlineStr">
        <is>
          <t>Retail pharmacy</t>
        </is>
      </c>
      <c r="I4898" t="inlineStr">
        <is>
          <t>Public payer</t>
        </is>
      </c>
      <c r="J4898" t="inlineStr">
        <is>
          <t>Wei Chen</t>
        </is>
      </c>
      <c r="K4898" s="70" t="n">
        <v>2067</v>
      </c>
      <c r="L4898" s="71" t="n">
        <v>6061.05</v>
      </c>
      <c r="M4898" s="71" t="n">
        <v>12528190.35</v>
      </c>
      <c r="N4898" s="71" t="n">
        <v>1252819.03</v>
      </c>
      <c r="O4898" s="71" t="n">
        <v>11275371.32</v>
      </c>
      <c r="P4898" s="71" t="n">
        <v>1279544.51</v>
      </c>
      <c r="Q4898" s="71" t="n">
        <v>9995826.810000001</v>
      </c>
      <c r="R4898" t="inlineStr">
        <is>
          <t>Rare disease</t>
        </is>
      </c>
      <c r="S4898" s="70" t="n">
        <v>1353</v>
      </c>
      <c r="T4898" s="71" t="n">
        <v>1683681.63</v>
      </c>
      <c r="U4898" t="inlineStr">
        <is>
          <t>Medium</t>
        </is>
      </c>
      <c r="V4898">
        <f>IF(AND(OR(Dashboard!$C$6="All",E4898=Dashboard!$C$6),OR(Dashboard!$F$6="All",G4898=Dashboard!$F$6),OR(Dashboard!$I$6="All",H4898=Dashboard!$I$6)),1,0)</f>
        <v/>
      </c>
    </row>
    <row r="4899">
      <c r="A4899" t="inlineStr">
        <is>
          <t>PF104890</t>
        </is>
      </c>
      <c r="B4899" s="68" t="n">
        <v>46248</v>
      </c>
      <c r="C4899" s="69" t="n">
        <v>2026</v>
      </c>
      <c r="D4899" t="inlineStr">
        <is>
          <t>Aug</t>
        </is>
      </c>
      <c r="E4899" t="inlineStr">
        <is>
          <t>United States</t>
        </is>
      </c>
      <c r="F4899" t="inlineStr">
        <is>
          <t>USA</t>
        </is>
      </c>
      <c r="G4899" t="inlineStr">
        <is>
          <t>Eliquis</t>
        </is>
      </c>
      <c r="H4899" t="inlineStr">
        <is>
          <t>Government / tender</t>
        </is>
      </c>
      <c r="I4899" t="inlineStr">
        <is>
          <t>Public payer</t>
        </is>
      </c>
      <c r="J4899" t="inlineStr">
        <is>
          <t>Omar Haddad</t>
        </is>
      </c>
      <c r="K4899" s="70" t="n">
        <v>2764</v>
      </c>
      <c r="L4899" s="71" t="n">
        <v>706.4400000000001</v>
      </c>
      <c r="M4899" s="71" t="n">
        <v>1952600.16</v>
      </c>
      <c r="N4899" s="71" t="n">
        <v>292890.02</v>
      </c>
      <c r="O4899" s="71" t="n">
        <v>1659710.14</v>
      </c>
      <c r="P4899" s="71" t="n">
        <v>211536.52</v>
      </c>
      <c r="Q4899" s="71" t="n">
        <v>1448173.62</v>
      </c>
      <c r="R4899" t="inlineStr">
        <is>
          <t>Cardiology</t>
        </is>
      </c>
      <c r="S4899" s="70" t="n">
        <v>1976</v>
      </c>
      <c r="T4899" s="71" t="n">
        <v>392981.21</v>
      </c>
      <c r="U4899" t="inlineStr">
        <is>
          <t>High</t>
        </is>
      </c>
      <c r="V4899">
        <f>IF(AND(OR(Dashboard!$C$6="All",E4899=Dashboard!$C$6),OR(Dashboard!$F$6="All",G4899=Dashboard!$F$6),OR(Dashboard!$I$6="All",H4899=Dashboard!$I$6)),1,0)</f>
        <v/>
      </c>
    </row>
    <row r="4900">
      <c r="A4900" t="inlineStr">
        <is>
          <t>PF104891</t>
        </is>
      </c>
      <c r="B4900" s="68" t="n">
        <v>46248</v>
      </c>
      <c r="C4900" s="69" t="n">
        <v>2026</v>
      </c>
      <c r="D4900" t="inlineStr">
        <is>
          <t>Aug</t>
        </is>
      </c>
      <c r="E4900" t="inlineStr">
        <is>
          <t>United States</t>
        </is>
      </c>
      <c r="F4900" t="inlineStr">
        <is>
          <t>USA</t>
        </is>
      </c>
      <c r="G4900" t="inlineStr">
        <is>
          <t>Eliquis</t>
        </is>
      </c>
      <c r="H4900" t="inlineStr">
        <is>
          <t>Retail pharmacy</t>
        </is>
      </c>
      <c r="I4900" t="inlineStr">
        <is>
          <t>Private insurer</t>
        </is>
      </c>
      <c r="J4900" t="inlineStr">
        <is>
          <t>Ravindra Patil</t>
        </is>
      </c>
      <c r="K4900" s="70" t="n">
        <v>2040</v>
      </c>
      <c r="L4900" s="71" t="n">
        <v>707.04</v>
      </c>
      <c r="M4900" s="71" t="n">
        <v>1442361.6</v>
      </c>
      <c r="N4900" s="71" t="n">
        <v>288472.32</v>
      </c>
      <c r="O4900" s="71" t="n">
        <v>1153889.28</v>
      </c>
      <c r="P4900" s="71" t="n">
        <v>148677.59</v>
      </c>
      <c r="Q4900" s="71" t="n">
        <v>1005211.69</v>
      </c>
      <c r="R4900" t="inlineStr">
        <is>
          <t>Cardiology</t>
        </is>
      </c>
      <c r="S4900" s="70" t="n">
        <v>1701</v>
      </c>
      <c r="T4900" s="71" t="n">
        <v>248820.34</v>
      </c>
      <c r="U4900" t="inlineStr">
        <is>
          <t>High</t>
        </is>
      </c>
      <c r="V4900">
        <f>IF(AND(OR(Dashboard!$C$6="All",E4900=Dashboard!$C$6),OR(Dashboard!$F$6="All",G4900=Dashboard!$F$6),OR(Dashboard!$I$6="All",H4900=Dashboard!$I$6)),1,0)</f>
        <v/>
      </c>
    </row>
    <row r="4901">
      <c r="A4901" t="inlineStr">
        <is>
          <t>PF104892</t>
        </is>
      </c>
      <c r="B4901" s="68" t="n">
        <v>46248</v>
      </c>
      <c r="C4901" s="69" t="n">
        <v>2026</v>
      </c>
      <c r="D4901" t="inlineStr">
        <is>
          <t>Aug</t>
        </is>
      </c>
      <c r="E4901" t="inlineStr">
        <is>
          <t>United States</t>
        </is>
      </c>
      <c r="F4901" t="inlineStr">
        <is>
          <t>USA</t>
        </is>
      </c>
      <c r="G4901" t="inlineStr">
        <is>
          <t>Vyndaqel</t>
        </is>
      </c>
      <c r="H4901" t="inlineStr">
        <is>
          <t>Hospital</t>
        </is>
      </c>
      <c r="I4901" t="inlineStr">
        <is>
          <t>Public payer</t>
        </is>
      </c>
      <c r="J4901" t="inlineStr">
        <is>
          <t>Hiroshi Tanaka</t>
        </is>
      </c>
      <c r="K4901" s="70" t="n">
        <v>2554</v>
      </c>
      <c r="L4901" s="71" t="n">
        <v>10043.54</v>
      </c>
      <c r="M4901" s="71" t="n">
        <v>25651201.16</v>
      </c>
      <c r="N4901" s="71" t="n">
        <v>8977920.41</v>
      </c>
      <c r="O4901" s="71" t="n">
        <v>16673280.75</v>
      </c>
      <c r="P4901" s="71" t="n">
        <v>1589909.3</v>
      </c>
      <c r="Q4901" s="71" t="n">
        <v>15083371.45</v>
      </c>
      <c r="R4901" t="inlineStr">
        <is>
          <t>Rare disease</t>
        </is>
      </c>
      <c r="S4901" s="70" t="n">
        <v>2201</v>
      </c>
      <c r="T4901" s="71" t="n">
        <v>3461321.09</v>
      </c>
      <c r="U4901" t="inlineStr">
        <is>
          <t>Medium</t>
        </is>
      </c>
      <c r="V4901">
        <f>IF(AND(OR(Dashboard!$C$6="All",E4901=Dashboard!$C$6),OR(Dashboard!$F$6="All",G4901=Dashboard!$F$6),OR(Dashboard!$I$6="All",H4901=Dashboard!$I$6)),1,0)</f>
        <v/>
      </c>
    </row>
    <row r="4902">
      <c r="A4902" t="inlineStr">
        <is>
          <t>PF104893</t>
        </is>
      </c>
      <c r="B4902" s="68" t="n">
        <v>46248</v>
      </c>
      <c r="C4902" s="69" t="n">
        <v>2026</v>
      </c>
      <c r="D4902" t="inlineStr">
        <is>
          <t>Aug</t>
        </is>
      </c>
      <c r="E4902" t="inlineStr">
        <is>
          <t>Emerging markets</t>
        </is>
      </c>
      <c r="F4902" t="inlineStr">
        <is>
          <t>India</t>
        </is>
      </c>
      <c r="G4902" t="inlineStr">
        <is>
          <t>Eliquis</t>
        </is>
      </c>
      <c r="H4902" t="inlineStr">
        <is>
          <t>Retail pharmacy</t>
        </is>
      </c>
      <c r="I4902" t="inlineStr">
        <is>
          <t>Public payer</t>
        </is>
      </c>
      <c r="J4902" t="inlineStr">
        <is>
          <t>Noah Smith</t>
        </is>
      </c>
      <c r="K4902" s="70" t="n">
        <v>1550</v>
      </c>
      <c r="L4902" s="71" t="n">
        <v>462.33</v>
      </c>
      <c r="M4902" s="71" t="n">
        <v>716611.5</v>
      </c>
      <c r="N4902" s="71" t="n">
        <v>71661.14999999999</v>
      </c>
      <c r="O4902" s="71" t="n">
        <v>644950.35</v>
      </c>
      <c r="P4902" s="71" t="n">
        <v>119435.84</v>
      </c>
      <c r="Q4902" s="71" t="n">
        <v>525514.51</v>
      </c>
      <c r="R4902" t="inlineStr">
        <is>
          <t>Cardiology</t>
        </is>
      </c>
      <c r="S4902" s="70" t="n">
        <v>1288</v>
      </c>
      <c r="T4902" s="71" t="n">
        <v>85641.63</v>
      </c>
      <c r="U4902" t="inlineStr">
        <is>
          <t>High</t>
        </is>
      </c>
      <c r="V4902">
        <f>IF(AND(OR(Dashboard!$C$6="All",E4902=Dashboard!$C$6),OR(Dashboard!$F$6="All",G4902=Dashboard!$F$6),OR(Dashboard!$I$6="All",H4902=Dashboard!$I$6)),1,0)</f>
        <v/>
      </c>
    </row>
    <row r="4903">
      <c r="A4903" t="inlineStr">
        <is>
          <t>PF104894</t>
        </is>
      </c>
      <c r="B4903" s="68" t="n">
        <v>46248</v>
      </c>
      <c r="C4903" s="69" t="n">
        <v>2026</v>
      </c>
      <c r="D4903" t="inlineStr">
        <is>
          <t>Aug</t>
        </is>
      </c>
      <c r="E4903" t="inlineStr">
        <is>
          <t>International developed</t>
        </is>
      </c>
      <c r="F4903" t="inlineStr">
        <is>
          <t>Canada</t>
        </is>
      </c>
      <c r="G4903" t="inlineStr">
        <is>
          <t>Xeljanz</t>
        </is>
      </c>
      <c r="H4903" t="inlineStr">
        <is>
          <t>Hospital</t>
        </is>
      </c>
      <c r="I4903" t="inlineStr">
        <is>
          <t>Self-pay</t>
        </is>
      </c>
      <c r="J4903" t="inlineStr">
        <is>
          <t>Ana Costa</t>
        </is>
      </c>
      <c r="K4903" s="70" t="n">
        <v>90</v>
      </c>
      <c r="L4903" s="71" t="n">
        <v>1291</v>
      </c>
      <c r="M4903" s="71" t="n">
        <v>116190</v>
      </c>
      <c r="N4903" s="71" t="n">
        <v>11619</v>
      </c>
      <c r="O4903" s="71" t="n">
        <v>104571</v>
      </c>
      <c r="P4903" s="71" t="n">
        <v>22043</v>
      </c>
      <c r="Q4903" s="71" t="n">
        <v>82528</v>
      </c>
      <c r="R4903" t="inlineStr">
        <is>
          <t>Inflammation</t>
        </is>
      </c>
      <c r="S4903" s="70" t="n">
        <v>67</v>
      </c>
      <c r="T4903" s="71" t="n">
        <v>19312.16</v>
      </c>
      <c r="U4903" t="inlineStr">
        <is>
          <t>High</t>
        </is>
      </c>
      <c r="V4903">
        <f>IF(AND(OR(Dashboard!$C$6="All",E4903=Dashboard!$C$6),OR(Dashboard!$F$6="All",G4903=Dashboard!$F$6),OR(Dashboard!$I$6="All",H4903=Dashboard!$I$6)),1,0)</f>
        <v/>
      </c>
    </row>
    <row r="4904">
      <c r="A4904" t="inlineStr">
        <is>
          <t>PF104895</t>
        </is>
      </c>
      <c r="B4904" s="68" t="n">
        <v>46249</v>
      </c>
      <c r="C4904" s="69" t="n">
        <v>2026</v>
      </c>
      <c r="D4904" t="inlineStr">
        <is>
          <t>Aug</t>
        </is>
      </c>
      <c r="E4904" t="inlineStr">
        <is>
          <t>United States</t>
        </is>
      </c>
      <c r="F4904" t="inlineStr">
        <is>
          <t>USA</t>
        </is>
      </c>
      <c r="G4904" t="inlineStr">
        <is>
          <t>Xeljanz</t>
        </is>
      </c>
      <c r="H4904" t="inlineStr">
        <is>
          <t>Government / tender</t>
        </is>
      </c>
      <c r="I4904" t="inlineStr">
        <is>
          <t>Self-pay</t>
        </is>
      </c>
      <c r="J4904" t="inlineStr">
        <is>
          <t>Sophie Müller</t>
        </is>
      </c>
      <c r="K4904" s="70" t="n">
        <v>1555</v>
      </c>
      <c r="L4904" s="71" t="n">
        <v>2204.75</v>
      </c>
      <c r="M4904" s="71" t="n">
        <v>3428386.25</v>
      </c>
      <c r="N4904" s="71" t="n">
        <v>514257.94</v>
      </c>
      <c r="O4904" s="71" t="n">
        <v>2914128.31</v>
      </c>
      <c r="P4904" s="71" t="n">
        <v>391376.9</v>
      </c>
      <c r="Q4904" s="71" t="n">
        <v>2522751.41</v>
      </c>
      <c r="R4904" t="inlineStr">
        <is>
          <t>Inflammation</t>
        </is>
      </c>
      <c r="S4904" s="70" t="n">
        <v>1246</v>
      </c>
      <c r="T4904" s="71" t="n">
        <v>776965.54</v>
      </c>
      <c r="U4904" t="inlineStr">
        <is>
          <t>High</t>
        </is>
      </c>
      <c r="V4904">
        <f>IF(AND(OR(Dashboard!$C$6="All",E4904=Dashboard!$C$6),OR(Dashboard!$F$6="All",G4904=Dashboard!$F$6),OR(Dashboard!$I$6="All",H4904=Dashboard!$I$6)),1,0)</f>
        <v/>
      </c>
    </row>
    <row r="4905">
      <c r="A4905" t="inlineStr">
        <is>
          <t>PF104896</t>
        </is>
      </c>
      <c r="B4905" s="68" t="n">
        <v>46249</v>
      </c>
      <c r="C4905" s="69" t="n">
        <v>2026</v>
      </c>
      <c r="D4905" t="inlineStr">
        <is>
          <t>Aug</t>
        </is>
      </c>
      <c r="E4905" t="inlineStr">
        <is>
          <t>United States</t>
        </is>
      </c>
      <c r="F4905" t="inlineStr">
        <is>
          <t>USA</t>
        </is>
      </c>
      <c r="G4905" t="inlineStr">
        <is>
          <t>Ibrance</t>
        </is>
      </c>
      <c r="H4905" t="inlineStr">
        <is>
          <t>Retail pharmacy</t>
        </is>
      </c>
      <c r="I4905" t="inlineStr">
        <is>
          <t>Public payer</t>
        </is>
      </c>
      <c r="J4905" t="inlineStr">
        <is>
          <t>Amir Khan</t>
        </is>
      </c>
      <c r="K4905" s="70" t="n">
        <v>2428</v>
      </c>
      <c r="L4905" s="71" t="n">
        <v>4599.16</v>
      </c>
      <c r="M4905" s="71" t="n">
        <v>11166760.48</v>
      </c>
      <c r="N4905" s="71" t="n">
        <v>3908366.17</v>
      </c>
      <c r="O4905" s="71" t="n">
        <v>7258394.31</v>
      </c>
      <c r="P4905" s="71" t="n">
        <v>1055376.3</v>
      </c>
      <c r="Q4905" s="71" t="n">
        <v>6203018.01</v>
      </c>
      <c r="R4905" t="inlineStr">
        <is>
          <t>Oncology</t>
        </is>
      </c>
      <c r="S4905" s="70" t="n">
        <v>2225</v>
      </c>
      <c r="T4905" s="71" t="n">
        <v>2241793.28</v>
      </c>
      <c r="U4905" t="inlineStr">
        <is>
          <t>High</t>
        </is>
      </c>
      <c r="V4905">
        <f>IF(AND(OR(Dashboard!$C$6="All",E4905=Dashboard!$C$6),OR(Dashboard!$F$6="All",G4905=Dashboard!$F$6),OR(Dashboard!$I$6="All",H4905=Dashboard!$I$6)),1,0)</f>
        <v/>
      </c>
    </row>
    <row r="4906">
      <c r="A4906" t="inlineStr">
        <is>
          <t>PF104897</t>
        </is>
      </c>
      <c r="B4906" s="68" t="n">
        <v>46249</v>
      </c>
      <c r="C4906" s="69" t="n">
        <v>2026</v>
      </c>
      <c r="D4906" t="inlineStr">
        <is>
          <t>Aug</t>
        </is>
      </c>
      <c r="E4906" t="inlineStr">
        <is>
          <t>United States</t>
        </is>
      </c>
      <c r="F4906" t="inlineStr">
        <is>
          <t>USA</t>
        </is>
      </c>
      <c r="G4906" t="inlineStr">
        <is>
          <t>Vyndaqel</t>
        </is>
      </c>
      <c r="H4906" t="inlineStr">
        <is>
          <t>Government / tender</t>
        </is>
      </c>
      <c r="I4906" t="inlineStr">
        <is>
          <t>Private insurer</t>
        </is>
      </c>
      <c r="J4906" t="inlineStr">
        <is>
          <t>Yuki Sato</t>
        </is>
      </c>
      <c r="K4906" s="70" t="n">
        <v>1598</v>
      </c>
      <c r="L4906" s="71" t="n">
        <v>9940.209999999999</v>
      </c>
      <c r="M4906" s="71" t="n">
        <v>15884455.58</v>
      </c>
      <c r="N4906" s="71" t="n">
        <v>3176891.12</v>
      </c>
      <c r="O4906" s="71" t="n">
        <v>12707564.46</v>
      </c>
      <c r="P4906" s="71" t="n">
        <v>1010055.03</v>
      </c>
      <c r="Q4906" s="71" t="n">
        <v>11697509.43</v>
      </c>
      <c r="R4906" t="inlineStr">
        <is>
          <t>Rare disease</t>
        </is>
      </c>
      <c r="S4906" s="70" t="n">
        <v>1340</v>
      </c>
      <c r="T4906" s="71" t="n">
        <v>1838764.74</v>
      </c>
      <c r="U4906" t="inlineStr">
        <is>
          <t>Medium</t>
        </is>
      </c>
      <c r="V4906">
        <f>IF(AND(OR(Dashboard!$C$6="All",E4906=Dashboard!$C$6),OR(Dashboard!$F$6="All",G4906=Dashboard!$F$6),OR(Dashboard!$I$6="All",H4906=Dashboard!$I$6)),1,0)</f>
        <v/>
      </c>
    </row>
    <row r="4907">
      <c r="A4907" t="inlineStr">
        <is>
          <t>PF104898</t>
        </is>
      </c>
      <c r="B4907" s="68" t="n">
        <v>46249</v>
      </c>
      <c r="C4907" s="69" t="n">
        <v>2026</v>
      </c>
      <c r="D4907" t="inlineStr">
        <is>
          <t>Aug</t>
        </is>
      </c>
      <c r="E4907" t="inlineStr">
        <is>
          <t>United States</t>
        </is>
      </c>
      <c r="F4907" t="inlineStr">
        <is>
          <t>USA</t>
        </is>
      </c>
      <c r="G4907" t="inlineStr">
        <is>
          <t>Comirnaty</t>
        </is>
      </c>
      <c r="H4907" t="inlineStr">
        <is>
          <t>Retail pharmacy</t>
        </is>
      </c>
      <c r="I4907" t="inlineStr">
        <is>
          <t>Private insurer</t>
        </is>
      </c>
      <c r="J4907" t="inlineStr">
        <is>
          <t>Wei Chen</t>
        </is>
      </c>
      <c r="K4907" s="70" t="n">
        <v>233</v>
      </c>
      <c r="L4907" s="71" t="n">
        <v>142.98</v>
      </c>
      <c r="M4907" s="71" t="n">
        <v>33314.34</v>
      </c>
      <c r="N4907" s="71" t="n">
        <v>9994.299999999999</v>
      </c>
      <c r="O4907" s="71" t="n">
        <v>23320.04</v>
      </c>
      <c r="P4907" s="71" t="n">
        <v>8957.17</v>
      </c>
      <c r="Q4907" s="71" t="n">
        <v>14362.87</v>
      </c>
      <c r="R4907" t="inlineStr">
        <is>
          <t>Vaccines</t>
        </is>
      </c>
      <c r="S4907" s="70" t="n">
        <v>149</v>
      </c>
      <c r="T4907" s="71" t="n">
        <v>6020.65</v>
      </c>
      <c r="U4907" t="inlineStr">
        <is>
          <t>Low</t>
        </is>
      </c>
      <c r="V4907">
        <f>IF(AND(OR(Dashboard!$C$6="All",E4907=Dashboard!$C$6),OR(Dashboard!$F$6="All",G4907=Dashboard!$F$6),OR(Dashboard!$I$6="All",H4907=Dashboard!$I$6)),1,0)</f>
        <v/>
      </c>
    </row>
    <row r="4908">
      <c r="A4908" t="inlineStr">
        <is>
          <t>PF104899</t>
        </is>
      </c>
      <c r="B4908" s="68" t="n">
        <v>46249</v>
      </c>
      <c r="C4908" s="69" t="n">
        <v>2026</v>
      </c>
      <c r="D4908" t="inlineStr">
        <is>
          <t>Aug</t>
        </is>
      </c>
      <c r="E4908" t="inlineStr">
        <is>
          <t>Emerging markets</t>
        </is>
      </c>
      <c r="F4908" t="inlineStr">
        <is>
          <t>Mexico</t>
        </is>
      </c>
      <c r="G4908" t="inlineStr">
        <is>
          <t>Abrysvo</t>
        </is>
      </c>
      <c r="H4908" t="inlineStr">
        <is>
          <t>Government / tender</t>
        </is>
      </c>
      <c r="I4908" t="inlineStr">
        <is>
          <t>Private insurer</t>
        </is>
      </c>
      <c r="J4908" t="inlineStr">
        <is>
          <t>Carlos Silva</t>
        </is>
      </c>
      <c r="K4908" s="70" t="n">
        <v>2683</v>
      </c>
      <c r="L4908" s="71" t="n">
        <v>332.74</v>
      </c>
      <c r="M4908" s="71" t="n">
        <v>892741.42</v>
      </c>
      <c r="N4908" s="71" t="n">
        <v>178548.28</v>
      </c>
      <c r="O4908" s="71" t="n">
        <v>714193.14</v>
      </c>
      <c r="P4908" s="71" t="n">
        <v>224451.31</v>
      </c>
      <c r="Q4908" s="71" t="n">
        <v>489741.83</v>
      </c>
      <c r="R4908" t="inlineStr">
        <is>
          <t>Vaccines</t>
        </is>
      </c>
      <c r="S4908" s="70" t="n">
        <v>1724</v>
      </c>
      <c r="T4908" s="71" t="n">
        <v>170546.07</v>
      </c>
      <c r="U4908" t="inlineStr">
        <is>
          <t>Low</t>
        </is>
      </c>
      <c r="V4908">
        <f>IF(AND(OR(Dashboard!$C$6="All",E4908=Dashboard!$C$6),OR(Dashboard!$F$6="All",G4908=Dashboard!$F$6),OR(Dashboard!$I$6="All",H4908=Dashboard!$I$6)),1,0)</f>
        <v/>
      </c>
    </row>
    <row r="4909">
      <c r="A4909" t="inlineStr">
        <is>
          <t>PF104900</t>
        </is>
      </c>
      <c r="B4909" s="68" t="n">
        <v>46249</v>
      </c>
      <c r="C4909" s="69" t="n">
        <v>2026</v>
      </c>
      <c r="D4909" t="inlineStr">
        <is>
          <t>Aug</t>
        </is>
      </c>
      <c r="E4909" t="inlineStr">
        <is>
          <t>Europe</t>
        </is>
      </c>
      <c r="F4909" t="inlineStr">
        <is>
          <t>Germany</t>
        </is>
      </c>
      <c r="G4909" t="inlineStr">
        <is>
          <t>Abrysvo</t>
        </is>
      </c>
      <c r="H4909" t="inlineStr">
        <is>
          <t>Hospital</t>
        </is>
      </c>
      <c r="I4909" t="inlineStr">
        <is>
          <t>Private insurer</t>
        </is>
      </c>
      <c r="J4909" t="inlineStr">
        <is>
          <t>Hiroshi Tanaka</t>
        </is>
      </c>
      <c r="K4909" s="70" t="n">
        <v>439</v>
      </c>
      <c r="L4909" s="71" t="n">
        <v>310.63</v>
      </c>
      <c r="M4909" s="71" t="n">
        <v>136366.57</v>
      </c>
      <c r="N4909" s="71" t="n">
        <v>13636.66</v>
      </c>
      <c r="O4909" s="71" t="n">
        <v>122729.91</v>
      </c>
      <c r="P4909" s="71" t="n">
        <v>37034.76</v>
      </c>
      <c r="Q4909" s="71" t="n">
        <v>85695.14999999999</v>
      </c>
      <c r="R4909" t="inlineStr">
        <is>
          <t>Vaccines</t>
        </is>
      </c>
      <c r="S4909" s="70" t="n">
        <v>428</v>
      </c>
      <c r="T4909" s="71" t="n">
        <v>15695.5</v>
      </c>
      <c r="U4909" t="inlineStr">
        <is>
          <t>Low</t>
        </is>
      </c>
      <c r="V4909">
        <f>IF(AND(OR(Dashboard!$C$6="All",E4909=Dashboard!$C$6),OR(Dashboard!$F$6="All",G4909=Dashboard!$F$6),OR(Dashboard!$I$6="All",H4909=Dashboard!$I$6)),1,0)</f>
        <v/>
      </c>
    </row>
    <row r="4910">
      <c r="A4910" t="inlineStr">
        <is>
          <t>PF104901</t>
        </is>
      </c>
      <c r="B4910" s="68" t="n">
        <v>46249</v>
      </c>
      <c r="C4910" s="69" t="n">
        <v>2026</v>
      </c>
      <c r="D4910" t="inlineStr">
        <is>
          <t>Aug</t>
        </is>
      </c>
      <c r="E4910" t="inlineStr">
        <is>
          <t>United States</t>
        </is>
      </c>
      <c r="F4910" t="inlineStr">
        <is>
          <t>USA</t>
        </is>
      </c>
      <c r="G4910" t="inlineStr">
        <is>
          <t>Comirnaty</t>
        </is>
      </c>
      <c r="H4910" t="inlineStr">
        <is>
          <t>Hospital</t>
        </is>
      </c>
      <c r="I4910" t="inlineStr">
        <is>
          <t>Self-pay</t>
        </is>
      </c>
      <c r="J4910" t="inlineStr">
        <is>
          <t>Yuki Sato</t>
        </is>
      </c>
      <c r="K4910" s="70" t="n">
        <v>1240</v>
      </c>
      <c r="L4910" s="71" t="n">
        <v>151.53</v>
      </c>
      <c r="M4910" s="71" t="n">
        <v>187897.2</v>
      </c>
      <c r="N4910" s="71" t="n">
        <v>65764.02</v>
      </c>
      <c r="O4910" s="71" t="n">
        <v>122133.18</v>
      </c>
      <c r="P4910" s="71" t="n">
        <v>46206.78</v>
      </c>
      <c r="Q4910" s="71" t="n">
        <v>75926.39999999999</v>
      </c>
      <c r="R4910" t="inlineStr">
        <is>
          <t>Vaccines</t>
        </is>
      </c>
      <c r="S4910" s="70" t="n">
        <v>1112</v>
      </c>
      <c r="T4910" s="71" t="n">
        <v>38951.49</v>
      </c>
      <c r="U4910" t="inlineStr">
        <is>
          <t>Low</t>
        </is>
      </c>
      <c r="V4910">
        <f>IF(AND(OR(Dashboard!$C$6="All",E4910=Dashboard!$C$6),OR(Dashboard!$F$6="All",G4910=Dashboard!$F$6),OR(Dashboard!$I$6="All",H4910=Dashboard!$I$6)),1,0)</f>
        <v/>
      </c>
    </row>
    <row r="4911">
      <c r="A4911" t="inlineStr">
        <is>
          <t>PF104902</t>
        </is>
      </c>
      <c r="B4911" s="68" t="n">
        <v>46249</v>
      </c>
      <c r="C4911" s="69" t="n">
        <v>2026</v>
      </c>
      <c r="D4911" t="inlineStr">
        <is>
          <t>Aug</t>
        </is>
      </c>
      <c r="E4911" t="inlineStr">
        <is>
          <t>International developed</t>
        </is>
      </c>
      <c r="F4911" t="inlineStr">
        <is>
          <t>Japan</t>
        </is>
      </c>
      <c r="G4911" t="inlineStr">
        <is>
          <t>Prevnar 20</t>
        </is>
      </c>
      <c r="H4911" t="inlineStr">
        <is>
          <t>Hospital</t>
        </is>
      </c>
      <c r="I4911" t="inlineStr">
        <is>
          <t>Public payer</t>
        </is>
      </c>
      <c r="J4911" t="inlineStr">
        <is>
          <t>Fatima Al-Saud</t>
        </is>
      </c>
      <c r="K4911" s="70" t="n">
        <v>1176</v>
      </c>
      <c r="L4911" s="71" t="n">
        <v>234.38</v>
      </c>
      <c r="M4911" s="71" t="n">
        <v>275630.88</v>
      </c>
      <c r="N4911" s="71" t="n">
        <v>55126.18</v>
      </c>
      <c r="O4911" s="71" t="n">
        <v>220504.7</v>
      </c>
      <c r="P4911" s="71" t="n">
        <v>78819.07000000001</v>
      </c>
      <c r="Q4911" s="71" t="n">
        <v>141685.63</v>
      </c>
      <c r="R4911" t="inlineStr">
        <is>
          <t>Vaccines</t>
        </is>
      </c>
      <c r="S4911" s="70" t="n">
        <v>909</v>
      </c>
      <c r="T4911" s="71" t="n">
        <v>33591.37</v>
      </c>
      <c r="U4911" t="inlineStr">
        <is>
          <t>Low</t>
        </is>
      </c>
      <c r="V4911">
        <f>IF(AND(OR(Dashboard!$C$6="All",E4911=Dashboard!$C$6),OR(Dashboard!$F$6="All",G4911=Dashboard!$F$6),OR(Dashboard!$I$6="All",H4911=Dashboard!$I$6)),1,0)</f>
        <v/>
      </c>
    </row>
    <row r="4912">
      <c r="A4912" t="inlineStr">
        <is>
          <t>PF104903</t>
        </is>
      </c>
      <c r="B4912" s="68" t="n">
        <v>46249</v>
      </c>
      <c r="C4912" s="69" t="n">
        <v>2026</v>
      </c>
      <c r="D4912" t="inlineStr">
        <is>
          <t>Aug</t>
        </is>
      </c>
      <c r="E4912" t="inlineStr">
        <is>
          <t>Europe</t>
        </is>
      </c>
      <c r="F4912" t="inlineStr">
        <is>
          <t>Germany</t>
        </is>
      </c>
      <c r="G4912" t="inlineStr">
        <is>
          <t>Ibrance</t>
        </is>
      </c>
      <c r="H4912" t="inlineStr">
        <is>
          <t>Retail pharmacy</t>
        </is>
      </c>
      <c r="I4912" t="inlineStr">
        <is>
          <t>Self-pay</t>
        </is>
      </c>
      <c r="J4912" t="inlineStr">
        <is>
          <t>Hiroshi Tanaka</t>
        </is>
      </c>
      <c r="K4912" s="70" t="n">
        <v>2017</v>
      </c>
      <c r="L4912" s="71" t="n">
        <v>3101.54</v>
      </c>
      <c r="M4912" s="71" t="n">
        <v>6255806.18</v>
      </c>
      <c r="N4912" s="71" t="n">
        <v>312790.31</v>
      </c>
      <c r="O4912" s="71" t="n">
        <v>5943015.87</v>
      </c>
      <c r="P4912" s="71" t="n">
        <v>874703.55</v>
      </c>
      <c r="Q4912" s="71" t="n">
        <v>5068312.32</v>
      </c>
      <c r="R4912" t="inlineStr">
        <is>
          <t>Oncology</t>
        </is>
      </c>
      <c r="S4912" s="70" t="n">
        <v>1388</v>
      </c>
      <c r="T4912" s="71" t="n">
        <v>1237875.08</v>
      </c>
      <c r="U4912" t="inlineStr">
        <is>
          <t>High</t>
        </is>
      </c>
      <c r="V4912">
        <f>IF(AND(OR(Dashboard!$C$6="All",E4912=Dashboard!$C$6),OR(Dashboard!$F$6="All",G4912=Dashboard!$F$6),OR(Dashboard!$I$6="All",H4912=Dashboard!$I$6)),1,0)</f>
        <v/>
      </c>
    </row>
    <row r="4913">
      <c r="A4913" t="inlineStr">
        <is>
          <t>PF104904</t>
        </is>
      </c>
      <c r="B4913" s="68" t="n">
        <v>46250</v>
      </c>
      <c r="C4913" s="69" t="n">
        <v>2026</v>
      </c>
      <c r="D4913" t="inlineStr">
        <is>
          <t>Aug</t>
        </is>
      </c>
      <c r="E4913" t="inlineStr">
        <is>
          <t>International developed</t>
        </is>
      </c>
      <c r="F4913" t="inlineStr">
        <is>
          <t>Canada</t>
        </is>
      </c>
      <c r="G4913" t="inlineStr">
        <is>
          <t>Abrysvo</t>
        </is>
      </c>
      <c r="H4913" t="inlineStr">
        <is>
          <t>Retail pharmacy</t>
        </is>
      </c>
      <c r="I4913" t="inlineStr">
        <is>
          <t>Public payer</t>
        </is>
      </c>
      <c r="J4913" t="inlineStr">
        <is>
          <t>Amir Khan</t>
        </is>
      </c>
      <c r="K4913" s="70" t="n">
        <v>1694</v>
      </c>
      <c r="L4913" s="71" t="n">
        <v>336.79</v>
      </c>
      <c r="M4913" s="71" t="n">
        <v>570522.26</v>
      </c>
      <c r="N4913" s="71" t="n">
        <v>28526.11</v>
      </c>
      <c r="O4913" s="71" t="n">
        <v>541996.15</v>
      </c>
      <c r="P4913" s="71" t="n">
        <v>146214.66</v>
      </c>
      <c r="Q4913" s="71" t="n">
        <v>395781.49</v>
      </c>
      <c r="R4913" t="inlineStr">
        <is>
          <t>Vaccines</t>
        </is>
      </c>
      <c r="S4913" s="70" t="n">
        <v>1216</v>
      </c>
      <c r="T4913" s="71" t="n">
        <v>97038.21000000001</v>
      </c>
      <c r="U4913" t="inlineStr">
        <is>
          <t>Low</t>
        </is>
      </c>
      <c r="V4913">
        <f>IF(AND(OR(Dashboard!$C$6="All",E4913=Dashboard!$C$6),OR(Dashboard!$F$6="All",G4913=Dashboard!$F$6),OR(Dashboard!$I$6="All",H4913=Dashboard!$I$6)),1,0)</f>
        <v/>
      </c>
    </row>
    <row r="4914">
      <c r="A4914" t="inlineStr">
        <is>
          <t>PF104905</t>
        </is>
      </c>
      <c r="B4914" s="68" t="n">
        <v>46250</v>
      </c>
      <c r="C4914" s="69" t="n">
        <v>2026</v>
      </c>
      <c r="D4914" t="inlineStr">
        <is>
          <t>Aug</t>
        </is>
      </c>
      <c r="E4914" t="inlineStr">
        <is>
          <t>United States</t>
        </is>
      </c>
      <c r="F4914" t="inlineStr">
        <is>
          <t>USA</t>
        </is>
      </c>
      <c r="G4914" t="inlineStr">
        <is>
          <t>Comirnaty</t>
        </is>
      </c>
      <c r="H4914" t="inlineStr">
        <is>
          <t>Retail pharmacy</t>
        </is>
      </c>
      <c r="I4914" t="inlineStr">
        <is>
          <t>Private insurer</t>
        </is>
      </c>
      <c r="J4914" t="inlineStr">
        <is>
          <t>Arjun Mehta</t>
        </is>
      </c>
      <c r="K4914" s="70" t="n">
        <v>974</v>
      </c>
      <c r="L4914" s="71" t="n">
        <v>138.3</v>
      </c>
      <c r="M4914" s="71" t="n">
        <v>134704.2</v>
      </c>
      <c r="N4914" s="71" t="n">
        <v>47146.47</v>
      </c>
      <c r="O4914" s="71" t="n">
        <v>87557.73</v>
      </c>
      <c r="P4914" s="71" t="n">
        <v>38775.79</v>
      </c>
      <c r="Q4914" s="71" t="n">
        <v>48781.94</v>
      </c>
      <c r="R4914" t="inlineStr">
        <is>
          <t>Vaccines</t>
        </is>
      </c>
      <c r="S4914" s="70" t="n">
        <v>913</v>
      </c>
      <c r="T4914" s="71" t="n">
        <v>35041.36</v>
      </c>
      <c r="U4914" t="inlineStr">
        <is>
          <t>Low</t>
        </is>
      </c>
      <c r="V4914">
        <f>IF(AND(OR(Dashboard!$C$6="All",E4914=Dashboard!$C$6),OR(Dashboard!$F$6="All",G4914=Dashboard!$F$6),OR(Dashboard!$I$6="All",H4914=Dashboard!$I$6)),1,0)</f>
        <v/>
      </c>
    </row>
    <row r="4915">
      <c r="A4915" t="inlineStr">
        <is>
          <t>PF104906</t>
        </is>
      </c>
      <c r="B4915" s="68" t="n">
        <v>46250</v>
      </c>
      <c r="C4915" s="69" t="n">
        <v>2026</v>
      </c>
      <c r="D4915" t="inlineStr">
        <is>
          <t>Aug</t>
        </is>
      </c>
      <c r="E4915" t="inlineStr">
        <is>
          <t>United States</t>
        </is>
      </c>
      <c r="F4915" t="inlineStr">
        <is>
          <t>USA</t>
        </is>
      </c>
      <c r="G4915" t="inlineStr">
        <is>
          <t>Eliquis</t>
        </is>
      </c>
      <c r="H4915" t="inlineStr">
        <is>
          <t>Government / tender</t>
        </is>
      </c>
      <c r="I4915" t="inlineStr">
        <is>
          <t>Private insurer</t>
        </is>
      </c>
      <c r="J4915" t="inlineStr">
        <is>
          <t>Shraddha Kulkarni</t>
        </is>
      </c>
      <c r="K4915" s="70" t="n">
        <v>2349</v>
      </c>
      <c r="L4915" s="71" t="n">
        <v>639.65</v>
      </c>
      <c r="M4915" s="71" t="n">
        <v>1502537.85</v>
      </c>
      <c r="N4915" s="71" t="n">
        <v>525888.25</v>
      </c>
      <c r="O4915" s="71" t="n">
        <v>976649.6</v>
      </c>
      <c r="P4915" s="71" t="n">
        <v>179954.76</v>
      </c>
      <c r="Q4915" s="71" t="n">
        <v>796694.84</v>
      </c>
      <c r="R4915" t="inlineStr">
        <is>
          <t>Cardiology</t>
        </is>
      </c>
      <c r="S4915" s="70" t="n">
        <v>1684</v>
      </c>
      <c r="T4915" s="71" t="n">
        <v>249075.99</v>
      </c>
      <c r="U4915" t="inlineStr">
        <is>
          <t>High</t>
        </is>
      </c>
      <c r="V4915">
        <f>IF(AND(OR(Dashboard!$C$6="All",E4915=Dashboard!$C$6),OR(Dashboard!$F$6="All",G4915=Dashboard!$F$6),OR(Dashboard!$I$6="All",H4915=Dashboard!$I$6)),1,0)</f>
        <v/>
      </c>
    </row>
    <row r="4916">
      <c r="A4916" t="inlineStr">
        <is>
          <t>PF104907</t>
        </is>
      </c>
      <c r="B4916" s="68" t="n">
        <v>46250</v>
      </c>
      <c r="C4916" s="69" t="n">
        <v>2026</v>
      </c>
      <c r="D4916" t="inlineStr">
        <is>
          <t>Aug</t>
        </is>
      </c>
      <c r="E4916" t="inlineStr">
        <is>
          <t>International developed</t>
        </is>
      </c>
      <c r="F4916" t="inlineStr">
        <is>
          <t>Australia</t>
        </is>
      </c>
      <c r="G4916" t="inlineStr">
        <is>
          <t>Eliquis</t>
        </is>
      </c>
      <c r="H4916" t="inlineStr">
        <is>
          <t>Retail pharmacy</t>
        </is>
      </c>
      <c r="I4916" t="inlineStr">
        <is>
          <t>Private insurer</t>
        </is>
      </c>
      <c r="J4916" t="inlineStr">
        <is>
          <t>Emma Clarke</t>
        </is>
      </c>
      <c r="K4916" s="70" t="n">
        <v>2945</v>
      </c>
      <c r="L4916" s="71" t="n">
        <v>396.58</v>
      </c>
      <c r="M4916" s="71" t="n">
        <v>1167928.1</v>
      </c>
      <c r="N4916" s="71" t="n">
        <v>175189.21</v>
      </c>
      <c r="O4916" s="71" t="n">
        <v>992738.89</v>
      </c>
      <c r="P4916" s="71" t="n">
        <v>225727.7</v>
      </c>
      <c r="Q4916" s="71" t="n">
        <v>767011.1899999999</v>
      </c>
      <c r="R4916" t="inlineStr">
        <is>
          <t>Cardiology</t>
        </is>
      </c>
      <c r="S4916" s="70" t="n">
        <v>2231</v>
      </c>
      <c r="T4916" s="71" t="n">
        <v>221934.89</v>
      </c>
      <c r="U4916" t="inlineStr">
        <is>
          <t>High</t>
        </is>
      </c>
      <c r="V4916">
        <f>IF(AND(OR(Dashboard!$C$6="All",E4916=Dashboard!$C$6),OR(Dashboard!$F$6="All",G4916=Dashboard!$F$6),OR(Dashboard!$I$6="All",H4916=Dashboard!$I$6)),1,0)</f>
        <v/>
      </c>
    </row>
    <row r="4917">
      <c r="A4917" t="inlineStr">
        <is>
          <t>PF104908</t>
        </is>
      </c>
      <c r="B4917" s="68" t="n">
        <v>46250</v>
      </c>
      <c r="C4917" s="69" t="n">
        <v>2026</v>
      </c>
      <c r="D4917" t="inlineStr">
        <is>
          <t>Aug</t>
        </is>
      </c>
      <c r="E4917" t="inlineStr">
        <is>
          <t>Emerging markets</t>
        </is>
      </c>
      <c r="F4917" t="inlineStr">
        <is>
          <t>Brazil</t>
        </is>
      </c>
      <c r="G4917" t="inlineStr">
        <is>
          <t>Eliquis</t>
        </is>
      </c>
      <c r="H4917" t="inlineStr">
        <is>
          <t>Government / tender</t>
        </is>
      </c>
      <c r="I4917" t="inlineStr">
        <is>
          <t>Private insurer</t>
        </is>
      </c>
      <c r="J4917" t="inlineStr">
        <is>
          <t>Aisha Bello</t>
        </is>
      </c>
      <c r="K4917" s="70" t="n">
        <v>168</v>
      </c>
      <c r="L4917" s="71" t="n">
        <v>435.74</v>
      </c>
      <c r="M4917" s="71" t="n">
        <v>73204.32000000001</v>
      </c>
      <c r="N4917" s="71" t="n">
        <v>3660.22</v>
      </c>
      <c r="O4917" s="71" t="n">
        <v>69544.10000000001</v>
      </c>
      <c r="P4917" s="71" t="n">
        <v>12242.55</v>
      </c>
      <c r="Q4917" s="71" t="n">
        <v>57301.55</v>
      </c>
      <c r="R4917" t="inlineStr">
        <is>
          <t>Cardiology</t>
        </is>
      </c>
      <c r="S4917" s="70" t="n">
        <v>141</v>
      </c>
      <c r="T4917" s="71" t="n">
        <v>15351.2</v>
      </c>
      <c r="U4917" t="inlineStr">
        <is>
          <t>High</t>
        </is>
      </c>
      <c r="V4917">
        <f>IF(AND(OR(Dashboard!$C$6="All",E4917=Dashboard!$C$6),OR(Dashboard!$F$6="All",G4917=Dashboard!$F$6),OR(Dashboard!$I$6="All",H4917=Dashboard!$I$6)),1,0)</f>
        <v/>
      </c>
    </row>
    <row r="4918">
      <c r="A4918" t="inlineStr">
        <is>
          <t>PF104909</t>
        </is>
      </c>
      <c r="B4918" s="68" t="n">
        <v>46250</v>
      </c>
      <c r="C4918" s="69" t="n">
        <v>2026</v>
      </c>
      <c r="D4918" t="inlineStr">
        <is>
          <t>Aug</t>
        </is>
      </c>
      <c r="E4918" t="inlineStr">
        <is>
          <t>United States</t>
        </is>
      </c>
      <c r="F4918" t="inlineStr">
        <is>
          <t>USA</t>
        </is>
      </c>
      <c r="G4918" t="inlineStr">
        <is>
          <t>Ibrance</t>
        </is>
      </c>
      <c r="H4918" t="inlineStr">
        <is>
          <t>Retail pharmacy</t>
        </is>
      </c>
      <c r="I4918" t="inlineStr">
        <is>
          <t>Public payer</t>
        </is>
      </c>
      <c r="J4918" t="inlineStr">
        <is>
          <t>Ana Costa</t>
        </is>
      </c>
      <c r="K4918" s="70" t="n">
        <v>2428</v>
      </c>
      <c r="L4918" s="71" t="n">
        <v>4912.12</v>
      </c>
      <c r="M4918" s="71" t="n">
        <v>11926627.36</v>
      </c>
      <c r="N4918" s="71" t="n">
        <v>1788994.1</v>
      </c>
      <c r="O4918" s="71" t="n">
        <v>10137633.26</v>
      </c>
      <c r="P4918" s="71" t="n">
        <v>1025034.71</v>
      </c>
      <c r="Q4918" s="71" t="n">
        <v>9112598.550000001</v>
      </c>
      <c r="R4918" t="inlineStr">
        <is>
          <t>Oncology</t>
        </is>
      </c>
      <c r="S4918" s="70" t="n">
        <v>1888</v>
      </c>
      <c r="T4918" s="71" t="n">
        <v>2425609.11</v>
      </c>
      <c r="U4918" t="inlineStr">
        <is>
          <t>High</t>
        </is>
      </c>
      <c r="V4918">
        <f>IF(AND(OR(Dashboard!$C$6="All",E4918=Dashboard!$C$6),OR(Dashboard!$F$6="All",G4918=Dashboard!$F$6),OR(Dashboard!$I$6="All",H4918=Dashboard!$I$6)),1,0)</f>
        <v/>
      </c>
    </row>
    <row r="4919">
      <c r="A4919" t="inlineStr">
        <is>
          <t>PF104910</t>
        </is>
      </c>
      <c r="B4919" s="68" t="n">
        <v>46250</v>
      </c>
      <c r="C4919" s="69" t="n">
        <v>2026</v>
      </c>
      <c r="D4919" t="inlineStr">
        <is>
          <t>Aug</t>
        </is>
      </c>
      <c r="E4919" t="inlineStr">
        <is>
          <t>United States</t>
        </is>
      </c>
      <c r="F4919" t="inlineStr">
        <is>
          <t>USA</t>
        </is>
      </c>
      <c r="G4919" t="inlineStr">
        <is>
          <t>Prevnar 20</t>
        </is>
      </c>
      <c r="H4919" t="inlineStr">
        <is>
          <t>Retail pharmacy</t>
        </is>
      </c>
      <c r="I4919" t="inlineStr">
        <is>
          <t>Public payer</t>
        </is>
      </c>
      <c r="J4919" t="inlineStr">
        <is>
          <t>Mei Lin</t>
        </is>
      </c>
      <c r="K4919" s="70" t="n">
        <v>3115</v>
      </c>
      <c r="L4919" s="71" t="n">
        <v>376.1</v>
      </c>
      <c r="M4919" s="71" t="n">
        <v>1171551.5</v>
      </c>
      <c r="N4919" s="71" t="n">
        <v>234310.3</v>
      </c>
      <c r="O4919" s="71" t="n">
        <v>937241.2</v>
      </c>
      <c r="P4919" s="71" t="n">
        <v>220427.76</v>
      </c>
      <c r="Q4919" s="71" t="n">
        <v>716813.4399999999</v>
      </c>
      <c r="R4919" t="inlineStr">
        <is>
          <t>Vaccines</t>
        </is>
      </c>
      <c r="S4919" s="70" t="n">
        <v>2380</v>
      </c>
      <c r="T4919" s="71" t="n">
        <v>216114.36</v>
      </c>
      <c r="U4919" t="inlineStr">
        <is>
          <t>Low</t>
        </is>
      </c>
      <c r="V4919">
        <f>IF(AND(OR(Dashboard!$C$6="All",E4919=Dashboard!$C$6),OR(Dashboard!$F$6="All",G4919=Dashboard!$F$6),OR(Dashboard!$I$6="All",H4919=Dashboard!$I$6)),1,0)</f>
        <v/>
      </c>
    </row>
    <row r="4920">
      <c r="A4920" t="inlineStr">
        <is>
          <t>PF104911</t>
        </is>
      </c>
      <c r="B4920" s="68" t="n">
        <v>46250</v>
      </c>
      <c r="C4920" s="69" t="n">
        <v>2026</v>
      </c>
      <c r="D4920" t="inlineStr">
        <is>
          <t>Aug</t>
        </is>
      </c>
      <c r="E4920" t="inlineStr">
        <is>
          <t>United States</t>
        </is>
      </c>
      <c r="F4920" t="inlineStr">
        <is>
          <t>USA</t>
        </is>
      </c>
      <c r="G4920" t="inlineStr">
        <is>
          <t>Abrysvo</t>
        </is>
      </c>
      <c r="H4920" t="inlineStr">
        <is>
          <t>Retail pharmacy</t>
        </is>
      </c>
      <c r="I4920" t="inlineStr">
        <is>
          <t>Private insurer</t>
        </is>
      </c>
      <c r="J4920" t="inlineStr">
        <is>
          <t>Shraddha Kulkarni</t>
        </is>
      </c>
      <c r="K4920" s="70" t="n">
        <v>1973</v>
      </c>
      <c r="L4920" s="71" t="n">
        <v>547.23</v>
      </c>
      <c r="M4920" s="71" t="n">
        <v>1079684.79</v>
      </c>
      <c r="N4920" s="71" t="n">
        <v>323905.44</v>
      </c>
      <c r="O4920" s="71" t="n">
        <v>755779.35</v>
      </c>
      <c r="P4920" s="71" t="n">
        <v>159211.09</v>
      </c>
      <c r="Q4920" s="71" t="n">
        <v>596568.26</v>
      </c>
      <c r="R4920" t="inlineStr">
        <is>
          <t>Vaccines</t>
        </is>
      </c>
      <c r="S4920" s="70" t="n">
        <v>1384</v>
      </c>
      <c r="T4920" s="71" t="n">
        <v>196922.27</v>
      </c>
      <c r="U4920" t="inlineStr">
        <is>
          <t>Low</t>
        </is>
      </c>
      <c r="V4920">
        <f>IF(AND(OR(Dashboard!$C$6="All",E4920=Dashboard!$C$6),OR(Dashboard!$F$6="All",G4920=Dashboard!$F$6),OR(Dashboard!$I$6="All",H4920=Dashboard!$I$6)),1,0)</f>
        <v/>
      </c>
    </row>
    <row r="4921">
      <c r="A4921" t="inlineStr">
        <is>
          <t>PF104912</t>
        </is>
      </c>
      <c r="B4921" s="68" t="n">
        <v>46250</v>
      </c>
      <c r="C4921" s="69" t="n">
        <v>2026</v>
      </c>
      <c r="D4921" t="inlineStr">
        <is>
          <t>Aug</t>
        </is>
      </c>
      <c r="E4921" t="inlineStr">
        <is>
          <t>Emerging markets</t>
        </is>
      </c>
      <c r="F4921" t="inlineStr">
        <is>
          <t>Brazil</t>
        </is>
      </c>
      <c r="G4921" t="inlineStr">
        <is>
          <t>Paxlovid</t>
        </is>
      </c>
      <c r="H4921" t="inlineStr">
        <is>
          <t>Retail pharmacy</t>
        </is>
      </c>
      <c r="I4921" t="inlineStr">
        <is>
          <t>Public payer</t>
        </is>
      </c>
      <c r="J4921" t="inlineStr">
        <is>
          <t>Lucas Martin</t>
        </is>
      </c>
      <c r="K4921" s="70" t="n">
        <v>347</v>
      </c>
      <c r="L4921" s="71" t="n">
        <v>955.0599999999999</v>
      </c>
      <c r="M4921" s="71" t="n">
        <v>331405.82</v>
      </c>
      <c r="N4921" s="71" t="n">
        <v>16570.29</v>
      </c>
      <c r="O4921" s="71" t="n">
        <v>314835.53</v>
      </c>
      <c r="P4921" s="71" t="n">
        <v>93246.83</v>
      </c>
      <c r="Q4921" s="71" t="n">
        <v>221588.7</v>
      </c>
      <c r="R4921" t="inlineStr">
        <is>
          <t>Antiviral</t>
        </is>
      </c>
      <c r="S4921" s="70" t="n">
        <v>244</v>
      </c>
      <c r="T4921" s="71" t="n">
        <v>82381.64999999999</v>
      </c>
      <c r="U4921" t="inlineStr">
        <is>
          <t>Low</t>
        </is>
      </c>
      <c r="V4921">
        <f>IF(AND(OR(Dashboard!$C$6="All",E4921=Dashboard!$C$6),OR(Dashboard!$F$6="All",G4921=Dashboard!$F$6),OR(Dashboard!$I$6="All",H4921=Dashboard!$I$6)),1,0)</f>
        <v/>
      </c>
    </row>
    <row r="4922">
      <c r="A4922" t="inlineStr">
        <is>
          <t>PF104913</t>
        </is>
      </c>
      <c r="B4922" s="68" t="n">
        <v>46250</v>
      </c>
      <c r="C4922" s="69" t="n">
        <v>2026</v>
      </c>
      <c r="D4922" t="inlineStr">
        <is>
          <t>Aug</t>
        </is>
      </c>
      <c r="E4922" t="inlineStr">
        <is>
          <t>Europe</t>
        </is>
      </c>
      <c r="F4922" t="inlineStr">
        <is>
          <t>Germany</t>
        </is>
      </c>
      <c r="G4922" t="inlineStr">
        <is>
          <t>Prevnar 20</t>
        </is>
      </c>
      <c r="H4922" t="inlineStr">
        <is>
          <t>Retail pharmacy</t>
        </is>
      </c>
      <c r="I4922" t="inlineStr">
        <is>
          <t>Public payer</t>
        </is>
      </c>
      <c r="J4922" t="inlineStr">
        <is>
          <t>Omar Haddad</t>
        </is>
      </c>
      <c r="K4922" s="70" t="n">
        <v>2124</v>
      </c>
      <c r="L4922" s="71" t="n">
        <v>232.56</v>
      </c>
      <c r="M4922" s="71" t="n">
        <v>493957.44</v>
      </c>
      <c r="N4922" s="71" t="n">
        <v>74093.62</v>
      </c>
      <c r="O4922" s="71" t="n">
        <v>419863.82</v>
      </c>
      <c r="P4922" s="71" t="n">
        <v>150848.53</v>
      </c>
      <c r="Q4922" s="71" t="n">
        <v>269015.29</v>
      </c>
      <c r="R4922" t="inlineStr">
        <is>
          <t>Vaccines</t>
        </is>
      </c>
      <c r="S4922" s="70" t="n">
        <v>1377</v>
      </c>
      <c r="T4922" s="71" t="n">
        <v>70298.89</v>
      </c>
      <c r="U4922" t="inlineStr">
        <is>
          <t>Low</t>
        </is>
      </c>
      <c r="V4922">
        <f>IF(AND(OR(Dashboard!$C$6="All",E4922=Dashboard!$C$6),OR(Dashboard!$F$6="All",G4922=Dashboard!$F$6),OR(Dashboard!$I$6="All",H4922=Dashboard!$I$6)),1,0)</f>
        <v/>
      </c>
    </row>
    <row r="4923">
      <c r="A4923" t="inlineStr">
        <is>
          <t>PF104914</t>
        </is>
      </c>
      <c r="B4923" s="68" t="n">
        <v>46251</v>
      </c>
      <c r="C4923" s="69" t="n">
        <v>2026</v>
      </c>
      <c r="D4923" t="inlineStr">
        <is>
          <t>Aug</t>
        </is>
      </c>
      <c r="E4923" t="inlineStr">
        <is>
          <t>United States</t>
        </is>
      </c>
      <c r="F4923" t="inlineStr">
        <is>
          <t>USA</t>
        </is>
      </c>
      <c r="G4923" t="inlineStr">
        <is>
          <t>Abrysvo</t>
        </is>
      </c>
      <c r="H4923" t="inlineStr">
        <is>
          <t>Government / tender</t>
        </is>
      </c>
      <c r="I4923" t="inlineStr">
        <is>
          <t>Private insurer</t>
        </is>
      </c>
      <c r="J4923" t="inlineStr">
        <is>
          <t>Mei Lin</t>
        </is>
      </c>
      <c r="K4923" s="70" t="n">
        <v>517</v>
      </c>
      <c r="L4923" s="71" t="n">
        <v>527.76</v>
      </c>
      <c r="M4923" s="71" t="n">
        <v>272851.92</v>
      </c>
      <c r="N4923" s="71" t="n">
        <v>54570.38</v>
      </c>
      <c r="O4923" s="71" t="n">
        <v>218281.54</v>
      </c>
      <c r="P4923" s="71" t="n">
        <v>43007.92</v>
      </c>
      <c r="Q4923" s="71" t="n">
        <v>175273.62</v>
      </c>
      <c r="R4923" t="inlineStr">
        <is>
          <t>Vaccines</t>
        </is>
      </c>
      <c r="S4923" s="70" t="n">
        <v>327</v>
      </c>
      <c r="T4923" s="71" t="n">
        <v>41522.4</v>
      </c>
      <c r="U4923" t="inlineStr">
        <is>
          <t>Low</t>
        </is>
      </c>
      <c r="V4923">
        <f>IF(AND(OR(Dashboard!$C$6="All",E4923=Dashboard!$C$6),OR(Dashboard!$F$6="All",G4923=Dashboard!$F$6),OR(Dashboard!$I$6="All",H4923=Dashboard!$I$6)),1,0)</f>
        <v/>
      </c>
    </row>
    <row r="4924">
      <c r="A4924" t="inlineStr">
        <is>
          <t>PF104915</t>
        </is>
      </c>
      <c r="B4924" s="68" t="n">
        <v>46251</v>
      </c>
      <c r="C4924" s="69" t="n">
        <v>2026</v>
      </c>
      <c r="D4924" t="inlineStr">
        <is>
          <t>Aug</t>
        </is>
      </c>
      <c r="E4924" t="inlineStr">
        <is>
          <t>United States</t>
        </is>
      </c>
      <c r="F4924" t="inlineStr">
        <is>
          <t>USA</t>
        </is>
      </c>
      <c r="G4924" t="inlineStr">
        <is>
          <t>Vyndaqel</t>
        </is>
      </c>
      <c r="H4924" t="inlineStr">
        <is>
          <t>Hospital</t>
        </is>
      </c>
      <c r="I4924" t="inlineStr">
        <is>
          <t>Public payer</t>
        </is>
      </c>
      <c r="J4924" t="inlineStr">
        <is>
          <t>Aisha Bello</t>
        </is>
      </c>
      <c r="K4924" s="70" t="n">
        <v>1358</v>
      </c>
      <c r="L4924" s="71" t="n">
        <v>9585.549999999999</v>
      </c>
      <c r="M4924" s="71" t="n">
        <v>13017176.9</v>
      </c>
      <c r="N4924" s="71" t="n">
        <v>3905153.07</v>
      </c>
      <c r="O4924" s="71" t="n">
        <v>9112023.83</v>
      </c>
      <c r="P4924" s="71" t="n">
        <v>827975.26</v>
      </c>
      <c r="Q4924" s="71" t="n">
        <v>8284048.57</v>
      </c>
      <c r="R4924" t="inlineStr">
        <is>
          <t>Rare disease</t>
        </is>
      </c>
      <c r="S4924" s="70" t="n">
        <v>892</v>
      </c>
      <c r="T4924" s="71" t="n">
        <v>2427539.68</v>
      </c>
      <c r="U4924" t="inlineStr">
        <is>
          <t>Medium</t>
        </is>
      </c>
      <c r="V4924">
        <f>IF(AND(OR(Dashboard!$C$6="All",E4924=Dashboard!$C$6),OR(Dashboard!$F$6="All",G4924=Dashboard!$F$6),OR(Dashboard!$I$6="All",H4924=Dashboard!$I$6)),1,0)</f>
        <v/>
      </c>
    </row>
    <row r="4925">
      <c r="A4925" t="inlineStr">
        <is>
          <t>PF104916</t>
        </is>
      </c>
      <c r="B4925" s="68" t="n">
        <v>46251</v>
      </c>
      <c r="C4925" s="69" t="n">
        <v>2026</v>
      </c>
      <c r="D4925" t="inlineStr">
        <is>
          <t>Aug</t>
        </is>
      </c>
      <c r="E4925" t="inlineStr">
        <is>
          <t>Emerging markets</t>
        </is>
      </c>
      <c r="F4925" t="inlineStr">
        <is>
          <t>Brazil</t>
        </is>
      </c>
      <c r="G4925" t="inlineStr">
        <is>
          <t>Eliquis</t>
        </is>
      </c>
      <c r="H4925" t="inlineStr">
        <is>
          <t>Retail pharmacy</t>
        </is>
      </c>
      <c r="I4925" t="inlineStr">
        <is>
          <t>Public payer</t>
        </is>
      </c>
      <c r="J4925" t="inlineStr">
        <is>
          <t>Sara Rossi</t>
        </is>
      </c>
      <c r="K4925" s="70" t="n">
        <v>2850</v>
      </c>
      <c r="L4925" s="71" t="n">
        <v>473.15</v>
      </c>
      <c r="M4925" s="71" t="n">
        <v>1348477.5</v>
      </c>
      <c r="N4925" s="71" t="n">
        <v>202271.62</v>
      </c>
      <c r="O4925" s="71" t="n">
        <v>1146205.88</v>
      </c>
      <c r="P4925" s="71" t="n">
        <v>209854.06</v>
      </c>
      <c r="Q4925" s="71" t="n">
        <v>936351.8199999999</v>
      </c>
      <c r="R4925" t="inlineStr">
        <is>
          <t>Cardiology</t>
        </is>
      </c>
      <c r="S4925" s="70" t="n">
        <v>2647</v>
      </c>
      <c r="T4925" s="71" t="n">
        <v>159284.34</v>
      </c>
      <c r="U4925" t="inlineStr">
        <is>
          <t>High</t>
        </is>
      </c>
      <c r="V4925">
        <f>IF(AND(OR(Dashboard!$C$6="All",E4925=Dashboard!$C$6),OR(Dashboard!$F$6="All",G4925=Dashboard!$F$6),OR(Dashboard!$I$6="All",H4925=Dashboard!$I$6)),1,0)</f>
        <v/>
      </c>
    </row>
    <row r="4926">
      <c r="A4926" t="inlineStr">
        <is>
          <t>PF104917</t>
        </is>
      </c>
      <c r="B4926" s="68" t="n">
        <v>46251</v>
      </c>
      <c r="C4926" s="69" t="n">
        <v>2026</v>
      </c>
      <c r="D4926" t="inlineStr">
        <is>
          <t>Aug</t>
        </is>
      </c>
      <c r="E4926" t="inlineStr">
        <is>
          <t>International developed</t>
        </is>
      </c>
      <c r="F4926" t="inlineStr">
        <is>
          <t>Australia</t>
        </is>
      </c>
      <c r="G4926" t="inlineStr">
        <is>
          <t>Eliquis</t>
        </is>
      </c>
      <c r="H4926" t="inlineStr">
        <is>
          <t>Retail pharmacy</t>
        </is>
      </c>
      <c r="I4926" t="inlineStr">
        <is>
          <t>Private insurer</t>
        </is>
      </c>
      <c r="J4926" t="inlineStr">
        <is>
          <t>Wei Chen</t>
        </is>
      </c>
      <c r="K4926" s="70" t="n">
        <v>2435</v>
      </c>
      <c r="L4926" s="71" t="n">
        <v>392.88</v>
      </c>
      <c r="M4926" s="71" t="n">
        <v>956662.8</v>
      </c>
      <c r="N4926" s="71" t="n">
        <v>143499.42</v>
      </c>
      <c r="O4926" s="71" t="n">
        <v>813163.38</v>
      </c>
      <c r="P4926" s="71" t="n">
        <v>184143.11</v>
      </c>
      <c r="Q4926" s="71" t="n">
        <v>629020.27</v>
      </c>
      <c r="R4926" t="inlineStr">
        <is>
          <t>Cardiology</t>
        </is>
      </c>
      <c r="S4926" s="70" t="n">
        <v>1659</v>
      </c>
      <c r="T4926" s="71" t="n">
        <v>124749.4</v>
      </c>
      <c r="U4926" t="inlineStr">
        <is>
          <t>High</t>
        </is>
      </c>
      <c r="V4926">
        <f>IF(AND(OR(Dashboard!$C$6="All",E4926=Dashboard!$C$6),OR(Dashboard!$F$6="All",G4926=Dashboard!$F$6),OR(Dashboard!$I$6="All",H4926=Dashboard!$I$6)),1,0)</f>
        <v/>
      </c>
    </row>
    <row r="4927">
      <c r="A4927" t="inlineStr">
        <is>
          <t>PF104918</t>
        </is>
      </c>
      <c r="B4927" s="68" t="n">
        <v>46251</v>
      </c>
      <c r="C4927" s="69" t="n">
        <v>2026</v>
      </c>
      <c r="D4927" t="inlineStr">
        <is>
          <t>Aug</t>
        </is>
      </c>
      <c r="E4927" t="inlineStr">
        <is>
          <t>Europe</t>
        </is>
      </c>
      <c r="F4927" t="inlineStr">
        <is>
          <t>UK</t>
        </is>
      </c>
      <c r="G4927" t="inlineStr">
        <is>
          <t>Eliquis</t>
        </is>
      </c>
      <c r="H4927" t="inlineStr">
        <is>
          <t>Government / tender</t>
        </is>
      </c>
      <c r="I4927" t="inlineStr">
        <is>
          <t>Private insurer</t>
        </is>
      </c>
      <c r="J4927" t="inlineStr">
        <is>
          <t>Wei Chen</t>
        </is>
      </c>
      <c r="K4927" s="70" t="n">
        <v>1425</v>
      </c>
      <c r="L4927" s="71" t="n">
        <v>389.26</v>
      </c>
      <c r="M4927" s="71" t="n">
        <v>554695.5</v>
      </c>
      <c r="N4927" s="71" t="n">
        <v>138673.88</v>
      </c>
      <c r="O4927" s="71" t="n">
        <v>416021.62</v>
      </c>
      <c r="P4927" s="71" t="n">
        <v>104125.79</v>
      </c>
      <c r="Q4927" s="71" t="n">
        <v>311895.83</v>
      </c>
      <c r="R4927" t="inlineStr">
        <is>
          <t>Cardiology</t>
        </is>
      </c>
      <c r="S4927" s="70" t="n">
        <v>1323</v>
      </c>
      <c r="T4927" s="71" t="n">
        <v>83673.62</v>
      </c>
      <c r="U4927" t="inlineStr">
        <is>
          <t>High</t>
        </is>
      </c>
      <c r="V4927">
        <f>IF(AND(OR(Dashboard!$C$6="All",E4927=Dashboard!$C$6),OR(Dashboard!$F$6="All",G4927=Dashboard!$F$6),OR(Dashboard!$I$6="All",H4927=Dashboard!$I$6)),1,0)</f>
        <v/>
      </c>
    </row>
    <row r="4928">
      <c r="A4928" t="inlineStr">
        <is>
          <t>PF104919</t>
        </is>
      </c>
      <c r="B4928" s="68" t="n">
        <v>46251</v>
      </c>
      <c r="C4928" s="69" t="n">
        <v>2026</v>
      </c>
      <c r="D4928" t="inlineStr">
        <is>
          <t>Aug</t>
        </is>
      </c>
      <c r="E4928" t="inlineStr">
        <is>
          <t>United States</t>
        </is>
      </c>
      <c r="F4928" t="inlineStr">
        <is>
          <t>USA</t>
        </is>
      </c>
      <c r="G4928" t="inlineStr">
        <is>
          <t>Vyndaqel</t>
        </is>
      </c>
      <c r="H4928" t="inlineStr">
        <is>
          <t>Government / tender</t>
        </is>
      </c>
      <c r="I4928" t="inlineStr">
        <is>
          <t>Private insurer</t>
        </is>
      </c>
      <c r="J4928" t="inlineStr">
        <is>
          <t>Mei Lin</t>
        </is>
      </c>
      <c r="K4928" s="70" t="n">
        <v>431</v>
      </c>
      <c r="L4928" s="71" t="n">
        <v>10073.1</v>
      </c>
      <c r="M4928" s="71" t="n">
        <v>4341506.1</v>
      </c>
      <c r="N4928" s="71" t="n">
        <v>651225.92</v>
      </c>
      <c r="O4928" s="71" t="n">
        <v>3690280.18</v>
      </c>
      <c r="P4928" s="71" t="n">
        <v>273917.38</v>
      </c>
      <c r="Q4928" s="71" t="n">
        <v>3416362.8</v>
      </c>
      <c r="R4928" t="inlineStr">
        <is>
          <t>Rare disease</t>
        </is>
      </c>
      <c r="S4928" s="70" t="n">
        <v>306</v>
      </c>
      <c r="T4928" s="71" t="n">
        <v>659738.3</v>
      </c>
      <c r="U4928" t="inlineStr">
        <is>
          <t>Medium</t>
        </is>
      </c>
      <c r="V4928">
        <f>IF(AND(OR(Dashboard!$C$6="All",E4928=Dashboard!$C$6),OR(Dashboard!$F$6="All",G4928=Dashboard!$F$6),OR(Dashboard!$I$6="All",H4928=Dashboard!$I$6)),1,0)</f>
        <v/>
      </c>
    </row>
    <row r="4929">
      <c r="A4929" t="inlineStr">
        <is>
          <t>PF104920</t>
        </is>
      </c>
      <c r="B4929" s="68" t="n">
        <v>46251</v>
      </c>
      <c r="C4929" s="69" t="n">
        <v>2026</v>
      </c>
      <c r="D4929" t="inlineStr">
        <is>
          <t>Aug</t>
        </is>
      </c>
      <c r="E4929" t="inlineStr">
        <is>
          <t>Europe</t>
        </is>
      </c>
      <c r="F4929" t="inlineStr">
        <is>
          <t>Germany</t>
        </is>
      </c>
      <c r="G4929" t="inlineStr">
        <is>
          <t>Xeljanz</t>
        </is>
      </c>
      <c r="H4929" t="inlineStr">
        <is>
          <t>Hospital</t>
        </is>
      </c>
      <c r="I4929" t="inlineStr">
        <is>
          <t>Private insurer</t>
        </is>
      </c>
      <c r="J4929" t="inlineStr">
        <is>
          <t>Ana Costa</t>
        </is>
      </c>
      <c r="K4929" s="70" t="n">
        <v>657</v>
      </c>
      <c r="L4929" s="71" t="n">
        <v>1393.25</v>
      </c>
      <c r="M4929" s="71" t="n">
        <v>915365.25</v>
      </c>
      <c r="N4929" s="71" t="n">
        <v>183073.05</v>
      </c>
      <c r="O4929" s="71" t="n">
        <v>732292.2</v>
      </c>
      <c r="P4929" s="71" t="n">
        <v>165467.14</v>
      </c>
      <c r="Q4929" s="71" t="n">
        <v>566825.0600000001</v>
      </c>
      <c r="R4929" t="inlineStr">
        <is>
          <t>Inflammation</t>
        </is>
      </c>
      <c r="S4929" s="70" t="n">
        <v>492</v>
      </c>
      <c r="T4929" s="71" t="n">
        <v>187800.63</v>
      </c>
      <c r="U4929" t="inlineStr">
        <is>
          <t>High</t>
        </is>
      </c>
      <c r="V4929">
        <f>IF(AND(OR(Dashboard!$C$6="All",E4929=Dashboard!$C$6),OR(Dashboard!$F$6="All",G4929=Dashboard!$F$6),OR(Dashboard!$I$6="All",H4929=Dashboard!$I$6)),1,0)</f>
        <v/>
      </c>
    </row>
    <row r="4930">
      <c r="A4930" t="inlineStr">
        <is>
          <t>PF104921</t>
        </is>
      </c>
      <c r="B4930" s="68" t="n">
        <v>46251</v>
      </c>
      <c r="C4930" s="69" t="n">
        <v>2026</v>
      </c>
      <c r="D4930" t="inlineStr">
        <is>
          <t>Aug</t>
        </is>
      </c>
      <c r="E4930" t="inlineStr">
        <is>
          <t>United States</t>
        </is>
      </c>
      <c r="F4930" t="inlineStr">
        <is>
          <t>USA</t>
        </is>
      </c>
      <c r="G4930" t="inlineStr">
        <is>
          <t>Prevnar 20</t>
        </is>
      </c>
      <c r="H4930" t="inlineStr">
        <is>
          <t>Government / tender</t>
        </is>
      </c>
      <c r="I4930" t="inlineStr">
        <is>
          <t>Private insurer</t>
        </is>
      </c>
      <c r="J4930" t="inlineStr">
        <is>
          <t>Aisha Bello</t>
        </is>
      </c>
      <c r="K4930" s="70" t="n">
        <v>392</v>
      </c>
      <c r="L4930" s="71" t="n">
        <v>376.07</v>
      </c>
      <c r="M4930" s="71" t="n">
        <v>147419.44</v>
      </c>
      <c r="N4930" s="71" t="n">
        <v>44225.83</v>
      </c>
      <c r="O4930" s="71" t="n">
        <v>103193.61</v>
      </c>
      <c r="P4930" s="71" t="n">
        <v>26949.2</v>
      </c>
      <c r="Q4930" s="71" t="n">
        <v>76244.41</v>
      </c>
      <c r="R4930" t="inlineStr">
        <is>
          <t>Vaccines</t>
        </is>
      </c>
      <c r="S4930" s="70" t="n">
        <v>390</v>
      </c>
      <c r="T4930" s="71" t="n">
        <v>29900.85</v>
      </c>
      <c r="U4930" t="inlineStr">
        <is>
          <t>Low</t>
        </is>
      </c>
      <c r="V4930">
        <f>IF(AND(OR(Dashboard!$C$6="All",E4930=Dashboard!$C$6),OR(Dashboard!$F$6="All",G4930=Dashboard!$F$6),OR(Dashboard!$I$6="All",H4930=Dashboard!$I$6)),1,0)</f>
        <v/>
      </c>
    </row>
    <row r="4931">
      <c r="A4931" t="inlineStr">
        <is>
          <t>PF104922</t>
        </is>
      </c>
      <c r="B4931" s="68" t="n">
        <v>46251</v>
      </c>
      <c r="C4931" s="69" t="n">
        <v>2026</v>
      </c>
      <c r="D4931" t="inlineStr">
        <is>
          <t>Aug</t>
        </is>
      </c>
      <c r="E4931" t="inlineStr">
        <is>
          <t>United States</t>
        </is>
      </c>
      <c r="F4931" t="inlineStr">
        <is>
          <t>USA</t>
        </is>
      </c>
      <c r="G4931" t="inlineStr">
        <is>
          <t>Ibrance</t>
        </is>
      </c>
      <c r="H4931" t="inlineStr">
        <is>
          <t>Hospital</t>
        </is>
      </c>
      <c r="I4931" t="inlineStr">
        <is>
          <t>Private insurer</t>
        </is>
      </c>
      <c r="J4931" t="inlineStr">
        <is>
          <t>Zoya Ahmed</t>
        </is>
      </c>
      <c r="K4931" s="70" t="n">
        <v>1161</v>
      </c>
      <c r="L4931" s="71" t="n">
        <v>4173.99</v>
      </c>
      <c r="M4931" s="71" t="n">
        <v>4846002.39</v>
      </c>
      <c r="N4931" s="71" t="n">
        <v>1211500.6</v>
      </c>
      <c r="O4931" s="71" t="n">
        <v>3634501.79</v>
      </c>
      <c r="P4931" s="71" t="n">
        <v>515022.2</v>
      </c>
      <c r="Q4931" s="71" t="n">
        <v>3119479.59</v>
      </c>
      <c r="R4931" t="inlineStr">
        <is>
          <t>Oncology</t>
        </is>
      </c>
      <c r="S4931" s="70" t="n">
        <v>926</v>
      </c>
      <c r="T4931" s="71" t="n">
        <v>611086.55</v>
      </c>
      <c r="U4931" t="inlineStr">
        <is>
          <t>High</t>
        </is>
      </c>
      <c r="V4931">
        <f>IF(AND(OR(Dashboard!$C$6="All",E4931=Dashboard!$C$6),OR(Dashboard!$F$6="All",G4931=Dashboard!$F$6),OR(Dashboard!$I$6="All",H4931=Dashboard!$I$6)),1,0)</f>
        <v/>
      </c>
    </row>
    <row r="4932">
      <c r="A4932" t="inlineStr">
        <is>
          <t>PF104923</t>
        </is>
      </c>
      <c r="B4932" s="68" t="n">
        <v>46252</v>
      </c>
      <c r="C4932" s="69" t="n">
        <v>2026</v>
      </c>
      <c r="D4932" t="inlineStr">
        <is>
          <t>Aug</t>
        </is>
      </c>
      <c r="E4932" t="inlineStr">
        <is>
          <t>United States</t>
        </is>
      </c>
      <c r="F4932" t="inlineStr">
        <is>
          <t>USA</t>
        </is>
      </c>
      <c r="G4932" t="inlineStr">
        <is>
          <t>Abrysvo</t>
        </is>
      </c>
      <c r="H4932" t="inlineStr">
        <is>
          <t>Hospital</t>
        </is>
      </c>
      <c r="I4932" t="inlineStr">
        <is>
          <t>Public payer</t>
        </is>
      </c>
      <c r="J4932" t="inlineStr">
        <is>
          <t>Mei Lin</t>
        </is>
      </c>
      <c r="K4932" s="70" t="n">
        <v>2508</v>
      </c>
      <c r="L4932" s="71" t="n">
        <v>538.22</v>
      </c>
      <c r="M4932" s="71" t="n">
        <v>1349855.76</v>
      </c>
      <c r="N4932" s="71" t="n">
        <v>472449.52</v>
      </c>
      <c r="O4932" s="71" t="n">
        <v>877406.24</v>
      </c>
      <c r="P4932" s="71" t="n">
        <v>215098.38</v>
      </c>
      <c r="Q4932" s="71" t="n">
        <v>662307.86</v>
      </c>
      <c r="R4932" t="inlineStr">
        <is>
          <t>Vaccines</t>
        </is>
      </c>
      <c r="S4932" s="70" t="n">
        <v>1782</v>
      </c>
      <c r="T4932" s="71" t="n">
        <v>222341.16</v>
      </c>
      <c r="U4932" t="inlineStr">
        <is>
          <t>Low</t>
        </is>
      </c>
      <c r="V4932">
        <f>IF(AND(OR(Dashboard!$C$6="All",E4932=Dashboard!$C$6),OR(Dashboard!$F$6="All",G4932=Dashboard!$F$6),OR(Dashboard!$I$6="All",H4932=Dashboard!$I$6)),1,0)</f>
        <v/>
      </c>
    </row>
    <row r="4933">
      <c r="A4933" t="inlineStr">
        <is>
          <t>PF104924</t>
        </is>
      </c>
      <c r="B4933" s="68" t="n">
        <v>46252</v>
      </c>
      <c r="C4933" s="69" t="n">
        <v>2026</v>
      </c>
      <c r="D4933" t="inlineStr">
        <is>
          <t>Aug</t>
        </is>
      </c>
      <c r="E4933" t="inlineStr">
        <is>
          <t>United States</t>
        </is>
      </c>
      <c r="F4933" t="inlineStr">
        <is>
          <t>USA</t>
        </is>
      </c>
      <c r="G4933" t="inlineStr">
        <is>
          <t>Prevnar 20</t>
        </is>
      </c>
      <c r="H4933" t="inlineStr">
        <is>
          <t>Government / tender</t>
        </is>
      </c>
      <c r="I4933" t="inlineStr">
        <is>
          <t>Self-pay</t>
        </is>
      </c>
      <c r="J4933" t="inlineStr">
        <is>
          <t>Zoya Ahmed</t>
        </is>
      </c>
      <c r="K4933" s="70" t="n">
        <v>2216</v>
      </c>
      <c r="L4933" s="71" t="n">
        <v>393.15</v>
      </c>
      <c r="M4933" s="71" t="n">
        <v>871220.4</v>
      </c>
      <c r="N4933" s="71" t="n">
        <v>217805.1</v>
      </c>
      <c r="O4933" s="71" t="n">
        <v>653415.3</v>
      </c>
      <c r="P4933" s="71" t="n">
        <v>155338.42</v>
      </c>
      <c r="Q4933" s="71" t="n">
        <v>498076.88</v>
      </c>
      <c r="R4933" t="inlineStr">
        <is>
          <t>Vaccines</t>
        </is>
      </c>
      <c r="S4933" s="70" t="n">
        <v>1394</v>
      </c>
      <c r="T4933" s="71" t="n">
        <v>133874.74</v>
      </c>
      <c r="U4933" t="inlineStr">
        <is>
          <t>Low</t>
        </is>
      </c>
      <c r="V4933">
        <f>IF(AND(OR(Dashboard!$C$6="All",E4933=Dashboard!$C$6),OR(Dashboard!$F$6="All",G4933=Dashboard!$F$6),OR(Dashboard!$I$6="All",H4933=Dashboard!$I$6)),1,0)</f>
        <v/>
      </c>
    </row>
    <row r="4934">
      <c r="A4934" t="inlineStr">
        <is>
          <t>PF104925</t>
        </is>
      </c>
      <c r="B4934" s="68" t="n">
        <v>46252</v>
      </c>
      <c r="C4934" s="69" t="n">
        <v>2026</v>
      </c>
      <c r="D4934" t="inlineStr">
        <is>
          <t>Aug</t>
        </is>
      </c>
      <c r="E4934" t="inlineStr">
        <is>
          <t>United States</t>
        </is>
      </c>
      <c r="F4934" t="inlineStr">
        <is>
          <t>USA</t>
        </is>
      </c>
      <c r="G4934" t="inlineStr">
        <is>
          <t>Paxlovid</t>
        </is>
      </c>
      <c r="H4934" t="inlineStr">
        <is>
          <t>Government / tender</t>
        </is>
      </c>
      <c r="I4934" t="inlineStr">
        <is>
          <t>Private insurer</t>
        </is>
      </c>
      <c r="J4934" t="inlineStr">
        <is>
          <t>Zoya Ahmed</t>
        </is>
      </c>
      <c r="K4934" s="70" t="n">
        <v>1595</v>
      </c>
      <c r="L4934" s="71" t="n">
        <v>1416.67</v>
      </c>
      <c r="M4934" s="71" t="n">
        <v>2259588.65</v>
      </c>
      <c r="N4934" s="71" t="n">
        <v>564897.16</v>
      </c>
      <c r="O4934" s="71" t="n">
        <v>1694691.49</v>
      </c>
      <c r="P4934" s="71" t="n">
        <v>423406.2</v>
      </c>
      <c r="Q4934" s="71" t="n">
        <v>1271285.29</v>
      </c>
      <c r="R4934" t="inlineStr">
        <is>
          <t>Antiviral</t>
        </is>
      </c>
      <c r="S4934" s="70" t="n">
        <v>1496</v>
      </c>
      <c r="T4934" s="71" t="n">
        <v>580605.1</v>
      </c>
      <c r="U4934" t="inlineStr">
        <is>
          <t>Low</t>
        </is>
      </c>
      <c r="V4934">
        <f>IF(AND(OR(Dashboard!$C$6="All",E4934=Dashboard!$C$6),OR(Dashboard!$F$6="All",G4934=Dashboard!$F$6),OR(Dashboard!$I$6="All",H4934=Dashboard!$I$6)),1,0)</f>
        <v/>
      </c>
    </row>
    <row r="4935">
      <c r="A4935" t="inlineStr">
        <is>
          <t>PF104926</t>
        </is>
      </c>
      <c r="B4935" s="68" t="n">
        <v>46252</v>
      </c>
      <c r="C4935" s="69" t="n">
        <v>2026</v>
      </c>
      <c r="D4935" t="inlineStr">
        <is>
          <t>Aug</t>
        </is>
      </c>
      <c r="E4935" t="inlineStr">
        <is>
          <t>United States</t>
        </is>
      </c>
      <c r="F4935" t="inlineStr">
        <is>
          <t>USA</t>
        </is>
      </c>
      <c r="G4935" t="inlineStr">
        <is>
          <t>Prevnar 20</t>
        </is>
      </c>
      <c r="H4935" t="inlineStr">
        <is>
          <t>Government / tender</t>
        </is>
      </c>
      <c r="I4935" t="inlineStr">
        <is>
          <t>Private insurer</t>
        </is>
      </c>
      <c r="J4935" t="inlineStr">
        <is>
          <t>Kofi Mensah</t>
        </is>
      </c>
      <c r="K4935" s="70" t="n">
        <v>2435</v>
      </c>
      <c r="L4935" s="71" t="n">
        <v>383.09</v>
      </c>
      <c r="M4935" s="71" t="n">
        <v>932824.15</v>
      </c>
      <c r="N4935" s="71" t="n">
        <v>186564.83</v>
      </c>
      <c r="O4935" s="71" t="n">
        <v>746259.3199999999</v>
      </c>
      <c r="P4935" s="71" t="n">
        <v>172698.17</v>
      </c>
      <c r="Q4935" s="71" t="n">
        <v>573561.15</v>
      </c>
      <c r="R4935" t="inlineStr">
        <is>
          <t>Vaccines</t>
        </is>
      </c>
      <c r="S4935" s="70" t="n">
        <v>1569</v>
      </c>
      <c r="T4935" s="71" t="n">
        <v>173116</v>
      </c>
      <c r="U4935" t="inlineStr">
        <is>
          <t>Low</t>
        </is>
      </c>
      <c r="V4935">
        <f>IF(AND(OR(Dashboard!$C$6="All",E4935=Dashboard!$C$6),OR(Dashboard!$F$6="All",G4935=Dashboard!$F$6),OR(Dashboard!$I$6="All",H4935=Dashboard!$I$6)),1,0)</f>
        <v/>
      </c>
    </row>
    <row r="4936">
      <c r="A4936" t="inlineStr">
        <is>
          <t>PF104927</t>
        </is>
      </c>
      <c r="B4936" s="68" t="n">
        <v>46252</v>
      </c>
      <c r="C4936" s="69" t="n">
        <v>2026</v>
      </c>
      <c r="D4936" t="inlineStr">
        <is>
          <t>Aug</t>
        </is>
      </c>
      <c r="E4936" t="inlineStr">
        <is>
          <t>United States</t>
        </is>
      </c>
      <c r="F4936" t="inlineStr">
        <is>
          <t>USA</t>
        </is>
      </c>
      <c r="G4936" t="inlineStr">
        <is>
          <t>Prevnar 20</t>
        </is>
      </c>
      <c r="H4936" t="inlineStr">
        <is>
          <t>Retail pharmacy</t>
        </is>
      </c>
      <c r="I4936" t="inlineStr">
        <is>
          <t>Self-pay</t>
        </is>
      </c>
      <c r="J4936" t="inlineStr">
        <is>
          <t>Ravindra Patil</t>
        </is>
      </c>
      <c r="K4936" s="70" t="n">
        <v>2470</v>
      </c>
      <c r="L4936" s="71" t="n">
        <v>408.44</v>
      </c>
      <c r="M4936" s="71" t="n">
        <v>1008846.8</v>
      </c>
      <c r="N4936" s="71" t="n">
        <v>252211.7</v>
      </c>
      <c r="O4936" s="71" t="n">
        <v>756635.1</v>
      </c>
      <c r="P4936" s="71" t="n">
        <v>174615.77</v>
      </c>
      <c r="Q4936" s="71" t="n">
        <v>582019.33</v>
      </c>
      <c r="R4936" t="inlineStr">
        <is>
          <t>Vaccines</t>
        </is>
      </c>
      <c r="S4936" s="70" t="n">
        <v>1632</v>
      </c>
      <c r="T4936" s="71" t="n">
        <v>181665.56</v>
      </c>
      <c r="U4936" t="inlineStr">
        <is>
          <t>Low</t>
        </is>
      </c>
      <c r="V4936">
        <f>IF(AND(OR(Dashboard!$C$6="All",E4936=Dashboard!$C$6),OR(Dashboard!$F$6="All",G4936=Dashboard!$F$6),OR(Dashboard!$I$6="All",H4936=Dashboard!$I$6)),1,0)</f>
        <v/>
      </c>
    </row>
    <row r="4937">
      <c r="A4937" t="inlineStr">
        <is>
          <t>PF104928</t>
        </is>
      </c>
      <c r="B4937" s="68" t="n">
        <v>46252</v>
      </c>
      <c r="C4937" s="69" t="n">
        <v>2026</v>
      </c>
      <c r="D4937" t="inlineStr">
        <is>
          <t>Aug</t>
        </is>
      </c>
      <c r="E4937" t="inlineStr">
        <is>
          <t>United States</t>
        </is>
      </c>
      <c r="F4937" t="inlineStr">
        <is>
          <t>USA</t>
        </is>
      </c>
      <c r="G4937" t="inlineStr">
        <is>
          <t>Paxlovid</t>
        </is>
      </c>
      <c r="H4937" t="inlineStr">
        <is>
          <t>Retail pharmacy</t>
        </is>
      </c>
      <c r="I4937" t="inlineStr">
        <is>
          <t>Self-pay</t>
        </is>
      </c>
      <c r="J4937" t="inlineStr">
        <is>
          <t>Shraddha Kulkarni</t>
        </is>
      </c>
      <c r="K4937" s="70" t="n">
        <v>1337</v>
      </c>
      <c r="L4937" s="71" t="n">
        <v>1370.94</v>
      </c>
      <c r="M4937" s="71" t="n">
        <v>1832946.78</v>
      </c>
      <c r="N4937" s="71" t="n">
        <v>274942.02</v>
      </c>
      <c r="O4937" s="71" t="n">
        <v>1558004.76</v>
      </c>
      <c r="P4937" s="71" t="n">
        <v>373602.52</v>
      </c>
      <c r="Q4937" s="71" t="n">
        <v>1184402.24</v>
      </c>
      <c r="R4937" t="inlineStr">
        <is>
          <t>Antiviral</t>
        </is>
      </c>
      <c r="S4937" s="70" t="n">
        <v>1300</v>
      </c>
      <c r="T4937" s="71" t="n">
        <v>404942.71</v>
      </c>
      <c r="U4937" t="inlineStr">
        <is>
          <t>Low</t>
        </is>
      </c>
      <c r="V4937">
        <f>IF(AND(OR(Dashboard!$C$6="All",E4937=Dashboard!$C$6),OR(Dashboard!$F$6="All",G4937=Dashboard!$F$6),OR(Dashboard!$I$6="All",H4937=Dashboard!$I$6)),1,0)</f>
        <v/>
      </c>
    </row>
    <row r="4938">
      <c r="A4938" t="inlineStr">
        <is>
          <t>PF104929</t>
        </is>
      </c>
      <c r="B4938" s="68" t="n">
        <v>46252</v>
      </c>
      <c r="C4938" s="69" t="n">
        <v>2026</v>
      </c>
      <c r="D4938" t="inlineStr">
        <is>
          <t>Aug</t>
        </is>
      </c>
      <c r="E4938" t="inlineStr">
        <is>
          <t>International developed</t>
        </is>
      </c>
      <c r="F4938" t="inlineStr">
        <is>
          <t>Japan</t>
        </is>
      </c>
      <c r="G4938" t="inlineStr">
        <is>
          <t>Ibrance</t>
        </is>
      </c>
      <c r="H4938" t="inlineStr">
        <is>
          <t>Government / tender</t>
        </is>
      </c>
      <c r="I4938" t="inlineStr">
        <is>
          <t>Public payer</t>
        </is>
      </c>
      <c r="J4938" t="inlineStr">
        <is>
          <t>Sara Rossi</t>
        </is>
      </c>
      <c r="K4938" s="70" t="n">
        <v>946</v>
      </c>
      <c r="L4938" s="71" t="n">
        <v>2938.91</v>
      </c>
      <c r="M4938" s="71" t="n">
        <v>2780208.86</v>
      </c>
      <c r="N4938" s="71" t="n">
        <v>556041.77</v>
      </c>
      <c r="O4938" s="71" t="n">
        <v>2224167.09</v>
      </c>
      <c r="P4938" s="71" t="n">
        <v>417319.43</v>
      </c>
      <c r="Q4938" s="71" t="n">
        <v>1806847.66</v>
      </c>
      <c r="R4938" t="inlineStr">
        <is>
          <t>Oncology</t>
        </is>
      </c>
      <c r="S4938" s="70" t="n">
        <v>703</v>
      </c>
      <c r="T4938" s="71" t="n">
        <v>372211.48</v>
      </c>
      <c r="U4938" t="inlineStr">
        <is>
          <t>High</t>
        </is>
      </c>
      <c r="V4938">
        <f>IF(AND(OR(Dashboard!$C$6="All",E4938=Dashboard!$C$6),OR(Dashboard!$F$6="All",G4938=Dashboard!$F$6),OR(Dashboard!$I$6="All",H4938=Dashboard!$I$6)),1,0)</f>
        <v/>
      </c>
    </row>
    <row r="4939">
      <c r="A4939" t="inlineStr">
        <is>
          <t>PF104930</t>
        </is>
      </c>
      <c r="B4939" s="68" t="n">
        <v>46252</v>
      </c>
      <c r="C4939" s="69" t="n">
        <v>2026</v>
      </c>
      <c r="D4939" t="inlineStr">
        <is>
          <t>Aug</t>
        </is>
      </c>
      <c r="E4939" t="inlineStr">
        <is>
          <t>United States</t>
        </is>
      </c>
      <c r="F4939" t="inlineStr">
        <is>
          <t>USA</t>
        </is>
      </c>
      <c r="G4939" t="inlineStr">
        <is>
          <t>Eliquis</t>
        </is>
      </c>
      <c r="H4939" t="inlineStr">
        <is>
          <t>Government / tender</t>
        </is>
      </c>
      <c r="I4939" t="inlineStr">
        <is>
          <t>Private insurer</t>
        </is>
      </c>
      <c r="J4939" t="inlineStr">
        <is>
          <t>Omar Haddad</t>
        </is>
      </c>
      <c r="K4939" s="70" t="n">
        <v>739</v>
      </c>
      <c r="L4939" s="71" t="n">
        <v>746.45</v>
      </c>
      <c r="M4939" s="71" t="n">
        <v>551626.55</v>
      </c>
      <c r="N4939" s="71" t="n">
        <v>137906.64</v>
      </c>
      <c r="O4939" s="71" t="n">
        <v>413719.91</v>
      </c>
      <c r="P4939" s="71" t="n">
        <v>54549.54</v>
      </c>
      <c r="Q4939" s="71" t="n">
        <v>359170.37</v>
      </c>
      <c r="R4939" t="inlineStr">
        <is>
          <t>Cardiology</t>
        </is>
      </c>
      <c r="S4939" s="70" t="n">
        <v>533</v>
      </c>
      <c r="T4939" s="71" t="n">
        <v>102143.35</v>
      </c>
      <c r="U4939" t="inlineStr">
        <is>
          <t>High</t>
        </is>
      </c>
      <c r="V4939">
        <f>IF(AND(OR(Dashboard!$C$6="All",E4939=Dashboard!$C$6),OR(Dashboard!$F$6="All",G4939=Dashboard!$F$6),OR(Dashboard!$I$6="All",H4939=Dashboard!$I$6)),1,0)</f>
        <v/>
      </c>
    </row>
    <row r="4940">
      <c r="A4940" t="inlineStr">
        <is>
          <t>PF104931</t>
        </is>
      </c>
      <c r="B4940" s="68" t="n">
        <v>46252</v>
      </c>
      <c r="C4940" s="69" t="n">
        <v>2026</v>
      </c>
      <c r="D4940" t="inlineStr">
        <is>
          <t>Aug</t>
        </is>
      </c>
      <c r="E4940" t="inlineStr">
        <is>
          <t>International developed</t>
        </is>
      </c>
      <c r="F4940" t="inlineStr">
        <is>
          <t>Japan</t>
        </is>
      </c>
      <c r="G4940" t="inlineStr">
        <is>
          <t>Eliquis</t>
        </is>
      </c>
      <c r="H4940" t="inlineStr">
        <is>
          <t>Hospital</t>
        </is>
      </c>
      <c r="I4940" t="inlineStr">
        <is>
          <t>Private insurer</t>
        </is>
      </c>
      <c r="J4940" t="inlineStr">
        <is>
          <t>Zoya Ahmed</t>
        </is>
      </c>
      <c r="K4940" s="70" t="n">
        <v>2298</v>
      </c>
      <c r="L4940" s="71" t="n">
        <v>431.63</v>
      </c>
      <c r="M4940" s="71" t="n">
        <v>991885.74</v>
      </c>
      <c r="N4940" s="71" t="n">
        <v>247971.43</v>
      </c>
      <c r="O4940" s="71" t="n">
        <v>743914.3100000001</v>
      </c>
      <c r="P4940" s="71" t="n">
        <v>178779.56</v>
      </c>
      <c r="Q4940" s="71" t="n">
        <v>565134.75</v>
      </c>
      <c r="R4940" t="inlineStr">
        <is>
          <t>Cardiology</t>
        </is>
      </c>
      <c r="S4940" s="70" t="n">
        <v>1995</v>
      </c>
      <c r="T4940" s="71" t="n">
        <v>179397.81</v>
      </c>
      <c r="U4940" t="inlineStr">
        <is>
          <t>High</t>
        </is>
      </c>
      <c r="V4940">
        <f>IF(AND(OR(Dashboard!$C$6="All",E4940=Dashboard!$C$6),OR(Dashboard!$F$6="All",G4940=Dashboard!$F$6),OR(Dashboard!$I$6="All",H4940=Dashboard!$I$6)),1,0)</f>
        <v/>
      </c>
    </row>
    <row r="4941">
      <c r="A4941" t="inlineStr">
        <is>
          <t>PF104932</t>
        </is>
      </c>
      <c r="B4941" s="68" t="n">
        <v>46252</v>
      </c>
      <c r="C4941" s="69" t="n">
        <v>2026</v>
      </c>
      <c r="D4941" t="inlineStr">
        <is>
          <t>Aug</t>
        </is>
      </c>
      <c r="E4941" t="inlineStr">
        <is>
          <t>Emerging markets</t>
        </is>
      </c>
      <c r="F4941" t="inlineStr">
        <is>
          <t>India</t>
        </is>
      </c>
      <c r="G4941" t="inlineStr">
        <is>
          <t>Xeljanz</t>
        </is>
      </c>
      <c r="H4941" t="inlineStr">
        <is>
          <t>Government / tender</t>
        </is>
      </c>
      <c r="I4941" t="inlineStr">
        <is>
          <t>Self-pay</t>
        </is>
      </c>
      <c r="J4941" t="inlineStr">
        <is>
          <t>Priya Nair</t>
        </is>
      </c>
      <c r="K4941" s="70" t="n">
        <v>2941</v>
      </c>
      <c r="L4941" s="71" t="n">
        <v>1229.41</v>
      </c>
      <c r="M4941" s="71" t="n">
        <v>3615694.81</v>
      </c>
      <c r="N4941" s="71" t="n">
        <v>180784.74</v>
      </c>
      <c r="O4941" s="71" t="n">
        <v>3434910.07</v>
      </c>
      <c r="P4941" s="71" t="n">
        <v>736024.1800000001</v>
      </c>
      <c r="Q4941" s="71" t="n">
        <v>2698885.89</v>
      </c>
      <c r="R4941" t="inlineStr">
        <is>
          <t>Inflammation</t>
        </is>
      </c>
      <c r="S4941" s="70" t="n">
        <v>2411</v>
      </c>
      <c r="T4941" s="71" t="n">
        <v>529089.92</v>
      </c>
      <c r="U4941" t="inlineStr">
        <is>
          <t>High</t>
        </is>
      </c>
      <c r="V4941">
        <f>IF(AND(OR(Dashboard!$C$6="All",E4941=Dashboard!$C$6),OR(Dashboard!$F$6="All",G4941=Dashboard!$F$6),OR(Dashboard!$I$6="All",H4941=Dashboard!$I$6)),1,0)</f>
        <v/>
      </c>
    </row>
    <row r="4942">
      <c r="A4942" t="inlineStr">
        <is>
          <t>PF104933</t>
        </is>
      </c>
      <c r="B4942" s="68" t="n">
        <v>46252</v>
      </c>
      <c r="C4942" s="69" t="n">
        <v>2026</v>
      </c>
      <c r="D4942" t="inlineStr">
        <is>
          <t>Aug</t>
        </is>
      </c>
      <c r="E4942" t="inlineStr">
        <is>
          <t>United States</t>
        </is>
      </c>
      <c r="F4942" t="inlineStr">
        <is>
          <t>USA</t>
        </is>
      </c>
      <c r="G4942" t="inlineStr">
        <is>
          <t>Vyndaqel</t>
        </is>
      </c>
      <c r="H4942" t="inlineStr">
        <is>
          <t>Hospital</t>
        </is>
      </c>
      <c r="I4942" t="inlineStr">
        <is>
          <t>Private insurer</t>
        </is>
      </c>
      <c r="J4942" t="inlineStr">
        <is>
          <t>Shraddha Kulkarni</t>
        </is>
      </c>
      <c r="K4942" s="70" t="n">
        <v>672</v>
      </c>
      <c r="L4942" s="71" t="n">
        <v>9806.870000000001</v>
      </c>
      <c r="M4942" s="71" t="n">
        <v>6590216.64</v>
      </c>
      <c r="N4942" s="71" t="n">
        <v>1318043.33</v>
      </c>
      <c r="O4942" s="71" t="n">
        <v>5272173.31</v>
      </c>
      <c r="P4942" s="71" t="n">
        <v>403501.07</v>
      </c>
      <c r="Q4942" s="71" t="n">
        <v>4868672.24</v>
      </c>
      <c r="R4942" t="inlineStr">
        <is>
          <t>Rare disease</t>
        </is>
      </c>
      <c r="S4942" s="70" t="n">
        <v>555</v>
      </c>
      <c r="T4942" s="71" t="n">
        <v>1110237.87</v>
      </c>
      <c r="U4942" t="inlineStr">
        <is>
          <t>Medium</t>
        </is>
      </c>
      <c r="V4942">
        <f>IF(AND(OR(Dashboard!$C$6="All",E4942=Dashboard!$C$6),OR(Dashboard!$F$6="All",G4942=Dashboard!$F$6),OR(Dashboard!$I$6="All",H4942=Dashboard!$I$6)),1,0)</f>
        <v/>
      </c>
    </row>
    <row r="4943">
      <c r="A4943" t="inlineStr">
        <is>
          <t>PF104934</t>
        </is>
      </c>
      <c r="B4943" s="68" t="n">
        <v>46252</v>
      </c>
      <c r="C4943" s="69" t="n">
        <v>2026</v>
      </c>
      <c r="D4943" t="inlineStr">
        <is>
          <t>Aug</t>
        </is>
      </c>
      <c r="E4943" t="inlineStr">
        <is>
          <t>International developed</t>
        </is>
      </c>
      <c r="F4943" t="inlineStr">
        <is>
          <t>Canada</t>
        </is>
      </c>
      <c r="G4943" t="inlineStr">
        <is>
          <t>Xeljanz</t>
        </is>
      </c>
      <c r="H4943" t="inlineStr">
        <is>
          <t>Retail pharmacy</t>
        </is>
      </c>
      <c r="I4943" t="inlineStr">
        <is>
          <t>Private insurer</t>
        </is>
      </c>
      <c r="J4943" t="inlineStr">
        <is>
          <t>Zoya Ahmed</t>
        </is>
      </c>
      <c r="K4943" s="70" t="n">
        <v>296</v>
      </c>
      <c r="L4943" s="71" t="n">
        <v>1306.47</v>
      </c>
      <c r="M4943" s="71" t="n">
        <v>386715.12</v>
      </c>
      <c r="N4943" s="71" t="n">
        <v>77343.02</v>
      </c>
      <c r="O4943" s="71" t="n">
        <v>309372.1</v>
      </c>
      <c r="P4943" s="71" t="n">
        <v>77062.5</v>
      </c>
      <c r="Q4943" s="71" t="n">
        <v>232309.6</v>
      </c>
      <c r="R4943" t="inlineStr">
        <is>
          <t>Inflammation</t>
        </is>
      </c>
      <c r="S4943" s="70" t="n">
        <v>254</v>
      </c>
      <c r="T4943" s="71" t="n">
        <v>75489.58</v>
      </c>
      <c r="U4943" t="inlineStr">
        <is>
          <t>High</t>
        </is>
      </c>
      <c r="V4943">
        <f>IF(AND(OR(Dashboard!$C$6="All",E4943=Dashboard!$C$6),OR(Dashboard!$F$6="All",G4943=Dashboard!$F$6),OR(Dashboard!$I$6="All",H4943=Dashboard!$I$6)),1,0)</f>
        <v/>
      </c>
    </row>
    <row r="4944">
      <c r="A4944" t="inlineStr">
        <is>
          <t>PF104935</t>
        </is>
      </c>
      <c r="B4944" s="68" t="n">
        <v>46252</v>
      </c>
      <c r="C4944" s="69" t="n">
        <v>2026</v>
      </c>
      <c r="D4944" t="inlineStr">
        <is>
          <t>Aug</t>
        </is>
      </c>
      <c r="E4944" t="inlineStr">
        <is>
          <t>Europe</t>
        </is>
      </c>
      <c r="F4944" t="inlineStr">
        <is>
          <t>UK</t>
        </is>
      </c>
      <c r="G4944" t="inlineStr">
        <is>
          <t>Paxlovid</t>
        </is>
      </c>
      <c r="H4944" t="inlineStr">
        <is>
          <t>Hospital</t>
        </is>
      </c>
      <c r="I4944" t="inlineStr">
        <is>
          <t>Private insurer</t>
        </is>
      </c>
      <c r="J4944" t="inlineStr">
        <is>
          <t>Ruhi Shaikh</t>
        </is>
      </c>
      <c r="K4944" s="70" t="n">
        <v>214</v>
      </c>
      <c r="L4944" s="71" t="n">
        <v>989.59</v>
      </c>
      <c r="M4944" s="71" t="n">
        <v>211772.26</v>
      </c>
      <c r="N4944" s="71" t="n">
        <v>31765.84</v>
      </c>
      <c r="O4944" s="71" t="n">
        <v>180006.42</v>
      </c>
      <c r="P4944" s="71" t="n">
        <v>56540.12</v>
      </c>
      <c r="Q4944" s="71" t="n">
        <v>123466.3</v>
      </c>
      <c r="R4944" t="inlineStr">
        <is>
          <t>Antiviral</t>
        </is>
      </c>
      <c r="S4944" s="70" t="n">
        <v>189</v>
      </c>
      <c r="T4944" s="71" t="n">
        <v>40220.74</v>
      </c>
      <c r="U4944" t="inlineStr">
        <is>
          <t>Low</t>
        </is>
      </c>
      <c r="V4944">
        <f>IF(AND(OR(Dashboard!$C$6="All",E4944=Dashboard!$C$6),OR(Dashboard!$F$6="All",G4944=Dashboard!$F$6),OR(Dashboard!$I$6="All",H4944=Dashboard!$I$6)),1,0)</f>
        <v/>
      </c>
    </row>
    <row r="4945">
      <c r="A4945" t="inlineStr">
        <is>
          <t>PF104936</t>
        </is>
      </c>
      <c r="B4945" s="68" t="n">
        <v>46252</v>
      </c>
      <c r="C4945" s="69" t="n">
        <v>2026</v>
      </c>
      <c r="D4945" t="inlineStr">
        <is>
          <t>Aug</t>
        </is>
      </c>
      <c r="E4945" t="inlineStr">
        <is>
          <t>International developed</t>
        </is>
      </c>
      <c r="F4945" t="inlineStr">
        <is>
          <t>Japan</t>
        </is>
      </c>
      <c r="G4945" t="inlineStr">
        <is>
          <t>Paxlovid</t>
        </is>
      </c>
      <c r="H4945" t="inlineStr">
        <is>
          <t>Hospital</t>
        </is>
      </c>
      <c r="I4945" t="inlineStr">
        <is>
          <t>Public payer</t>
        </is>
      </c>
      <c r="J4945" t="inlineStr">
        <is>
          <t>Priya Nair</t>
        </is>
      </c>
      <c r="K4945" s="70" t="n">
        <v>371</v>
      </c>
      <c r="L4945" s="71" t="n">
        <v>858.63</v>
      </c>
      <c r="M4945" s="71" t="n">
        <v>318551.73</v>
      </c>
      <c r="N4945" s="71" t="n">
        <v>63710.35</v>
      </c>
      <c r="O4945" s="71" t="n">
        <v>254841.38</v>
      </c>
      <c r="P4945" s="71" t="n">
        <v>105301.7</v>
      </c>
      <c r="Q4945" s="71" t="n">
        <v>149539.68</v>
      </c>
      <c r="R4945" t="inlineStr">
        <is>
          <t>Antiviral</t>
        </is>
      </c>
      <c r="S4945" s="70" t="n">
        <v>318</v>
      </c>
      <c r="T4945" s="71" t="n">
        <v>45947.96</v>
      </c>
      <c r="U4945" t="inlineStr">
        <is>
          <t>Low</t>
        </is>
      </c>
      <c r="V4945">
        <f>IF(AND(OR(Dashboard!$C$6="All",E4945=Dashboard!$C$6),OR(Dashboard!$F$6="All",G4945=Dashboard!$F$6),OR(Dashboard!$I$6="All",H4945=Dashboard!$I$6)),1,0)</f>
        <v/>
      </c>
    </row>
    <row r="4946">
      <c r="A4946" t="inlineStr">
        <is>
          <t>PF104937</t>
        </is>
      </c>
      <c r="B4946" s="68" t="n">
        <v>46253</v>
      </c>
      <c r="C4946" s="69" t="n">
        <v>2026</v>
      </c>
      <c r="D4946" t="inlineStr">
        <is>
          <t>Aug</t>
        </is>
      </c>
      <c r="E4946" t="inlineStr">
        <is>
          <t>Europe</t>
        </is>
      </c>
      <c r="F4946" t="inlineStr">
        <is>
          <t>UK</t>
        </is>
      </c>
      <c r="G4946" t="inlineStr">
        <is>
          <t>Eliquis</t>
        </is>
      </c>
      <c r="H4946" t="inlineStr">
        <is>
          <t>Government / tender</t>
        </is>
      </c>
      <c r="I4946" t="inlineStr">
        <is>
          <t>Public payer</t>
        </is>
      </c>
      <c r="J4946" t="inlineStr">
        <is>
          <t>Carlos Silva</t>
        </is>
      </c>
      <c r="K4946" s="70" t="n">
        <v>261</v>
      </c>
      <c r="L4946" s="71" t="n">
        <v>411.55</v>
      </c>
      <c r="M4946" s="71" t="n">
        <v>107414.55</v>
      </c>
      <c r="N4946" s="71" t="n">
        <v>5370.73</v>
      </c>
      <c r="O4946" s="71" t="n">
        <v>102043.82</v>
      </c>
      <c r="P4946" s="71" t="n">
        <v>19308.43</v>
      </c>
      <c r="Q4946" s="71" t="n">
        <v>82735.39</v>
      </c>
      <c r="R4946" t="inlineStr">
        <is>
          <t>Cardiology</t>
        </is>
      </c>
      <c r="S4946" s="70" t="n">
        <v>229</v>
      </c>
      <c r="T4946" s="71" t="n">
        <v>12905.03</v>
      </c>
      <c r="U4946" t="inlineStr">
        <is>
          <t>High</t>
        </is>
      </c>
      <c r="V4946">
        <f>IF(AND(OR(Dashboard!$C$6="All",E4946=Dashboard!$C$6),OR(Dashboard!$F$6="All",G4946=Dashboard!$F$6),OR(Dashboard!$I$6="All",H4946=Dashboard!$I$6)),1,0)</f>
        <v/>
      </c>
    </row>
    <row r="4947">
      <c r="A4947" t="inlineStr">
        <is>
          <t>PF104938</t>
        </is>
      </c>
      <c r="B4947" s="68" t="n">
        <v>46253</v>
      </c>
      <c r="C4947" s="69" t="n">
        <v>2026</v>
      </c>
      <c r="D4947" t="inlineStr">
        <is>
          <t>Aug</t>
        </is>
      </c>
      <c r="E4947" t="inlineStr">
        <is>
          <t>Europe</t>
        </is>
      </c>
      <c r="F4947" t="inlineStr">
        <is>
          <t>France</t>
        </is>
      </c>
      <c r="G4947" t="inlineStr">
        <is>
          <t>Ibrance</t>
        </is>
      </c>
      <c r="H4947" t="inlineStr">
        <is>
          <t>Retail pharmacy</t>
        </is>
      </c>
      <c r="I4947" t="inlineStr">
        <is>
          <t>Public payer</t>
        </is>
      </c>
      <c r="J4947" t="inlineStr">
        <is>
          <t>Liam O'Brien</t>
        </is>
      </c>
      <c r="K4947" s="70" t="n">
        <v>2085</v>
      </c>
      <c r="L4947" s="71" t="n">
        <v>2954.58</v>
      </c>
      <c r="M4947" s="71" t="n">
        <v>6160299.3</v>
      </c>
      <c r="N4947" s="71" t="n">
        <v>924044.89</v>
      </c>
      <c r="O4947" s="71" t="n">
        <v>5236254.41</v>
      </c>
      <c r="P4947" s="71" t="n">
        <v>932691.47</v>
      </c>
      <c r="Q4947" s="71" t="n">
        <v>4303562.94</v>
      </c>
      <c r="R4947" t="inlineStr">
        <is>
          <t>Oncology</t>
        </is>
      </c>
      <c r="S4947" s="70" t="n">
        <v>1748</v>
      </c>
      <c r="T4947" s="71" t="n">
        <v>1386183.16</v>
      </c>
      <c r="U4947" t="inlineStr">
        <is>
          <t>High</t>
        </is>
      </c>
      <c r="V4947">
        <f>IF(AND(OR(Dashboard!$C$6="All",E4947=Dashboard!$C$6),OR(Dashboard!$F$6="All",G4947=Dashboard!$F$6),OR(Dashboard!$I$6="All",H4947=Dashboard!$I$6)),1,0)</f>
        <v/>
      </c>
    </row>
    <row r="4948">
      <c r="A4948" t="inlineStr">
        <is>
          <t>PF104939</t>
        </is>
      </c>
      <c r="B4948" s="68" t="n">
        <v>46253</v>
      </c>
      <c r="C4948" s="69" t="n">
        <v>2026</v>
      </c>
      <c r="D4948" t="inlineStr">
        <is>
          <t>Aug</t>
        </is>
      </c>
      <c r="E4948" t="inlineStr">
        <is>
          <t>Emerging markets</t>
        </is>
      </c>
      <c r="F4948" t="inlineStr">
        <is>
          <t>Mexico</t>
        </is>
      </c>
      <c r="G4948" t="inlineStr">
        <is>
          <t>Eliquis</t>
        </is>
      </c>
      <c r="H4948" t="inlineStr">
        <is>
          <t>Retail pharmacy</t>
        </is>
      </c>
      <c r="I4948" t="inlineStr">
        <is>
          <t>Private insurer</t>
        </is>
      </c>
      <c r="J4948" t="inlineStr">
        <is>
          <t>Ruhi Shaikh</t>
        </is>
      </c>
      <c r="K4948" s="70" t="n">
        <v>2912</v>
      </c>
      <c r="L4948" s="71" t="n">
        <v>416.21</v>
      </c>
      <c r="M4948" s="71" t="n">
        <v>1212003.52</v>
      </c>
      <c r="N4948" s="71" t="n">
        <v>181800.53</v>
      </c>
      <c r="O4948" s="71" t="n">
        <v>1030202.99</v>
      </c>
      <c r="P4948" s="71" t="n">
        <v>213704.33</v>
      </c>
      <c r="Q4948" s="71" t="n">
        <v>816498.66</v>
      </c>
      <c r="R4948" t="inlineStr">
        <is>
          <t>Cardiology</t>
        </is>
      </c>
      <c r="S4948" s="70" t="n">
        <v>2013</v>
      </c>
      <c r="T4948" s="71" t="n">
        <v>211509.88</v>
      </c>
      <c r="U4948" t="inlineStr">
        <is>
          <t>High</t>
        </is>
      </c>
      <c r="V4948">
        <f>IF(AND(OR(Dashboard!$C$6="All",E4948=Dashboard!$C$6),OR(Dashboard!$F$6="All",G4948=Dashboard!$F$6),OR(Dashboard!$I$6="All",H4948=Dashboard!$I$6)),1,0)</f>
        <v/>
      </c>
    </row>
    <row r="4949">
      <c r="A4949" t="inlineStr">
        <is>
          <t>PF104940</t>
        </is>
      </c>
      <c r="B4949" s="68" t="n">
        <v>46253</v>
      </c>
      <c r="C4949" s="69" t="n">
        <v>2026</v>
      </c>
      <c r="D4949" t="inlineStr">
        <is>
          <t>Aug</t>
        </is>
      </c>
      <c r="E4949" t="inlineStr">
        <is>
          <t>Europe</t>
        </is>
      </c>
      <c r="F4949" t="inlineStr">
        <is>
          <t>Italy</t>
        </is>
      </c>
      <c r="G4949" t="inlineStr">
        <is>
          <t>Prevnar 20</t>
        </is>
      </c>
      <c r="H4949" t="inlineStr">
        <is>
          <t>Government / tender</t>
        </is>
      </c>
      <c r="I4949" t="inlineStr">
        <is>
          <t>Private insurer</t>
        </is>
      </c>
      <c r="J4949" t="inlineStr">
        <is>
          <t>Ana Costa</t>
        </is>
      </c>
      <c r="K4949" s="70" t="n">
        <v>2715</v>
      </c>
      <c r="L4949" s="71" t="n">
        <v>253.22</v>
      </c>
      <c r="M4949" s="71" t="n">
        <v>687492.3</v>
      </c>
      <c r="N4949" s="71" t="n">
        <v>34374.62</v>
      </c>
      <c r="O4949" s="71" t="n">
        <v>653117.6800000001</v>
      </c>
      <c r="P4949" s="71" t="n">
        <v>186280.15</v>
      </c>
      <c r="Q4949" s="71" t="n">
        <v>466837.53</v>
      </c>
      <c r="R4949" t="inlineStr">
        <is>
          <t>Vaccines</t>
        </is>
      </c>
      <c r="S4949" s="70" t="n">
        <v>2653</v>
      </c>
      <c r="T4949" s="71" t="n">
        <v>123777.69</v>
      </c>
      <c r="U4949" t="inlineStr">
        <is>
          <t>Low</t>
        </is>
      </c>
      <c r="V4949">
        <f>IF(AND(OR(Dashboard!$C$6="All",E4949=Dashboard!$C$6),OR(Dashboard!$F$6="All",G4949=Dashboard!$F$6),OR(Dashboard!$I$6="All",H4949=Dashboard!$I$6)),1,0)</f>
        <v/>
      </c>
    </row>
    <row r="4950">
      <c r="A4950" t="inlineStr">
        <is>
          <t>PF104941</t>
        </is>
      </c>
      <c r="B4950" s="68" t="n">
        <v>46253</v>
      </c>
      <c r="C4950" s="69" t="n">
        <v>2026</v>
      </c>
      <c r="D4950" t="inlineStr">
        <is>
          <t>Aug</t>
        </is>
      </c>
      <c r="E4950" t="inlineStr">
        <is>
          <t>United States</t>
        </is>
      </c>
      <c r="F4950" t="inlineStr">
        <is>
          <t>USA</t>
        </is>
      </c>
      <c r="G4950" t="inlineStr">
        <is>
          <t>Abrysvo</t>
        </is>
      </c>
      <c r="H4950" t="inlineStr">
        <is>
          <t>Retail pharmacy</t>
        </is>
      </c>
      <c r="I4950" t="inlineStr">
        <is>
          <t>Private insurer</t>
        </is>
      </c>
      <c r="J4950" t="inlineStr">
        <is>
          <t>Hiroshi Tanaka</t>
        </is>
      </c>
      <c r="K4950" s="70" t="n">
        <v>1294</v>
      </c>
      <c r="L4950" s="71" t="n">
        <v>522.86</v>
      </c>
      <c r="M4950" s="71" t="n">
        <v>676580.84</v>
      </c>
      <c r="N4950" s="71" t="n">
        <v>135316.17</v>
      </c>
      <c r="O4950" s="71" t="n">
        <v>541264.67</v>
      </c>
      <c r="P4950" s="71" t="n">
        <v>110288.07</v>
      </c>
      <c r="Q4950" s="71" t="n">
        <v>430976.6</v>
      </c>
      <c r="R4950" t="inlineStr">
        <is>
          <t>Vaccines</t>
        </is>
      </c>
      <c r="S4950" s="70" t="n">
        <v>980</v>
      </c>
      <c r="T4950" s="71" t="n">
        <v>111477.85</v>
      </c>
      <c r="U4950" t="inlineStr">
        <is>
          <t>Low</t>
        </is>
      </c>
      <c r="V4950">
        <f>IF(AND(OR(Dashboard!$C$6="All",E4950=Dashboard!$C$6),OR(Dashboard!$F$6="All",G4950=Dashboard!$F$6),OR(Dashboard!$I$6="All",H4950=Dashboard!$I$6)),1,0)</f>
        <v/>
      </c>
    </row>
    <row r="4951">
      <c r="A4951" t="inlineStr">
        <is>
          <t>PF104942</t>
        </is>
      </c>
      <c r="B4951" s="68" t="n">
        <v>46253</v>
      </c>
      <c r="C4951" s="69" t="n">
        <v>2026</v>
      </c>
      <c r="D4951" t="inlineStr">
        <is>
          <t>Aug</t>
        </is>
      </c>
      <c r="E4951" t="inlineStr">
        <is>
          <t>United States</t>
        </is>
      </c>
      <c r="F4951" t="inlineStr">
        <is>
          <t>USA</t>
        </is>
      </c>
      <c r="G4951" t="inlineStr">
        <is>
          <t>Ibrance</t>
        </is>
      </c>
      <c r="H4951" t="inlineStr">
        <is>
          <t>Hospital</t>
        </is>
      </c>
      <c r="I4951" t="inlineStr">
        <is>
          <t>Public payer</t>
        </is>
      </c>
      <c r="J4951" t="inlineStr">
        <is>
          <t>Hiroshi Tanaka</t>
        </is>
      </c>
      <c r="K4951" s="70" t="n">
        <v>518</v>
      </c>
      <c r="L4951" s="71" t="n">
        <v>4276.4</v>
      </c>
      <c r="M4951" s="71" t="n">
        <v>2215175.2</v>
      </c>
      <c r="N4951" s="71" t="n">
        <v>553793.8</v>
      </c>
      <c r="O4951" s="71" t="n">
        <v>1661381.4</v>
      </c>
      <c r="P4951" s="71" t="n">
        <v>223333.55</v>
      </c>
      <c r="Q4951" s="71" t="n">
        <v>1438047.85</v>
      </c>
      <c r="R4951" t="inlineStr">
        <is>
          <t>Oncology</t>
        </is>
      </c>
      <c r="S4951" s="70" t="n">
        <v>325</v>
      </c>
      <c r="T4951" s="71" t="n">
        <v>339966.18</v>
      </c>
      <c r="U4951" t="inlineStr">
        <is>
          <t>High</t>
        </is>
      </c>
      <c r="V4951">
        <f>IF(AND(OR(Dashboard!$C$6="All",E4951=Dashboard!$C$6),OR(Dashboard!$F$6="All",G4951=Dashboard!$F$6),OR(Dashboard!$I$6="All",H4951=Dashboard!$I$6)),1,0)</f>
        <v/>
      </c>
    </row>
    <row r="4952">
      <c r="A4952" t="inlineStr">
        <is>
          <t>PF104943</t>
        </is>
      </c>
      <c r="B4952" s="68" t="n">
        <v>46253</v>
      </c>
      <c r="C4952" s="69" t="n">
        <v>2026</v>
      </c>
      <c r="D4952" t="inlineStr">
        <is>
          <t>Aug</t>
        </is>
      </c>
      <c r="E4952" t="inlineStr">
        <is>
          <t>United States</t>
        </is>
      </c>
      <c r="F4952" t="inlineStr">
        <is>
          <t>USA</t>
        </is>
      </c>
      <c r="G4952" t="inlineStr">
        <is>
          <t>Ibrance</t>
        </is>
      </c>
      <c r="H4952" t="inlineStr">
        <is>
          <t>Government / tender</t>
        </is>
      </c>
      <c r="I4952" t="inlineStr">
        <is>
          <t>Private insurer</t>
        </is>
      </c>
      <c r="J4952" t="inlineStr">
        <is>
          <t>Olivia Brown</t>
        </is>
      </c>
      <c r="K4952" s="70" t="n">
        <v>2508</v>
      </c>
      <c r="L4952" s="71" t="n">
        <v>4313.88</v>
      </c>
      <c r="M4952" s="71" t="n">
        <v>10819211.04</v>
      </c>
      <c r="N4952" s="71" t="n">
        <v>2704802.76</v>
      </c>
      <c r="O4952" s="71" t="n">
        <v>8114408.28</v>
      </c>
      <c r="P4952" s="71" t="n">
        <v>1076357.47</v>
      </c>
      <c r="Q4952" s="71" t="n">
        <v>7038050.81</v>
      </c>
      <c r="R4952" t="inlineStr">
        <is>
          <t>Oncology</t>
        </is>
      </c>
      <c r="S4952" s="70" t="n">
        <v>2303</v>
      </c>
      <c r="T4952" s="71" t="n">
        <v>1380590.65</v>
      </c>
      <c r="U4952" t="inlineStr">
        <is>
          <t>High</t>
        </is>
      </c>
      <c r="V4952">
        <f>IF(AND(OR(Dashboard!$C$6="All",E4952=Dashboard!$C$6),OR(Dashboard!$F$6="All",G4952=Dashboard!$F$6),OR(Dashboard!$I$6="All",H4952=Dashboard!$I$6)),1,0)</f>
        <v/>
      </c>
    </row>
    <row r="4953">
      <c r="A4953" t="inlineStr">
        <is>
          <t>PF104944</t>
        </is>
      </c>
      <c r="B4953" s="68" t="n">
        <v>46253</v>
      </c>
      <c r="C4953" s="69" t="n">
        <v>2026</v>
      </c>
      <c r="D4953" t="inlineStr">
        <is>
          <t>Aug</t>
        </is>
      </c>
      <c r="E4953" t="inlineStr">
        <is>
          <t>United States</t>
        </is>
      </c>
      <c r="F4953" t="inlineStr">
        <is>
          <t>USA</t>
        </is>
      </c>
      <c r="G4953" t="inlineStr">
        <is>
          <t>Paxlovid</t>
        </is>
      </c>
      <c r="H4953" t="inlineStr">
        <is>
          <t>Retail pharmacy</t>
        </is>
      </c>
      <c r="I4953" t="inlineStr">
        <is>
          <t>Self-pay</t>
        </is>
      </c>
      <c r="J4953" t="inlineStr">
        <is>
          <t>Aisha Bello</t>
        </is>
      </c>
      <c r="K4953" s="70" t="n">
        <v>2472</v>
      </c>
      <c r="L4953" s="71" t="n">
        <v>1393.85</v>
      </c>
      <c r="M4953" s="71" t="n">
        <v>3445597.2</v>
      </c>
      <c r="N4953" s="71" t="n">
        <v>1033679.16</v>
      </c>
      <c r="O4953" s="71" t="n">
        <v>2411918.04</v>
      </c>
      <c r="P4953" s="71" t="n">
        <v>684649.49</v>
      </c>
      <c r="Q4953" s="71" t="n">
        <v>1727268.55</v>
      </c>
      <c r="R4953" t="inlineStr">
        <is>
          <t>Antiviral</t>
        </is>
      </c>
      <c r="S4953" s="70" t="n">
        <v>1725</v>
      </c>
      <c r="T4953" s="71" t="n">
        <v>903319.1800000001</v>
      </c>
      <c r="U4953" t="inlineStr">
        <is>
          <t>Low</t>
        </is>
      </c>
      <c r="V4953">
        <f>IF(AND(OR(Dashboard!$C$6="All",E4953=Dashboard!$C$6),OR(Dashboard!$F$6="All",G4953=Dashboard!$F$6),OR(Dashboard!$I$6="All",H4953=Dashboard!$I$6)),1,0)</f>
        <v/>
      </c>
    </row>
    <row r="4954">
      <c r="A4954" t="inlineStr">
        <is>
          <t>PF104945</t>
        </is>
      </c>
      <c r="B4954" s="68" t="n">
        <v>46253</v>
      </c>
      <c r="C4954" s="69" t="n">
        <v>2026</v>
      </c>
      <c r="D4954" t="inlineStr">
        <is>
          <t>Aug</t>
        </is>
      </c>
      <c r="E4954" t="inlineStr">
        <is>
          <t>International developed</t>
        </is>
      </c>
      <c r="F4954" t="inlineStr">
        <is>
          <t>Canada</t>
        </is>
      </c>
      <c r="G4954" t="inlineStr">
        <is>
          <t>Eliquis</t>
        </is>
      </c>
      <c r="H4954" t="inlineStr">
        <is>
          <t>Retail pharmacy</t>
        </is>
      </c>
      <c r="I4954" t="inlineStr">
        <is>
          <t>Private insurer</t>
        </is>
      </c>
      <c r="J4954" t="inlineStr">
        <is>
          <t>Kofi Mensah</t>
        </is>
      </c>
      <c r="K4954" s="70" t="n">
        <v>1343</v>
      </c>
      <c r="L4954" s="71" t="n">
        <v>456.21</v>
      </c>
      <c r="M4954" s="71" t="n">
        <v>612690.03</v>
      </c>
      <c r="N4954" s="71" t="n">
        <v>61269</v>
      </c>
      <c r="O4954" s="71" t="n">
        <v>551421.03</v>
      </c>
      <c r="P4954" s="71" t="n">
        <v>98052.56</v>
      </c>
      <c r="Q4954" s="71" t="n">
        <v>453368.47</v>
      </c>
      <c r="R4954" t="inlineStr">
        <is>
          <t>Cardiology</t>
        </is>
      </c>
      <c r="S4954" s="70" t="n">
        <v>987</v>
      </c>
      <c r="T4954" s="71" t="n">
        <v>118579.29</v>
      </c>
      <c r="U4954" t="inlineStr">
        <is>
          <t>High</t>
        </is>
      </c>
      <c r="V4954">
        <f>IF(AND(OR(Dashboard!$C$6="All",E4954=Dashboard!$C$6),OR(Dashboard!$F$6="All",G4954=Dashboard!$F$6),OR(Dashboard!$I$6="All",H4954=Dashboard!$I$6)),1,0)</f>
        <v/>
      </c>
    </row>
    <row r="4955">
      <c r="A4955" t="inlineStr">
        <is>
          <t>PF104946</t>
        </is>
      </c>
      <c r="B4955" s="68" t="n">
        <v>46253</v>
      </c>
      <c r="C4955" s="69" t="n">
        <v>2026</v>
      </c>
      <c r="D4955" t="inlineStr">
        <is>
          <t>Aug</t>
        </is>
      </c>
      <c r="E4955" t="inlineStr">
        <is>
          <t>Emerging markets</t>
        </is>
      </c>
      <c r="F4955" t="inlineStr">
        <is>
          <t>Brazil</t>
        </is>
      </c>
      <c r="G4955" t="inlineStr">
        <is>
          <t>Paxlovid</t>
        </is>
      </c>
      <c r="H4955" t="inlineStr">
        <is>
          <t>Hospital</t>
        </is>
      </c>
      <c r="I4955" t="inlineStr">
        <is>
          <t>Public payer</t>
        </is>
      </c>
      <c r="J4955" t="inlineStr">
        <is>
          <t>Mei Lin</t>
        </is>
      </c>
      <c r="K4955" s="70" t="n">
        <v>2244</v>
      </c>
      <c r="L4955" s="71" t="n">
        <v>965.51</v>
      </c>
      <c r="M4955" s="71" t="n">
        <v>2166604.44</v>
      </c>
      <c r="N4955" s="71" t="n">
        <v>324990.67</v>
      </c>
      <c r="O4955" s="71" t="n">
        <v>1841613.77</v>
      </c>
      <c r="P4955" s="71" t="n">
        <v>623287.3</v>
      </c>
      <c r="Q4955" s="71" t="n">
        <v>1218326.47</v>
      </c>
      <c r="R4955" t="inlineStr">
        <is>
          <t>Antiviral</t>
        </is>
      </c>
      <c r="S4955" s="70" t="n">
        <v>1891</v>
      </c>
      <c r="T4955" s="71" t="n">
        <v>386941.15</v>
      </c>
      <c r="U4955" t="inlineStr">
        <is>
          <t>Low</t>
        </is>
      </c>
      <c r="V4955">
        <f>IF(AND(OR(Dashboard!$C$6="All",E4955=Dashboard!$C$6),OR(Dashboard!$F$6="All",G4955=Dashboard!$F$6),OR(Dashboard!$I$6="All",H4955=Dashboard!$I$6)),1,0)</f>
        <v/>
      </c>
    </row>
    <row r="4956">
      <c r="A4956" t="inlineStr">
        <is>
          <t>PF104947</t>
        </is>
      </c>
      <c r="B4956" s="68" t="n">
        <v>46253</v>
      </c>
      <c r="C4956" s="69" t="n">
        <v>2026</v>
      </c>
      <c r="D4956" t="inlineStr">
        <is>
          <t>Aug</t>
        </is>
      </c>
      <c r="E4956" t="inlineStr">
        <is>
          <t>International developed</t>
        </is>
      </c>
      <c r="F4956" t="inlineStr">
        <is>
          <t>Canada</t>
        </is>
      </c>
      <c r="G4956" t="inlineStr">
        <is>
          <t>Eliquis</t>
        </is>
      </c>
      <c r="H4956" t="inlineStr">
        <is>
          <t>Hospital</t>
        </is>
      </c>
      <c r="I4956" t="inlineStr">
        <is>
          <t>Public payer</t>
        </is>
      </c>
      <c r="J4956" t="inlineStr">
        <is>
          <t>Kofi Mensah</t>
        </is>
      </c>
      <c r="K4956" s="70" t="n">
        <v>837</v>
      </c>
      <c r="L4956" s="71" t="n">
        <v>437.29</v>
      </c>
      <c r="M4956" s="71" t="n">
        <v>366011.73</v>
      </c>
      <c r="N4956" s="71" t="n">
        <v>73202.35000000001</v>
      </c>
      <c r="O4956" s="71" t="n">
        <v>292809.38</v>
      </c>
      <c r="P4956" s="71" t="n">
        <v>62065.94</v>
      </c>
      <c r="Q4956" s="71" t="n">
        <v>230743.44</v>
      </c>
      <c r="R4956" t="inlineStr">
        <is>
          <t>Cardiology</t>
        </is>
      </c>
      <c r="S4956" s="70" t="n">
        <v>562</v>
      </c>
      <c r="T4956" s="71" t="n">
        <v>61008.32</v>
      </c>
      <c r="U4956" t="inlineStr">
        <is>
          <t>High</t>
        </is>
      </c>
      <c r="V4956">
        <f>IF(AND(OR(Dashboard!$C$6="All",E4956=Dashboard!$C$6),OR(Dashboard!$F$6="All",G4956=Dashboard!$F$6),OR(Dashboard!$I$6="All",H4956=Dashboard!$I$6)),1,0)</f>
        <v/>
      </c>
    </row>
    <row r="4957">
      <c r="A4957" t="inlineStr">
        <is>
          <t>PF104948</t>
        </is>
      </c>
      <c r="B4957" s="68" t="n">
        <v>46253</v>
      </c>
      <c r="C4957" s="69" t="n">
        <v>2026</v>
      </c>
      <c r="D4957" t="inlineStr">
        <is>
          <t>Aug</t>
        </is>
      </c>
      <c r="E4957" t="inlineStr">
        <is>
          <t>Europe</t>
        </is>
      </c>
      <c r="F4957" t="inlineStr">
        <is>
          <t>Spain</t>
        </is>
      </c>
      <c r="G4957" t="inlineStr">
        <is>
          <t>Prevnar 20</t>
        </is>
      </c>
      <c r="H4957" t="inlineStr">
        <is>
          <t>Retail pharmacy</t>
        </is>
      </c>
      <c r="I4957" t="inlineStr">
        <is>
          <t>Self-pay</t>
        </is>
      </c>
      <c r="J4957" t="inlineStr">
        <is>
          <t>Mei Lin</t>
        </is>
      </c>
      <c r="K4957" s="70" t="n">
        <v>2898</v>
      </c>
      <c r="L4957" s="71" t="n">
        <v>246.23</v>
      </c>
      <c r="M4957" s="71" t="n">
        <v>713574.54</v>
      </c>
      <c r="N4957" s="71" t="n">
        <v>35678.73</v>
      </c>
      <c r="O4957" s="71" t="n">
        <v>677895.8100000001</v>
      </c>
      <c r="P4957" s="71" t="n">
        <v>207052.14</v>
      </c>
      <c r="Q4957" s="71" t="n">
        <v>470843.67</v>
      </c>
      <c r="R4957" t="inlineStr">
        <is>
          <t>Vaccines</t>
        </is>
      </c>
      <c r="S4957" s="70" t="n">
        <v>2187</v>
      </c>
      <c r="T4957" s="71" t="n">
        <v>139257.2</v>
      </c>
      <c r="U4957" t="inlineStr">
        <is>
          <t>Low</t>
        </is>
      </c>
      <c r="V4957">
        <f>IF(AND(OR(Dashboard!$C$6="All",E4957=Dashboard!$C$6),OR(Dashboard!$F$6="All",G4957=Dashboard!$F$6),OR(Dashboard!$I$6="All",H4957=Dashboard!$I$6)),1,0)</f>
        <v/>
      </c>
    </row>
    <row r="4958">
      <c r="A4958" t="inlineStr">
        <is>
          <t>PF104949</t>
        </is>
      </c>
      <c r="B4958" s="68" t="n">
        <v>46253</v>
      </c>
      <c r="C4958" s="69" t="n">
        <v>2026</v>
      </c>
      <c r="D4958" t="inlineStr">
        <is>
          <t>Aug</t>
        </is>
      </c>
      <c r="E4958" t="inlineStr">
        <is>
          <t>United States</t>
        </is>
      </c>
      <c r="F4958" t="inlineStr">
        <is>
          <t>USA</t>
        </is>
      </c>
      <c r="G4958" t="inlineStr">
        <is>
          <t>Xeljanz</t>
        </is>
      </c>
      <c r="H4958" t="inlineStr">
        <is>
          <t>Hospital</t>
        </is>
      </c>
      <c r="I4958" t="inlineStr">
        <is>
          <t>Public payer</t>
        </is>
      </c>
      <c r="J4958" t="inlineStr">
        <is>
          <t>Arjun Mehta</t>
        </is>
      </c>
      <c r="K4958" s="70" t="n">
        <v>1159</v>
      </c>
      <c r="L4958" s="71" t="n">
        <v>2352.15</v>
      </c>
      <c r="M4958" s="71" t="n">
        <v>2726141.85</v>
      </c>
      <c r="N4958" s="71" t="n">
        <v>408921.28</v>
      </c>
      <c r="O4958" s="71" t="n">
        <v>2317220.57</v>
      </c>
      <c r="P4958" s="71" t="n">
        <v>301011.32</v>
      </c>
      <c r="Q4958" s="71" t="n">
        <v>2016209.25</v>
      </c>
      <c r="R4958" t="inlineStr">
        <is>
          <t>Inflammation</t>
        </is>
      </c>
      <c r="S4958" s="70" t="n">
        <v>961</v>
      </c>
      <c r="T4958" s="71" t="n">
        <v>585323.65</v>
      </c>
      <c r="U4958" t="inlineStr">
        <is>
          <t>High</t>
        </is>
      </c>
      <c r="V4958">
        <f>IF(AND(OR(Dashboard!$C$6="All",E4958=Dashboard!$C$6),OR(Dashboard!$F$6="All",G4958=Dashboard!$F$6),OR(Dashboard!$I$6="All",H4958=Dashboard!$I$6)),1,0)</f>
        <v/>
      </c>
    </row>
    <row r="4959">
      <c r="A4959" t="inlineStr">
        <is>
          <t>PF104950</t>
        </is>
      </c>
      <c r="B4959" s="68" t="n">
        <v>46253</v>
      </c>
      <c r="C4959" s="69" t="n">
        <v>2026</v>
      </c>
      <c r="D4959" t="inlineStr">
        <is>
          <t>Aug</t>
        </is>
      </c>
      <c r="E4959" t="inlineStr">
        <is>
          <t>Emerging markets</t>
        </is>
      </c>
      <c r="F4959" t="inlineStr">
        <is>
          <t>Brazil</t>
        </is>
      </c>
      <c r="G4959" t="inlineStr">
        <is>
          <t>Vyndaqel</t>
        </is>
      </c>
      <c r="H4959" t="inlineStr">
        <is>
          <t>Government / tender</t>
        </is>
      </c>
      <c r="I4959" t="inlineStr">
        <is>
          <t>Private insurer</t>
        </is>
      </c>
      <c r="J4959" t="inlineStr">
        <is>
          <t>Carlos Silva</t>
        </is>
      </c>
      <c r="K4959" s="70" t="n">
        <v>3084</v>
      </c>
      <c r="L4959" s="71" t="n">
        <v>5617.36</v>
      </c>
      <c r="M4959" s="71" t="n">
        <v>17323938.24</v>
      </c>
      <c r="N4959" s="71" t="n">
        <v>3464787.65</v>
      </c>
      <c r="O4959" s="71" t="n">
        <v>13859150.59</v>
      </c>
      <c r="P4959" s="71" t="n">
        <v>1886179.9</v>
      </c>
      <c r="Q4959" s="71" t="n">
        <v>11972970.69</v>
      </c>
      <c r="R4959" t="inlineStr">
        <is>
          <t>Rare disease</t>
        </is>
      </c>
      <c r="S4959" s="70" t="n">
        <v>1977</v>
      </c>
      <c r="T4959" s="71" t="n">
        <v>2900751.07</v>
      </c>
      <c r="U4959" t="inlineStr">
        <is>
          <t>Medium</t>
        </is>
      </c>
      <c r="V4959">
        <f>IF(AND(OR(Dashboard!$C$6="All",E4959=Dashboard!$C$6),OR(Dashboard!$F$6="All",G4959=Dashboard!$F$6),OR(Dashboard!$I$6="All",H4959=Dashboard!$I$6)),1,0)</f>
        <v/>
      </c>
    </row>
    <row r="4960">
      <c r="A4960" t="inlineStr">
        <is>
          <t>PF104951</t>
        </is>
      </c>
      <c r="B4960" s="68" t="n">
        <v>46253</v>
      </c>
      <c r="C4960" s="69" t="n">
        <v>2026</v>
      </c>
      <c r="D4960" t="inlineStr">
        <is>
          <t>Aug</t>
        </is>
      </c>
      <c r="E4960" t="inlineStr">
        <is>
          <t>United States</t>
        </is>
      </c>
      <c r="F4960" t="inlineStr">
        <is>
          <t>USA</t>
        </is>
      </c>
      <c r="G4960" t="inlineStr">
        <is>
          <t>Abrysvo</t>
        </is>
      </c>
      <c r="H4960" t="inlineStr">
        <is>
          <t>Retail pharmacy</t>
        </is>
      </c>
      <c r="I4960" t="inlineStr">
        <is>
          <t>Private insurer</t>
        </is>
      </c>
      <c r="J4960" t="inlineStr">
        <is>
          <t>Carlos Silva</t>
        </is>
      </c>
      <c r="K4960" s="70" t="n">
        <v>704</v>
      </c>
      <c r="L4960" s="71" t="n">
        <v>506.63</v>
      </c>
      <c r="M4960" s="71" t="n">
        <v>356667.52</v>
      </c>
      <c r="N4960" s="71" t="n">
        <v>107000.26</v>
      </c>
      <c r="O4960" s="71" t="n">
        <v>249667.26</v>
      </c>
      <c r="P4960" s="71" t="n">
        <v>58107.04</v>
      </c>
      <c r="Q4960" s="71" t="n">
        <v>191560.22</v>
      </c>
      <c r="R4960" t="inlineStr">
        <is>
          <t>Vaccines</t>
        </is>
      </c>
      <c r="S4960" s="70" t="n">
        <v>550</v>
      </c>
      <c r="T4960" s="71" t="n">
        <v>48916.5</v>
      </c>
      <c r="U4960" t="inlineStr">
        <is>
          <t>Low</t>
        </is>
      </c>
      <c r="V4960">
        <f>IF(AND(OR(Dashboard!$C$6="All",E4960=Dashboard!$C$6),OR(Dashboard!$F$6="All",G4960=Dashboard!$F$6),OR(Dashboard!$I$6="All",H4960=Dashboard!$I$6)),1,0)</f>
        <v/>
      </c>
    </row>
    <row r="4961">
      <c r="A4961" t="inlineStr">
        <is>
          <t>PF104952</t>
        </is>
      </c>
      <c r="B4961" s="68" t="n">
        <v>46253</v>
      </c>
      <c r="C4961" s="69" t="n">
        <v>2026</v>
      </c>
      <c r="D4961" t="inlineStr">
        <is>
          <t>Aug</t>
        </is>
      </c>
      <c r="E4961" t="inlineStr">
        <is>
          <t>United States</t>
        </is>
      </c>
      <c r="F4961" t="inlineStr">
        <is>
          <t>USA</t>
        </is>
      </c>
      <c r="G4961" t="inlineStr">
        <is>
          <t>Comirnaty</t>
        </is>
      </c>
      <c r="H4961" t="inlineStr">
        <is>
          <t>Hospital</t>
        </is>
      </c>
      <c r="I4961" t="inlineStr">
        <is>
          <t>Public payer</t>
        </is>
      </c>
      <c r="J4961" t="inlineStr">
        <is>
          <t>Arjun Mehta</t>
        </is>
      </c>
      <c r="K4961" s="70" t="n">
        <v>1724</v>
      </c>
      <c r="L4961" s="71" t="n">
        <v>129.71</v>
      </c>
      <c r="M4961" s="71" t="n">
        <v>223620.04</v>
      </c>
      <c r="N4961" s="71" t="n">
        <v>33543.01</v>
      </c>
      <c r="O4961" s="71" t="n">
        <v>190077.03</v>
      </c>
      <c r="P4961" s="71" t="n">
        <v>66578.64999999999</v>
      </c>
      <c r="Q4961" s="71" t="n">
        <v>123498.38</v>
      </c>
      <c r="R4961" t="inlineStr">
        <is>
          <t>Vaccines</t>
        </is>
      </c>
      <c r="S4961" s="70" t="n">
        <v>1102</v>
      </c>
      <c r="T4961" s="71" t="n">
        <v>41151.96</v>
      </c>
      <c r="U4961" t="inlineStr">
        <is>
          <t>Low</t>
        </is>
      </c>
      <c r="V4961">
        <f>IF(AND(OR(Dashboard!$C$6="All",E4961=Dashboard!$C$6),OR(Dashboard!$F$6="All",G4961=Dashboard!$F$6),OR(Dashboard!$I$6="All",H4961=Dashboard!$I$6)),1,0)</f>
        <v/>
      </c>
    </row>
    <row r="4962">
      <c r="A4962" t="inlineStr">
        <is>
          <t>PF104953</t>
        </is>
      </c>
      <c r="B4962" s="68" t="n">
        <v>46253</v>
      </c>
      <c r="C4962" s="69" t="n">
        <v>2026</v>
      </c>
      <c r="D4962" t="inlineStr">
        <is>
          <t>Aug</t>
        </is>
      </c>
      <c r="E4962" t="inlineStr">
        <is>
          <t>United States</t>
        </is>
      </c>
      <c r="F4962" t="inlineStr">
        <is>
          <t>USA</t>
        </is>
      </c>
      <c r="G4962" t="inlineStr">
        <is>
          <t>Abrysvo</t>
        </is>
      </c>
      <c r="H4962" t="inlineStr">
        <is>
          <t>Retail pharmacy</t>
        </is>
      </c>
      <c r="I4962" t="inlineStr">
        <is>
          <t>Public payer</t>
        </is>
      </c>
      <c r="J4962" t="inlineStr">
        <is>
          <t>Carlos Silva</t>
        </is>
      </c>
      <c r="K4962" s="70" t="n">
        <v>304</v>
      </c>
      <c r="L4962" s="71" t="n">
        <v>478.75</v>
      </c>
      <c r="M4962" s="71" t="n">
        <v>145540</v>
      </c>
      <c r="N4962" s="71" t="n">
        <v>50939</v>
      </c>
      <c r="O4962" s="71" t="n">
        <v>94601</v>
      </c>
      <c r="P4962" s="71" t="n">
        <v>24858.22</v>
      </c>
      <c r="Q4962" s="71" t="n">
        <v>69742.78</v>
      </c>
      <c r="R4962" t="inlineStr">
        <is>
          <t>Vaccines</t>
        </is>
      </c>
      <c r="S4962" s="70" t="n">
        <v>270</v>
      </c>
      <c r="T4962" s="71" t="n">
        <v>19092.81</v>
      </c>
      <c r="U4962" t="inlineStr">
        <is>
          <t>Low</t>
        </is>
      </c>
      <c r="V4962">
        <f>IF(AND(OR(Dashboard!$C$6="All",E4962=Dashboard!$C$6),OR(Dashboard!$F$6="All",G4962=Dashboard!$F$6),OR(Dashboard!$I$6="All",H4962=Dashboard!$I$6)),1,0)</f>
        <v/>
      </c>
    </row>
    <row r="4963">
      <c r="A4963" t="inlineStr">
        <is>
          <t>PF104954</t>
        </is>
      </c>
      <c r="B4963" s="68" t="n">
        <v>46253</v>
      </c>
      <c r="C4963" s="69" t="n">
        <v>2026</v>
      </c>
      <c r="D4963" t="inlineStr">
        <is>
          <t>Aug</t>
        </is>
      </c>
      <c r="E4963" t="inlineStr">
        <is>
          <t>Emerging markets</t>
        </is>
      </c>
      <c r="F4963" t="inlineStr">
        <is>
          <t>China</t>
        </is>
      </c>
      <c r="G4963" t="inlineStr">
        <is>
          <t>Prevnar 20</t>
        </is>
      </c>
      <c r="H4963" t="inlineStr">
        <is>
          <t>Retail pharmacy</t>
        </is>
      </c>
      <c r="I4963" t="inlineStr">
        <is>
          <t>Private insurer</t>
        </is>
      </c>
      <c r="J4963" t="inlineStr">
        <is>
          <t>Zoya Ahmed</t>
        </is>
      </c>
      <c r="K4963" s="70" t="n">
        <v>1029</v>
      </c>
      <c r="L4963" s="71" t="n">
        <v>235.39</v>
      </c>
      <c r="M4963" s="71" t="n">
        <v>242216.31</v>
      </c>
      <c r="N4963" s="71" t="n">
        <v>12110.82</v>
      </c>
      <c r="O4963" s="71" t="n">
        <v>230105.49</v>
      </c>
      <c r="P4963" s="71" t="n">
        <v>72701.92</v>
      </c>
      <c r="Q4963" s="71" t="n">
        <v>157403.57</v>
      </c>
      <c r="R4963" t="inlineStr">
        <is>
          <t>Vaccines</t>
        </is>
      </c>
      <c r="S4963" s="70" t="n">
        <v>969</v>
      </c>
      <c r="T4963" s="71" t="n">
        <v>45688.66</v>
      </c>
      <c r="U4963" t="inlineStr">
        <is>
          <t>Low</t>
        </is>
      </c>
      <c r="V4963">
        <f>IF(AND(OR(Dashboard!$C$6="All",E4963=Dashboard!$C$6),OR(Dashboard!$F$6="All",G4963=Dashboard!$F$6),OR(Dashboard!$I$6="All",H4963=Dashboard!$I$6)),1,0)</f>
        <v/>
      </c>
    </row>
    <row r="4964">
      <c r="A4964" t="inlineStr">
        <is>
          <t>PF104955</t>
        </is>
      </c>
      <c r="B4964" s="68" t="n">
        <v>46253</v>
      </c>
      <c r="C4964" s="69" t="n">
        <v>2026</v>
      </c>
      <c r="D4964" t="inlineStr">
        <is>
          <t>Aug</t>
        </is>
      </c>
      <c r="E4964" t="inlineStr">
        <is>
          <t>Emerging markets</t>
        </is>
      </c>
      <c r="F4964" t="inlineStr">
        <is>
          <t>India</t>
        </is>
      </c>
      <c r="G4964" t="inlineStr">
        <is>
          <t>Comirnaty</t>
        </is>
      </c>
      <c r="H4964" t="inlineStr">
        <is>
          <t>Hospital</t>
        </is>
      </c>
      <c r="I4964" t="inlineStr">
        <is>
          <t>Private insurer</t>
        </is>
      </c>
      <c r="J4964" t="inlineStr">
        <is>
          <t>Liam O'Brien</t>
        </is>
      </c>
      <c r="K4964" s="70" t="n">
        <v>2027</v>
      </c>
      <c r="L4964" s="71" t="n">
        <v>81.29000000000001</v>
      </c>
      <c r="M4964" s="71" t="n">
        <v>164774.83</v>
      </c>
      <c r="N4964" s="71" t="n">
        <v>16477.48</v>
      </c>
      <c r="O4964" s="71" t="n">
        <v>148297.35</v>
      </c>
      <c r="P4964" s="71" t="n">
        <v>80250.56</v>
      </c>
      <c r="Q4964" s="71" t="n">
        <v>68046.78999999999</v>
      </c>
      <c r="R4964" t="inlineStr">
        <is>
          <t>Vaccines</t>
        </is>
      </c>
      <c r="S4964" s="70" t="n">
        <v>1828</v>
      </c>
      <c r="T4964" s="71" t="n">
        <v>44020.7</v>
      </c>
      <c r="U4964" t="inlineStr">
        <is>
          <t>Low</t>
        </is>
      </c>
      <c r="V4964">
        <f>IF(AND(OR(Dashboard!$C$6="All",E4964=Dashboard!$C$6),OR(Dashboard!$F$6="All",G4964=Dashboard!$F$6),OR(Dashboard!$I$6="All",H4964=Dashboard!$I$6)),1,0)</f>
        <v/>
      </c>
    </row>
    <row r="4965">
      <c r="A4965" t="inlineStr">
        <is>
          <t>PF104956</t>
        </is>
      </c>
      <c r="B4965" s="68" t="n">
        <v>46254</v>
      </c>
      <c r="C4965" s="69" t="n">
        <v>2026</v>
      </c>
      <c r="D4965" t="inlineStr">
        <is>
          <t>Aug</t>
        </is>
      </c>
      <c r="E4965" t="inlineStr">
        <is>
          <t>Emerging markets</t>
        </is>
      </c>
      <c r="F4965" t="inlineStr">
        <is>
          <t>China</t>
        </is>
      </c>
      <c r="G4965" t="inlineStr">
        <is>
          <t>Abrysvo</t>
        </is>
      </c>
      <c r="H4965" t="inlineStr">
        <is>
          <t>Hospital</t>
        </is>
      </c>
      <c r="I4965" t="inlineStr">
        <is>
          <t>Private insurer</t>
        </is>
      </c>
      <c r="J4965" t="inlineStr">
        <is>
          <t>Shraddha Kulkarni</t>
        </is>
      </c>
      <c r="K4965" s="70" t="n">
        <v>1705</v>
      </c>
      <c r="L4965" s="71" t="n">
        <v>317.94</v>
      </c>
      <c r="M4965" s="71" t="n">
        <v>542087.7</v>
      </c>
      <c r="N4965" s="71" t="n">
        <v>27104.38</v>
      </c>
      <c r="O4965" s="71" t="n">
        <v>514983.32</v>
      </c>
      <c r="P4965" s="71" t="n">
        <v>147373.33</v>
      </c>
      <c r="Q4965" s="71" t="n">
        <v>367609.99</v>
      </c>
      <c r="R4965" t="inlineStr">
        <is>
          <t>Vaccines</t>
        </is>
      </c>
      <c r="S4965" s="70" t="n">
        <v>1489</v>
      </c>
      <c r="T4965" s="71" t="n">
        <v>70926.53</v>
      </c>
      <c r="U4965" t="inlineStr">
        <is>
          <t>Low</t>
        </is>
      </c>
      <c r="V4965">
        <f>IF(AND(OR(Dashboard!$C$6="All",E4965=Dashboard!$C$6),OR(Dashboard!$F$6="All",G4965=Dashboard!$F$6),OR(Dashboard!$I$6="All",H4965=Dashboard!$I$6)),1,0)</f>
        <v/>
      </c>
    </row>
    <row r="4966">
      <c r="A4966" t="inlineStr">
        <is>
          <t>PF104957</t>
        </is>
      </c>
      <c r="B4966" s="68" t="n">
        <v>46254</v>
      </c>
      <c r="C4966" s="69" t="n">
        <v>2026</v>
      </c>
      <c r="D4966" t="inlineStr">
        <is>
          <t>Aug</t>
        </is>
      </c>
      <c r="E4966" t="inlineStr">
        <is>
          <t>United States</t>
        </is>
      </c>
      <c r="F4966" t="inlineStr">
        <is>
          <t>USA</t>
        </is>
      </c>
      <c r="G4966" t="inlineStr">
        <is>
          <t>Vyndaqel</t>
        </is>
      </c>
      <c r="H4966" t="inlineStr">
        <is>
          <t>Retail pharmacy</t>
        </is>
      </c>
      <c r="I4966" t="inlineStr">
        <is>
          <t>Private insurer</t>
        </is>
      </c>
      <c r="J4966" t="inlineStr">
        <is>
          <t>Aisha Bello</t>
        </is>
      </c>
      <c r="K4966" s="70" t="n">
        <v>999</v>
      </c>
      <c r="L4966" s="71" t="n">
        <v>8729.870000000001</v>
      </c>
      <c r="M4966" s="71" t="n">
        <v>8721140.130000001</v>
      </c>
      <c r="N4966" s="71" t="n">
        <v>1744228.03</v>
      </c>
      <c r="O4966" s="71" t="n">
        <v>6976912.1</v>
      </c>
      <c r="P4966" s="71" t="n">
        <v>603196.66</v>
      </c>
      <c r="Q4966" s="71" t="n">
        <v>6373715.44</v>
      </c>
      <c r="R4966" t="inlineStr">
        <is>
          <t>Rare disease</t>
        </is>
      </c>
      <c r="S4966" s="70" t="n">
        <v>862</v>
      </c>
      <c r="T4966" s="71" t="n">
        <v>1314269.98</v>
      </c>
      <c r="U4966" t="inlineStr">
        <is>
          <t>Medium</t>
        </is>
      </c>
      <c r="V4966">
        <f>IF(AND(OR(Dashboard!$C$6="All",E4966=Dashboard!$C$6),OR(Dashboard!$F$6="All",G4966=Dashboard!$F$6),OR(Dashboard!$I$6="All",H4966=Dashboard!$I$6)),1,0)</f>
        <v/>
      </c>
    </row>
    <row r="4967">
      <c r="A4967" t="inlineStr">
        <is>
          <t>PF104958</t>
        </is>
      </c>
      <c r="B4967" s="68" t="n">
        <v>46254</v>
      </c>
      <c r="C4967" s="69" t="n">
        <v>2026</v>
      </c>
      <c r="D4967" t="inlineStr">
        <is>
          <t>Aug</t>
        </is>
      </c>
      <c r="E4967" t="inlineStr">
        <is>
          <t>United States</t>
        </is>
      </c>
      <c r="F4967" t="inlineStr">
        <is>
          <t>USA</t>
        </is>
      </c>
      <c r="G4967" t="inlineStr">
        <is>
          <t>Xeljanz</t>
        </is>
      </c>
      <c r="H4967" t="inlineStr">
        <is>
          <t>Retail pharmacy</t>
        </is>
      </c>
      <c r="I4967" t="inlineStr">
        <is>
          <t>Public payer</t>
        </is>
      </c>
      <c r="J4967" t="inlineStr">
        <is>
          <t>Aisha Bello</t>
        </is>
      </c>
      <c r="K4967" s="70" t="n">
        <v>1789</v>
      </c>
      <c r="L4967" s="71" t="n">
        <v>2320.06</v>
      </c>
      <c r="M4967" s="71" t="n">
        <v>4150587.34</v>
      </c>
      <c r="N4967" s="71" t="n">
        <v>1452705.57</v>
      </c>
      <c r="O4967" s="71" t="n">
        <v>2697881.77</v>
      </c>
      <c r="P4967" s="71" t="n">
        <v>462024.35</v>
      </c>
      <c r="Q4967" s="71" t="n">
        <v>2235857.42</v>
      </c>
      <c r="R4967" t="inlineStr">
        <is>
          <t>Inflammation</t>
        </is>
      </c>
      <c r="S4967" s="70" t="n">
        <v>1347</v>
      </c>
      <c r="T4967" s="71" t="n">
        <v>742917.73</v>
      </c>
      <c r="U4967" t="inlineStr">
        <is>
          <t>High</t>
        </is>
      </c>
      <c r="V4967">
        <f>IF(AND(OR(Dashboard!$C$6="All",E4967=Dashboard!$C$6),OR(Dashboard!$F$6="All",G4967=Dashboard!$F$6),OR(Dashboard!$I$6="All",H4967=Dashboard!$I$6)),1,0)</f>
        <v/>
      </c>
    </row>
    <row r="4968">
      <c r="A4968" t="inlineStr">
        <is>
          <t>PF104959</t>
        </is>
      </c>
      <c r="B4968" s="68" t="n">
        <v>46254</v>
      </c>
      <c r="C4968" s="69" t="n">
        <v>2026</v>
      </c>
      <c r="D4968" t="inlineStr">
        <is>
          <t>Aug</t>
        </is>
      </c>
      <c r="E4968" t="inlineStr">
        <is>
          <t>Europe</t>
        </is>
      </c>
      <c r="F4968" t="inlineStr">
        <is>
          <t>Italy</t>
        </is>
      </c>
      <c r="G4968" t="inlineStr">
        <is>
          <t>Prevnar 20</t>
        </is>
      </c>
      <c r="H4968" t="inlineStr">
        <is>
          <t>Hospital</t>
        </is>
      </c>
      <c r="I4968" t="inlineStr">
        <is>
          <t>Self-pay</t>
        </is>
      </c>
      <c r="J4968" t="inlineStr">
        <is>
          <t>Mei Lin</t>
        </is>
      </c>
      <c r="K4968" s="70" t="n">
        <v>2332</v>
      </c>
      <c r="L4968" s="71" t="n">
        <v>217.22</v>
      </c>
      <c r="M4968" s="71" t="n">
        <v>506557.04</v>
      </c>
      <c r="N4968" s="71" t="n">
        <v>126639.26</v>
      </c>
      <c r="O4968" s="71" t="n">
        <v>379917.78</v>
      </c>
      <c r="P4968" s="71" t="n">
        <v>160544.05</v>
      </c>
      <c r="Q4968" s="71" t="n">
        <v>219373.73</v>
      </c>
      <c r="R4968" t="inlineStr">
        <is>
          <t>Vaccines</t>
        </is>
      </c>
      <c r="S4968" s="70" t="n">
        <v>2213</v>
      </c>
      <c r="T4968" s="71" t="n">
        <v>99703.64999999999</v>
      </c>
      <c r="U4968" t="inlineStr">
        <is>
          <t>Low</t>
        </is>
      </c>
      <c r="V4968">
        <f>IF(AND(OR(Dashboard!$C$6="All",E4968=Dashboard!$C$6),OR(Dashboard!$F$6="All",G4968=Dashboard!$F$6),OR(Dashboard!$I$6="All",H4968=Dashboard!$I$6)),1,0)</f>
        <v/>
      </c>
    </row>
    <row r="4969">
      <c r="A4969" t="inlineStr">
        <is>
          <t>PF104960</t>
        </is>
      </c>
      <c r="B4969" s="68" t="n">
        <v>46254</v>
      </c>
      <c r="C4969" s="69" t="n">
        <v>2026</v>
      </c>
      <c r="D4969" t="inlineStr">
        <is>
          <t>Aug</t>
        </is>
      </c>
      <c r="E4969" t="inlineStr">
        <is>
          <t>Europe</t>
        </is>
      </c>
      <c r="F4969" t="inlineStr">
        <is>
          <t>Italy</t>
        </is>
      </c>
      <c r="G4969" t="inlineStr">
        <is>
          <t>Vyndaqel</t>
        </is>
      </c>
      <c r="H4969" t="inlineStr">
        <is>
          <t>Retail pharmacy</t>
        </is>
      </c>
      <c r="I4969" t="inlineStr">
        <is>
          <t>Private insurer</t>
        </is>
      </c>
      <c r="J4969" t="inlineStr">
        <is>
          <t>Amir Khan</t>
        </is>
      </c>
      <c r="K4969" s="70" t="n">
        <v>1335</v>
      </c>
      <c r="L4969" s="71" t="n">
        <v>5956.92</v>
      </c>
      <c r="M4969" s="71" t="n">
        <v>7952488.2</v>
      </c>
      <c r="N4969" s="71" t="n">
        <v>1590497.64</v>
      </c>
      <c r="O4969" s="71" t="n">
        <v>6361990.56</v>
      </c>
      <c r="P4969" s="71" t="n">
        <v>821732.97</v>
      </c>
      <c r="Q4969" s="71" t="n">
        <v>5540257.59</v>
      </c>
      <c r="R4969" t="inlineStr">
        <is>
          <t>Rare disease</t>
        </is>
      </c>
      <c r="S4969" s="70" t="n">
        <v>1121</v>
      </c>
      <c r="T4969" s="71" t="n">
        <v>1069296.59</v>
      </c>
      <c r="U4969" t="inlineStr">
        <is>
          <t>Medium</t>
        </is>
      </c>
      <c r="V4969">
        <f>IF(AND(OR(Dashboard!$C$6="All",E4969=Dashboard!$C$6),OR(Dashboard!$F$6="All",G4969=Dashboard!$F$6),OR(Dashboard!$I$6="All",H4969=Dashboard!$I$6)),1,0)</f>
        <v/>
      </c>
    </row>
    <row r="4970">
      <c r="A4970" t="inlineStr">
        <is>
          <t>PF104961</t>
        </is>
      </c>
      <c r="B4970" s="68" t="n">
        <v>46254</v>
      </c>
      <c r="C4970" s="69" t="n">
        <v>2026</v>
      </c>
      <c r="D4970" t="inlineStr">
        <is>
          <t>Aug</t>
        </is>
      </c>
      <c r="E4970" t="inlineStr">
        <is>
          <t>Europe</t>
        </is>
      </c>
      <c r="F4970" t="inlineStr">
        <is>
          <t>Spain</t>
        </is>
      </c>
      <c r="G4970" t="inlineStr">
        <is>
          <t>Xeljanz</t>
        </is>
      </c>
      <c r="H4970" t="inlineStr">
        <is>
          <t>Hospital</t>
        </is>
      </c>
      <c r="I4970" t="inlineStr">
        <is>
          <t>Public payer</t>
        </is>
      </c>
      <c r="J4970" t="inlineStr">
        <is>
          <t>Yuki Sato</t>
        </is>
      </c>
      <c r="K4970" s="70" t="n">
        <v>101</v>
      </c>
      <c r="L4970" s="71" t="n">
        <v>1215.4</v>
      </c>
      <c r="M4970" s="71" t="n">
        <v>122755.4</v>
      </c>
      <c r="N4970" s="71" t="n">
        <v>18413.31</v>
      </c>
      <c r="O4970" s="71" t="n">
        <v>104342.09</v>
      </c>
      <c r="P4970" s="71" t="n">
        <v>26036.42</v>
      </c>
      <c r="Q4970" s="71" t="n">
        <v>78305.67</v>
      </c>
      <c r="R4970" t="inlineStr">
        <is>
          <t>Inflammation</t>
        </is>
      </c>
      <c r="S4970" s="70" t="n">
        <v>85</v>
      </c>
      <c r="T4970" s="71" t="n">
        <v>24068.66</v>
      </c>
      <c r="U4970" t="inlineStr">
        <is>
          <t>High</t>
        </is>
      </c>
      <c r="V4970">
        <f>IF(AND(OR(Dashboard!$C$6="All",E4970=Dashboard!$C$6),OR(Dashboard!$F$6="All",G4970=Dashboard!$F$6),OR(Dashboard!$I$6="All",H4970=Dashboard!$I$6)),1,0)</f>
        <v/>
      </c>
    </row>
    <row r="4971">
      <c r="A4971" t="inlineStr">
        <is>
          <t>PF104962</t>
        </is>
      </c>
      <c r="B4971" s="68" t="n">
        <v>46254</v>
      </c>
      <c r="C4971" s="69" t="n">
        <v>2026</v>
      </c>
      <c r="D4971" t="inlineStr">
        <is>
          <t>Aug</t>
        </is>
      </c>
      <c r="E4971" t="inlineStr">
        <is>
          <t>United States</t>
        </is>
      </c>
      <c r="F4971" t="inlineStr">
        <is>
          <t>USA</t>
        </is>
      </c>
      <c r="G4971" t="inlineStr">
        <is>
          <t>Prevnar 20</t>
        </is>
      </c>
      <c r="H4971" t="inlineStr">
        <is>
          <t>Retail pharmacy</t>
        </is>
      </c>
      <c r="I4971" t="inlineStr">
        <is>
          <t>Public payer</t>
        </is>
      </c>
      <c r="J4971" t="inlineStr">
        <is>
          <t>Aisha Bello</t>
        </is>
      </c>
      <c r="K4971" s="70" t="n">
        <v>1131</v>
      </c>
      <c r="L4971" s="71" t="n">
        <v>408.31</v>
      </c>
      <c r="M4971" s="71" t="n">
        <v>461798.61</v>
      </c>
      <c r="N4971" s="71" t="n">
        <v>69269.78999999999</v>
      </c>
      <c r="O4971" s="71" t="n">
        <v>392528.82</v>
      </c>
      <c r="P4971" s="71" t="n">
        <v>76544.35000000001</v>
      </c>
      <c r="Q4971" s="71" t="n">
        <v>315984.47</v>
      </c>
      <c r="R4971" t="inlineStr">
        <is>
          <t>Vaccines</t>
        </is>
      </c>
      <c r="S4971" s="70" t="n">
        <v>755</v>
      </c>
      <c r="T4971" s="71" t="n">
        <v>55079.48</v>
      </c>
      <c r="U4971" t="inlineStr">
        <is>
          <t>Low</t>
        </is>
      </c>
      <c r="V4971">
        <f>IF(AND(OR(Dashboard!$C$6="All",E4971=Dashboard!$C$6),OR(Dashboard!$F$6="All",G4971=Dashboard!$F$6),OR(Dashboard!$I$6="All",H4971=Dashboard!$I$6)),1,0)</f>
        <v/>
      </c>
    </row>
    <row r="4972">
      <c r="A4972" t="inlineStr">
        <is>
          <t>PF104963</t>
        </is>
      </c>
      <c r="B4972" s="68" t="n">
        <v>46254</v>
      </c>
      <c r="C4972" s="69" t="n">
        <v>2026</v>
      </c>
      <c r="D4972" t="inlineStr">
        <is>
          <t>Aug</t>
        </is>
      </c>
      <c r="E4972" t="inlineStr">
        <is>
          <t>United States</t>
        </is>
      </c>
      <c r="F4972" t="inlineStr">
        <is>
          <t>USA</t>
        </is>
      </c>
      <c r="G4972" t="inlineStr">
        <is>
          <t>Prevnar 20</t>
        </is>
      </c>
      <c r="H4972" t="inlineStr">
        <is>
          <t>Government / tender</t>
        </is>
      </c>
      <c r="I4972" t="inlineStr">
        <is>
          <t>Public payer</t>
        </is>
      </c>
      <c r="J4972" t="inlineStr">
        <is>
          <t>Kofi Mensah</t>
        </is>
      </c>
      <c r="K4972" s="70" t="n">
        <v>1285</v>
      </c>
      <c r="L4972" s="71" t="n">
        <v>410.27</v>
      </c>
      <c r="M4972" s="71" t="n">
        <v>527196.95</v>
      </c>
      <c r="N4972" s="71" t="n">
        <v>105439.39</v>
      </c>
      <c r="O4972" s="71" t="n">
        <v>421757.56</v>
      </c>
      <c r="P4972" s="71" t="n">
        <v>89512.3</v>
      </c>
      <c r="Q4972" s="71" t="n">
        <v>332245.26</v>
      </c>
      <c r="R4972" t="inlineStr">
        <is>
          <t>Vaccines</t>
        </is>
      </c>
      <c r="S4972" s="70" t="n">
        <v>1160</v>
      </c>
      <c r="T4972" s="71" t="n">
        <v>67972.94</v>
      </c>
      <c r="U4972" t="inlineStr">
        <is>
          <t>Low</t>
        </is>
      </c>
      <c r="V4972">
        <f>IF(AND(OR(Dashboard!$C$6="All",E4972=Dashboard!$C$6),OR(Dashboard!$F$6="All",G4972=Dashboard!$F$6),OR(Dashboard!$I$6="All",H4972=Dashboard!$I$6)),1,0)</f>
        <v/>
      </c>
    </row>
    <row r="4973">
      <c r="A4973" t="inlineStr">
        <is>
          <t>PF104964</t>
        </is>
      </c>
      <c r="B4973" s="68" t="n">
        <v>46254</v>
      </c>
      <c r="C4973" s="69" t="n">
        <v>2026</v>
      </c>
      <c r="D4973" t="inlineStr">
        <is>
          <t>Aug</t>
        </is>
      </c>
      <c r="E4973" t="inlineStr">
        <is>
          <t>United States</t>
        </is>
      </c>
      <c r="F4973" t="inlineStr">
        <is>
          <t>USA</t>
        </is>
      </c>
      <c r="G4973" t="inlineStr">
        <is>
          <t>Comirnaty</t>
        </is>
      </c>
      <c r="H4973" t="inlineStr">
        <is>
          <t>Retail pharmacy</t>
        </is>
      </c>
      <c r="I4973" t="inlineStr">
        <is>
          <t>Private insurer</t>
        </is>
      </c>
      <c r="J4973" t="inlineStr">
        <is>
          <t>Yuki Sato</t>
        </is>
      </c>
      <c r="K4973" s="70" t="n">
        <v>127</v>
      </c>
      <c r="L4973" s="71" t="n">
        <v>138.5</v>
      </c>
      <c r="M4973" s="71" t="n">
        <v>17589.5</v>
      </c>
      <c r="N4973" s="71" t="n">
        <v>4397.38</v>
      </c>
      <c r="O4973" s="71" t="n">
        <v>13192.12</v>
      </c>
      <c r="P4973" s="71" t="n">
        <v>4916.75</v>
      </c>
      <c r="Q4973" s="71" t="n">
        <v>8275.370000000001</v>
      </c>
      <c r="R4973" t="inlineStr">
        <is>
          <t>Vaccines</t>
        </is>
      </c>
      <c r="S4973" s="70" t="n">
        <v>97</v>
      </c>
      <c r="T4973" s="71" t="n">
        <v>2746.06</v>
      </c>
      <c r="U4973" t="inlineStr">
        <is>
          <t>Low</t>
        </is>
      </c>
      <c r="V4973">
        <f>IF(AND(OR(Dashboard!$C$6="All",E4973=Dashboard!$C$6),OR(Dashboard!$F$6="All",G4973=Dashboard!$F$6),OR(Dashboard!$I$6="All",H4973=Dashboard!$I$6)),1,0)</f>
        <v/>
      </c>
    </row>
    <row r="4974">
      <c r="A4974" t="inlineStr">
        <is>
          <t>PF104965</t>
        </is>
      </c>
      <c r="B4974" s="68" t="n">
        <v>46255</v>
      </c>
      <c r="C4974" s="69" t="n">
        <v>2026</v>
      </c>
      <c r="D4974" t="inlineStr">
        <is>
          <t>Aug</t>
        </is>
      </c>
      <c r="E4974" t="inlineStr">
        <is>
          <t>Emerging markets</t>
        </is>
      </c>
      <c r="F4974" t="inlineStr">
        <is>
          <t>Mexico</t>
        </is>
      </c>
      <c r="G4974" t="inlineStr">
        <is>
          <t>Abrysvo</t>
        </is>
      </c>
      <c r="H4974" t="inlineStr">
        <is>
          <t>Government / tender</t>
        </is>
      </c>
      <c r="I4974" t="inlineStr">
        <is>
          <t>Self-pay</t>
        </is>
      </c>
      <c r="J4974" t="inlineStr">
        <is>
          <t>Wei Chen</t>
        </is>
      </c>
      <c r="K4974" s="70" t="n">
        <v>1827</v>
      </c>
      <c r="L4974" s="71" t="n">
        <v>305.12</v>
      </c>
      <c r="M4974" s="71" t="n">
        <v>557454.24</v>
      </c>
      <c r="N4974" s="71" t="n">
        <v>83618.14</v>
      </c>
      <c r="O4974" s="71" t="n">
        <v>473836.1</v>
      </c>
      <c r="P4974" s="71" t="n">
        <v>158668.73</v>
      </c>
      <c r="Q4974" s="71" t="n">
        <v>315167.37</v>
      </c>
      <c r="R4974" t="inlineStr">
        <is>
          <t>Vaccines</t>
        </is>
      </c>
      <c r="S4974" s="70" t="n">
        <v>1246</v>
      </c>
      <c r="T4974" s="71" t="n">
        <v>96938.47</v>
      </c>
      <c r="U4974" t="inlineStr">
        <is>
          <t>Low</t>
        </is>
      </c>
      <c r="V4974">
        <f>IF(AND(OR(Dashboard!$C$6="All",E4974=Dashboard!$C$6),OR(Dashboard!$F$6="All",G4974=Dashboard!$F$6),OR(Dashboard!$I$6="All",H4974=Dashboard!$I$6)),1,0)</f>
        <v/>
      </c>
    </row>
    <row r="4975">
      <c r="A4975" t="inlineStr">
        <is>
          <t>PF104966</t>
        </is>
      </c>
      <c r="B4975" s="68" t="n">
        <v>46255</v>
      </c>
      <c r="C4975" s="69" t="n">
        <v>2026</v>
      </c>
      <c r="D4975" t="inlineStr">
        <is>
          <t>Aug</t>
        </is>
      </c>
      <c r="E4975" t="inlineStr">
        <is>
          <t>Europe</t>
        </is>
      </c>
      <c r="F4975" t="inlineStr">
        <is>
          <t>France</t>
        </is>
      </c>
      <c r="G4975" t="inlineStr">
        <is>
          <t>Comirnaty</t>
        </is>
      </c>
      <c r="H4975" t="inlineStr">
        <is>
          <t>Hospital</t>
        </is>
      </c>
      <c r="I4975" t="inlineStr">
        <is>
          <t>Private insurer</t>
        </is>
      </c>
      <c r="J4975" t="inlineStr">
        <is>
          <t>Sara Rossi</t>
        </is>
      </c>
      <c r="K4975" s="70" t="n">
        <v>1109</v>
      </c>
      <c r="L4975" s="71" t="n">
        <v>81.73999999999999</v>
      </c>
      <c r="M4975" s="71" t="n">
        <v>90649.66</v>
      </c>
      <c r="N4975" s="71" t="n">
        <v>13597.45</v>
      </c>
      <c r="O4975" s="71" t="n">
        <v>77052.21000000001</v>
      </c>
      <c r="P4975" s="71" t="n">
        <v>41310.8</v>
      </c>
      <c r="Q4975" s="71" t="n">
        <v>35741.41</v>
      </c>
      <c r="R4975" t="inlineStr">
        <is>
          <t>Vaccines</t>
        </is>
      </c>
      <c r="S4975" s="70" t="n">
        <v>1085</v>
      </c>
      <c r="T4975" s="71" t="n">
        <v>20346.63</v>
      </c>
      <c r="U4975" t="inlineStr">
        <is>
          <t>Low</t>
        </is>
      </c>
      <c r="V4975">
        <f>IF(AND(OR(Dashboard!$C$6="All",E4975=Dashboard!$C$6),OR(Dashboard!$F$6="All",G4975=Dashboard!$F$6),OR(Dashboard!$I$6="All",H4975=Dashboard!$I$6)),1,0)</f>
        <v/>
      </c>
    </row>
    <row r="4976">
      <c r="A4976" t="inlineStr">
        <is>
          <t>PF104967</t>
        </is>
      </c>
      <c r="B4976" s="68" t="n">
        <v>46255</v>
      </c>
      <c r="C4976" s="69" t="n">
        <v>2026</v>
      </c>
      <c r="D4976" t="inlineStr">
        <is>
          <t>Aug</t>
        </is>
      </c>
      <c r="E4976" t="inlineStr">
        <is>
          <t>United States</t>
        </is>
      </c>
      <c r="F4976" t="inlineStr">
        <is>
          <t>USA</t>
        </is>
      </c>
      <c r="G4976" t="inlineStr">
        <is>
          <t>Vyndaqel</t>
        </is>
      </c>
      <c r="H4976" t="inlineStr">
        <is>
          <t>Retail pharmacy</t>
        </is>
      </c>
      <c r="I4976" t="inlineStr">
        <is>
          <t>Private insurer</t>
        </is>
      </c>
      <c r="J4976" t="inlineStr">
        <is>
          <t>Sophie Müller</t>
        </is>
      </c>
      <c r="K4976" s="70" t="n">
        <v>867</v>
      </c>
      <c r="L4976" s="71" t="n">
        <v>9026.77</v>
      </c>
      <c r="M4976" s="71" t="n">
        <v>7826209.59</v>
      </c>
      <c r="N4976" s="71" t="n">
        <v>2347862.88</v>
      </c>
      <c r="O4976" s="71" t="n">
        <v>5478346.71</v>
      </c>
      <c r="P4976" s="71" t="n">
        <v>541178.58</v>
      </c>
      <c r="Q4976" s="71" t="n">
        <v>4937168.13</v>
      </c>
      <c r="R4976" t="inlineStr">
        <is>
          <t>Rare disease</t>
        </is>
      </c>
      <c r="S4976" s="70" t="n">
        <v>573</v>
      </c>
      <c r="T4976" s="71" t="n">
        <v>862855.95</v>
      </c>
      <c r="U4976" t="inlineStr">
        <is>
          <t>Medium</t>
        </is>
      </c>
      <c r="V4976">
        <f>IF(AND(OR(Dashboard!$C$6="All",E4976=Dashboard!$C$6),OR(Dashboard!$F$6="All",G4976=Dashboard!$F$6),OR(Dashboard!$I$6="All",H4976=Dashboard!$I$6)),1,0)</f>
        <v/>
      </c>
    </row>
    <row r="4977">
      <c r="A4977" t="inlineStr">
        <is>
          <t>PF104968</t>
        </is>
      </c>
      <c r="B4977" s="68" t="n">
        <v>46255</v>
      </c>
      <c r="C4977" s="69" t="n">
        <v>2026</v>
      </c>
      <c r="D4977" t="inlineStr">
        <is>
          <t>Aug</t>
        </is>
      </c>
      <c r="E4977" t="inlineStr">
        <is>
          <t>Europe</t>
        </is>
      </c>
      <c r="F4977" t="inlineStr">
        <is>
          <t>Spain</t>
        </is>
      </c>
      <c r="G4977" t="inlineStr">
        <is>
          <t>Prevnar 20</t>
        </is>
      </c>
      <c r="H4977" t="inlineStr">
        <is>
          <t>Hospital</t>
        </is>
      </c>
      <c r="I4977" t="inlineStr">
        <is>
          <t>Public payer</t>
        </is>
      </c>
      <c r="J4977" t="inlineStr">
        <is>
          <t>Ruhi Shaikh</t>
        </is>
      </c>
      <c r="K4977" s="70" t="n">
        <v>1990</v>
      </c>
      <c r="L4977" s="71" t="n">
        <v>248.16</v>
      </c>
      <c r="M4977" s="71" t="n">
        <v>493838.4</v>
      </c>
      <c r="N4977" s="71" t="n">
        <v>24691.92</v>
      </c>
      <c r="O4977" s="71" t="n">
        <v>469146.48</v>
      </c>
      <c r="P4977" s="71" t="n">
        <v>135919.57</v>
      </c>
      <c r="Q4977" s="71" t="n">
        <v>333226.91</v>
      </c>
      <c r="R4977" t="inlineStr">
        <is>
          <t>Vaccines</t>
        </is>
      </c>
      <c r="S4977" s="70" t="n">
        <v>1345</v>
      </c>
      <c r="T4977" s="71" t="n">
        <v>96496.85000000001</v>
      </c>
      <c r="U4977" t="inlineStr">
        <is>
          <t>Low</t>
        </is>
      </c>
      <c r="V4977">
        <f>IF(AND(OR(Dashboard!$C$6="All",E4977=Dashboard!$C$6),OR(Dashboard!$F$6="All",G4977=Dashboard!$F$6),OR(Dashboard!$I$6="All",H4977=Dashboard!$I$6)),1,0)</f>
        <v/>
      </c>
    </row>
    <row r="4978">
      <c r="A4978" t="inlineStr">
        <is>
          <t>PF104969</t>
        </is>
      </c>
      <c r="B4978" s="68" t="n">
        <v>46255</v>
      </c>
      <c r="C4978" s="69" t="n">
        <v>2026</v>
      </c>
      <c r="D4978" t="inlineStr">
        <is>
          <t>Aug</t>
        </is>
      </c>
      <c r="E4978" t="inlineStr">
        <is>
          <t>Europe</t>
        </is>
      </c>
      <c r="F4978" t="inlineStr">
        <is>
          <t>Italy</t>
        </is>
      </c>
      <c r="G4978" t="inlineStr">
        <is>
          <t>Eliquis</t>
        </is>
      </c>
      <c r="H4978" t="inlineStr">
        <is>
          <t>Retail pharmacy</t>
        </is>
      </c>
      <c r="I4978" t="inlineStr">
        <is>
          <t>Public payer</t>
        </is>
      </c>
      <c r="J4978" t="inlineStr">
        <is>
          <t>Aisha Bello</t>
        </is>
      </c>
      <c r="K4978" s="70" t="n">
        <v>1012</v>
      </c>
      <c r="L4978" s="71" t="n">
        <v>393.63</v>
      </c>
      <c r="M4978" s="71" t="n">
        <v>398353.56</v>
      </c>
      <c r="N4978" s="71" t="n">
        <v>79670.71000000001</v>
      </c>
      <c r="O4978" s="71" t="n">
        <v>318682.85</v>
      </c>
      <c r="P4978" s="71" t="n">
        <v>75664.95</v>
      </c>
      <c r="Q4978" s="71" t="n">
        <v>243017.9</v>
      </c>
      <c r="R4978" t="inlineStr">
        <is>
          <t>Cardiology</t>
        </is>
      </c>
      <c r="S4978" s="70" t="n">
        <v>775</v>
      </c>
      <c r="T4978" s="71" t="n">
        <v>66927.53</v>
      </c>
      <c r="U4978" t="inlineStr">
        <is>
          <t>High</t>
        </is>
      </c>
      <c r="V4978">
        <f>IF(AND(OR(Dashboard!$C$6="All",E4978=Dashboard!$C$6),OR(Dashboard!$F$6="All",G4978=Dashboard!$F$6),OR(Dashboard!$I$6="All",H4978=Dashboard!$I$6)),1,0)</f>
        <v/>
      </c>
    </row>
    <row r="4979">
      <c r="A4979" t="inlineStr">
        <is>
          <t>PF104970</t>
        </is>
      </c>
      <c r="B4979" s="68" t="n">
        <v>46255</v>
      </c>
      <c r="C4979" s="69" t="n">
        <v>2026</v>
      </c>
      <c r="D4979" t="inlineStr">
        <is>
          <t>Aug</t>
        </is>
      </c>
      <c r="E4979" t="inlineStr">
        <is>
          <t>United States</t>
        </is>
      </c>
      <c r="F4979" t="inlineStr">
        <is>
          <t>USA</t>
        </is>
      </c>
      <c r="G4979" t="inlineStr">
        <is>
          <t>Xeljanz</t>
        </is>
      </c>
      <c r="H4979" t="inlineStr">
        <is>
          <t>Government / tender</t>
        </is>
      </c>
      <c r="I4979" t="inlineStr">
        <is>
          <t>Private insurer</t>
        </is>
      </c>
      <c r="J4979" t="inlineStr">
        <is>
          <t>Lucas Martin</t>
        </is>
      </c>
      <c r="K4979" s="70" t="n">
        <v>836</v>
      </c>
      <c r="L4979" s="71" t="n">
        <v>2130.42</v>
      </c>
      <c r="M4979" s="71" t="n">
        <v>1781031.12</v>
      </c>
      <c r="N4979" s="71" t="n">
        <v>445257.78</v>
      </c>
      <c r="O4979" s="71" t="n">
        <v>1335773.34</v>
      </c>
      <c r="P4979" s="71" t="n">
        <v>205122.66</v>
      </c>
      <c r="Q4979" s="71" t="n">
        <v>1130650.68</v>
      </c>
      <c r="R4979" t="inlineStr">
        <is>
          <t>Inflammation</t>
        </is>
      </c>
      <c r="S4979" s="70" t="n">
        <v>576</v>
      </c>
      <c r="T4979" s="71" t="n">
        <v>291212.05</v>
      </c>
      <c r="U4979" t="inlineStr">
        <is>
          <t>High</t>
        </is>
      </c>
      <c r="V4979">
        <f>IF(AND(OR(Dashboard!$C$6="All",E4979=Dashboard!$C$6),OR(Dashboard!$F$6="All",G4979=Dashboard!$F$6),OR(Dashboard!$I$6="All",H4979=Dashboard!$I$6)),1,0)</f>
        <v/>
      </c>
    </row>
    <row r="4980">
      <c r="A4980" t="inlineStr">
        <is>
          <t>PF104971</t>
        </is>
      </c>
      <c r="B4980" s="68" t="n">
        <v>46255</v>
      </c>
      <c r="C4980" s="69" t="n">
        <v>2026</v>
      </c>
      <c r="D4980" t="inlineStr">
        <is>
          <t>Aug</t>
        </is>
      </c>
      <c r="E4980" t="inlineStr">
        <is>
          <t>United States</t>
        </is>
      </c>
      <c r="F4980" t="inlineStr">
        <is>
          <t>USA</t>
        </is>
      </c>
      <c r="G4980" t="inlineStr">
        <is>
          <t>Comirnaty</t>
        </is>
      </c>
      <c r="H4980" t="inlineStr">
        <is>
          <t>Hospital</t>
        </is>
      </c>
      <c r="I4980" t="inlineStr">
        <is>
          <t>Public payer</t>
        </is>
      </c>
      <c r="J4980" t="inlineStr">
        <is>
          <t>Sara Rossi</t>
        </is>
      </c>
      <c r="K4980" s="70" t="n">
        <v>1103</v>
      </c>
      <c r="L4980" s="71" t="n">
        <v>153.23</v>
      </c>
      <c r="M4980" s="71" t="n">
        <v>169012.69</v>
      </c>
      <c r="N4980" s="71" t="n">
        <v>25351.9</v>
      </c>
      <c r="O4980" s="71" t="n">
        <v>143660.79</v>
      </c>
      <c r="P4980" s="71" t="n">
        <v>41220.61</v>
      </c>
      <c r="Q4980" s="71" t="n">
        <v>102440.18</v>
      </c>
      <c r="R4980" t="inlineStr">
        <is>
          <t>Vaccines</t>
        </is>
      </c>
      <c r="S4980" s="70" t="n">
        <v>727</v>
      </c>
      <c r="T4980" s="71" t="n">
        <v>44468.66</v>
      </c>
      <c r="U4980" t="inlineStr">
        <is>
          <t>Low</t>
        </is>
      </c>
      <c r="V4980">
        <f>IF(AND(OR(Dashboard!$C$6="All",E4980=Dashboard!$C$6),OR(Dashboard!$F$6="All",G4980=Dashboard!$F$6),OR(Dashboard!$I$6="All",H4980=Dashboard!$I$6)),1,0)</f>
        <v/>
      </c>
    </row>
    <row r="4981">
      <c r="A4981" t="inlineStr">
        <is>
          <t>PF104972</t>
        </is>
      </c>
      <c r="B4981" s="68" t="n">
        <v>46256</v>
      </c>
      <c r="C4981" s="69" t="n">
        <v>2026</v>
      </c>
      <c r="D4981" t="inlineStr">
        <is>
          <t>Aug</t>
        </is>
      </c>
      <c r="E4981" t="inlineStr">
        <is>
          <t>Europe</t>
        </is>
      </c>
      <c r="F4981" t="inlineStr">
        <is>
          <t>Italy</t>
        </is>
      </c>
      <c r="G4981" t="inlineStr">
        <is>
          <t>Ibrance</t>
        </is>
      </c>
      <c r="H4981" t="inlineStr">
        <is>
          <t>Hospital</t>
        </is>
      </c>
      <c r="I4981" t="inlineStr">
        <is>
          <t>Public payer</t>
        </is>
      </c>
      <c r="J4981" t="inlineStr">
        <is>
          <t>Wei Chen</t>
        </is>
      </c>
      <c r="K4981" s="70" t="n">
        <v>1575</v>
      </c>
      <c r="L4981" s="71" t="n">
        <v>3048.59</v>
      </c>
      <c r="M4981" s="71" t="n">
        <v>4801529.25</v>
      </c>
      <c r="N4981" s="71" t="n">
        <v>1200382.31</v>
      </c>
      <c r="O4981" s="71" t="n">
        <v>3601146.94</v>
      </c>
      <c r="P4981" s="71" t="n">
        <v>668993.9</v>
      </c>
      <c r="Q4981" s="71" t="n">
        <v>2932153.04</v>
      </c>
      <c r="R4981" t="inlineStr">
        <is>
          <t>Oncology</t>
        </is>
      </c>
      <c r="S4981" s="70" t="n">
        <v>1355</v>
      </c>
      <c r="T4981" s="71" t="n">
        <v>903219.64</v>
      </c>
      <c r="U4981" t="inlineStr">
        <is>
          <t>High</t>
        </is>
      </c>
      <c r="V4981">
        <f>IF(AND(OR(Dashboard!$C$6="All",E4981=Dashboard!$C$6),OR(Dashboard!$F$6="All",G4981=Dashboard!$F$6),OR(Dashboard!$I$6="All",H4981=Dashboard!$I$6)),1,0)</f>
        <v/>
      </c>
    </row>
    <row r="4982">
      <c r="A4982" t="inlineStr">
        <is>
          <t>PF104973</t>
        </is>
      </c>
      <c r="B4982" s="68" t="n">
        <v>46256</v>
      </c>
      <c r="C4982" s="69" t="n">
        <v>2026</v>
      </c>
      <c r="D4982" t="inlineStr">
        <is>
          <t>Aug</t>
        </is>
      </c>
      <c r="E4982" t="inlineStr">
        <is>
          <t>International developed</t>
        </is>
      </c>
      <c r="F4982" t="inlineStr">
        <is>
          <t>Australia</t>
        </is>
      </c>
      <c r="G4982" t="inlineStr">
        <is>
          <t>Eliquis</t>
        </is>
      </c>
      <c r="H4982" t="inlineStr">
        <is>
          <t>Hospital</t>
        </is>
      </c>
      <c r="I4982" t="inlineStr">
        <is>
          <t>Public payer</t>
        </is>
      </c>
      <c r="J4982" t="inlineStr">
        <is>
          <t>Hiroshi Tanaka</t>
        </is>
      </c>
      <c r="K4982" s="70" t="n">
        <v>2007</v>
      </c>
      <c r="L4982" s="71" t="n">
        <v>457.49</v>
      </c>
      <c r="M4982" s="71" t="n">
        <v>918182.4300000001</v>
      </c>
      <c r="N4982" s="71" t="n">
        <v>137727.36</v>
      </c>
      <c r="O4982" s="71" t="n">
        <v>780455.0699999999</v>
      </c>
      <c r="P4982" s="71" t="n">
        <v>151901.82</v>
      </c>
      <c r="Q4982" s="71" t="n">
        <v>628553.25</v>
      </c>
      <c r="R4982" t="inlineStr">
        <is>
          <t>Cardiology</t>
        </is>
      </c>
      <c r="S4982" s="70" t="n">
        <v>1719</v>
      </c>
      <c r="T4982" s="71" t="n">
        <v>175660.59</v>
      </c>
      <c r="U4982" t="inlineStr">
        <is>
          <t>High</t>
        </is>
      </c>
      <c r="V4982">
        <f>IF(AND(OR(Dashboard!$C$6="All",E4982=Dashboard!$C$6),OR(Dashboard!$F$6="All",G4982=Dashboard!$F$6),OR(Dashboard!$I$6="All",H4982=Dashboard!$I$6)),1,0)</f>
        <v/>
      </c>
    </row>
    <row r="4983">
      <c r="A4983" t="inlineStr">
        <is>
          <t>PF104974</t>
        </is>
      </c>
      <c r="B4983" s="68" t="n">
        <v>46256</v>
      </c>
      <c r="C4983" s="69" t="n">
        <v>2026</v>
      </c>
      <c r="D4983" t="inlineStr">
        <is>
          <t>Aug</t>
        </is>
      </c>
      <c r="E4983" t="inlineStr">
        <is>
          <t>International developed</t>
        </is>
      </c>
      <c r="F4983" t="inlineStr">
        <is>
          <t>Australia</t>
        </is>
      </c>
      <c r="G4983" t="inlineStr">
        <is>
          <t>Eliquis</t>
        </is>
      </c>
      <c r="H4983" t="inlineStr">
        <is>
          <t>Government / tender</t>
        </is>
      </c>
      <c r="I4983" t="inlineStr">
        <is>
          <t>Private insurer</t>
        </is>
      </c>
      <c r="J4983" t="inlineStr">
        <is>
          <t>Mei Lin</t>
        </is>
      </c>
      <c r="K4983" s="70" t="n">
        <v>883</v>
      </c>
      <c r="L4983" s="71" t="n">
        <v>421.25</v>
      </c>
      <c r="M4983" s="71" t="n">
        <v>371963.75</v>
      </c>
      <c r="N4983" s="71" t="n">
        <v>74392.75</v>
      </c>
      <c r="O4983" s="71" t="n">
        <v>297571</v>
      </c>
      <c r="P4983" s="71" t="n">
        <v>64223.42</v>
      </c>
      <c r="Q4983" s="71" t="n">
        <v>233347.58</v>
      </c>
      <c r="R4983" t="inlineStr">
        <is>
          <t>Cardiology</t>
        </is>
      </c>
      <c r="S4983" s="70" t="n">
        <v>829</v>
      </c>
      <c r="T4983" s="71" t="n">
        <v>58949.48</v>
      </c>
      <c r="U4983" t="inlineStr">
        <is>
          <t>High</t>
        </is>
      </c>
      <c r="V4983">
        <f>IF(AND(OR(Dashboard!$C$6="All",E4983=Dashboard!$C$6),OR(Dashboard!$F$6="All",G4983=Dashboard!$F$6),OR(Dashboard!$I$6="All",H4983=Dashboard!$I$6)),1,0)</f>
        <v/>
      </c>
    </row>
    <row r="4984">
      <c r="A4984" t="inlineStr">
        <is>
          <t>PF104975</t>
        </is>
      </c>
      <c r="B4984" s="68" t="n">
        <v>46256</v>
      </c>
      <c r="C4984" s="69" t="n">
        <v>2026</v>
      </c>
      <c r="D4984" t="inlineStr">
        <is>
          <t>Aug</t>
        </is>
      </c>
      <c r="E4984" t="inlineStr">
        <is>
          <t>Emerging markets</t>
        </is>
      </c>
      <c r="F4984" t="inlineStr">
        <is>
          <t>India</t>
        </is>
      </c>
      <c r="G4984" t="inlineStr">
        <is>
          <t>Comirnaty</t>
        </is>
      </c>
      <c r="H4984" t="inlineStr">
        <is>
          <t>Retail pharmacy</t>
        </is>
      </c>
      <c r="I4984" t="inlineStr">
        <is>
          <t>Private insurer</t>
        </is>
      </c>
      <c r="J4984" t="inlineStr">
        <is>
          <t>Aisha Bello</t>
        </is>
      </c>
      <c r="K4984" s="70" t="n">
        <v>2224</v>
      </c>
      <c r="L4984" s="71" t="n">
        <v>92.13</v>
      </c>
      <c r="M4984" s="71" t="n">
        <v>204897.12</v>
      </c>
      <c r="N4984" s="71" t="n">
        <v>20489.71</v>
      </c>
      <c r="O4984" s="71" t="n">
        <v>184407.41</v>
      </c>
      <c r="P4984" s="71" t="n">
        <v>84401.17</v>
      </c>
      <c r="Q4984" s="71" t="n">
        <v>100006.24</v>
      </c>
      <c r="R4984" t="inlineStr">
        <is>
          <t>Vaccines</t>
        </is>
      </c>
      <c r="S4984" s="70" t="n">
        <v>1565</v>
      </c>
      <c r="T4984" s="71" t="n">
        <v>50621.35</v>
      </c>
      <c r="U4984" t="inlineStr">
        <is>
          <t>Low</t>
        </is>
      </c>
      <c r="V4984">
        <f>IF(AND(OR(Dashboard!$C$6="All",E4984=Dashboard!$C$6),OR(Dashboard!$F$6="All",G4984=Dashboard!$F$6),OR(Dashboard!$I$6="All",H4984=Dashboard!$I$6)),1,0)</f>
        <v/>
      </c>
    </row>
    <row r="4985">
      <c r="A4985" t="inlineStr">
        <is>
          <t>PF104976</t>
        </is>
      </c>
      <c r="B4985" s="68" t="n">
        <v>46256</v>
      </c>
      <c r="C4985" s="69" t="n">
        <v>2026</v>
      </c>
      <c r="D4985" t="inlineStr">
        <is>
          <t>Aug</t>
        </is>
      </c>
      <c r="E4985" t="inlineStr">
        <is>
          <t>Europe</t>
        </is>
      </c>
      <c r="F4985" t="inlineStr">
        <is>
          <t>Spain</t>
        </is>
      </c>
      <c r="G4985" t="inlineStr">
        <is>
          <t>Eliquis</t>
        </is>
      </c>
      <c r="H4985" t="inlineStr">
        <is>
          <t>Government / tender</t>
        </is>
      </c>
      <c r="I4985" t="inlineStr">
        <is>
          <t>Private insurer</t>
        </is>
      </c>
      <c r="J4985" t="inlineStr">
        <is>
          <t>Wei Chen</t>
        </is>
      </c>
      <c r="K4985" s="70" t="n">
        <v>1031</v>
      </c>
      <c r="L4985" s="71" t="n">
        <v>417.46</v>
      </c>
      <c r="M4985" s="71" t="n">
        <v>430401.26</v>
      </c>
      <c r="N4985" s="71" t="n">
        <v>107600.32</v>
      </c>
      <c r="O4985" s="71" t="n">
        <v>322800.94</v>
      </c>
      <c r="P4985" s="71" t="n">
        <v>75556.14</v>
      </c>
      <c r="Q4985" s="71" t="n">
        <v>247244.8</v>
      </c>
      <c r="R4985" t="inlineStr">
        <is>
          <t>Cardiology</t>
        </is>
      </c>
      <c r="S4985" s="70" t="n">
        <v>878</v>
      </c>
      <c r="T4985" s="71" t="n">
        <v>72248.95</v>
      </c>
      <c r="U4985" t="inlineStr">
        <is>
          <t>High</t>
        </is>
      </c>
      <c r="V4985">
        <f>IF(AND(OR(Dashboard!$C$6="All",E4985=Dashboard!$C$6),OR(Dashboard!$F$6="All",G4985=Dashboard!$F$6),OR(Dashboard!$I$6="All",H4985=Dashboard!$I$6)),1,0)</f>
        <v/>
      </c>
    </row>
    <row r="4986">
      <c r="A4986" t="inlineStr">
        <is>
          <t>PF104977</t>
        </is>
      </c>
      <c r="B4986" s="68" t="n">
        <v>46256</v>
      </c>
      <c r="C4986" s="69" t="n">
        <v>2026</v>
      </c>
      <c r="D4986" t="inlineStr">
        <is>
          <t>Aug</t>
        </is>
      </c>
      <c r="E4986" t="inlineStr">
        <is>
          <t>United States</t>
        </is>
      </c>
      <c r="F4986" t="inlineStr">
        <is>
          <t>USA</t>
        </is>
      </c>
      <c r="G4986" t="inlineStr">
        <is>
          <t>Prevnar 20</t>
        </is>
      </c>
      <c r="H4986" t="inlineStr">
        <is>
          <t>Hospital</t>
        </is>
      </c>
      <c r="I4986" t="inlineStr">
        <is>
          <t>Public payer</t>
        </is>
      </c>
      <c r="J4986" t="inlineStr">
        <is>
          <t>Sara Rossi</t>
        </is>
      </c>
      <c r="K4986" s="70" t="n">
        <v>2262</v>
      </c>
      <c r="L4986" s="71" t="n">
        <v>387.98</v>
      </c>
      <c r="M4986" s="71" t="n">
        <v>877610.76</v>
      </c>
      <c r="N4986" s="71" t="n">
        <v>175522.15</v>
      </c>
      <c r="O4986" s="71" t="n">
        <v>702088.61</v>
      </c>
      <c r="P4986" s="71" t="n">
        <v>157138.86</v>
      </c>
      <c r="Q4986" s="71" t="n">
        <v>544949.75</v>
      </c>
      <c r="R4986" t="inlineStr">
        <is>
          <t>Vaccines</t>
        </is>
      </c>
      <c r="S4986" s="70" t="n">
        <v>1737</v>
      </c>
      <c r="T4986" s="71" t="n">
        <v>145098.68</v>
      </c>
      <c r="U4986" t="inlineStr">
        <is>
          <t>Low</t>
        </is>
      </c>
      <c r="V4986">
        <f>IF(AND(OR(Dashboard!$C$6="All",E4986=Dashboard!$C$6),OR(Dashboard!$F$6="All",G4986=Dashboard!$F$6),OR(Dashboard!$I$6="All",H4986=Dashboard!$I$6)),1,0)</f>
        <v/>
      </c>
    </row>
    <row r="4987">
      <c r="A4987" t="inlineStr">
        <is>
          <t>PF104978</t>
        </is>
      </c>
      <c r="B4987" s="68" t="n">
        <v>46256</v>
      </c>
      <c r="C4987" s="69" t="n">
        <v>2026</v>
      </c>
      <c r="D4987" t="inlineStr">
        <is>
          <t>Aug</t>
        </is>
      </c>
      <c r="E4987" t="inlineStr">
        <is>
          <t>Europe</t>
        </is>
      </c>
      <c r="F4987" t="inlineStr">
        <is>
          <t>Italy</t>
        </is>
      </c>
      <c r="G4987" t="inlineStr">
        <is>
          <t>Abrysvo</t>
        </is>
      </c>
      <c r="H4987" t="inlineStr">
        <is>
          <t>Hospital</t>
        </is>
      </c>
      <c r="I4987" t="inlineStr">
        <is>
          <t>Public payer</t>
        </is>
      </c>
      <c r="J4987" t="inlineStr">
        <is>
          <t>Aisha Bello</t>
        </is>
      </c>
      <c r="K4987" s="70" t="n">
        <v>232</v>
      </c>
      <c r="L4987" s="71" t="n">
        <v>289.06</v>
      </c>
      <c r="M4987" s="71" t="n">
        <v>67061.92</v>
      </c>
      <c r="N4987" s="71" t="n">
        <v>16765.48</v>
      </c>
      <c r="O4987" s="71" t="n">
        <v>50296.44</v>
      </c>
      <c r="P4987" s="71" t="n">
        <v>20009.15</v>
      </c>
      <c r="Q4987" s="71" t="n">
        <v>30287.29</v>
      </c>
      <c r="R4987" t="inlineStr">
        <is>
          <t>Vaccines</t>
        </is>
      </c>
      <c r="S4987" s="70" t="n">
        <v>220</v>
      </c>
      <c r="T4987" s="71" t="n">
        <v>12278.45</v>
      </c>
      <c r="U4987" t="inlineStr">
        <is>
          <t>Low</t>
        </is>
      </c>
      <c r="V4987">
        <f>IF(AND(OR(Dashboard!$C$6="All",E4987=Dashboard!$C$6),OR(Dashboard!$F$6="All",G4987=Dashboard!$F$6),OR(Dashboard!$I$6="All",H4987=Dashboard!$I$6)),1,0)</f>
        <v/>
      </c>
    </row>
    <row r="4988">
      <c r="A4988" t="inlineStr">
        <is>
          <t>PF104979</t>
        </is>
      </c>
      <c r="B4988" s="68" t="n">
        <v>46256</v>
      </c>
      <c r="C4988" s="69" t="n">
        <v>2026</v>
      </c>
      <c r="D4988" t="inlineStr">
        <is>
          <t>Aug</t>
        </is>
      </c>
      <c r="E4988" t="inlineStr">
        <is>
          <t>United States</t>
        </is>
      </c>
      <c r="F4988" t="inlineStr">
        <is>
          <t>USA</t>
        </is>
      </c>
      <c r="G4988" t="inlineStr">
        <is>
          <t>Eliquis</t>
        </is>
      </c>
      <c r="H4988" t="inlineStr">
        <is>
          <t>Hospital</t>
        </is>
      </c>
      <c r="I4988" t="inlineStr">
        <is>
          <t>Private insurer</t>
        </is>
      </c>
      <c r="J4988" t="inlineStr">
        <is>
          <t>Noah Smith</t>
        </is>
      </c>
      <c r="K4988" s="70" t="n">
        <v>2638</v>
      </c>
      <c r="L4988" s="71" t="n">
        <v>668.39</v>
      </c>
      <c r="M4988" s="71" t="n">
        <v>1763212.82</v>
      </c>
      <c r="N4988" s="71" t="n">
        <v>352642.56</v>
      </c>
      <c r="O4988" s="71" t="n">
        <v>1410570.26</v>
      </c>
      <c r="P4988" s="71" t="n">
        <v>199721.9</v>
      </c>
      <c r="Q4988" s="71" t="n">
        <v>1210848.36</v>
      </c>
      <c r="R4988" t="inlineStr">
        <is>
          <t>Cardiology</t>
        </is>
      </c>
      <c r="S4988" s="70" t="n">
        <v>2268</v>
      </c>
      <c r="T4988" s="71" t="n">
        <v>338301.99</v>
      </c>
      <c r="U4988" t="inlineStr">
        <is>
          <t>High</t>
        </is>
      </c>
      <c r="V4988">
        <f>IF(AND(OR(Dashboard!$C$6="All",E4988=Dashboard!$C$6),OR(Dashboard!$F$6="All",G4988=Dashboard!$F$6),OR(Dashboard!$I$6="All",H4988=Dashboard!$I$6)),1,0)</f>
        <v/>
      </c>
    </row>
    <row r="4989">
      <c r="A4989" t="inlineStr">
        <is>
          <t>PF104980</t>
        </is>
      </c>
      <c r="B4989" s="68" t="n">
        <v>46257</v>
      </c>
      <c r="C4989" s="69" t="n">
        <v>2026</v>
      </c>
      <c r="D4989" t="inlineStr">
        <is>
          <t>Aug</t>
        </is>
      </c>
      <c r="E4989" t="inlineStr">
        <is>
          <t>Europe</t>
        </is>
      </c>
      <c r="F4989" t="inlineStr">
        <is>
          <t>Spain</t>
        </is>
      </c>
      <c r="G4989" t="inlineStr">
        <is>
          <t>Vyndaqel</t>
        </is>
      </c>
      <c r="H4989" t="inlineStr">
        <is>
          <t>Hospital</t>
        </is>
      </c>
      <c r="I4989" t="inlineStr">
        <is>
          <t>Public payer</t>
        </is>
      </c>
      <c r="J4989" t="inlineStr">
        <is>
          <t>Arjun Mehta</t>
        </is>
      </c>
      <c r="K4989" s="70" t="n">
        <v>1676</v>
      </c>
      <c r="L4989" s="71" t="n">
        <v>5883.6</v>
      </c>
      <c r="M4989" s="71" t="n">
        <v>9860913.6</v>
      </c>
      <c r="N4989" s="71" t="n">
        <v>1972182.72</v>
      </c>
      <c r="O4989" s="71" t="n">
        <v>7888730.88</v>
      </c>
      <c r="P4989" s="71" t="n">
        <v>1054993.94</v>
      </c>
      <c r="Q4989" s="71" t="n">
        <v>6833736.94</v>
      </c>
      <c r="R4989" t="inlineStr">
        <is>
          <t>Rare disease</t>
        </is>
      </c>
      <c r="S4989" s="70" t="n">
        <v>1065</v>
      </c>
      <c r="T4989" s="71" t="n">
        <v>1233431.1</v>
      </c>
      <c r="U4989" t="inlineStr">
        <is>
          <t>Medium</t>
        </is>
      </c>
      <c r="V4989">
        <f>IF(AND(OR(Dashboard!$C$6="All",E4989=Dashboard!$C$6),OR(Dashboard!$F$6="All",G4989=Dashboard!$F$6),OR(Dashboard!$I$6="All",H4989=Dashboard!$I$6)),1,0)</f>
        <v/>
      </c>
    </row>
    <row r="4990">
      <c r="A4990" t="inlineStr">
        <is>
          <t>PF104981</t>
        </is>
      </c>
      <c r="B4990" s="68" t="n">
        <v>46257</v>
      </c>
      <c r="C4990" s="69" t="n">
        <v>2026</v>
      </c>
      <c r="D4990" t="inlineStr">
        <is>
          <t>Aug</t>
        </is>
      </c>
      <c r="E4990" t="inlineStr">
        <is>
          <t>International developed</t>
        </is>
      </c>
      <c r="F4990" t="inlineStr">
        <is>
          <t>Canada</t>
        </is>
      </c>
      <c r="G4990" t="inlineStr">
        <is>
          <t>Eliquis</t>
        </is>
      </c>
      <c r="H4990" t="inlineStr">
        <is>
          <t>Retail pharmacy</t>
        </is>
      </c>
      <c r="I4990" t="inlineStr">
        <is>
          <t>Public payer</t>
        </is>
      </c>
      <c r="J4990" t="inlineStr">
        <is>
          <t>Priya Nair</t>
        </is>
      </c>
      <c r="K4990" s="70" t="n">
        <v>480</v>
      </c>
      <c r="L4990" s="71" t="n">
        <v>439.13</v>
      </c>
      <c r="M4990" s="71" t="n">
        <v>210782.4</v>
      </c>
      <c r="N4990" s="71" t="n">
        <v>10539.12</v>
      </c>
      <c r="O4990" s="71" t="n">
        <v>200243.28</v>
      </c>
      <c r="P4990" s="71" t="n">
        <v>35960.79</v>
      </c>
      <c r="Q4990" s="71" t="n">
        <v>164282.49</v>
      </c>
      <c r="R4990" t="inlineStr">
        <is>
          <t>Cardiology</t>
        </is>
      </c>
      <c r="S4990" s="70" t="n">
        <v>425</v>
      </c>
      <c r="T4990" s="71" t="n">
        <v>28448.57</v>
      </c>
      <c r="U4990" t="inlineStr">
        <is>
          <t>High</t>
        </is>
      </c>
      <c r="V4990">
        <f>IF(AND(OR(Dashboard!$C$6="All",E4990=Dashboard!$C$6),OR(Dashboard!$F$6="All",G4990=Dashboard!$F$6),OR(Dashboard!$I$6="All",H4990=Dashboard!$I$6)),1,0)</f>
        <v/>
      </c>
    </row>
    <row r="4991">
      <c r="A4991" t="inlineStr">
        <is>
          <t>PF104982</t>
        </is>
      </c>
      <c r="B4991" s="68" t="n">
        <v>46257</v>
      </c>
      <c r="C4991" s="69" t="n">
        <v>2026</v>
      </c>
      <c r="D4991" t="inlineStr">
        <is>
          <t>Aug</t>
        </is>
      </c>
      <c r="E4991" t="inlineStr">
        <is>
          <t>International developed</t>
        </is>
      </c>
      <c r="F4991" t="inlineStr">
        <is>
          <t>Japan</t>
        </is>
      </c>
      <c r="G4991" t="inlineStr">
        <is>
          <t>Paxlovid</t>
        </is>
      </c>
      <c r="H4991" t="inlineStr">
        <is>
          <t>Hospital</t>
        </is>
      </c>
      <c r="I4991" t="inlineStr">
        <is>
          <t>Public payer</t>
        </is>
      </c>
      <c r="J4991" t="inlineStr">
        <is>
          <t>Priya Nair</t>
        </is>
      </c>
      <c r="K4991" s="70" t="n">
        <v>68</v>
      </c>
      <c r="L4991" s="71" t="n">
        <v>857.0599999999999</v>
      </c>
      <c r="M4991" s="71" t="n">
        <v>58280.08</v>
      </c>
      <c r="N4991" s="71" t="n">
        <v>2914</v>
      </c>
      <c r="O4991" s="71" t="n">
        <v>55366.08</v>
      </c>
      <c r="P4991" s="71" t="n">
        <v>18446.76</v>
      </c>
      <c r="Q4991" s="71" t="n">
        <v>36919.32</v>
      </c>
      <c r="R4991" t="inlineStr">
        <is>
          <t>Antiviral</t>
        </is>
      </c>
      <c r="S4991" s="70" t="n">
        <v>67</v>
      </c>
      <c r="T4991" s="71" t="n">
        <v>15288.27</v>
      </c>
      <c r="U4991" t="inlineStr">
        <is>
          <t>Low</t>
        </is>
      </c>
      <c r="V4991">
        <f>IF(AND(OR(Dashboard!$C$6="All",E4991=Dashboard!$C$6),OR(Dashboard!$F$6="All",G4991=Dashboard!$F$6),OR(Dashboard!$I$6="All",H4991=Dashboard!$I$6)),1,0)</f>
        <v/>
      </c>
    </row>
    <row r="4992">
      <c r="A4992" t="inlineStr">
        <is>
          <t>PF104983</t>
        </is>
      </c>
      <c r="B4992" s="68" t="n">
        <v>46257</v>
      </c>
      <c r="C4992" s="69" t="n">
        <v>2026</v>
      </c>
      <c r="D4992" t="inlineStr">
        <is>
          <t>Aug</t>
        </is>
      </c>
      <c r="E4992" t="inlineStr">
        <is>
          <t>United States</t>
        </is>
      </c>
      <c r="F4992" t="inlineStr">
        <is>
          <t>USA</t>
        </is>
      </c>
      <c r="G4992" t="inlineStr">
        <is>
          <t>Xeljanz</t>
        </is>
      </c>
      <c r="H4992" t="inlineStr">
        <is>
          <t>Government / tender</t>
        </is>
      </c>
      <c r="I4992" t="inlineStr">
        <is>
          <t>Public payer</t>
        </is>
      </c>
      <c r="J4992" t="inlineStr">
        <is>
          <t>Amir Khan</t>
        </is>
      </c>
      <c r="K4992" s="70" t="n">
        <v>945</v>
      </c>
      <c r="L4992" s="71" t="n">
        <v>1997.34</v>
      </c>
      <c r="M4992" s="71" t="n">
        <v>1887486.3</v>
      </c>
      <c r="N4992" s="71" t="n">
        <v>566245.89</v>
      </c>
      <c r="O4992" s="71" t="n">
        <v>1321240.41</v>
      </c>
      <c r="P4992" s="71" t="n">
        <v>241008.34</v>
      </c>
      <c r="Q4992" s="71" t="n">
        <v>1080232.07</v>
      </c>
      <c r="R4992" t="inlineStr">
        <is>
          <t>Inflammation</t>
        </is>
      </c>
      <c r="S4992" s="70" t="n">
        <v>877</v>
      </c>
      <c r="T4992" s="71" t="n">
        <v>423240.38</v>
      </c>
      <c r="U4992" t="inlineStr">
        <is>
          <t>High</t>
        </is>
      </c>
      <c r="V4992">
        <f>IF(AND(OR(Dashboard!$C$6="All",E4992=Dashboard!$C$6),OR(Dashboard!$F$6="All",G4992=Dashboard!$F$6),OR(Dashboard!$I$6="All",H4992=Dashboard!$I$6)),1,0)</f>
        <v/>
      </c>
    </row>
    <row r="4993">
      <c r="A4993" t="inlineStr">
        <is>
          <t>PF104984</t>
        </is>
      </c>
      <c r="B4993" s="68" t="n">
        <v>46258</v>
      </c>
      <c r="C4993" s="69" t="n">
        <v>2026</v>
      </c>
      <c r="D4993" t="inlineStr">
        <is>
          <t>Aug</t>
        </is>
      </c>
      <c r="E4993" t="inlineStr">
        <is>
          <t>United States</t>
        </is>
      </c>
      <c r="F4993" t="inlineStr">
        <is>
          <t>USA</t>
        </is>
      </c>
      <c r="G4993" t="inlineStr">
        <is>
          <t>Paxlovid</t>
        </is>
      </c>
      <c r="H4993" t="inlineStr">
        <is>
          <t>Hospital</t>
        </is>
      </c>
      <c r="I4993" t="inlineStr">
        <is>
          <t>Self-pay</t>
        </is>
      </c>
      <c r="J4993" t="inlineStr">
        <is>
          <t>Sara Rossi</t>
        </is>
      </c>
      <c r="K4993" s="70" t="n">
        <v>1672</v>
      </c>
      <c r="L4993" s="71" t="n">
        <v>1503.02</v>
      </c>
      <c r="M4993" s="71" t="n">
        <v>2513049.44</v>
      </c>
      <c r="N4993" s="71" t="n">
        <v>753914.83</v>
      </c>
      <c r="O4993" s="71" t="n">
        <v>1759134.61</v>
      </c>
      <c r="P4993" s="71" t="n">
        <v>441991.08</v>
      </c>
      <c r="Q4993" s="71" t="n">
        <v>1317143.53</v>
      </c>
      <c r="R4993" t="inlineStr">
        <is>
          <t>Antiviral</t>
        </is>
      </c>
      <c r="S4993" s="70" t="n">
        <v>1078</v>
      </c>
      <c r="T4993" s="71" t="n">
        <v>414520.22</v>
      </c>
      <c r="U4993" t="inlineStr">
        <is>
          <t>Low</t>
        </is>
      </c>
      <c r="V4993">
        <f>IF(AND(OR(Dashboard!$C$6="All",E4993=Dashboard!$C$6),OR(Dashboard!$F$6="All",G4993=Dashboard!$F$6),OR(Dashboard!$I$6="All",H4993=Dashboard!$I$6)),1,0)</f>
        <v/>
      </c>
    </row>
    <row r="4994">
      <c r="A4994" t="inlineStr">
        <is>
          <t>PF104985</t>
        </is>
      </c>
      <c r="B4994" s="68" t="n">
        <v>46258</v>
      </c>
      <c r="C4994" s="69" t="n">
        <v>2026</v>
      </c>
      <c r="D4994" t="inlineStr">
        <is>
          <t>Aug</t>
        </is>
      </c>
      <c r="E4994" t="inlineStr">
        <is>
          <t>International developed</t>
        </is>
      </c>
      <c r="F4994" t="inlineStr">
        <is>
          <t>Canada</t>
        </is>
      </c>
      <c r="G4994" t="inlineStr">
        <is>
          <t>Eliquis</t>
        </is>
      </c>
      <c r="H4994" t="inlineStr">
        <is>
          <t>Hospital</t>
        </is>
      </c>
      <c r="I4994" t="inlineStr">
        <is>
          <t>Self-pay</t>
        </is>
      </c>
      <c r="J4994" t="inlineStr">
        <is>
          <t>Shraddha Kulkarni</t>
        </is>
      </c>
      <c r="K4994" s="70" t="n">
        <v>1015</v>
      </c>
      <c r="L4994" s="71" t="n">
        <v>424.11</v>
      </c>
      <c r="M4994" s="71" t="n">
        <v>430471.65</v>
      </c>
      <c r="N4994" s="71" t="n">
        <v>107617.91</v>
      </c>
      <c r="O4994" s="71" t="n">
        <v>322853.74</v>
      </c>
      <c r="P4994" s="71" t="n">
        <v>74584.46000000001</v>
      </c>
      <c r="Q4994" s="71" t="n">
        <v>248269.28</v>
      </c>
      <c r="R4994" t="inlineStr">
        <is>
          <t>Cardiology</t>
        </is>
      </c>
      <c r="S4994" s="70" t="n">
        <v>802</v>
      </c>
      <c r="T4994" s="71" t="n">
        <v>83293.00999999999</v>
      </c>
      <c r="U4994" t="inlineStr">
        <is>
          <t>High</t>
        </is>
      </c>
      <c r="V4994">
        <f>IF(AND(OR(Dashboard!$C$6="All",E4994=Dashboard!$C$6),OR(Dashboard!$F$6="All",G4994=Dashboard!$F$6),OR(Dashboard!$I$6="All",H4994=Dashboard!$I$6)),1,0)</f>
        <v/>
      </c>
    </row>
    <row r="4995">
      <c r="A4995" t="inlineStr">
        <is>
          <t>PF104986</t>
        </is>
      </c>
      <c r="B4995" s="68" t="n">
        <v>46258</v>
      </c>
      <c r="C4995" s="69" t="n">
        <v>2026</v>
      </c>
      <c r="D4995" t="inlineStr">
        <is>
          <t>Aug</t>
        </is>
      </c>
      <c r="E4995" t="inlineStr">
        <is>
          <t>United States</t>
        </is>
      </c>
      <c r="F4995" t="inlineStr">
        <is>
          <t>USA</t>
        </is>
      </c>
      <c r="G4995" t="inlineStr">
        <is>
          <t>Paxlovid</t>
        </is>
      </c>
      <c r="H4995" t="inlineStr">
        <is>
          <t>Hospital</t>
        </is>
      </c>
      <c r="I4995" t="inlineStr">
        <is>
          <t>Public payer</t>
        </is>
      </c>
      <c r="J4995" t="inlineStr">
        <is>
          <t>Ravindra Patil</t>
        </is>
      </c>
      <c r="K4995" s="70" t="n">
        <v>233</v>
      </c>
      <c r="L4995" s="71" t="n">
        <v>1559.89</v>
      </c>
      <c r="M4995" s="71" t="n">
        <v>363454.37</v>
      </c>
      <c r="N4995" s="71" t="n">
        <v>109036.31</v>
      </c>
      <c r="O4995" s="71" t="n">
        <v>254418.06</v>
      </c>
      <c r="P4995" s="71" t="n">
        <v>63764.28</v>
      </c>
      <c r="Q4995" s="71" t="n">
        <v>190653.78</v>
      </c>
      <c r="R4995" t="inlineStr">
        <is>
          <t>Antiviral</t>
        </is>
      </c>
      <c r="S4995" s="70" t="n">
        <v>228</v>
      </c>
      <c r="T4995" s="71" t="n">
        <v>86599.81</v>
      </c>
      <c r="U4995" t="inlineStr">
        <is>
          <t>Low</t>
        </is>
      </c>
      <c r="V4995">
        <f>IF(AND(OR(Dashboard!$C$6="All",E4995=Dashboard!$C$6),OR(Dashboard!$F$6="All",G4995=Dashboard!$F$6),OR(Dashboard!$I$6="All",H4995=Dashboard!$I$6)),1,0)</f>
        <v/>
      </c>
    </row>
    <row r="4996">
      <c r="A4996" t="inlineStr">
        <is>
          <t>PF104987</t>
        </is>
      </c>
      <c r="B4996" s="68" t="n">
        <v>46258</v>
      </c>
      <c r="C4996" s="69" t="n">
        <v>2026</v>
      </c>
      <c r="D4996" t="inlineStr">
        <is>
          <t>Aug</t>
        </is>
      </c>
      <c r="E4996" t="inlineStr">
        <is>
          <t>Europe</t>
        </is>
      </c>
      <c r="F4996" t="inlineStr">
        <is>
          <t>France</t>
        </is>
      </c>
      <c r="G4996" t="inlineStr">
        <is>
          <t>Vyndaqel</t>
        </is>
      </c>
      <c r="H4996" t="inlineStr">
        <is>
          <t>Retail pharmacy</t>
        </is>
      </c>
      <c r="I4996" t="inlineStr">
        <is>
          <t>Private insurer</t>
        </is>
      </c>
      <c r="J4996" t="inlineStr">
        <is>
          <t>Omar Haddad</t>
        </is>
      </c>
      <c r="K4996" s="70" t="n">
        <v>1262</v>
      </c>
      <c r="L4996" s="71" t="n">
        <v>5718.36</v>
      </c>
      <c r="M4996" s="71" t="n">
        <v>7216570.32</v>
      </c>
      <c r="N4996" s="71" t="n">
        <v>1804142.58</v>
      </c>
      <c r="O4996" s="71" t="n">
        <v>5412427.74</v>
      </c>
      <c r="P4996" s="71" t="n">
        <v>794134.79</v>
      </c>
      <c r="Q4996" s="71" t="n">
        <v>4618292.95</v>
      </c>
      <c r="R4996" t="inlineStr">
        <is>
          <t>Rare disease</t>
        </is>
      </c>
      <c r="S4996" s="70" t="n">
        <v>875</v>
      </c>
      <c r="T4996" s="71" t="n">
        <v>880577.74</v>
      </c>
      <c r="U4996" t="inlineStr">
        <is>
          <t>Medium</t>
        </is>
      </c>
      <c r="V4996">
        <f>IF(AND(OR(Dashboard!$C$6="All",E4996=Dashboard!$C$6),OR(Dashboard!$F$6="All",G4996=Dashboard!$F$6),OR(Dashboard!$I$6="All",H4996=Dashboard!$I$6)),1,0)</f>
        <v/>
      </c>
    </row>
    <row r="4997">
      <c r="A4997" t="inlineStr">
        <is>
          <t>PF104988</t>
        </is>
      </c>
      <c r="B4997" s="68" t="n">
        <v>46258</v>
      </c>
      <c r="C4997" s="69" t="n">
        <v>2026</v>
      </c>
      <c r="D4997" t="inlineStr">
        <is>
          <t>Aug</t>
        </is>
      </c>
      <c r="E4997" t="inlineStr">
        <is>
          <t>United States</t>
        </is>
      </c>
      <c r="F4997" t="inlineStr">
        <is>
          <t>USA</t>
        </is>
      </c>
      <c r="G4997" t="inlineStr">
        <is>
          <t>Comirnaty</t>
        </is>
      </c>
      <c r="H4997" t="inlineStr">
        <is>
          <t>Retail pharmacy</t>
        </is>
      </c>
      <c r="I4997" t="inlineStr">
        <is>
          <t>Public payer</t>
        </is>
      </c>
      <c r="J4997" t="inlineStr">
        <is>
          <t>Sara Rossi</t>
        </is>
      </c>
      <c r="K4997" s="70" t="n">
        <v>1059</v>
      </c>
      <c r="L4997" s="71" t="n">
        <v>151.72</v>
      </c>
      <c r="M4997" s="71" t="n">
        <v>160671.48</v>
      </c>
      <c r="N4997" s="71" t="n">
        <v>56235.02</v>
      </c>
      <c r="O4997" s="71" t="n">
        <v>104436.46</v>
      </c>
      <c r="P4997" s="71" t="n">
        <v>39305.64</v>
      </c>
      <c r="Q4997" s="71" t="n">
        <v>65130.82</v>
      </c>
      <c r="R4997" t="inlineStr">
        <is>
          <t>Vaccines</t>
        </is>
      </c>
      <c r="S4997" s="70" t="n">
        <v>964</v>
      </c>
      <c r="T4997" s="71" t="n">
        <v>43096.88</v>
      </c>
      <c r="U4997" t="inlineStr">
        <is>
          <t>Low</t>
        </is>
      </c>
      <c r="V4997">
        <f>IF(AND(OR(Dashboard!$C$6="All",E4997=Dashboard!$C$6),OR(Dashboard!$F$6="All",G4997=Dashboard!$F$6),OR(Dashboard!$I$6="All",H4997=Dashboard!$I$6)),1,0)</f>
        <v/>
      </c>
    </row>
    <row r="4998">
      <c r="A4998" t="inlineStr">
        <is>
          <t>PF104989</t>
        </is>
      </c>
      <c r="B4998" s="68" t="n">
        <v>46258</v>
      </c>
      <c r="C4998" s="69" t="n">
        <v>2026</v>
      </c>
      <c r="D4998" t="inlineStr">
        <is>
          <t>Aug</t>
        </is>
      </c>
      <c r="E4998" t="inlineStr">
        <is>
          <t>Europe</t>
        </is>
      </c>
      <c r="F4998" t="inlineStr">
        <is>
          <t>Spain</t>
        </is>
      </c>
      <c r="G4998" t="inlineStr">
        <is>
          <t>Comirnaty</t>
        </is>
      </c>
      <c r="H4998" t="inlineStr">
        <is>
          <t>Retail pharmacy</t>
        </is>
      </c>
      <c r="I4998" t="inlineStr">
        <is>
          <t>Private insurer</t>
        </is>
      </c>
      <c r="J4998" t="inlineStr">
        <is>
          <t>Zoya Ahmed</t>
        </is>
      </c>
      <c r="K4998" s="70" t="n">
        <v>683</v>
      </c>
      <c r="L4998" s="71" t="n">
        <v>89.70999999999999</v>
      </c>
      <c r="M4998" s="71" t="n">
        <v>61271.93</v>
      </c>
      <c r="N4998" s="71" t="n">
        <v>12254.39</v>
      </c>
      <c r="O4998" s="71" t="n">
        <v>49017.54</v>
      </c>
      <c r="P4998" s="71" t="n">
        <v>25857.01</v>
      </c>
      <c r="Q4998" s="71" t="n">
        <v>23160.53</v>
      </c>
      <c r="R4998" t="inlineStr">
        <is>
          <t>Vaccines</t>
        </is>
      </c>
      <c r="S4998" s="70" t="n">
        <v>592</v>
      </c>
      <c r="T4998" s="71" t="n">
        <v>9257.040000000001</v>
      </c>
      <c r="U4998" t="inlineStr">
        <is>
          <t>Low</t>
        </is>
      </c>
      <c r="V4998">
        <f>IF(AND(OR(Dashboard!$C$6="All",E4998=Dashboard!$C$6),OR(Dashboard!$F$6="All",G4998=Dashboard!$F$6),OR(Dashboard!$I$6="All",H4998=Dashboard!$I$6)),1,0)</f>
        <v/>
      </c>
    </row>
    <row r="4999">
      <c r="A4999" t="inlineStr">
        <is>
          <t>PF104990</t>
        </is>
      </c>
      <c r="B4999" s="68" t="n">
        <v>46258</v>
      </c>
      <c r="C4999" s="69" t="n">
        <v>2026</v>
      </c>
      <c r="D4999" t="inlineStr">
        <is>
          <t>Aug</t>
        </is>
      </c>
      <c r="E4999" t="inlineStr">
        <is>
          <t>United States</t>
        </is>
      </c>
      <c r="F4999" t="inlineStr">
        <is>
          <t>USA</t>
        </is>
      </c>
      <c r="G4999" t="inlineStr">
        <is>
          <t>Xeljanz</t>
        </is>
      </c>
      <c r="H4999" t="inlineStr">
        <is>
          <t>Hospital</t>
        </is>
      </c>
      <c r="I4999" t="inlineStr">
        <is>
          <t>Public payer</t>
        </is>
      </c>
      <c r="J4999" t="inlineStr">
        <is>
          <t>Liam O'Brien</t>
        </is>
      </c>
      <c r="K4999" s="70" t="n">
        <v>545</v>
      </c>
      <c r="L4999" s="71" t="n">
        <v>2021.03</v>
      </c>
      <c r="M4999" s="71" t="n">
        <v>1101461.35</v>
      </c>
      <c r="N4999" s="71" t="n">
        <v>385511.47</v>
      </c>
      <c r="O4999" s="71" t="n">
        <v>715949.88</v>
      </c>
      <c r="P4999" s="71" t="n">
        <v>138594.19</v>
      </c>
      <c r="Q4999" s="71" t="n">
        <v>577355.6899999999</v>
      </c>
      <c r="R4999" t="inlineStr">
        <is>
          <t>Inflammation</t>
        </is>
      </c>
      <c r="S4999" s="70" t="n">
        <v>521</v>
      </c>
      <c r="T4999" s="71" t="n">
        <v>183125.25</v>
      </c>
      <c r="U4999" t="inlineStr">
        <is>
          <t>High</t>
        </is>
      </c>
      <c r="V4999">
        <f>IF(AND(OR(Dashboard!$C$6="All",E4999=Dashboard!$C$6),OR(Dashboard!$F$6="All",G4999=Dashboard!$F$6),OR(Dashboard!$I$6="All",H4999=Dashboard!$I$6)),1,0)</f>
        <v/>
      </c>
    </row>
    <row r="5000">
      <c r="A5000" t="inlineStr">
        <is>
          <t>PF104991</t>
        </is>
      </c>
      <c r="B5000" s="68" t="n">
        <v>46258</v>
      </c>
      <c r="C5000" s="69" t="n">
        <v>2026</v>
      </c>
      <c r="D5000" t="inlineStr">
        <is>
          <t>Aug</t>
        </is>
      </c>
      <c r="E5000" t="inlineStr">
        <is>
          <t>Europe</t>
        </is>
      </c>
      <c r="F5000" t="inlineStr">
        <is>
          <t>UK</t>
        </is>
      </c>
      <c r="G5000" t="inlineStr">
        <is>
          <t>Vyndaqel</t>
        </is>
      </c>
      <c r="H5000" t="inlineStr">
        <is>
          <t>Government / tender</t>
        </is>
      </c>
      <c r="I5000" t="inlineStr">
        <is>
          <t>Public payer</t>
        </is>
      </c>
      <c r="J5000" t="inlineStr">
        <is>
          <t>Shraddha Kulkarni</t>
        </is>
      </c>
      <c r="K5000" s="70" t="n">
        <v>871</v>
      </c>
      <c r="L5000" s="71" t="n">
        <v>5426.63</v>
      </c>
      <c r="M5000" s="71" t="n">
        <v>4726594.73</v>
      </c>
      <c r="N5000" s="71" t="n">
        <v>1181648.68</v>
      </c>
      <c r="O5000" s="71" t="n">
        <v>3544946.05</v>
      </c>
      <c r="P5000" s="71" t="n">
        <v>534542.91</v>
      </c>
      <c r="Q5000" s="71" t="n">
        <v>3010403.14</v>
      </c>
      <c r="R5000" t="inlineStr">
        <is>
          <t>Rare disease</t>
        </is>
      </c>
      <c r="S5000" s="70" t="n">
        <v>572</v>
      </c>
      <c r="T5000" s="71" t="n">
        <v>907254.41</v>
      </c>
      <c r="U5000" t="inlineStr">
        <is>
          <t>Medium</t>
        </is>
      </c>
      <c r="V5000">
        <f>IF(AND(OR(Dashboard!$C$6="All",E5000=Dashboard!$C$6),OR(Dashboard!$F$6="All",G5000=Dashboard!$F$6),OR(Dashboard!$I$6="All",H5000=Dashboard!$I$6)),1,0)</f>
        <v/>
      </c>
    </row>
    <row r="5001">
      <c r="A5001" t="inlineStr">
        <is>
          <t>PF104992</t>
        </is>
      </c>
      <c r="B5001" s="68" t="n">
        <v>46258</v>
      </c>
      <c r="C5001" s="69" t="n">
        <v>2026</v>
      </c>
      <c r="D5001" t="inlineStr">
        <is>
          <t>Aug</t>
        </is>
      </c>
      <c r="E5001" t="inlineStr">
        <is>
          <t>United States</t>
        </is>
      </c>
      <c r="F5001" t="inlineStr">
        <is>
          <t>USA</t>
        </is>
      </c>
      <c r="G5001" t="inlineStr">
        <is>
          <t>Vyndaqel</t>
        </is>
      </c>
      <c r="H5001" t="inlineStr">
        <is>
          <t>Hospital</t>
        </is>
      </c>
      <c r="I5001" t="inlineStr">
        <is>
          <t>Private insurer</t>
        </is>
      </c>
      <c r="J5001" t="inlineStr">
        <is>
          <t>Priya Nair</t>
        </is>
      </c>
      <c r="K5001" s="70" t="n">
        <v>613</v>
      </c>
      <c r="L5001" s="71" t="n">
        <v>8410.41</v>
      </c>
      <c r="M5001" s="71" t="n">
        <v>5155581.33</v>
      </c>
      <c r="N5001" s="71" t="n">
        <v>1288895.33</v>
      </c>
      <c r="O5001" s="71" t="n">
        <v>3866686</v>
      </c>
      <c r="P5001" s="71" t="n">
        <v>396681.72</v>
      </c>
      <c r="Q5001" s="71" t="n">
        <v>3470004.28</v>
      </c>
      <c r="R5001" t="inlineStr">
        <is>
          <t>Rare disease</t>
        </is>
      </c>
      <c r="S5001" s="70" t="n">
        <v>498</v>
      </c>
      <c r="T5001" s="71" t="n">
        <v>781089.15</v>
      </c>
      <c r="U5001" t="inlineStr">
        <is>
          <t>Medium</t>
        </is>
      </c>
      <c r="V5001">
        <f>IF(AND(OR(Dashboard!$C$6="All",E5001=Dashboard!$C$6),OR(Dashboard!$F$6="All",G5001=Dashboard!$F$6),OR(Dashboard!$I$6="All",H5001=Dashboard!$I$6)),1,0)</f>
        <v/>
      </c>
    </row>
    <row r="5002">
      <c r="A5002" t="inlineStr">
        <is>
          <t>PF104993</t>
        </is>
      </c>
      <c r="B5002" s="68" t="n">
        <v>46258</v>
      </c>
      <c r="C5002" s="69" t="n">
        <v>2026</v>
      </c>
      <c r="D5002" t="inlineStr">
        <is>
          <t>Aug</t>
        </is>
      </c>
      <c r="E5002" t="inlineStr">
        <is>
          <t>United States</t>
        </is>
      </c>
      <c r="F5002" t="inlineStr">
        <is>
          <t>USA</t>
        </is>
      </c>
      <c r="G5002" t="inlineStr">
        <is>
          <t>Paxlovid</t>
        </is>
      </c>
      <c r="H5002" t="inlineStr">
        <is>
          <t>Retail pharmacy</t>
        </is>
      </c>
      <c r="I5002" t="inlineStr">
        <is>
          <t>Private insurer</t>
        </is>
      </c>
      <c r="J5002" t="inlineStr">
        <is>
          <t>Priya Nair</t>
        </is>
      </c>
      <c r="K5002" s="70" t="n">
        <v>88</v>
      </c>
      <c r="L5002" s="71" t="n">
        <v>1472.63</v>
      </c>
      <c r="M5002" s="71" t="n">
        <v>129591.44</v>
      </c>
      <c r="N5002" s="71" t="n">
        <v>19438.72</v>
      </c>
      <c r="O5002" s="71" t="n">
        <v>110152.72</v>
      </c>
      <c r="P5002" s="71" t="n">
        <v>23372.43</v>
      </c>
      <c r="Q5002" s="71" t="n">
        <v>86780.28999999999</v>
      </c>
      <c r="R5002" t="inlineStr">
        <is>
          <t>Antiviral</t>
        </is>
      </c>
      <c r="S5002" s="70" t="n">
        <v>58</v>
      </c>
      <c r="T5002" s="71" t="n">
        <v>32079.15</v>
      </c>
      <c r="U5002" t="inlineStr">
        <is>
          <t>Low</t>
        </is>
      </c>
      <c r="V5002">
        <f>IF(AND(OR(Dashboard!$C$6="All",E5002=Dashboard!$C$6),OR(Dashboard!$F$6="All",G5002=Dashboard!$F$6),OR(Dashboard!$I$6="All",H5002=Dashboard!$I$6)),1,0)</f>
        <v/>
      </c>
    </row>
    <row r="5003">
      <c r="A5003" t="inlineStr">
        <is>
          <t>PF104994</t>
        </is>
      </c>
      <c r="B5003" s="68" t="n">
        <v>46258</v>
      </c>
      <c r="C5003" s="69" t="n">
        <v>2026</v>
      </c>
      <c r="D5003" t="inlineStr">
        <is>
          <t>Aug</t>
        </is>
      </c>
      <c r="E5003" t="inlineStr">
        <is>
          <t>Emerging markets</t>
        </is>
      </c>
      <c r="F5003" t="inlineStr">
        <is>
          <t>Brazil</t>
        </is>
      </c>
      <c r="G5003" t="inlineStr">
        <is>
          <t>Xeljanz</t>
        </is>
      </c>
      <c r="H5003" t="inlineStr">
        <is>
          <t>Government / tender</t>
        </is>
      </c>
      <c r="I5003" t="inlineStr">
        <is>
          <t>Private insurer</t>
        </is>
      </c>
      <c r="J5003" t="inlineStr">
        <is>
          <t>Zoya Ahmed</t>
        </is>
      </c>
      <c r="K5003" s="70" t="n">
        <v>1379</v>
      </c>
      <c r="L5003" s="71" t="n">
        <v>1412.44</v>
      </c>
      <c r="M5003" s="71" t="n">
        <v>1947754.76</v>
      </c>
      <c r="N5003" s="71" t="n">
        <v>389550.95</v>
      </c>
      <c r="O5003" s="71" t="n">
        <v>1558203.81</v>
      </c>
      <c r="P5003" s="71" t="n">
        <v>360196.37</v>
      </c>
      <c r="Q5003" s="71" t="n">
        <v>1198007.44</v>
      </c>
      <c r="R5003" t="inlineStr">
        <is>
          <t>Inflammation</t>
        </is>
      </c>
      <c r="S5003" s="70" t="n">
        <v>945</v>
      </c>
      <c r="T5003" s="71" t="n">
        <v>294865.45</v>
      </c>
      <c r="U5003" t="inlineStr">
        <is>
          <t>High</t>
        </is>
      </c>
      <c r="V5003">
        <f>IF(AND(OR(Dashboard!$C$6="All",E5003=Dashboard!$C$6),OR(Dashboard!$F$6="All",G5003=Dashboard!$F$6),OR(Dashboard!$I$6="All",H5003=Dashboard!$I$6)),1,0)</f>
        <v/>
      </c>
    </row>
    <row r="5004">
      <c r="A5004" t="inlineStr">
        <is>
          <t>PF104995</t>
        </is>
      </c>
      <c r="B5004" s="68" t="n">
        <v>46259</v>
      </c>
      <c r="C5004" s="69" t="n">
        <v>2026</v>
      </c>
      <c r="D5004" t="inlineStr">
        <is>
          <t>Aug</t>
        </is>
      </c>
      <c r="E5004" t="inlineStr">
        <is>
          <t>Europe</t>
        </is>
      </c>
      <c r="F5004" t="inlineStr">
        <is>
          <t>France</t>
        </is>
      </c>
      <c r="G5004" t="inlineStr">
        <is>
          <t>Prevnar 20</t>
        </is>
      </c>
      <c r="H5004" t="inlineStr">
        <is>
          <t>Retail pharmacy</t>
        </is>
      </c>
      <c r="I5004" t="inlineStr">
        <is>
          <t>Public payer</t>
        </is>
      </c>
      <c r="J5004" t="inlineStr">
        <is>
          <t>Fatima Al-Saud</t>
        </is>
      </c>
      <c r="K5004" s="70" t="n">
        <v>670</v>
      </c>
      <c r="L5004" s="71" t="n">
        <v>223.27</v>
      </c>
      <c r="M5004" s="71" t="n">
        <v>149590.9</v>
      </c>
      <c r="N5004" s="71" t="n">
        <v>14959.09</v>
      </c>
      <c r="O5004" s="71" t="n">
        <v>134631.81</v>
      </c>
      <c r="P5004" s="71" t="n">
        <v>45473.63</v>
      </c>
      <c r="Q5004" s="71" t="n">
        <v>89158.17999999999</v>
      </c>
      <c r="R5004" t="inlineStr">
        <is>
          <t>Vaccines</t>
        </is>
      </c>
      <c r="S5004" s="70" t="n">
        <v>606</v>
      </c>
      <c r="T5004" s="71" t="n">
        <v>23969.28</v>
      </c>
      <c r="U5004" t="inlineStr">
        <is>
          <t>Low</t>
        </is>
      </c>
      <c r="V5004">
        <f>IF(AND(OR(Dashboard!$C$6="All",E5004=Dashboard!$C$6),OR(Dashboard!$F$6="All",G5004=Dashboard!$F$6),OR(Dashboard!$I$6="All",H5004=Dashboard!$I$6)),1,0)</f>
        <v/>
      </c>
    </row>
    <row r="5005">
      <c r="A5005" t="inlineStr">
        <is>
          <t>PF104996</t>
        </is>
      </c>
      <c r="B5005" s="68" t="n">
        <v>46259</v>
      </c>
      <c r="C5005" s="69" t="n">
        <v>2026</v>
      </c>
      <c r="D5005" t="inlineStr">
        <is>
          <t>Aug</t>
        </is>
      </c>
      <c r="E5005" t="inlineStr">
        <is>
          <t>International developed</t>
        </is>
      </c>
      <c r="F5005" t="inlineStr">
        <is>
          <t>Japan</t>
        </is>
      </c>
      <c r="G5005" t="inlineStr">
        <is>
          <t>Eliquis</t>
        </is>
      </c>
      <c r="H5005" t="inlineStr">
        <is>
          <t>Government / tender</t>
        </is>
      </c>
      <c r="I5005" t="inlineStr">
        <is>
          <t>Self-pay</t>
        </is>
      </c>
      <c r="J5005" t="inlineStr">
        <is>
          <t>Zoya Ahmed</t>
        </is>
      </c>
      <c r="K5005" s="70" t="n">
        <v>3022</v>
      </c>
      <c r="L5005" s="71" t="n">
        <v>412.49</v>
      </c>
      <c r="M5005" s="71" t="n">
        <v>1246544.78</v>
      </c>
      <c r="N5005" s="71" t="n">
        <v>124654.48</v>
      </c>
      <c r="O5005" s="71" t="n">
        <v>1121890.3</v>
      </c>
      <c r="P5005" s="71" t="n">
        <v>236753.5</v>
      </c>
      <c r="Q5005" s="71" t="n">
        <v>885136.8</v>
      </c>
      <c r="R5005" t="inlineStr">
        <is>
          <t>Cardiology</t>
        </is>
      </c>
      <c r="S5005" s="70" t="n">
        <v>1958</v>
      </c>
      <c r="T5005" s="71" t="n">
        <v>232025.2</v>
      </c>
      <c r="U5005" t="inlineStr">
        <is>
          <t>High</t>
        </is>
      </c>
      <c r="V5005">
        <f>IF(AND(OR(Dashboard!$C$6="All",E5005=Dashboard!$C$6),OR(Dashboard!$F$6="All",G5005=Dashboard!$F$6),OR(Dashboard!$I$6="All",H5005=Dashboard!$I$6)),1,0)</f>
        <v/>
      </c>
    </row>
    <row r="5006">
      <c r="A5006" t="inlineStr">
        <is>
          <t>PF104997</t>
        </is>
      </c>
      <c r="B5006" s="68" t="n">
        <v>46259</v>
      </c>
      <c r="C5006" s="69" t="n">
        <v>2026</v>
      </c>
      <c r="D5006" t="inlineStr">
        <is>
          <t>Aug</t>
        </is>
      </c>
      <c r="E5006" t="inlineStr">
        <is>
          <t>Europe</t>
        </is>
      </c>
      <c r="F5006" t="inlineStr">
        <is>
          <t>Germany</t>
        </is>
      </c>
      <c r="G5006" t="inlineStr">
        <is>
          <t>Ibrance</t>
        </is>
      </c>
      <c r="H5006" t="inlineStr">
        <is>
          <t>Retail pharmacy</t>
        </is>
      </c>
      <c r="I5006" t="inlineStr">
        <is>
          <t>Private insurer</t>
        </is>
      </c>
      <c r="J5006" t="inlineStr">
        <is>
          <t>Noah Smith</t>
        </is>
      </c>
      <c r="K5006" s="70" t="n">
        <v>2505</v>
      </c>
      <c r="L5006" s="71" t="n">
        <v>3092.09</v>
      </c>
      <c r="M5006" s="71" t="n">
        <v>7745685.45</v>
      </c>
      <c r="N5006" s="71" t="n">
        <v>1161852.82</v>
      </c>
      <c r="O5006" s="71" t="n">
        <v>6583832.63</v>
      </c>
      <c r="P5006" s="71" t="n">
        <v>1077718.14</v>
      </c>
      <c r="Q5006" s="71" t="n">
        <v>5506114.49</v>
      </c>
      <c r="R5006" t="inlineStr">
        <is>
          <t>Oncology</t>
        </is>
      </c>
      <c r="S5006" s="70" t="n">
        <v>1759</v>
      </c>
      <c r="T5006" s="71" t="n">
        <v>1143119.63</v>
      </c>
      <c r="U5006" t="inlineStr">
        <is>
          <t>High</t>
        </is>
      </c>
      <c r="V5006">
        <f>IF(AND(OR(Dashboard!$C$6="All",E5006=Dashboard!$C$6),OR(Dashboard!$F$6="All",G5006=Dashboard!$F$6),OR(Dashboard!$I$6="All",H5006=Dashboard!$I$6)),1,0)</f>
        <v/>
      </c>
    </row>
    <row r="5007">
      <c r="A5007" t="inlineStr">
        <is>
          <t>PF104998</t>
        </is>
      </c>
      <c r="B5007" s="68" t="n">
        <v>46259</v>
      </c>
      <c r="C5007" s="69" t="n">
        <v>2026</v>
      </c>
      <c r="D5007" t="inlineStr">
        <is>
          <t>Aug</t>
        </is>
      </c>
      <c r="E5007" t="inlineStr">
        <is>
          <t>Emerging markets</t>
        </is>
      </c>
      <c r="F5007" t="inlineStr">
        <is>
          <t>China</t>
        </is>
      </c>
      <c r="G5007" t="inlineStr">
        <is>
          <t>Eliquis</t>
        </is>
      </c>
      <c r="H5007" t="inlineStr">
        <is>
          <t>Hospital</t>
        </is>
      </c>
      <c r="I5007" t="inlineStr">
        <is>
          <t>Public payer</t>
        </is>
      </c>
      <c r="J5007" t="inlineStr">
        <is>
          <t>Aisha Bello</t>
        </is>
      </c>
      <c r="K5007" s="70" t="n">
        <v>1633</v>
      </c>
      <c r="L5007" s="71" t="n">
        <v>461.71</v>
      </c>
      <c r="M5007" s="71" t="n">
        <v>753972.4300000001</v>
      </c>
      <c r="N5007" s="71" t="n">
        <v>150794.49</v>
      </c>
      <c r="O5007" s="71" t="n">
        <v>603177.9399999999</v>
      </c>
      <c r="P5007" s="71" t="n">
        <v>121136.96</v>
      </c>
      <c r="Q5007" s="71" t="n">
        <v>482040.98</v>
      </c>
      <c r="R5007" t="inlineStr">
        <is>
          <t>Cardiology</t>
        </is>
      </c>
      <c r="S5007" s="70" t="n">
        <v>1136</v>
      </c>
      <c r="T5007" s="71" t="n">
        <v>98229.58</v>
      </c>
      <c r="U5007" t="inlineStr">
        <is>
          <t>High</t>
        </is>
      </c>
      <c r="V5007">
        <f>IF(AND(OR(Dashboard!$C$6="All",E5007=Dashboard!$C$6),OR(Dashboard!$F$6="All",G5007=Dashboard!$F$6),OR(Dashboard!$I$6="All",H5007=Dashboard!$I$6)),1,0)</f>
        <v/>
      </c>
    </row>
    <row r="5008">
      <c r="A5008" t="inlineStr">
        <is>
          <t>PF104999</t>
        </is>
      </c>
      <c r="B5008" s="68" t="n">
        <v>46259</v>
      </c>
      <c r="C5008" s="69" t="n">
        <v>2026</v>
      </c>
      <c r="D5008" t="inlineStr">
        <is>
          <t>Aug</t>
        </is>
      </c>
      <c r="E5008" t="inlineStr">
        <is>
          <t>United States</t>
        </is>
      </c>
      <c r="F5008" t="inlineStr">
        <is>
          <t>USA</t>
        </is>
      </c>
      <c r="G5008" t="inlineStr">
        <is>
          <t>Paxlovid</t>
        </is>
      </c>
      <c r="H5008" t="inlineStr">
        <is>
          <t>Retail pharmacy</t>
        </is>
      </c>
      <c r="I5008" t="inlineStr">
        <is>
          <t>Public payer</t>
        </is>
      </c>
      <c r="J5008" t="inlineStr">
        <is>
          <t>Liam O'Brien</t>
        </is>
      </c>
      <c r="K5008" s="70" t="n">
        <v>2188</v>
      </c>
      <c r="L5008" s="71" t="n">
        <v>1564.51</v>
      </c>
      <c r="M5008" s="71" t="n">
        <v>3423147.88</v>
      </c>
      <c r="N5008" s="71" t="n">
        <v>855786.97</v>
      </c>
      <c r="O5008" s="71" t="n">
        <v>2567360.91</v>
      </c>
      <c r="P5008" s="71" t="n">
        <v>603854</v>
      </c>
      <c r="Q5008" s="71" t="n">
        <v>1963506.91</v>
      </c>
      <c r="R5008" t="inlineStr">
        <is>
          <t>Antiviral</t>
        </is>
      </c>
      <c r="S5008" s="70" t="n">
        <v>1577</v>
      </c>
      <c r="T5008" s="71" t="n">
        <v>494018.66</v>
      </c>
      <c r="U5008" t="inlineStr">
        <is>
          <t>Low</t>
        </is>
      </c>
      <c r="V5008">
        <f>IF(AND(OR(Dashboard!$C$6="All",E5008=Dashboard!$C$6),OR(Dashboard!$F$6="All",G5008=Dashboard!$F$6),OR(Dashboard!$I$6="All",H5008=Dashboard!$I$6)),1,0)</f>
        <v/>
      </c>
    </row>
    <row r="5009">
      <c r="A5009" t="inlineStr">
        <is>
          <t>PF105000</t>
        </is>
      </c>
      <c r="B5009" s="68" t="n">
        <v>46259</v>
      </c>
      <c r="C5009" s="69" t="n">
        <v>2026</v>
      </c>
      <c r="D5009" t="inlineStr">
        <is>
          <t>Aug</t>
        </is>
      </c>
      <c r="E5009" t="inlineStr">
        <is>
          <t>United States</t>
        </is>
      </c>
      <c r="F5009" t="inlineStr">
        <is>
          <t>USA</t>
        </is>
      </c>
      <c r="G5009" t="inlineStr">
        <is>
          <t>Prevnar 20</t>
        </is>
      </c>
      <c r="H5009" t="inlineStr">
        <is>
          <t>Hospital</t>
        </is>
      </c>
      <c r="I5009" t="inlineStr">
        <is>
          <t>Private insurer</t>
        </is>
      </c>
      <c r="J5009" t="inlineStr">
        <is>
          <t>Shraddha Kulkarni</t>
        </is>
      </c>
      <c r="K5009" s="70" t="n">
        <v>1603</v>
      </c>
      <c r="L5009" s="71" t="n">
        <v>375.37</v>
      </c>
      <c r="M5009" s="71" t="n">
        <v>601718.11</v>
      </c>
      <c r="N5009" s="71" t="n">
        <v>150429.53</v>
      </c>
      <c r="O5009" s="71" t="n">
        <v>451288.58</v>
      </c>
      <c r="P5009" s="71" t="n">
        <v>111735.79</v>
      </c>
      <c r="Q5009" s="71" t="n">
        <v>339552.79</v>
      </c>
      <c r="R5009" t="inlineStr">
        <is>
          <t>Vaccines</t>
        </is>
      </c>
      <c r="S5009" s="70" t="n">
        <v>1085</v>
      </c>
      <c r="T5009" s="71" t="n">
        <v>119502.47</v>
      </c>
      <c r="U5009" t="inlineStr">
        <is>
          <t>Low</t>
        </is>
      </c>
      <c r="V5009">
        <f>IF(AND(OR(Dashboard!$C$6="All",E5009=Dashboard!$C$6),OR(Dashboard!$F$6="All",G5009=Dashboard!$F$6),OR(Dashboard!$I$6="All",H5009=Dashboard!$I$6)),1,0)</f>
        <v/>
      </c>
    </row>
    <row r="5010">
      <c r="A5010" t="inlineStr">
        <is>
          <t>PF105001</t>
        </is>
      </c>
      <c r="B5010" s="68" t="n">
        <v>46259</v>
      </c>
      <c r="C5010" s="69" t="n">
        <v>2026</v>
      </c>
      <c r="D5010" t="inlineStr">
        <is>
          <t>Aug</t>
        </is>
      </c>
      <c r="E5010" t="inlineStr">
        <is>
          <t>International developed</t>
        </is>
      </c>
      <c r="F5010" t="inlineStr">
        <is>
          <t>Japan</t>
        </is>
      </c>
      <c r="G5010" t="inlineStr">
        <is>
          <t>Comirnaty</t>
        </is>
      </c>
      <c r="H5010" t="inlineStr">
        <is>
          <t>Hospital</t>
        </is>
      </c>
      <c r="I5010" t="inlineStr">
        <is>
          <t>Private insurer</t>
        </is>
      </c>
      <c r="J5010" t="inlineStr">
        <is>
          <t>Wei Chen</t>
        </is>
      </c>
      <c r="K5010" s="70" t="n">
        <v>1164</v>
      </c>
      <c r="L5010" s="71" t="n">
        <v>84.53</v>
      </c>
      <c r="M5010" s="71" t="n">
        <v>98392.92</v>
      </c>
      <c r="N5010" s="71" t="n">
        <v>9839.290000000001</v>
      </c>
      <c r="O5010" s="71" t="n">
        <v>88553.63</v>
      </c>
      <c r="P5010" s="71" t="n">
        <v>46065.77</v>
      </c>
      <c r="Q5010" s="71" t="n">
        <v>42487.86</v>
      </c>
      <c r="R5010" t="inlineStr">
        <is>
          <t>Vaccines</t>
        </is>
      </c>
      <c r="S5010" s="70" t="n">
        <v>795</v>
      </c>
      <c r="T5010" s="71" t="n">
        <v>20142.21</v>
      </c>
      <c r="U5010" t="inlineStr">
        <is>
          <t>Low</t>
        </is>
      </c>
      <c r="V5010">
        <f>IF(AND(OR(Dashboard!$C$6="All",E5010=Dashboard!$C$6),OR(Dashboard!$F$6="All",G5010=Dashboard!$F$6),OR(Dashboard!$I$6="All",H5010=Dashboard!$I$6)),1,0)</f>
        <v/>
      </c>
    </row>
    <row r="5011">
      <c r="A5011" t="inlineStr">
        <is>
          <t>PF105002</t>
        </is>
      </c>
      <c r="B5011" s="68" t="n">
        <v>46259</v>
      </c>
      <c r="C5011" s="69" t="n">
        <v>2026</v>
      </c>
      <c r="D5011" t="inlineStr">
        <is>
          <t>Aug</t>
        </is>
      </c>
      <c r="E5011" t="inlineStr">
        <is>
          <t>International developed</t>
        </is>
      </c>
      <c r="F5011" t="inlineStr">
        <is>
          <t>Canada</t>
        </is>
      </c>
      <c r="G5011" t="inlineStr">
        <is>
          <t>Vyndaqel</t>
        </is>
      </c>
      <c r="H5011" t="inlineStr">
        <is>
          <t>Government / tender</t>
        </is>
      </c>
      <c r="I5011" t="inlineStr">
        <is>
          <t>Public payer</t>
        </is>
      </c>
      <c r="J5011" t="inlineStr">
        <is>
          <t>Arjun Mehta</t>
        </is>
      </c>
      <c r="K5011" s="70" t="n">
        <v>1800</v>
      </c>
      <c r="L5011" s="71" t="n">
        <v>5243.87</v>
      </c>
      <c r="M5011" s="71" t="n">
        <v>9438966</v>
      </c>
      <c r="N5011" s="71" t="n">
        <v>2359741.5</v>
      </c>
      <c r="O5011" s="71" t="n">
        <v>7079224.5</v>
      </c>
      <c r="P5011" s="71" t="n">
        <v>1137872.63</v>
      </c>
      <c r="Q5011" s="71" t="n">
        <v>5941351.87</v>
      </c>
      <c r="R5011" t="inlineStr">
        <is>
          <t>Rare disease</t>
        </is>
      </c>
      <c r="S5011" s="70" t="n">
        <v>1706</v>
      </c>
      <c r="T5011" s="71" t="n">
        <v>1344453.66</v>
      </c>
      <c r="U5011" t="inlineStr">
        <is>
          <t>Medium</t>
        </is>
      </c>
      <c r="V5011">
        <f>IF(AND(OR(Dashboard!$C$6="All",E5011=Dashboard!$C$6),OR(Dashboard!$F$6="All",G5011=Dashboard!$F$6),OR(Dashboard!$I$6="All",H5011=Dashboard!$I$6)),1,0)</f>
        <v/>
      </c>
    </row>
    <row r="5012">
      <c r="A5012" t="inlineStr">
        <is>
          <t>PF105003</t>
        </is>
      </c>
      <c r="B5012" s="68" t="n">
        <v>46259</v>
      </c>
      <c r="C5012" s="69" t="n">
        <v>2026</v>
      </c>
      <c r="D5012" t="inlineStr">
        <is>
          <t>Aug</t>
        </is>
      </c>
      <c r="E5012" t="inlineStr">
        <is>
          <t>International developed</t>
        </is>
      </c>
      <c r="F5012" t="inlineStr">
        <is>
          <t>Australia</t>
        </is>
      </c>
      <c r="G5012" t="inlineStr">
        <is>
          <t>Prevnar 20</t>
        </is>
      </c>
      <c r="H5012" t="inlineStr">
        <is>
          <t>Retail pharmacy</t>
        </is>
      </c>
      <c r="I5012" t="inlineStr">
        <is>
          <t>Private insurer</t>
        </is>
      </c>
      <c r="J5012" t="inlineStr">
        <is>
          <t>Aisha Bello</t>
        </is>
      </c>
      <c r="K5012" s="70" t="n">
        <v>1264</v>
      </c>
      <c r="L5012" s="71" t="n">
        <v>225.43</v>
      </c>
      <c r="M5012" s="71" t="n">
        <v>284943.52</v>
      </c>
      <c r="N5012" s="71" t="n">
        <v>42741.53</v>
      </c>
      <c r="O5012" s="71" t="n">
        <v>242201.99</v>
      </c>
      <c r="P5012" s="71" t="n">
        <v>85648.94</v>
      </c>
      <c r="Q5012" s="71" t="n">
        <v>156553.05</v>
      </c>
      <c r="R5012" t="inlineStr">
        <is>
          <t>Vaccines</t>
        </is>
      </c>
      <c r="S5012" s="70" t="n">
        <v>1253</v>
      </c>
      <c r="T5012" s="71" t="n">
        <v>35120.38</v>
      </c>
      <c r="U5012" t="inlineStr">
        <is>
          <t>Low</t>
        </is>
      </c>
      <c r="V5012">
        <f>IF(AND(OR(Dashboard!$C$6="All",E5012=Dashboard!$C$6),OR(Dashboard!$F$6="All",G5012=Dashboard!$F$6),OR(Dashboard!$I$6="All",H5012=Dashboard!$I$6)),1,0)</f>
        <v/>
      </c>
    </row>
    <row r="5013">
      <c r="A5013" t="inlineStr">
        <is>
          <t>PF105004</t>
        </is>
      </c>
      <c r="B5013" s="68" t="n">
        <v>46259</v>
      </c>
      <c r="C5013" s="69" t="n">
        <v>2026</v>
      </c>
      <c r="D5013" t="inlineStr">
        <is>
          <t>Aug</t>
        </is>
      </c>
      <c r="E5013" t="inlineStr">
        <is>
          <t>United States</t>
        </is>
      </c>
      <c r="F5013" t="inlineStr">
        <is>
          <t>USA</t>
        </is>
      </c>
      <c r="G5013" t="inlineStr">
        <is>
          <t>Prevnar 20</t>
        </is>
      </c>
      <c r="H5013" t="inlineStr">
        <is>
          <t>Hospital</t>
        </is>
      </c>
      <c r="I5013" t="inlineStr">
        <is>
          <t>Private insurer</t>
        </is>
      </c>
      <c r="J5013" t="inlineStr">
        <is>
          <t>Aisha Bello</t>
        </is>
      </c>
      <c r="K5013" s="70" t="n">
        <v>1587</v>
      </c>
      <c r="L5013" s="71" t="n">
        <v>369.9</v>
      </c>
      <c r="M5013" s="71" t="n">
        <v>587031.3</v>
      </c>
      <c r="N5013" s="71" t="n">
        <v>205460.96</v>
      </c>
      <c r="O5013" s="71" t="n">
        <v>381570.34</v>
      </c>
      <c r="P5013" s="71" t="n">
        <v>110565.75</v>
      </c>
      <c r="Q5013" s="71" t="n">
        <v>271004.59</v>
      </c>
      <c r="R5013" t="inlineStr">
        <is>
          <t>Vaccines</t>
        </is>
      </c>
      <c r="S5013" s="70" t="n">
        <v>1045</v>
      </c>
      <c r="T5013" s="71" t="n">
        <v>113055.83</v>
      </c>
      <c r="U5013" t="inlineStr">
        <is>
          <t>Low</t>
        </is>
      </c>
      <c r="V5013">
        <f>IF(AND(OR(Dashboard!$C$6="All",E5013=Dashboard!$C$6),OR(Dashboard!$F$6="All",G5013=Dashboard!$F$6),OR(Dashboard!$I$6="All",H5013=Dashboard!$I$6)),1,0)</f>
        <v/>
      </c>
    </row>
    <row r="5014">
      <c r="A5014" t="inlineStr">
        <is>
          <t>PF105005</t>
        </is>
      </c>
      <c r="B5014" s="68" t="n">
        <v>46259</v>
      </c>
      <c r="C5014" s="69" t="n">
        <v>2026</v>
      </c>
      <c r="D5014" t="inlineStr">
        <is>
          <t>Aug</t>
        </is>
      </c>
      <c r="E5014" t="inlineStr">
        <is>
          <t>Europe</t>
        </is>
      </c>
      <c r="F5014" t="inlineStr">
        <is>
          <t>UK</t>
        </is>
      </c>
      <c r="G5014" t="inlineStr">
        <is>
          <t>Eliquis</t>
        </is>
      </c>
      <c r="H5014" t="inlineStr">
        <is>
          <t>Government / tender</t>
        </is>
      </c>
      <c r="I5014" t="inlineStr">
        <is>
          <t>Public payer</t>
        </is>
      </c>
      <c r="J5014" t="inlineStr">
        <is>
          <t>Shraddha Kulkarni</t>
        </is>
      </c>
      <c r="K5014" s="70" t="n">
        <v>2020</v>
      </c>
      <c r="L5014" s="71" t="n">
        <v>430.86</v>
      </c>
      <c r="M5014" s="71" t="n">
        <v>870337.2</v>
      </c>
      <c r="N5014" s="71" t="n">
        <v>130550.58</v>
      </c>
      <c r="O5014" s="71" t="n">
        <v>739786.62</v>
      </c>
      <c r="P5014" s="71" t="n">
        <v>157023.01</v>
      </c>
      <c r="Q5014" s="71" t="n">
        <v>582763.61</v>
      </c>
      <c r="R5014" t="inlineStr">
        <is>
          <t>Cardiology</t>
        </is>
      </c>
      <c r="S5014" s="70" t="n">
        <v>1658</v>
      </c>
      <c r="T5014" s="71" t="n">
        <v>131192.22</v>
      </c>
      <c r="U5014" t="inlineStr">
        <is>
          <t>High</t>
        </is>
      </c>
      <c r="V5014">
        <f>IF(AND(OR(Dashboard!$C$6="All",E5014=Dashboard!$C$6),OR(Dashboard!$F$6="All",G5014=Dashboard!$F$6),OR(Dashboard!$I$6="All",H5014=Dashboard!$I$6)),1,0)</f>
        <v/>
      </c>
    </row>
    <row r="5015">
      <c r="A5015" t="inlineStr">
        <is>
          <t>PF105006</t>
        </is>
      </c>
      <c r="B5015" s="68" t="n">
        <v>46259</v>
      </c>
      <c r="C5015" s="69" t="n">
        <v>2026</v>
      </c>
      <c r="D5015" t="inlineStr">
        <is>
          <t>Aug</t>
        </is>
      </c>
      <c r="E5015" t="inlineStr">
        <is>
          <t>Emerging markets</t>
        </is>
      </c>
      <c r="F5015" t="inlineStr">
        <is>
          <t>India</t>
        </is>
      </c>
      <c r="G5015" t="inlineStr">
        <is>
          <t>Comirnaty</t>
        </is>
      </c>
      <c r="H5015" t="inlineStr">
        <is>
          <t>Retail pharmacy</t>
        </is>
      </c>
      <c r="I5015" t="inlineStr">
        <is>
          <t>Public payer</t>
        </is>
      </c>
      <c r="J5015" t="inlineStr">
        <is>
          <t>Lucas Martin</t>
        </is>
      </c>
      <c r="K5015" s="70" t="n">
        <v>479</v>
      </c>
      <c r="L5015" s="71" t="n">
        <v>85.31</v>
      </c>
      <c r="M5015" s="71" t="n">
        <v>40863.49</v>
      </c>
      <c r="N5015" s="71" t="n">
        <v>6129.52</v>
      </c>
      <c r="O5015" s="71" t="n">
        <v>34733.97</v>
      </c>
      <c r="P5015" s="71" t="n">
        <v>17993.34</v>
      </c>
      <c r="Q5015" s="71" t="n">
        <v>16740.63</v>
      </c>
      <c r="R5015" t="inlineStr">
        <is>
          <t>Vaccines</t>
        </is>
      </c>
      <c r="S5015" s="70" t="n">
        <v>300</v>
      </c>
      <c r="T5015" s="71" t="n">
        <v>8670.379999999999</v>
      </c>
      <c r="U5015" t="inlineStr">
        <is>
          <t>Low</t>
        </is>
      </c>
      <c r="V5015">
        <f>IF(AND(OR(Dashboard!$C$6="All",E5015=Dashboard!$C$6),OR(Dashboard!$F$6="All",G5015=Dashboard!$F$6),OR(Dashboard!$I$6="All",H5015=Dashboard!$I$6)),1,0)</f>
        <v/>
      </c>
    </row>
    <row r="5016">
      <c r="A5016" t="inlineStr">
        <is>
          <t>PF105007</t>
        </is>
      </c>
      <c r="B5016" s="68" t="n">
        <v>46259</v>
      </c>
      <c r="C5016" s="69" t="n">
        <v>2026</v>
      </c>
      <c r="D5016" t="inlineStr">
        <is>
          <t>Aug</t>
        </is>
      </c>
      <c r="E5016" t="inlineStr">
        <is>
          <t>Emerging markets</t>
        </is>
      </c>
      <c r="F5016" t="inlineStr">
        <is>
          <t>Brazil</t>
        </is>
      </c>
      <c r="G5016" t="inlineStr">
        <is>
          <t>Vyndaqel</t>
        </is>
      </c>
      <c r="H5016" t="inlineStr">
        <is>
          <t>Government / tender</t>
        </is>
      </c>
      <c r="I5016" t="inlineStr">
        <is>
          <t>Private insurer</t>
        </is>
      </c>
      <c r="J5016" t="inlineStr">
        <is>
          <t>Ana Costa</t>
        </is>
      </c>
      <c r="K5016" s="70" t="n">
        <v>939</v>
      </c>
      <c r="L5016" s="71" t="n">
        <v>5621.65</v>
      </c>
      <c r="M5016" s="71" t="n">
        <v>5278729.35</v>
      </c>
      <c r="N5016" s="71" t="n">
        <v>791809.4</v>
      </c>
      <c r="O5016" s="71" t="n">
        <v>4486919.95</v>
      </c>
      <c r="P5016" s="71" t="n">
        <v>564495.89</v>
      </c>
      <c r="Q5016" s="71" t="n">
        <v>3922424.06</v>
      </c>
      <c r="R5016" t="inlineStr">
        <is>
          <t>Rare disease</t>
        </is>
      </c>
      <c r="S5016" s="70" t="n">
        <v>642</v>
      </c>
      <c r="T5016" s="71" t="n">
        <v>873745.25</v>
      </c>
      <c r="U5016" t="inlineStr">
        <is>
          <t>Medium</t>
        </is>
      </c>
      <c r="V5016">
        <f>IF(AND(OR(Dashboard!$C$6="All",E5016=Dashboard!$C$6),OR(Dashboard!$F$6="All",G5016=Dashboard!$F$6),OR(Dashboard!$I$6="All",H5016=Dashboard!$I$6)),1,0)</f>
        <v/>
      </c>
    </row>
    <row r="5017">
      <c r="A5017" t="inlineStr">
        <is>
          <t>PF105008</t>
        </is>
      </c>
      <c r="B5017" s="68" t="n">
        <v>46259</v>
      </c>
      <c r="C5017" s="69" t="n">
        <v>2026</v>
      </c>
      <c r="D5017" t="inlineStr">
        <is>
          <t>Aug</t>
        </is>
      </c>
      <c r="E5017" t="inlineStr">
        <is>
          <t>International developed</t>
        </is>
      </c>
      <c r="F5017" t="inlineStr">
        <is>
          <t>Japan</t>
        </is>
      </c>
      <c r="G5017" t="inlineStr">
        <is>
          <t>Xeljanz</t>
        </is>
      </c>
      <c r="H5017" t="inlineStr">
        <is>
          <t>Hospital</t>
        </is>
      </c>
      <c r="I5017" t="inlineStr">
        <is>
          <t>Private insurer</t>
        </is>
      </c>
      <c r="J5017" t="inlineStr">
        <is>
          <t>Omar Haddad</t>
        </is>
      </c>
      <c r="K5017" s="70" t="n">
        <v>2936</v>
      </c>
      <c r="L5017" s="71" t="n">
        <v>1473.88</v>
      </c>
      <c r="M5017" s="71" t="n">
        <v>4327311.68</v>
      </c>
      <c r="N5017" s="71" t="n">
        <v>865462.34</v>
      </c>
      <c r="O5017" s="71" t="n">
        <v>3461849.34</v>
      </c>
      <c r="P5017" s="71" t="n">
        <v>714610.33</v>
      </c>
      <c r="Q5017" s="71" t="n">
        <v>2747239.01</v>
      </c>
      <c r="R5017" t="inlineStr">
        <is>
          <t>Inflammation</t>
        </is>
      </c>
      <c r="S5017" s="70" t="n">
        <v>2107</v>
      </c>
      <c r="T5017" s="71" t="n">
        <v>601285.27</v>
      </c>
      <c r="U5017" t="inlineStr">
        <is>
          <t>High</t>
        </is>
      </c>
      <c r="V5017">
        <f>IF(AND(OR(Dashboard!$C$6="All",E5017=Dashboard!$C$6),OR(Dashboard!$F$6="All",G5017=Dashboard!$F$6),OR(Dashboard!$I$6="All",H5017=Dashboard!$I$6)),1,0)</f>
        <v/>
      </c>
    </row>
    <row r="5018">
      <c r="A5018" t="inlineStr">
        <is>
          <t>PF105009</t>
        </is>
      </c>
      <c r="B5018" s="68" t="n">
        <v>46259</v>
      </c>
      <c r="C5018" s="69" t="n">
        <v>2026</v>
      </c>
      <c r="D5018" t="inlineStr">
        <is>
          <t>Aug</t>
        </is>
      </c>
      <c r="E5018" t="inlineStr">
        <is>
          <t>United States</t>
        </is>
      </c>
      <c r="F5018" t="inlineStr">
        <is>
          <t>USA</t>
        </is>
      </c>
      <c r="G5018" t="inlineStr">
        <is>
          <t>Ibrance</t>
        </is>
      </c>
      <c r="H5018" t="inlineStr">
        <is>
          <t>Retail pharmacy</t>
        </is>
      </c>
      <c r="I5018" t="inlineStr">
        <is>
          <t>Private insurer</t>
        </is>
      </c>
      <c r="J5018" t="inlineStr">
        <is>
          <t>Hiroshi Tanaka</t>
        </is>
      </c>
      <c r="K5018" s="70" t="n">
        <v>250</v>
      </c>
      <c r="L5018" s="71" t="n">
        <v>4125.37</v>
      </c>
      <c r="M5018" s="71" t="n">
        <v>1031342.5</v>
      </c>
      <c r="N5018" s="71" t="n">
        <v>154701.38</v>
      </c>
      <c r="O5018" s="71" t="n">
        <v>876641.12</v>
      </c>
      <c r="P5018" s="71" t="n">
        <v>110098.76</v>
      </c>
      <c r="Q5018" s="71" t="n">
        <v>766542.36</v>
      </c>
      <c r="R5018" t="inlineStr">
        <is>
          <t>Oncology</t>
        </is>
      </c>
      <c r="S5018" s="70" t="n">
        <v>227</v>
      </c>
      <c r="T5018" s="71" t="n">
        <v>145288.23</v>
      </c>
      <c r="U5018" t="inlineStr">
        <is>
          <t>High</t>
        </is>
      </c>
      <c r="V5018">
        <f>IF(AND(OR(Dashboard!$C$6="All",E5018=Dashboard!$C$6),OR(Dashboard!$F$6="All",G5018=Dashboard!$F$6),OR(Dashboard!$I$6="All",H5018=Dashboard!$I$6)),1,0)</f>
        <v/>
      </c>
    </row>
    <row r="5019">
      <c r="A5019" t="inlineStr">
        <is>
          <t>PF105010</t>
        </is>
      </c>
      <c r="B5019" s="68" t="n">
        <v>46259</v>
      </c>
      <c r="C5019" s="69" t="n">
        <v>2026</v>
      </c>
      <c r="D5019" t="inlineStr">
        <is>
          <t>Aug</t>
        </is>
      </c>
      <c r="E5019" t="inlineStr">
        <is>
          <t>United States</t>
        </is>
      </c>
      <c r="F5019" t="inlineStr">
        <is>
          <t>USA</t>
        </is>
      </c>
      <c r="G5019" t="inlineStr">
        <is>
          <t>Vyndaqel</t>
        </is>
      </c>
      <c r="H5019" t="inlineStr">
        <is>
          <t>Government / tender</t>
        </is>
      </c>
      <c r="I5019" t="inlineStr">
        <is>
          <t>Public payer</t>
        </is>
      </c>
      <c r="J5019" t="inlineStr">
        <is>
          <t>Shraddha Kulkarni</t>
        </is>
      </c>
      <c r="K5019" s="70" t="n">
        <v>2840</v>
      </c>
      <c r="L5019" s="71" t="n">
        <v>9158.969999999999</v>
      </c>
      <c r="M5019" s="71" t="n">
        <v>26011474.8</v>
      </c>
      <c r="N5019" s="71" t="n">
        <v>6502868.7</v>
      </c>
      <c r="O5019" s="71" t="n">
        <v>19508606.1</v>
      </c>
      <c r="P5019" s="71" t="n">
        <v>1775206.75</v>
      </c>
      <c r="Q5019" s="71" t="n">
        <v>17733399.35</v>
      </c>
      <c r="R5019" t="inlineStr">
        <is>
          <t>Rare disease</t>
        </is>
      </c>
      <c r="S5019" s="70" t="n">
        <v>2577</v>
      </c>
      <c r="T5019" s="71" t="n">
        <v>5112708.29</v>
      </c>
      <c r="U5019" t="inlineStr">
        <is>
          <t>Medium</t>
        </is>
      </c>
      <c r="V5019">
        <f>IF(AND(OR(Dashboard!$C$6="All",E5019=Dashboard!$C$6),OR(Dashboard!$F$6="All",G5019=Dashboard!$F$6),OR(Dashboard!$I$6="All",H5019=Dashboard!$I$6)),1,0)</f>
        <v/>
      </c>
    </row>
    <row r="5020">
      <c r="A5020" t="inlineStr">
        <is>
          <t>PF105011</t>
        </is>
      </c>
      <c r="B5020" s="68" t="n">
        <v>46260</v>
      </c>
      <c r="C5020" s="69" t="n">
        <v>2026</v>
      </c>
      <c r="D5020" t="inlineStr">
        <is>
          <t>Aug</t>
        </is>
      </c>
      <c r="E5020" t="inlineStr">
        <is>
          <t>Europe</t>
        </is>
      </c>
      <c r="F5020" t="inlineStr">
        <is>
          <t>France</t>
        </is>
      </c>
      <c r="G5020" t="inlineStr">
        <is>
          <t>Abrysvo</t>
        </is>
      </c>
      <c r="H5020" t="inlineStr">
        <is>
          <t>Retail pharmacy</t>
        </is>
      </c>
      <c r="I5020" t="inlineStr">
        <is>
          <t>Public payer</t>
        </is>
      </c>
      <c r="J5020" t="inlineStr">
        <is>
          <t>Carlos Silva</t>
        </is>
      </c>
      <c r="K5020" s="70" t="n">
        <v>3310</v>
      </c>
      <c r="L5020" s="71" t="n">
        <v>332.78</v>
      </c>
      <c r="M5020" s="71" t="n">
        <v>1101501.8</v>
      </c>
      <c r="N5020" s="71" t="n">
        <v>275375.45</v>
      </c>
      <c r="O5020" s="71" t="n">
        <v>826126.35</v>
      </c>
      <c r="P5020" s="71" t="n">
        <v>267704.24</v>
      </c>
      <c r="Q5020" s="71" t="n">
        <v>558422.11</v>
      </c>
      <c r="R5020" t="inlineStr">
        <is>
          <t>Vaccines</t>
        </is>
      </c>
      <c r="S5020" s="70" t="n">
        <v>2849</v>
      </c>
      <c r="T5020" s="71" t="n">
        <v>190689.65</v>
      </c>
      <c r="U5020" t="inlineStr">
        <is>
          <t>Low</t>
        </is>
      </c>
      <c r="V5020">
        <f>IF(AND(OR(Dashboard!$C$6="All",E5020=Dashboard!$C$6),OR(Dashboard!$F$6="All",G5020=Dashboard!$F$6),OR(Dashboard!$I$6="All",H5020=Dashboard!$I$6)),1,0)</f>
        <v/>
      </c>
    </row>
    <row r="5021">
      <c r="A5021" t="inlineStr">
        <is>
          <t>PF105012</t>
        </is>
      </c>
      <c r="B5021" s="68" t="n">
        <v>46260</v>
      </c>
      <c r="C5021" s="69" t="n">
        <v>2026</v>
      </c>
      <c r="D5021" t="inlineStr">
        <is>
          <t>Aug</t>
        </is>
      </c>
      <c r="E5021" t="inlineStr">
        <is>
          <t>United States</t>
        </is>
      </c>
      <c r="F5021" t="inlineStr">
        <is>
          <t>USA</t>
        </is>
      </c>
      <c r="G5021" t="inlineStr">
        <is>
          <t>Prevnar 20</t>
        </is>
      </c>
      <c r="H5021" t="inlineStr">
        <is>
          <t>Retail pharmacy</t>
        </is>
      </c>
      <c r="I5021" t="inlineStr">
        <is>
          <t>Private insurer</t>
        </is>
      </c>
      <c r="J5021" t="inlineStr">
        <is>
          <t>Fatima Al-Saud</t>
        </is>
      </c>
      <c r="K5021" s="70" t="n">
        <v>3110</v>
      </c>
      <c r="L5021" s="71" t="n">
        <v>340.19</v>
      </c>
      <c r="M5021" s="71" t="n">
        <v>1057990.9</v>
      </c>
      <c r="N5021" s="71" t="n">
        <v>317397.27</v>
      </c>
      <c r="O5021" s="71" t="n">
        <v>740593.63</v>
      </c>
      <c r="P5021" s="71" t="n">
        <v>214661.13</v>
      </c>
      <c r="Q5021" s="71" t="n">
        <v>525932.5</v>
      </c>
      <c r="R5021" t="inlineStr">
        <is>
          <t>Vaccines</t>
        </is>
      </c>
      <c r="S5021" s="70" t="n">
        <v>2309</v>
      </c>
      <c r="T5021" s="71" t="n">
        <v>178741.26</v>
      </c>
      <c r="U5021" t="inlineStr">
        <is>
          <t>Low</t>
        </is>
      </c>
      <c r="V5021">
        <f>IF(AND(OR(Dashboard!$C$6="All",E5021=Dashboard!$C$6),OR(Dashboard!$F$6="All",G5021=Dashboard!$F$6),OR(Dashboard!$I$6="All",H5021=Dashboard!$I$6)),1,0)</f>
        <v/>
      </c>
    </row>
    <row r="5022">
      <c r="A5022" t="inlineStr">
        <is>
          <t>PF105013</t>
        </is>
      </c>
      <c r="B5022" s="68" t="n">
        <v>46260</v>
      </c>
      <c r="C5022" s="69" t="n">
        <v>2026</v>
      </c>
      <c r="D5022" t="inlineStr">
        <is>
          <t>Aug</t>
        </is>
      </c>
      <c r="E5022" t="inlineStr">
        <is>
          <t>United States</t>
        </is>
      </c>
      <c r="F5022" t="inlineStr">
        <is>
          <t>USA</t>
        </is>
      </c>
      <c r="G5022" t="inlineStr">
        <is>
          <t>Xeljanz</t>
        </is>
      </c>
      <c r="H5022" t="inlineStr">
        <is>
          <t>Hospital</t>
        </is>
      </c>
      <c r="I5022" t="inlineStr">
        <is>
          <t>Private insurer</t>
        </is>
      </c>
      <c r="J5022" t="inlineStr">
        <is>
          <t>Mei Lin</t>
        </is>
      </c>
      <c r="K5022" s="70" t="n">
        <v>1572</v>
      </c>
      <c r="L5022" s="71" t="n">
        <v>2247.57</v>
      </c>
      <c r="M5022" s="71" t="n">
        <v>3533180.04</v>
      </c>
      <c r="N5022" s="71" t="n">
        <v>1059954.01</v>
      </c>
      <c r="O5022" s="71" t="n">
        <v>2473226.03</v>
      </c>
      <c r="P5022" s="71" t="n">
        <v>392340.93</v>
      </c>
      <c r="Q5022" s="71" t="n">
        <v>2080885.1</v>
      </c>
      <c r="R5022" t="inlineStr">
        <is>
          <t>Inflammation</t>
        </is>
      </c>
      <c r="S5022" s="70" t="n">
        <v>1014</v>
      </c>
      <c r="T5022" s="71" t="n">
        <v>785039.1800000001</v>
      </c>
      <c r="U5022" t="inlineStr">
        <is>
          <t>High</t>
        </is>
      </c>
      <c r="V5022">
        <f>IF(AND(OR(Dashboard!$C$6="All",E5022=Dashboard!$C$6),OR(Dashboard!$F$6="All",G5022=Dashboard!$F$6),OR(Dashboard!$I$6="All",H5022=Dashboard!$I$6)),1,0)</f>
        <v/>
      </c>
    </row>
    <row r="5023">
      <c r="A5023" t="inlineStr">
        <is>
          <t>PF105014</t>
        </is>
      </c>
      <c r="B5023" s="68" t="n">
        <v>46260</v>
      </c>
      <c r="C5023" s="69" t="n">
        <v>2026</v>
      </c>
      <c r="D5023" t="inlineStr">
        <is>
          <t>Aug</t>
        </is>
      </c>
      <c r="E5023" t="inlineStr">
        <is>
          <t>United States</t>
        </is>
      </c>
      <c r="F5023" t="inlineStr">
        <is>
          <t>USA</t>
        </is>
      </c>
      <c r="G5023" t="inlineStr">
        <is>
          <t>Eliquis</t>
        </is>
      </c>
      <c r="H5023" t="inlineStr">
        <is>
          <t>Retail pharmacy</t>
        </is>
      </c>
      <c r="I5023" t="inlineStr">
        <is>
          <t>Public payer</t>
        </is>
      </c>
      <c r="J5023" t="inlineStr">
        <is>
          <t>Yuki Sato</t>
        </is>
      </c>
      <c r="K5023" s="70" t="n">
        <v>3022</v>
      </c>
      <c r="L5023" s="71" t="n">
        <v>709.46</v>
      </c>
      <c r="M5023" s="71" t="n">
        <v>2143988.12</v>
      </c>
      <c r="N5023" s="71" t="n">
        <v>428797.62</v>
      </c>
      <c r="O5023" s="71" t="n">
        <v>1715190.5</v>
      </c>
      <c r="P5023" s="71" t="n">
        <v>227979.62</v>
      </c>
      <c r="Q5023" s="71" t="n">
        <v>1487210.88</v>
      </c>
      <c r="R5023" t="inlineStr">
        <is>
          <t>Cardiology</t>
        </is>
      </c>
      <c r="S5023" s="70" t="n">
        <v>2973</v>
      </c>
      <c r="T5023" s="71" t="n">
        <v>333141.97</v>
      </c>
      <c r="U5023" t="inlineStr">
        <is>
          <t>High</t>
        </is>
      </c>
      <c r="V5023">
        <f>IF(AND(OR(Dashboard!$C$6="All",E5023=Dashboard!$C$6),OR(Dashboard!$F$6="All",G5023=Dashboard!$F$6),OR(Dashboard!$I$6="All",H5023=Dashboard!$I$6)),1,0)</f>
        <v/>
      </c>
    </row>
    <row r="5024">
      <c r="A5024" t="inlineStr">
        <is>
          <t>PF105015</t>
        </is>
      </c>
      <c r="B5024" s="68" t="n">
        <v>46260</v>
      </c>
      <c r="C5024" s="69" t="n">
        <v>2026</v>
      </c>
      <c r="D5024" t="inlineStr">
        <is>
          <t>Aug</t>
        </is>
      </c>
      <c r="E5024" t="inlineStr">
        <is>
          <t>Europe</t>
        </is>
      </c>
      <c r="F5024" t="inlineStr">
        <is>
          <t>Spain</t>
        </is>
      </c>
      <c r="G5024" t="inlineStr">
        <is>
          <t>Vyndaqel</t>
        </is>
      </c>
      <c r="H5024" t="inlineStr">
        <is>
          <t>Hospital</t>
        </is>
      </c>
      <c r="I5024" t="inlineStr">
        <is>
          <t>Private insurer</t>
        </is>
      </c>
      <c r="J5024" t="inlineStr">
        <is>
          <t>Ruhi Shaikh</t>
        </is>
      </c>
      <c r="K5024" s="70" t="n">
        <v>410</v>
      </c>
      <c r="L5024" s="71" t="n">
        <v>5792.82</v>
      </c>
      <c r="M5024" s="71" t="n">
        <v>2375056.2</v>
      </c>
      <c r="N5024" s="71" t="n">
        <v>475011.24</v>
      </c>
      <c r="O5024" s="71" t="n">
        <v>1900044.96</v>
      </c>
      <c r="P5024" s="71" t="n">
        <v>259306.53</v>
      </c>
      <c r="Q5024" s="71" t="n">
        <v>1640738.43</v>
      </c>
      <c r="R5024" t="inlineStr">
        <is>
          <t>Rare disease</t>
        </is>
      </c>
      <c r="S5024" s="70" t="n">
        <v>407</v>
      </c>
      <c r="T5024" s="71" t="n">
        <v>412804.51</v>
      </c>
      <c r="U5024" t="inlineStr">
        <is>
          <t>Medium</t>
        </is>
      </c>
      <c r="V5024">
        <f>IF(AND(OR(Dashboard!$C$6="All",E5024=Dashboard!$C$6),OR(Dashboard!$F$6="All",G5024=Dashboard!$F$6),OR(Dashboard!$I$6="All",H5024=Dashboard!$I$6)),1,0)</f>
        <v/>
      </c>
    </row>
    <row r="5025">
      <c r="A5025" t="inlineStr">
        <is>
          <t>PF105016</t>
        </is>
      </c>
      <c r="B5025" s="68" t="n">
        <v>46260</v>
      </c>
      <c r="C5025" s="69" t="n">
        <v>2026</v>
      </c>
      <c r="D5025" t="inlineStr">
        <is>
          <t>Aug</t>
        </is>
      </c>
      <c r="E5025" t="inlineStr">
        <is>
          <t>United States</t>
        </is>
      </c>
      <c r="F5025" t="inlineStr">
        <is>
          <t>USA</t>
        </is>
      </c>
      <c r="G5025" t="inlineStr">
        <is>
          <t>Vyndaqel</t>
        </is>
      </c>
      <c r="H5025" t="inlineStr">
        <is>
          <t>Hospital</t>
        </is>
      </c>
      <c r="I5025" t="inlineStr">
        <is>
          <t>Private insurer</t>
        </is>
      </c>
      <c r="J5025" t="inlineStr">
        <is>
          <t>Lucas Martin</t>
        </is>
      </c>
      <c r="K5025" s="70" t="n">
        <v>1113</v>
      </c>
      <c r="L5025" s="71" t="n">
        <v>8450.120000000001</v>
      </c>
      <c r="M5025" s="71" t="n">
        <v>9404983.560000001</v>
      </c>
      <c r="N5025" s="71" t="n">
        <v>3291744.25</v>
      </c>
      <c r="O5025" s="71" t="n">
        <v>6113239.31</v>
      </c>
      <c r="P5025" s="71" t="n">
        <v>707538.58</v>
      </c>
      <c r="Q5025" s="71" t="n">
        <v>5405700.73</v>
      </c>
      <c r="R5025" t="inlineStr">
        <is>
          <t>Rare disease</t>
        </is>
      </c>
      <c r="S5025" s="70" t="n">
        <v>898</v>
      </c>
      <c r="T5025" s="71" t="n">
        <v>1251608.7</v>
      </c>
      <c r="U5025" t="inlineStr">
        <is>
          <t>Medium</t>
        </is>
      </c>
      <c r="V5025">
        <f>IF(AND(OR(Dashboard!$C$6="All",E5025=Dashboard!$C$6),OR(Dashboard!$F$6="All",G5025=Dashboard!$F$6),OR(Dashboard!$I$6="All",H5025=Dashboard!$I$6)),1,0)</f>
        <v/>
      </c>
    </row>
    <row r="5026">
      <c r="A5026" t="inlineStr">
        <is>
          <t>PF105017</t>
        </is>
      </c>
      <c r="B5026" s="68" t="n">
        <v>46260</v>
      </c>
      <c r="C5026" s="69" t="n">
        <v>2026</v>
      </c>
      <c r="D5026" t="inlineStr">
        <is>
          <t>Aug</t>
        </is>
      </c>
      <c r="E5026" t="inlineStr">
        <is>
          <t>United States</t>
        </is>
      </c>
      <c r="F5026" t="inlineStr">
        <is>
          <t>USA</t>
        </is>
      </c>
      <c r="G5026" t="inlineStr">
        <is>
          <t>Eliquis</t>
        </is>
      </c>
      <c r="H5026" t="inlineStr">
        <is>
          <t>Hospital</t>
        </is>
      </c>
      <c r="I5026" t="inlineStr">
        <is>
          <t>Public payer</t>
        </is>
      </c>
      <c r="J5026" t="inlineStr">
        <is>
          <t>Kofi Mensah</t>
        </is>
      </c>
      <c r="K5026" s="70" t="n">
        <v>247</v>
      </c>
      <c r="L5026" s="71" t="n">
        <v>759.34</v>
      </c>
      <c r="M5026" s="71" t="n">
        <v>187556.98</v>
      </c>
      <c r="N5026" s="71" t="n">
        <v>56267.09</v>
      </c>
      <c r="O5026" s="71" t="n">
        <v>131289.89</v>
      </c>
      <c r="P5026" s="71" t="n">
        <v>18808.55</v>
      </c>
      <c r="Q5026" s="71" t="n">
        <v>112481.34</v>
      </c>
      <c r="R5026" t="inlineStr">
        <is>
          <t>Cardiology</t>
        </is>
      </c>
      <c r="S5026" s="70" t="n">
        <v>204</v>
      </c>
      <c r="T5026" s="71" t="n">
        <v>22774.13</v>
      </c>
      <c r="U5026" t="inlineStr">
        <is>
          <t>High</t>
        </is>
      </c>
      <c r="V5026">
        <f>IF(AND(OR(Dashboard!$C$6="All",E5026=Dashboard!$C$6),OR(Dashboard!$F$6="All",G5026=Dashboard!$F$6),OR(Dashboard!$I$6="All",H5026=Dashboard!$I$6)),1,0)</f>
        <v/>
      </c>
    </row>
    <row r="5027">
      <c r="A5027" t="inlineStr">
        <is>
          <t>PF105018</t>
        </is>
      </c>
      <c r="B5027" s="68" t="n">
        <v>46260</v>
      </c>
      <c r="C5027" s="69" t="n">
        <v>2026</v>
      </c>
      <c r="D5027" t="inlineStr">
        <is>
          <t>Aug</t>
        </is>
      </c>
      <c r="E5027" t="inlineStr">
        <is>
          <t>Emerging markets</t>
        </is>
      </c>
      <c r="F5027" t="inlineStr">
        <is>
          <t>China</t>
        </is>
      </c>
      <c r="G5027" t="inlineStr">
        <is>
          <t>Eliquis</t>
        </is>
      </c>
      <c r="H5027" t="inlineStr">
        <is>
          <t>Hospital</t>
        </is>
      </c>
      <c r="I5027" t="inlineStr">
        <is>
          <t>Private insurer</t>
        </is>
      </c>
      <c r="J5027" t="inlineStr">
        <is>
          <t>Emma Clarke</t>
        </is>
      </c>
      <c r="K5027" s="70" t="n">
        <v>439</v>
      </c>
      <c r="L5027" s="71" t="n">
        <v>452.59</v>
      </c>
      <c r="M5027" s="71" t="n">
        <v>198687.01</v>
      </c>
      <c r="N5027" s="71" t="n">
        <v>29803.05</v>
      </c>
      <c r="O5027" s="71" t="n">
        <v>168883.96</v>
      </c>
      <c r="P5027" s="71" t="n">
        <v>32318.77</v>
      </c>
      <c r="Q5027" s="71" t="n">
        <v>136565.19</v>
      </c>
      <c r="R5027" t="inlineStr">
        <is>
          <t>Cardiology</t>
        </is>
      </c>
      <c r="S5027" s="70" t="n">
        <v>337</v>
      </c>
      <c r="T5027" s="71" t="n">
        <v>40729.96</v>
      </c>
      <c r="U5027" t="inlineStr">
        <is>
          <t>High</t>
        </is>
      </c>
      <c r="V5027">
        <f>IF(AND(OR(Dashboard!$C$6="All",E5027=Dashboard!$C$6),OR(Dashboard!$F$6="All",G5027=Dashboard!$F$6),OR(Dashboard!$I$6="All",H5027=Dashboard!$I$6)),1,0)</f>
        <v/>
      </c>
    </row>
    <row r="5028">
      <c r="A5028" t="inlineStr">
        <is>
          <t>PF105019</t>
        </is>
      </c>
      <c r="B5028" s="68" t="n">
        <v>46260</v>
      </c>
      <c r="C5028" s="69" t="n">
        <v>2026</v>
      </c>
      <c r="D5028" t="inlineStr">
        <is>
          <t>Aug</t>
        </is>
      </c>
      <c r="E5028" t="inlineStr">
        <is>
          <t>United States</t>
        </is>
      </c>
      <c r="F5028" t="inlineStr">
        <is>
          <t>USA</t>
        </is>
      </c>
      <c r="G5028" t="inlineStr">
        <is>
          <t>Paxlovid</t>
        </is>
      </c>
      <c r="H5028" t="inlineStr">
        <is>
          <t>Government / tender</t>
        </is>
      </c>
      <c r="I5028" t="inlineStr">
        <is>
          <t>Private insurer</t>
        </is>
      </c>
      <c r="J5028" t="inlineStr">
        <is>
          <t>Ana Costa</t>
        </is>
      </c>
      <c r="K5028" s="70" t="n">
        <v>692</v>
      </c>
      <c r="L5028" s="71" t="n">
        <v>1503.29</v>
      </c>
      <c r="M5028" s="71" t="n">
        <v>1040276.68</v>
      </c>
      <c r="N5028" s="71" t="n">
        <v>364096.84</v>
      </c>
      <c r="O5028" s="71" t="n">
        <v>676179.84</v>
      </c>
      <c r="P5028" s="71" t="n">
        <v>196068.79</v>
      </c>
      <c r="Q5028" s="71" t="n">
        <v>480111.05</v>
      </c>
      <c r="R5028" t="inlineStr">
        <is>
          <t>Antiviral</t>
        </is>
      </c>
      <c r="S5028" s="70" t="n">
        <v>561</v>
      </c>
      <c r="T5028" s="71" t="n">
        <v>203924.65</v>
      </c>
      <c r="U5028" t="inlineStr">
        <is>
          <t>Low</t>
        </is>
      </c>
      <c r="V5028">
        <f>IF(AND(OR(Dashboard!$C$6="All",E5028=Dashboard!$C$6),OR(Dashboard!$F$6="All",G5028=Dashboard!$F$6),OR(Dashboard!$I$6="All",H5028=Dashboard!$I$6)),1,0)</f>
        <v/>
      </c>
    </row>
    <row r="5029">
      <c r="A5029" t="inlineStr">
        <is>
          <t>PF105020</t>
        </is>
      </c>
      <c r="B5029" s="68" t="n">
        <v>46260</v>
      </c>
      <c r="C5029" s="69" t="n">
        <v>2026</v>
      </c>
      <c r="D5029" t="inlineStr">
        <is>
          <t>Aug</t>
        </is>
      </c>
      <c r="E5029" t="inlineStr">
        <is>
          <t>Europe</t>
        </is>
      </c>
      <c r="F5029" t="inlineStr">
        <is>
          <t>Spain</t>
        </is>
      </c>
      <c r="G5029" t="inlineStr">
        <is>
          <t>Paxlovid</t>
        </is>
      </c>
      <c r="H5029" t="inlineStr">
        <is>
          <t>Retail pharmacy</t>
        </is>
      </c>
      <c r="I5029" t="inlineStr">
        <is>
          <t>Public payer</t>
        </is>
      </c>
      <c r="J5029" t="inlineStr">
        <is>
          <t>Zoya Ahmed</t>
        </is>
      </c>
      <c r="K5029" s="70" t="n">
        <v>829</v>
      </c>
      <c r="L5029" s="71" t="n">
        <v>834.4299999999999</v>
      </c>
      <c r="M5029" s="71" t="n">
        <v>691742.47</v>
      </c>
      <c r="N5029" s="71" t="n">
        <v>103761.37</v>
      </c>
      <c r="O5029" s="71" t="n">
        <v>587981.1</v>
      </c>
      <c r="P5029" s="71" t="n">
        <v>225198.63</v>
      </c>
      <c r="Q5029" s="71" t="n">
        <v>362782.47</v>
      </c>
      <c r="R5029" t="inlineStr">
        <is>
          <t>Antiviral</t>
        </is>
      </c>
      <c r="S5029" s="70" t="n">
        <v>546</v>
      </c>
      <c r="T5029" s="71" t="n">
        <v>172444.33</v>
      </c>
      <c r="U5029" t="inlineStr">
        <is>
          <t>Low</t>
        </is>
      </c>
      <c r="V5029">
        <f>IF(AND(OR(Dashboard!$C$6="All",E5029=Dashboard!$C$6),OR(Dashboard!$F$6="All",G5029=Dashboard!$F$6),OR(Dashboard!$I$6="All",H5029=Dashboard!$I$6)),1,0)</f>
        <v/>
      </c>
    </row>
    <row r="5030">
      <c r="A5030" t="inlineStr">
        <is>
          <t>PF105021</t>
        </is>
      </c>
      <c r="B5030" s="68" t="n">
        <v>46260</v>
      </c>
      <c r="C5030" s="69" t="n">
        <v>2026</v>
      </c>
      <c r="D5030" t="inlineStr">
        <is>
          <t>Aug</t>
        </is>
      </c>
      <c r="E5030" t="inlineStr">
        <is>
          <t>United States</t>
        </is>
      </c>
      <c r="F5030" t="inlineStr">
        <is>
          <t>USA</t>
        </is>
      </c>
      <c r="G5030" t="inlineStr">
        <is>
          <t>Abrysvo</t>
        </is>
      </c>
      <c r="H5030" t="inlineStr">
        <is>
          <t>Hospital</t>
        </is>
      </c>
      <c r="I5030" t="inlineStr">
        <is>
          <t>Public payer</t>
        </is>
      </c>
      <c r="J5030" t="inlineStr">
        <is>
          <t>Mei Lin</t>
        </is>
      </c>
      <c r="K5030" s="70" t="n">
        <v>1973</v>
      </c>
      <c r="L5030" s="71" t="n">
        <v>492.01</v>
      </c>
      <c r="M5030" s="71" t="n">
        <v>970735.73</v>
      </c>
      <c r="N5030" s="71" t="n">
        <v>194147.15</v>
      </c>
      <c r="O5030" s="71" t="n">
        <v>776588.58</v>
      </c>
      <c r="P5030" s="71" t="n">
        <v>170291.78</v>
      </c>
      <c r="Q5030" s="71" t="n">
        <v>606296.8</v>
      </c>
      <c r="R5030" t="inlineStr">
        <is>
          <t>Vaccines</t>
        </is>
      </c>
      <c r="S5030" s="70" t="n">
        <v>1366</v>
      </c>
      <c r="T5030" s="71" t="n">
        <v>143827.73</v>
      </c>
      <c r="U5030" t="inlineStr">
        <is>
          <t>Low</t>
        </is>
      </c>
      <c r="V5030">
        <f>IF(AND(OR(Dashboard!$C$6="All",E5030=Dashboard!$C$6),OR(Dashboard!$F$6="All",G5030=Dashboard!$F$6),OR(Dashboard!$I$6="All",H5030=Dashboard!$I$6)),1,0)</f>
        <v/>
      </c>
    </row>
    <row r="5031">
      <c r="A5031" t="inlineStr">
        <is>
          <t>PF105022</t>
        </is>
      </c>
      <c r="B5031" s="68" t="n">
        <v>46260</v>
      </c>
      <c r="C5031" s="69" t="n">
        <v>2026</v>
      </c>
      <c r="D5031" t="inlineStr">
        <is>
          <t>Aug</t>
        </is>
      </c>
      <c r="E5031" t="inlineStr">
        <is>
          <t>Emerging markets</t>
        </is>
      </c>
      <c r="F5031" t="inlineStr">
        <is>
          <t>China</t>
        </is>
      </c>
      <c r="G5031" t="inlineStr">
        <is>
          <t>Paxlovid</t>
        </is>
      </c>
      <c r="H5031" t="inlineStr">
        <is>
          <t>Retail pharmacy</t>
        </is>
      </c>
      <c r="I5031" t="inlineStr">
        <is>
          <t>Private insurer</t>
        </is>
      </c>
      <c r="J5031" t="inlineStr">
        <is>
          <t>Kofi Mensah</t>
        </is>
      </c>
      <c r="K5031" s="70" t="n">
        <v>1654</v>
      </c>
      <c r="L5031" s="71" t="n">
        <v>990.1</v>
      </c>
      <c r="M5031" s="71" t="n">
        <v>1637625.4</v>
      </c>
      <c r="N5031" s="71" t="n">
        <v>245643.81</v>
      </c>
      <c r="O5031" s="71" t="n">
        <v>1391981.59</v>
      </c>
      <c r="P5031" s="71" t="n">
        <v>438643</v>
      </c>
      <c r="Q5031" s="71" t="n">
        <v>953338.59</v>
      </c>
      <c r="R5031" t="inlineStr">
        <is>
          <t>Antiviral</t>
        </is>
      </c>
      <c r="S5031" s="70" t="n">
        <v>1130</v>
      </c>
      <c r="T5031" s="71" t="n">
        <v>288941.6</v>
      </c>
      <c r="U5031" t="inlineStr">
        <is>
          <t>Low</t>
        </is>
      </c>
      <c r="V5031">
        <f>IF(AND(OR(Dashboard!$C$6="All",E5031=Dashboard!$C$6),OR(Dashboard!$F$6="All",G5031=Dashboard!$F$6),OR(Dashboard!$I$6="All",H5031=Dashboard!$I$6)),1,0)</f>
        <v/>
      </c>
    </row>
    <row r="5032">
      <c r="A5032" t="inlineStr">
        <is>
          <t>PF105023</t>
        </is>
      </c>
      <c r="B5032" s="68" t="n">
        <v>46260</v>
      </c>
      <c r="C5032" s="69" t="n">
        <v>2026</v>
      </c>
      <c r="D5032" t="inlineStr">
        <is>
          <t>Aug</t>
        </is>
      </c>
      <c r="E5032" t="inlineStr">
        <is>
          <t>Europe</t>
        </is>
      </c>
      <c r="F5032" t="inlineStr">
        <is>
          <t>Germany</t>
        </is>
      </c>
      <c r="G5032" t="inlineStr">
        <is>
          <t>Abrysvo</t>
        </is>
      </c>
      <c r="H5032" t="inlineStr">
        <is>
          <t>Hospital</t>
        </is>
      </c>
      <c r="I5032" t="inlineStr">
        <is>
          <t>Public payer</t>
        </is>
      </c>
      <c r="J5032" t="inlineStr">
        <is>
          <t>Yuki Sato</t>
        </is>
      </c>
      <c r="K5032" s="70" t="n">
        <v>2834</v>
      </c>
      <c r="L5032" s="71" t="n">
        <v>335.82</v>
      </c>
      <c r="M5032" s="71" t="n">
        <v>951713.88</v>
      </c>
      <c r="N5032" s="71" t="n">
        <v>237928.47</v>
      </c>
      <c r="O5032" s="71" t="n">
        <v>713785.41</v>
      </c>
      <c r="P5032" s="71" t="n">
        <v>235441.29</v>
      </c>
      <c r="Q5032" s="71" t="n">
        <v>478344.12</v>
      </c>
      <c r="R5032" t="inlineStr">
        <is>
          <t>Vaccines</t>
        </is>
      </c>
      <c r="S5032" s="70" t="n">
        <v>2732</v>
      </c>
      <c r="T5032" s="71" t="n">
        <v>122906.71</v>
      </c>
      <c r="U5032" t="inlineStr">
        <is>
          <t>Low</t>
        </is>
      </c>
      <c r="V5032">
        <f>IF(AND(OR(Dashboard!$C$6="All",E5032=Dashboard!$C$6),OR(Dashboard!$F$6="All",G5032=Dashboard!$F$6),OR(Dashboard!$I$6="All",H5032=Dashboard!$I$6)),1,0)</f>
        <v/>
      </c>
    </row>
    <row r="5033">
      <c r="A5033" t="inlineStr">
        <is>
          <t>PF105024</t>
        </is>
      </c>
      <c r="B5033" s="68" t="n">
        <v>46261</v>
      </c>
      <c r="C5033" s="69" t="n">
        <v>2026</v>
      </c>
      <c r="D5033" t="inlineStr">
        <is>
          <t>Aug</t>
        </is>
      </c>
      <c r="E5033" t="inlineStr">
        <is>
          <t>Emerging markets</t>
        </is>
      </c>
      <c r="F5033" t="inlineStr">
        <is>
          <t>Mexico</t>
        </is>
      </c>
      <c r="G5033" t="inlineStr">
        <is>
          <t>Ibrance</t>
        </is>
      </c>
      <c r="H5033" t="inlineStr">
        <is>
          <t>Hospital</t>
        </is>
      </c>
      <c r="I5033" t="inlineStr">
        <is>
          <t>Private insurer</t>
        </is>
      </c>
      <c r="J5033" t="inlineStr">
        <is>
          <t>Hiroshi Tanaka</t>
        </is>
      </c>
      <c r="K5033" s="70" t="n">
        <v>1133</v>
      </c>
      <c r="L5033" s="71" t="n">
        <v>2912.36</v>
      </c>
      <c r="M5033" s="71" t="n">
        <v>3299703.88</v>
      </c>
      <c r="N5033" s="71" t="n">
        <v>494955.58</v>
      </c>
      <c r="O5033" s="71" t="n">
        <v>2804748.3</v>
      </c>
      <c r="P5033" s="71" t="n">
        <v>474062.53</v>
      </c>
      <c r="Q5033" s="71" t="n">
        <v>2330685.77</v>
      </c>
      <c r="R5033" t="inlineStr">
        <is>
          <t>Oncology</t>
        </is>
      </c>
      <c r="S5033" s="70" t="n">
        <v>1038</v>
      </c>
      <c r="T5033" s="71" t="n">
        <v>672469.17</v>
      </c>
      <c r="U5033" t="inlineStr">
        <is>
          <t>High</t>
        </is>
      </c>
      <c r="V5033">
        <f>IF(AND(OR(Dashboard!$C$6="All",E5033=Dashboard!$C$6),OR(Dashboard!$F$6="All",G5033=Dashboard!$F$6),OR(Dashboard!$I$6="All",H5033=Dashboard!$I$6)),1,0)</f>
        <v/>
      </c>
    </row>
    <row r="5034">
      <c r="A5034" t="inlineStr">
        <is>
          <t>PF105025</t>
        </is>
      </c>
      <c r="B5034" s="68" t="n">
        <v>46261</v>
      </c>
      <c r="C5034" s="69" t="n">
        <v>2026</v>
      </c>
      <c r="D5034" t="inlineStr">
        <is>
          <t>Aug</t>
        </is>
      </c>
      <c r="E5034" t="inlineStr">
        <is>
          <t>United States</t>
        </is>
      </c>
      <c r="F5034" t="inlineStr">
        <is>
          <t>USA</t>
        </is>
      </c>
      <c r="G5034" t="inlineStr">
        <is>
          <t>Xeljanz</t>
        </is>
      </c>
      <c r="H5034" t="inlineStr">
        <is>
          <t>Government / tender</t>
        </is>
      </c>
      <c r="I5034" t="inlineStr">
        <is>
          <t>Public payer</t>
        </is>
      </c>
      <c r="J5034" t="inlineStr">
        <is>
          <t>Amir Khan</t>
        </is>
      </c>
      <c r="K5034" s="70" t="n">
        <v>1817</v>
      </c>
      <c r="L5034" s="71" t="n">
        <v>2161.63</v>
      </c>
      <c r="M5034" s="71" t="n">
        <v>3927681.71</v>
      </c>
      <c r="N5034" s="71" t="n">
        <v>589152.26</v>
      </c>
      <c r="O5034" s="71" t="n">
        <v>3338529.45</v>
      </c>
      <c r="P5034" s="71" t="n">
        <v>465420.09</v>
      </c>
      <c r="Q5034" s="71" t="n">
        <v>2873109.36</v>
      </c>
      <c r="R5034" t="inlineStr">
        <is>
          <t>Inflammation</t>
        </is>
      </c>
      <c r="S5034" s="70" t="n">
        <v>1153</v>
      </c>
      <c r="T5034" s="71" t="n">
        <v>547544.4</v>
      </c>
      <c r="U5034" t="inlineStr">
        <is>
          <t>High</t>
        </is>
      </c>
      <c r="V5034">
        <f>IF(AND(OR(Dashboard!$C$6="All",E5034=Dashboard!$C$6),OR(Dashboard!$F$6="All",G5034=Dashboard!$F$6),OR(Dashboard!$I$6="All",H5034=Dashboard!$I$6)),1,0)</f>
        <v/>
      </c>
    </row>
    <row r="5035">
      <c r="A5035" t="inlineStr">
        <is>
          <t>PF105026</t>
        </is>
      </c>
      <c r="B5035" s="68" t="n">
        <v>46261</v>
      </c>
      <c r="C5035" s="69" t="n">
        <v>2026</v>
      </c>
      <c r="D5035" t="inlineStr">
        <is>
          <t>Aug</t>
        </is>
      </c>
      <c r="E5035" t="inlineStr">
        <is>
          <t>United States</t>
        </is>
      </c>
      <c r="F5035" t="inlineStr">
        <is>
          <t>USA</t>
        </is>
      </c>
      <c r="G5035" t="inlineStr">
        <is>
          <t>Comirnaty</t>
        </is>
      </c>
      <c r="H5035" t="inlineStr">
        <is>
          <t>Retail pharmacy</t>
        </is>
      </c>
      <c r="I5035" t="inlineStr">
        <is>
          <t>Public payer</t>
        </is>
      </c>
      <c r="J5035" t="inlineStr">
        <is>
          <t>Lucas Martin</t>
        </is>
      </c>
      <c r="K5035" s="70" t="n">
        <v>1769</v>
      </c>
      <c r="L5035" s="71" t="n">
        <v>147.59</v>
      </c>
      <c r="M5035" s="71" t="n">
        <v>261086.71</v>
      </c>
      <c r="N5035" s="71" t="n">
        <v>78326.00999999999</v>
      </c>
      <c r="O5035" s="71" t="n">
        <v>182760.7</v>
      </c>
      <c r="P5035" s="71" t="n">
        <v>67995.50999999999</v>
      </c>
      <c r="Q5035" s="71" t="n">
        <v>114765.19</v>
      </c>
      <c r="R5035" t="inlineStr">
        <is>
          <t>Vaccines</t>
        </is>
      </c>
      <c r="S5035" s="70" t="n">
        <v>1734</v>
      </c>
      <c r="T5035" s="71" t="n">
        <v>50499.54</v>
      </c>
      <c r="U5035" t="inlineStr">
        <is>
          <t>Low</t>
        </is>
      </c>
      <c r="V5035">
        <f>IF(AND(OR(Dashboard!$C$6="All",E5035=Dashboard!$C$6),OR(Dashboard!$F$6="All",G5035=Dashboard!$F$6),OR(Dashboard!$I$6="All",H5035=Dashboard!$I$6)),1,0)</f>
        <v/>
      </c>
    </row>
    <row r="5036">
      <c r="A5036" t="inlineStr">
        <is>
          <t>PF105027</t>
        </is>
      </c>
      <c r="B5036" s="68" t="n">
        <v>46261</v>
      </c>
      <c r="C5036" s="69" t="n">
        <v>2026</v>
      </c>
      <c r="D5036" t="inlineStr">
        <is>
          <t>Aug</t>
        </is>
      </c>
      <c r="E5036" t="inlineStr">
        <is>
          <t>United States</t>
        </is>
      </c>
      <c r="F5036" t="inlineStr">
        <is>
          <t>USA</t>
        </is>
      </c>
      <c r="G5036" t="inlineStr">
        <is>
          <t>Eliquis</t>
        </is>
      </c>
      <c r="H5036" t="inlineStr">
        <is>
          <t>Hospital</t>
        </is>
      </c>
      <c r="I5036" t="inlineStr">
        <is>
          <t>Private insurer</t>
        </is>
      </c>
      <c r="J5036" t="inlineStr">
        <is>
          <t>Zoya Ahmed</t>
        </is>
      </c>
      <c r="K5036" s="70" t="n">
        <v>854</v>
      </c>
      <c r="L5036" s="71" t="n">
        <v>662.8200000000001</v>
      </c>
      <c r="M5036" s="71" t="n">
        <v>566048.28</v>
      </c>
      <c r="N5036" s="71" t="n">
        <v>141512.07</v>
      </c>
      <c r="O5036" s="71" t="n">
        <v>424536.21</v>
      </c>
      <c r="P5036" s="71" t="n">
        <v>63570.86</v>
      </c>
      <c r="Q5036" s="71" t="n">
        <v>360965.35</v>
      </c>
      <c r="R5036" t="inlineStr">
        <is>
          <t>Cardiology</t>
        </is>
      </c>
      <c r="S5036" s="70" t="n">
        <v>554</v>
      </c>
      <c r="T5036" s="71" t="n">
        <v>117038.51</v>
      </c>
      <c r="U5036" t="inlineStr">
        <is>
          <t>High</t>
        </is>
      </c>
      <c r="V5036">
        <f>IF(AND(OR(Dashboard!$C$6="All",E5036=Dashboard!$C$6),OR(Dashboard!$F$6="All",G5036=Dashboard!$F$6),OR(Dashboard!$I$6="All",H5036=Dashboard!$I$6)),1,0)</f>
        <v/>
      </c>
    </row>
    <row r="5037">
      <c r="A5037" t="inlineStr">
        <is>
          <t>PF105028</t>
        </is>
      </c>
      <c r="B5037" s="68" t="n">
        <v>46261</v>
      </c>
      <c r="C5037" s="69" t="n">
        <v>2026</v>
      </c>
      <c r="D5037" t="inlineStr">
        <is>
          <t>Aug</t>
        </is>
      </c>
      <c r="E5037" t="inlineStr">
        <is>
          <t>International developed</t>
        </is>
      </c>
      <c r="F5037" t="inlineStr">
        <is>
          <t>Canada</t>
        </is>
      </c>
      <c r="G5037" t="inlineStr">
        <is>
          <t>Prevnar 20</t>
        </is>
      </c>
      <c r="H5037" t="inlineStr">
        <is>
          <t>Retail pharmacy</t>
        </is>
      </c>
      <c r="I5037" t="inlineStr">
        <is>
          <t>Private insurer</t>
        </is>
      </c>
      <c r="J5037" t="inlineStr">
        <is>
          <t>Hiroshi Tanaka</t>
        </is>
      </c>
      <c r="K5037" s="70" t="n">
        <v>2081</v>
      </c>
      <c r="L5037" s="71" t="n">
        <v>226.8</v>
      </c>
      <c r="M5037" s="71" t="n">
        <v>471970.8</v>
      </c>
      <c r="N5037" s="71" t="n">
        <v>94394.16</v>
      </c>
      <c r="O5037" s="71" t="n">
        <v>377576.64</v>
      </c>
      <c r="P5037" s="71" t="n">
        <v>145926.93</v>
      </c>
      <c r="Q5037" s="71" t="n">
        <v>231649.71</v>
      </c>
      <c r="R5037" t="inlineStr">
        <is>
          <t>Vaccines</t>
        </is>
      </c>
      <c r="S5037" s="70" t="n">
        <v>1741</v>
      </c>
      <c r="T5037" s="71" t="n">
        <v>77596.39999999999</v>
      </c>
      <c r="U5037" t="inlineStr">
        <is>
          <t>Low</t>
        </is>
      </c>
      <c r="V5037">
        <f>IF(AND(OR(Dashboard!$C$6="All",E5037=Dashboard!$C$6),OR(Dashboard!$F$6="All",G5037=Dashboard!$F$6),OR(Dashboard!$I$6="All",H5037=Dashboard!$I$6)),1,0)</f>
        <v/>
      </c>
    </row>
    <row r="5038">
      <c r="A5038" t="inlineStr">
        <is>
          <t>PF105029</t>
        </is>
      </c>
      <c r="B5038" s="68" t="n">
        <v>46261</v>
      </c>
      <c r="C5038" s="69" t="n">
        <v>2026</v>
      </c>
      <c r="D5038" t="inlineStr">
        <is>
          <t>Aug</t>
        </is>
      </c>
      <c r="E5038" t="inlineStr">
        <is>
          <t>International developed</t>
        </is>
      </c>
      <c r="F5038" t="inlineStr">
        <is>
          <t>Canada</t>
        </is>
      </c>
      <c r="G5038" t="inlineStr">
        <is>
          <t>Prevnar 20</t>
        </is>
      </c>
      <c r="H5038" t="inlineStr">
        <is>
          <t>Hospital</t>
        </is>
      </c>
      <c r="I5038" t="inlineStr">
        <is>
          <t>Private insurer</t>
        </is>
      </c>
      <c r="J5038" t="inlineStr">
        <is>
          <t>Ravindra Patil</t>
        </is>
      </c>
      <c r="K5038" s="70" t="n">
        <v>1139</v>
      </c>
      <c r="L5038" s="71" t="n">
        <v>215.56</v>
      </c>
      <c r="M5038" s="71" t="n">
        <v>245522.84</v>
      </c>
      <c r="N5038" s="71" t="n">
        <v>12276.14</v>
      </c>
      <c r="O5038" s="71" t="n">
        <v>233246.7</v>
      </c>
      <c r="P5038" s="71" t="n">
        <v>77750.50999999999</v>
      </c>
      <c r="Q5038" s="71" t="n">
        <v>155496.19</v>
      </c>
      <c r="R5038" t="inlineStr">
        <is>
          <t>Vaccines</t>
        </is>
      </c>
      <c r="S5038" s="70" t="n">
        <v>1132</v>
      </c>
      <c r="T5038" s="71" t="n">
        <v>40114.19</v>
      </c>
      <c r="U5038" t="inlineStr">
        <is>
          <t>Low</t>
        </is>
      </c>
      <c r="V5038">
        <f>IF(AND(OR(Dashboard!$C$6="All",E5038=Dashboard!$C$6),OR(Dashboard!$F$6="All",G5038=Dashboard!$F$6),OR(Dashboard!$I$6="All",H5038=Dashboard!$I$6)),1,0)</f>
        <v/>
      </c>
    </row>
    <row r="5039">
      <c r="A5039" t="inlineStr">
        <is>
          <t>PF105030</t>
        </is>
      </c>
      <c r="B5039" s="68" t="n">
        <v>46262</v>
      </c>
      <c r="C5039" s="69" t="n">
        <v>2026</v>
      </c>
      <c r="D5039" t="inlineStr">
        <is>
          <t>Aug</t>
        </is>
      </c>
      <c r="E5039" t="inlineStr">
        <is>
          <t>Emerging markets</t>
        </is>
      </c>
      <c r="F5039" t="inlineStr">
        <is>
          <t>China</t>
        </is>
      </c>
      <c r="G5039" t="inlineStr">
        <is>
          <t>Eliquis</t>
        </is>
      </c>
      <c r="H5039" t="inlineStr">
        <is>
          <t>Retail pharmacy</t>
        </is>
      </c>
      <c r="I5039" t="inlineStr">
        <is>
          <t>Private insurer</t>
        </is>
      </c>
      <c r="J5039" t="inlineStr">
        <is>
          <t>Hiroshi Tanaka</t>
        </is>
      </c>
      <c r="K5039" s="70" t="n">
        <v>616</v>
      </c>
      <c r="L5039" s="71" t="n">
        <v>456.79</v>
      </c>
      <c r="M5039" s="71" t="n">
        <v>281382.64</v>
      </c>
      <c r="N5039" s="71" t="n">
        <v>56276.53</v>
      </c>
      <c r="O5039" s="71" t="n">
        <v>225106.11</v>
      </c>
      <c r="P5039" s="71" t="n">
        <v>47391.02</v>
      </c>
      <c r="Q5039" s="71" t="n">
        <v>177715.09</v>
      </c>
      <c r="R5039" t="inlineStr">
        <is>
          <t>Cardiology</t>
        </is>
      </c>
      <c r="S5039" s="70" t="n">
        <v>556</v>
      </c>
      <c r="T5039" s="71" t="n">
        <v>56028.95</v>
      </c>
      <c r="U5039" t="inlineStr">
        <is>
          <t>High</t>
        </is>
      </c>
      <c r="V5039">
        <f>IF(AND(OR(Dashboard!$C$6="All",E5039=Dashboard!$C$6),OR(Dashboard!$F$6="All",G5039=Dashboard!$F$6),OR(Dashboard!$I$6="All",H5039=Dashboard!$I$6)),1,0)</f>
        <v/>
      </c>
    </row>
    <row r="5040">
      <c r="A5040" t="inlineStr">
        <is>
          <t>PF105031</t>
        </is>
      </c>
      <c r="B5040" s="68" t="n">
        <v>46262</v>
      </c>
      <c r="C5040" s="69" t="n">
        <v>2026</v>
      </c>
      <c r="D5040" t="inlineStr">
        <is>
          <t>Aug</t>
        </is>
      </c>
      <c r="E5040" t="inlineStr">
        <is>
          <t>Europe</t>
        </is>
      </c>
      <c r="F5040" t="inlineStr">
        <is>
          <t>Spain</t>
        </is>
      </c>
      <c r="G5040" t="inlineStr">
        <is>
          <t>Eliquis</t>
        </is>
      </c>
      <c r="H5040" t="inlineStr">
        <is>
          <t>Retail pharmacy</t>
        </is>
      </c>
      <c r="I5040" t="inlineStr">
        <is>
          <t>Private insurer</t>
        </is>
      </c>
      <c r="J5040" t="inlineStr">
        <is>
          <t>Zoya Ahmed</t>
        </is>
      </c>
      <c r="K5040" s="70" t="n">
        <v>2979</v>
      </c>
      <c r="L5040" s="71" t="n">
        <v>401.76</v>
      </c>
      <c r="M5040" s="71" t="n">
        <v>1196843.04</v>
      </c>
      <c r="N5040" s="71" t="n">
        <v>239368.61</v>
      </c>
      <c r="O5040" s="71" t="n">
        <v>957474.4300000001</v>
      </c>
      <c r="P5040" s="71" t="n">
        <v>220775.16</v>
      </c>
      <c r="Q5040" s="71" t="n">
        <v>736699.27</v>
      </c>
      <c r="R5040" t="inlineStr">
        <is>
          <t>Cardiology</t>
        </is>
      </c>
      <c r="S5040" s="70" t="n">
        <v>2637</v>
      </c>
      <c r="T5040" s="71" t="n">
        <v>194089.22</v>
      </c>
      <c r="U5040" t="inlineStr">
        <is>
          <t>High</t>
        </is>
      </c>
      <c r="V5040">
        <f>IF(AND(OR(Dashboard!$C$6="All",E5040=Dashboard!$C$6),OR(Dashboard!$F$6="All",G5040=Dashboard!$F$6),OR(Dashboard!$I$6="All",H5040=Dashboard!$I$6)),1,0)</f>
        <v/>
      </c>
    </row>
    <row r="5041">
      <c r="A5041" t="inlineStr">
        <is>
          <t>PF105032</t>
        </is>
      </c>
      <c r="B5041" s="68" t="n">
        <v>46262</v>
      </c>
      <c r="C5041" s="69" t="n">
        <v>2026</v>
      </c>
      <c r="D5041" t="inlineStr">
        <is>
          <t>Aug</t>
        </is>
      </c>
      <c r="E5041" t="inlineStr">
        <is>
          <t>Emerging markets</t>
        </is>
      </c>
      <c r="F5041" t="inlineStr">
        <is>
          <t>Mexico</t>
        </is>
      </c>
      <c r="G5041" t="inlineStr">
        <is>
          <t>Prevnar 20</t>
        </is>
      </c>
      <c r="H5041" t="inlineStr">
        <is>
          <t>Retail pharmacy</t>
        </is>
      </c>
      <c r="I5041" t="inlineStr">
        <is>
          <t>Public payer</t>
        </is>
      </c>
      <c r="J5041" t="inlineStr">
        <is>
          <t>Amir Khan</t>
        </is>
      </c>
      <c r="K5041" s="70" t="n">
        <v>1483</v>
      </c>
      <c r="L5041" s="71" t="n">
        <v>232.4</v>
      </c>
      <c r="M5041" s="71" t="n">
        <v>344649.2</v>
      </c>
      <c r="N5041" s="71" t="n">
        <v>17232.46</v>
      </c>
      <c r="O5041" s="71" t="n">
        <v>327416.74</v>
      </c>
      <c r="P5041" s="71" t="n">
        <v>104989.86</v>
      </c>
      <c r="Q5041" s="71" t="n">
        <v>222426.88</v>
      </c>
      <c r="R5041" t="inlineStr">
        <is>
          <t>Vaccines</t>
        </is>
      </c>
      <c r="S5041" s="70" t="n">
        <v>1084</v>
      </c>
      <c r="T5041" s="71" t="n">
        <v>42867.09</v>
      </c>
      <c r="U5041" t="inlineStr">
        <is>
          <t>Low</t>
        </is>
      </c>
      <c r="V5041">
        <f>IF(AND(OR(Dashboard!$C$6="All",E5041=Dashboard!$C$6),OR(Dashboard!$F$6="All",G5041=Dashboard!$F$6),OR(Dashboard!$I$6="All",H5041=Dashboard!$I$6)),1,0)</f>
        <v/>
      </c>
    </row>
    <row r="5042">
      <c r="A5042" t="inlineStr">
        <is>
          <t>PF105033</t>
        </is>
      </c>
      <c r="B5042" s="68" t="n">
        <v>46262</v>
      </c>
      <c r="C5042" s="69" t="n">
        <v>2026</v>
      </c>
      <c r="D5042" t="inlineStr">
        <is>
          <t>Aug</t>
        </is>
      </c>
      <c r="E5042" t="inlineStr">
        <is>
          <t>International developed</t>
        </is>
      </c>
      <c r="F5042" t="inlineStr">
        <is>
          <t>Japan</t>
        </is>
      </c>
      <c r="G5042" t="inlineStr">
        <is>
          <t>Comirnaty</t>
        </is>
      </c>
      <c r="H5042" t="inlineStr">
        <is>
          <t>Hospital</t>
        </is>
      </c>
      <c r="I5042" t="inlineStr">
        <is>
          <t>Private insurer</t>
        </is>
      </c>
      <c r="J5042" t="inlineStr">
        <is>
          <t>Ana Costa</t>
        </is>
      </c>
      <c r="K5042" s="70" t="n">
        <v>973</v>
      </c>
      <c r="L5042" s="71" t="n">
        <v>84.73</v>
      </c>
      <c r="M5042" s="71" t="n">
        <v>82442.28999999999</v>
      </c>
      <c r="N5042" s="71" t="n">
        <v>20610.57</v>
      </c>
      <c r="O5042" s="71" t="n">
        <v>61831.72</v>
      </c>
      <c r="P5042" s="71" t="n">
        <v>36765.19</v>
      </c>
      <c r="Q5042" s="71" t="n">
        <v>25066.53</v>
      </c>
      <c r="R5042" t="inlineStr">
        <is>
          <t>Vaccines</t>
        </is>
      </c>
      <c r="S5042" s="70" t="n">
        <v>915</v>
      </c>
      <c r="T5042" s="71" t="n">
        <v>20055.45</v>
      </c>
      <c r="U5042" t="inlineStr">
        <is>
          <t>Low</t>
        </is>
      </c>
      <c r="V5042">
        <f>IF(AND(OR(Dashboard!$C$6="All",E5042=Dashboard!$C$6),OR(Dashboard!$F$6="All",G5042=Dashboard!$F$6),OR(Dashboard!$I$6="All",H5042=Dashboard!$I$6)),1,0)</f>
        <v/>
      </c>
    </row>
    <row r="5043">
      <c r="A5043" t="inlineStr">
        <is>
          <t>PF105034</t>
        </is>
      </c>
      <c r="B5043" s="68" t="n">
        <v>46262</v>
      </c>
      <c r="C5043" s="69" t="n">
        <v>2026</v>
      </c>
      <c r="D5043" t="inlineStr">
        <is>
          <t>Aug</t>
        </is>
      </c>
      <c r="E5043" t="inlineStr">
        <is>
          <t>Europe</t>
        </is>
      </c>
      <c r="F5043" t="inlineStr">
        <is>
          <t>France</t>
        </is>
      </c>
      <c r="G5043" t="inlineStr">
        <is>
          <t>Prevnar 20</t>
        </is>
      </c>
      <c r="H5043" t="inlineStr">
        <is>
          <t>Hospital</t>
        </is>
      </c>
      <c r="I5043" t="inlineStr">
        <is>
          <t>Public payer</t>
        </is>
      </c>
      <c r="J5043" t="inlineStr">
        <is>
          <t>Carlos Silva</t>
        </is>
      </c>
      <c r="K5043" s="70" t="n">
        <v>284</v>
      </c>
      <c r="L5043" s="71" t="n">
        <v>244.62</v>
      </c>
      <c r="M5043" s="71" t="n">
        <v>69472.08</v>
      </c>
      <c r="N5043" s="71" t="n">
        <v>6947.21</v>
      </c>
      <c r="O5043" s="71" t="n">
        <v>62524.87</v>
      </c>
      <c r="P5043" s="71" t="n">
        <v>19872.63</v>
      </c>
      <c r="Q5043" s="71" t="n">
        <v>42652.24</v>
      </c>
      <c r="R5043" t="inlineStr">
        <is>
          <t>Vaccines</t>
        </is>
      </c>
      <c r="S5043" s="70" t="n">
        <v>250</v>
      </c>
      <c r="T5043" s="71" t="n">
        <v>9651.26</v>
      </c>
      <c r="U5043" t="inlineStr">
        <is>
          <t>Low</t>
        </is>
      </c>
      <c r="V5043">
        <f>IF(AND(OR(Dashboard!$C$6="All",E5043=Dashboard!$C$6),OR(Dashboard!$F$6="All",G5043=Dashboard!$F$6),OR(Dashboard!$I$6="All",H5043=Dashboard!$I$6)),1,0)</f>
        <v/>
      </c>
    </row>
    <row r="5044">
      <c r="A5044" t="inlineStr">
        <is>
          <t>PF105035</t>
        </is>
      </c>
      <c r="B5044" s="68" t="n">
        <v>46262</v>
      </c>
      <c r="C5044" s="69" t="n">
        <v>2026</v>
      </c>
      <c r="D5044" t="inlineStr">
        <is>
          <t>Aug</t>
        </is>
      </c>
      <c r="E5044" t="inlineStr">
        <is>
          <t>United States</t>
        </is>
      </c>
      <c r="F5044" t="inlineStr">
        <is>
          <t>USA</t>
        </is>
      </c>
      <c r="G5044" t="inlineStr">
        <is>
          <t>Vyndaqel</t>
        </is>
      </c>
      <c r="H5044" t="inlineStr">
        <is>
          <t>Retail pharmacy</t>
        </is>
      </c>
      <c r="I5044" t="inlineStr">
        <is>
          <t>Public payer</t>
        </is>
      </c>
      <c r="J5044" t="inlineStr">
        <is>
          <t>Noah Smith</t>
        </is>
      </c>
      <c r="K5044" s="70" t="n">
        <v>1822</v>
      </c>
      <c r="L5044" s="71" t="n">
        <v>9718.68</v>
      </c>
      <c r="M5044" s="71" t="n">
        <v>17707434.96</v>
      </c>
      <c r="N5044" s="71" t="n">
        <v>3541486.99</v>
      </c>
      <c r="O5044" s="71" t="n">
        <v>14165947.97</v>
      </c>
      <c r="P5044" s="71" t="n">
        <v>1102274.58</v>
      </c>
      <c r="Q5044" s="71" t="n">
        <v>13063673.39</v>
      </c>
      <c r="R5044" t="inlineStr">
        <is>
          <t>Rare disease</t>
        </is>
      </c>
      <c r="S5044" s="70" t="n">
        <v>1564</v>
      </c>
      <c r="T5044" s="71" t="n">
        <v>1936403.61</v>
      </c>
      <c r="U5044" t="inlineStr">
        <is>
          <t>Medium</t>
        </is>
      </c>
      <c r="V5044">
        <f>IF(AND(OR(Dashboard!$C$6="All",E5044=Dashboard!$C$6),OR(Dashboard!$F$6="All",G5044=Dashboard!$F$6),OR(Dashboard!$I$6="All",H5044=Dashboard!$I$6)),1,0)</f>
        <v/>
      </c>
    </row>
    <row r="5045">
      <c r="A5045" t="inlineStr">
        <is>
          <t>PF105036</t>
        </is>
      </c>
      <c r="B5045" s="68" t="n">
        <v>46262</v>
      </c>
      <c r="C5045" s="69" t="n">
        <v>2026</v>
      </c>
      <c r="D5045" t="inlineStr">
        <is>
          <t>Aug</t>
        </is>
      </c>
      <c r="E5045" t="inlineStr">
        <is>
          <t>Europe</t>
        </is>
      </c>
      <c r="F5045" t="inlineStr">
        <is>
          <t>Germany</t>
        </is>
      </c>
      <c r="G5045" t="inlineStr">
        <is>
          <t>Eliquis</t>
        </is>
      </c>
      <c r="H5045" t="inlineStr">
        <is>
          <t>Hospital</t>
        </is>
      </c>
      <c r="I5045" t="inlineStr">
        <is>
          <t>Private insurer</t>
        </is>
      </c>
      <c r="J5045" t="inlineStr">
        <is>
          <t>Arjun Mehta</t>
        </is>
      </c>
      <c r="K5045" s="70" t="n">
        <v>1176</v>
      </c>
      <c r="L5045" s="71" t="n">
        <v>426.74</v>
      </c>
      <c r="M5045" s="71" t="n">
        <v>501846.24</v>
      </c>
      <c r="N5045" s="71" t="n">
        <v>125461.56</v>
      </c>
      <c r="O5045" s="71" t="n">
        <v>376384.68</v>
      </c>
      <c r="P5045" s="71" t="n">
        <v>90211.24000000001</v>
      </c>
      <c r="Q5045" s="71" t="n">
        <v>286173.44</v>
      </c>
      <c r="R5045" t="inlineStr">
        <is>
          <t>Cardiology</t>
        </is>
      </c>
      <c r="S5045" s="70" t="n">
        <v>923</v>
      </c>
      <c r="T5045" s="71" t="n">
        <v>97041.28999999999</v>
      </c>
      <c r="U5045" t="inlineStr">
        <is>
          <t>High</t>
        </is>
      </c>
      <c r="V5045">
        <f>IF(AND(OR(Dashboard!$C$6="All",E5045=Dashboard!$C$6),OR(Dashboard!$F$6="All",G5045=Dashboard!$F$6),OR(Dashboard!$I$6="All",H5045=Dashboard!$I$6)),1,0)</f>
        <v/>
      </c>
    </row>
    <row r="5046">
      <c r="A5046" t="inlineStr">
        <is>
          <t>PF105037</t>
        </is>
      </c>
      <c r="B5046" s="68" t="n">
        <v>46262</v>
      </c>
      <c r="C5046" s="69" t="n">
        <v>2026</v>
      </c>
      <c r="D5046" t="inlineStr">
        <is>
          <t>Aug</t>
        </is>
      </c>
      <c r="E5046" t="inlineStr">
        <is>
          <t>International developed</t>
        </is>
      </c>
      <c r="F5046" t="inlineStr">
        <is>
          <t>Australia</t>
        </is>
      </c>
      <c r="G5046" t="inlineStr">
        <is>
          <t>Vyndaqel</t>
        </is>
      </c>
      <c r="H5046" t="inlineStr">
        <is>
          <t>Hospital</t>
        </is>
      </c>
      <c r="I5046" t="inlineStr">
        <is>
          <t>Self-pay</t>
        </is>
      </c>
      <c r="J5046" t="inlineStr">
        <is>
          <t>Mei Lin</t>
        </is>
      </c>
      <c r="K5046" s="70" t="n">
        <v>2695</v>
      </c>
      <c r="L5046" s="71" t="n">
        <v>5350.54</v>
      </c>
      <c r="M5046" s="71" t="n">
        <v>14419705.3</v>
      </c>
      <c r="N5046" s="71" t="n">
        <v>1441970.53</v>
      </c>
      <c r="O5046" s="71" t="n">
        <v>12977734.77</v>
      </c>
      <c r="P5046" s="71" t="n">
        <v>1647612.05</v>
      </c>
      <c r="Q5046" s="71" t="n">
        <v>11330122.72</v>
      </c>
      <c r="R5046" t="inlineStr">
        <is>
          <t>Rare disease</t>
        </is>
      </c>
      <c r="S5046" s="70" t="n">
        <v>1720</v>
      </c>
      <c r="T5046" s="71" t="n">
        <v>2798099.48</v>
      </c>
      <c r="U5046" t="inlineStr">
        <is>
          <t>Medium</t>
        </is>
      </c>
      <c r="V5046">
        <f>IF(AND(OR(Dashboard!$C$6="All",E5046=Dashboard!$C$6),OR(Dashboard!$F$6="All",G5046=Dashboard!$F$6),OR(Dashboard!$I$6="All",H5046=Dashboard!$I$6)),1,0)</f>
        <v/>
      </c>
    </row>
    <row r="5047">
      <c r="A5047" t="inlineStr">
        <is>
          <t>PF105038</t>
        </is>
      </c>
      <c r="B5047" s="68" t="n">
        <v>46262</v>
      </c>
      <c r="C5047" s="69" t="n">
        <v>2026</v>
      </c>
      <c r="D5047" t="inlineStr">
        <is>
          <t>Aug</t>
        </is>
      </c>
      <c r="E5047" t="inlineStr">
        <is>
          <t>International developed</t>
        </is>
      </c>
      <c r="F5047" t="inlineStr">
        <is>
          <t>Japan</t>
        </is>
      </c>
      <c r="G5047" t="inlineStr">
        <is>
          <t>Vyndaqel</t>
        </is>
      </c>
      <c r="H5047" t="inlineStr">
        <is>
          <t>Retail pharmacy</t>
        </is>
      </c>
      <c r="I5047" t="inlineStr">
        <is>
          <t>Private insurer</t>
        </is>
      </c>
      <c r="J5047" t="inlineStr">
        <is>
          <t>Sophie Müller</t>
        </is>
      </c>
      <c r="K5047" s="70" t="n">
        <v>2224</v>
      </c>
      <c r="L5047" s="71" t="n">
        <v>5947.94</v>
      </c>
      <c r="M5047" s="71" t="n">
        <v>13228218.56</v>
      </c>
      <c r="N5047" s="71" t="n">
        <v>2645643.71</v>
      </c>
      <c r="O5047" s="71" t="n">
        <v>10582574.85</v>
      </c>
      <c r="P5047" s="71" t="n">
        <v>1404824.36</v>
      </c>
      <c r="Q5047" s="71" t="n">
        <v>9177750.49</v>
      </c>
      <c r="R5047" t="inlineStr">
        <is>
          <t>Rare disease</t>
        </is>
      </c>
      <c r="S5047" s="70" t="n">
        <v>1526</v>
      </c>
      <c r="T5047" s="71" t="n">
        <v>1934900.4</v>
      </c>
      <c r="U5047" t="inlineStr">
        <is>
          <t>Medium</t>
        </is>
      </c>
      <c r="V5047">
        <f>IF(AND(OR(Dashboard!$C$6="All",E5047=Dashboard!$C$6),OR(Dashboard!$F$6="All",G5047=Dashboard!$F$6),OR(Dashboard!$I$6="All",H5047=Dashboard!$I$6)),1,0)</f>
        <v/>
      </c>
    </row>
    <row r="5048">
      <c r="A5048" t="inlineStr">
        <is>
          <t>PF105039</t>
        </is>
      </c>
      <c r="B5048" s="68" t="n">
        <v>46262</v>
      </c>
      <c r="C5048" s="69" t="n">
        <v>2026</v>
      </c>
      <c r="D5048" t="inlineStr">
        <is>
          <t>Aug</t>
        </is>
      </c>
      <c r="E5048" t="inlineStr">
        <is>
          <t>Europe</t>
        </is>
      </c>
      <c r="F5048" t="inlineStr">
        <is>
          <t>UK</t>
        </is>
      </c>
      <c r="G5048" t="inlineStr">
        <is>
          <t>Abrysvo</t>
        </is>
      </c>
      <c r="H5048" t="inlineStr">
        <is>
          <t>Retail pharmacy</t>
        </is>
      </c>
      <c r="I5048" t="inlineStr">
        <is>
          <t>Private insurer</t>
        </is>
      </c>
      <c r="J5048" t="inlineStr">
        <is>
          <t>Priya Nair</t>
        </is>
      </c>
      <c r="K5048" s="70" t="n">
        <v>2030</v>
      </c>
      <c r="L5048" s="71" t="n">
        <v>298.83</v>
      </c>
      <c r="M5048" s="71" t="n">
        <v>606624.9</v>
      </c>
      <c r="N5048" s="71" t="n">
        <v>90993.74000000001</v>
      </c>
      <c r="O5048" s="71" t="n">
        <v>515631.16</v>
      </c>
      <c r="P5048" s="71" t="n">
        <v>169559.06</v>
      </c>
      <c r="Q5048" s="71" t="n">
        <v>346072.1</v>
      </c>
      <c r="R5048" t="inlineStr">
        <is>
          <t>Vaccines</t>
        </is>
      </c>
      <c r="S5048" s="70" t="n">
        <v>1578</v>
      </c>
      <c r="T5048" s="71" t="n">
        <v>95833.77</v>
      </c>
      <c r="U5048" t="inlineStr">
        <is>
          <t>Low</t>
        </is>
      </c>
      <c r="V5048">
        <f>IF(AND(OR(Dashboard!$C$6="All",E5048=Dashboard!$C$6),OR(Dashboard!$F$6="All",G5048=Dashboard!$F$6),OR(Dashboard!$I$6="All",H5048=Dashboard!$I$6)),1,0)</f>
        <v/>
      </c>
    </row>
    <row r="5049">
      <c r="A5049" t="inlineStr">
        <is>
          <t>PF105040</t>
        </is>
      </c>
      <c r="B5049" s="68" t="n">
        <v>46262</v>
      </c>
      <c r="C5049" s="69" t="n">
        <v>2026</v>
      </c>
      <c r="D5049" t="inlineStr">
        <is>
          <t>Aug</t>
        </is>
      </c>
      <c r="E5049" t="inlineStr">
        <is>
          <t>United States</t>
        </is>
      </c>
      <c r="F5049" t="inlineStr">
        <is>
          <t>USA</t>
        </is>
      </c>
      <c r="G5049" t="inlineStr">
        <is>
          <t>Prevnar 20</t>
        </is>
      </c>
      <c r="H5049" t="inlineStr">
        <is>
          <t>Hospital</t>
        </is>
      </c>
      <c r="I5049" t="inlineStr">
        <is>
          <t>Public payer</t>
        </is>
      </c>
      <c r="J5049" t="inlineStr">
        <is>
          <t>Amir Khan</t>
        </is>
      </c>
      <c r="K5049" s="70" t="n">
        <v>2754</v>
      </c>
      <c r="L5049" s="71" t="n">
        <v>370.75</v>
      </c>
      <c r="M5049" s="71" t="n">
        <v>1021045.5</v>
      </c>
      <c r="N5049" s="71" t="n">
        <v>255261.38</v>
      </c>
      <c r="O5049" s="71" t="n">
        <v>765784.12</v>
      </c>
      <c r="P5049" s="71" t="n">
        <v>193471.7</v>
      </c>
      <c r="Q5049" s="71" t="n">
        <v>572312.42</v>
      </c>
      <c r="R5049" t="inlineStr">
        <is>
          <t>Vaccines</t>
        </is>
      </c>
      <c r="S5049" s="70" t="n">
        <v>2459</v>
      </c>
      <c r="T5049" s="71" t="n">
        <v>180273.13</v>
      </c>
      <c r="U5049" t="inlineStr">
        <is>
          <t>Low</t>
        </is>
      </c>
      <c r="V5049">
        <f>IF(AND(OR(Dashboard!$C$6="All",E5049=Dashboard!$C$6),OR(Dashboard!$F$6="All",G5049=Dashboard!$F$6),OR(Dashboard!$I$6="All",H5049=Dashboard!$I$6)),1,0)</f>
        <v/>
      </c>
    </row>
    <row r="5050">
      <c r="A5050" t="inlineStr">
        <is>
          <t>PF105041</t>
        </is>
      </c>
      <c r="B5050" s="68" t="n">
        <v>46262</v>
      </c>
      <c r="C5050" s="69" t="n">
        <v>2026</v>
      </c>
      <c r="D5050" t="inlineStr">
        <is>
          <t>Aug</t>
        </is>
      </c>
      <c r="E5050" t="inlineStr">
        <is>
          <t>Europe</t>
        </is>
      </c>
      <c r="F5050" t="inlineStr">
        <is>
          <t>Italy</t>
        </is>
      </c>
      <c r="G5050" t="inlineStr">
        <is>
          <t>Comirnaty</t>
        </is>
      </c>
      <c r="H5050" t="inlineStr">
        <is>
          <t>Hospital</t>
        </is>
      </c>
      <c r="I5050" t="inlineStr">
        <is>
          <t>Public payer</t>
        </is>
      </c>
      <c r="J5050" t="inlineStr">
        <is>
          <t>Lucas Martin</t>
        </is>
      </c>
      <c r="K5050" s="70" t="n">
        <v>2443</v>
      </c>
      <c r="L5050" s="71" t="n">
        <v>87.66</v>
      </c>
      <c r="M5050" s="71" t="n">
        <v>214153.38</v>
      </c>
      <c r="N5050" s="71" t="n">
        <v>32123.01</v>
      </c>
      <c r="O5050" s="71" t="n">
        <v>182030.37</v>
      </c>
      <c r="P5050" s="71" t="n">
        <v>95463.3</v>
      </c>
      <c r="Q5050" s="71" t="n">
        <v>86567.07000000001</v>
      </c>
      <c r="R5050" t="inlineStr">
        <is>
          <t>Vaccines</t>
        </is>
      </c>
      <c r="S5050" s="70" t="n">
        <v>2160</v>
      </c>
      <c r="T5050" s="71" t="n">
        <v>40250.38</v>
      </c>
      <c r="U5050" t="inlineStr">
        <is>
          <t>Low</t>
        </is>
      </c>
      <c r="V5050">
        <f>IF(AND(OR(Dashboard!$C$6="All",E5050=Dashboard!$C$6),OR(Dashboard!$F$6="All",G5050=Dashboard!$F$6),OR(Dashboard!$I$6="All",H5050=Dashboard!$I$6)),1,0)</f>
        <v/>
      </c>
    </row>
    <row r="5051">
      <c r="A5051" t="inlineStr">
        <is>
          <t>PF105042</t>
        </is>
      </c>
      <c r="B5051" s="68" t="n">
        <v>46266</v>
      </c>
      <c r="C5051" s="69" t="n">
        <v>2026</v>
      </c>
      <c r="D5051" t="inlineStr">
        <is>
          <t>Sep</t>
        </is>
      </c>
      <c r="E5051" t="inlineStr">
        <is>
          <t>International developed</t>
        </is>
      </c>
      <c r="F5051" t="inlineStr">
        <is>
          <t>Japan</t>
        </is>
      </c>
      <c r="G5051" t="inlineStr">
        <is>
          <t>Xeljanz</t>
        </is>
      </c>
      <c r="H5051" t="inlineStr">
        <is>
          <t>Government / tender</t>
        </is>
      </c>
      <c r="I5051" t="inlineStr">
        <is>
          <t>Public payer</t>
        </is>
      </c>
      <c r="J5051" t="inlineStr">
        <is>
          <t>Hiroshi Tanaka</t>
        </is>
      </c>
      <c r="K5051" s="70" t="n">
        <v>2826</v>
      </c>
      <c r="L5051" s="71" t="n">
        <v>1434.18</v>
      </c>
      <c r="M5051" s="71" t="n">
        <v>4052992.68</v>
      </c>
      <c r="N5051" s="71" t="n">
        <v>1013248.17</v>
      </c>
      <c r="O5051" s="71" t="n">
        <v>3039744.51</v>
      </c>
      <c r="P5051" s="71" t="n">
        <v>709385.23</v>
      </c>
      <c r="Q5051" s="71" t="n">
        <v>2330359.28</v>
      </c>
      <c r="R5051" t="inlineStr">
        <is>
          <t>Inflammation</t>
        </is>
      </c>
      <c r="S5051" s="70" t="n">
        <v>2296</v>
      </c>
      <c r="T5051" s="71" t="n">
        <v>560085.85</v>
      </c>
      <c r="U5051" t="inlineStr">
        <is>
          <t>High</t>
        </is>
      </c>
      <c r="V5051">
        <f>IF(AND(OR(Dashboard!$C$6="All",E5051=Dashboard!$C$6),OR(Dashboard!$F$6="All",G5051=Dashboard!$F$6),OR(Dashboard!$I$6="All",H5051=Dashboard!$I$6)),1,0)</f>
        <v/>
      </c>
    </row>
    <row r="5052">
      <c r="A5052" t="inlineStr">
        <is>
          <t>PF105043</t>
        </is>
      </c>
      <c r="B5052" s="68" t="n">
        <v>46266</v>
      </c>
      <c r="C5052" s="69" t="n">
        <v>2026</v>
      </c>
      <c r="D5052" t="inlineStr">
        <is>
          <t>Sep</t>
        </is>
      </c>
      <c r="E5052" t="inlineStr">
        <is>
          <t>Emerging markets</t>
        </is>
      </c>
      <c r="F5052" t="inlineStr">
        <is>
          <t>China</t>
        </is>
      </c>
      <c r="G5052" t="inlineStr">
        <is>
          <t>Vyndaqel</t>
        </is>
      </c>
      <c r="H5052" t="inlineStr">
        <is>
          <t>Hospital</t>
        </is>
      </c>
      <c r="I5052" t="inlineStr">
        <is>
          <t>Public payer</t>
        </is>
      </c>
      <c r="J5052" t="inlineStr">
        <is>
          <t>Shraddha Kulkarni</t>
        </is>
      </c>
      <c r="K5052" s="70" t="n">
        <v>330</v>
      </c>
      <c r="L5052" s="71" t="n">
        <v>5256.43</v>
      </c>
      <c r="M5052" s="71" t="n">
        <v>1734621.9</v>
      </c>
      <c r="N5052" s="71" t="n">
        <v>346924.38</v>
      </c>
      <c r="O5052" s="71" t="n">
        <v>1387697.52</v>
      </c>
      <c r="P5052" s="71" t="n">
        <v>204287.77</v>
      </c>
      <c r="Q5052" s="71" t="n">
        <v>1183409.75</v>
      </c>
      <c r="R5052" t="inlineStr">
        <is>
          <t>Rare disease</t>
        </is>
      </c>
      <c r="S5052" s="70" t="n">
        <v>292</v>
      </c>
      <c r="T5052" s="71" t="n">
        <v>232522.19</v>
      </c>
      <c r="U5052" t="inlineStr">
        <is>
          <t>Medium</t>
        </is>
      </c>
      <c r="V5052">
        <f>IF(AND(OR(Dashboard!$C$6="All",E5052=Dashboard!$C$6),OR(Dashboard!$F$6="All",G5052=Dashboard!$F$6),OR(Dashboard!$I$6="All",H5052=Dashboard!$I$6)),1,0)</f>
        <v/>
      </c>
    </row>
    <row r="5053">
      <c r="A5053" t="inlineStr">
        <is>
          <t>PF105044</t>
        </is>
      </c>
      <c r="B5053" s="68" t="n">
        <v>46266</v>
      </c>
      <c r="C5053" s="69" t="n">
        <v>2026</v>
      </c>
      <c r="D5053" t="inlineStr">
        <is>
          <t>Sep</t>
        </is>
      </c>
      <c r="E5053" t="inlineStr">
        <is>
          <t>United States</t>
        </is>
      </c>
      <c r="F5053" t="inlineStr">
        <is>
          <t>USA</t>
        </is>
      </c>
      <c r="G5053" t="inlineStr">
        <is>
          <t>Xeljanz</t>
        </is>
      </c>
      <c r="H5053" t="inlineStr">
        <is>
          <t>Retail pharmacy</t>
        </is>
      </c>
      <c r="I5053" t="inlineStr">
        <is>
          <t>Public payer</t>
        </is>
      </c>
      <c r="J5053" t="inlineStr">
        <is>
          <t>Shraddha Kulkarni</t>
        </is>
      </c>
      <c r="K5053" s="70" t="n">
        <v>2275</v>
      </c>
      <c r="L5053" s="71" t="n">
        <v>2291.31</v>
      </c>
      <c r="M5053" s="71" t="n">
        <v>5212730.25</v>
      </c>
      <c r="N5053" s="71" t="n">
        <v>1824455.59</v>
      </c>
      <c r="O5053" s="71" t="n">
        <v>3388274.66</v>
      </c>
      <c r="P5053" s="71" t="n">
        <v>583783.8</v>
      </c>
      <c r="Q5053" s="71" t="n">
        <v>2804490.86</v>
      </c>
      <c r="R5053" t="inlineStr">
        <is>
          <t>Inflammation</t>
        </is>
      </c>
      <c r="S5053" s="70" t="n">
        <v>1492</v>
      </c>
      <c r="T5053" s="71" t="n">
        <v>1156288.05</v>
      </c>
      <c r="U5053" t="inlineStr">
        <is>
          <t>High</t>
        </is>
      </c>
      <c r="V5053">
        <f>IF(AND(OR(Dashboard!$C$6="All",E5053=Dashboard!$C$6),OR(Dashboard!$F$6="All",G5053=Dashboard!$F$6),OR(Dashboard!$I$6="All",H5053=Dashboard!$I$6)),1,0)</f>
        <v/>
      </c>
    </row>
    <row r="5054">
      <c r="A5054" t="inlineStr">
        <is>
          <t>PF105045</t>
        </is>
      </c>
      <c r="B5054" s="68" t="n">
        <v>46266</v>
      </c>
      <c r="C5054" s="69" t="n">
        <v>2026</v>
      </c>
      <c r="D5054" t="inlineStr">
        <is>
          <t>Sep</t>
        </is>
      </c>
      <c r="E5054" t="inlineStr">
        <is>
          <t>United States</t>
        </is>
      </c>
      <c r="F5054" t="inlineStr">
        <is>
          <t>USA</t>
        </is>
      </c>
      <c r="G5054" t="inlineStr">
        <is>
          <t>Prevnar 20</t>
        </is>
      </c>
      <c r="H5054" t="inlineStr">
        <is>
          <t>Government / tender</t>
        </is>
      </c>
      <c r="I5054" t="inlineStr">
        <is>
          <t>Self-pay</t>
        </is>
      </c>
      <c r="J5054" t="inlineStr">
        <is>
          <t>Omar Haddad</t>
        </is>
      </c>
      <c r="K5054" s="70" t="n">
        <v>2323</v>
      </c>
      <c r="L5054" s="71" t="n">
        <v>356.33</v>
      </c>
      <c r="M5054" s="71" t="n">
        <v>827754.59</v>
      </c>
      <c r="N5054" s="71" t="n">
        <v>124163.19</v>
      </c>
      <c r="O5054" s="71" t="n">
        <v>703591.4</v>
      </c>
      <c r="P5054" s="71" t="n">
        <v>165770.63</v>
      </c>
      <c r="Q5054" s="71" t="n">
        <v>537820.77</v>
      </c>
      <c r="R5054" t="inlineStr">
        <is>
          <t>Vaccines</t>
        </is>
      </c>
      <c r="S5054" s="70" t="n">
        <v>1905</v>
      </c>
      <c r="T5054" s="71" t="n">
        <v>128629.57</v>
      </c>
      <c r="U5054" t="inlineStr">
        <is>
          <t>Low</t>
        </is>
      </c>
      <c r="V5054">
        <f>IF(AND(OR(Dashboard!$C$6="All",E5054=Dashboard!$C$6),OR(Dashboard!$F$6="All",G5054=Dashboard!$F$6),OR(Dashboard!$I$6="All",H5054=Dashboard!$I$6)),1,0)</f>
        <v/>
      </c>
    </row>
    <row r="5055">
      <c r="A5055" t="inlineStr">
        <is>
          <t>PF105046</t>
        </is>
      </c>
      <c r="B5055" s="68" t="n">
        <v>46266</v>
      </c>
      <c r="C5055" s="69" t="n">
        <v>2026</v>
      </c>
      <c r="D5055" t="inlineStr">
        <is>
          <t>Sep</t>
        </is>
      </c>
      <c r="E5055" t="inlineStr">
        <is>
          <t>Europe</t>
        </is>
      </c>
      <c r="F5055" t="inlineStr">
        <is>
          <t>Spain</t>
        </is>
      </c>
      <c r="G5055" t="inlineStr">
        <is>
          <t>Eliquis</t>
        </is>
      </c>
      <c r="H5055" t="inlineStr">
        <is>
          <t>Hospital</t>
        </is>
      </c>
      <c r="I5055" t="inlineStr">
        <is>
          <t>Public payer</t>
        </is>
      </c>
      <c r="J5055" t="inlineStr">
        <is>
          <t>Ana Costa</t>
        </is>
      </c>
      <c r="K5055" s="70" t="n">
        <v>980</v>
      </c>
      <c r="L5055" s="71" t="n">
        <v>436.23</v>
      </c>
      <c r="M5055" s="71" t="n">
        <v>427505.4</v>
      </c>
      <c r="N5055" s="71" t="n">
        <v>21375.27</v>
      </c>
      <c r="O5055" s="71" t="n">
        <v>406130.13</v>
      </c>
      <c r="P5055" s="71" t="n">
        <v>73993.33</v>
      </c>
      <c r="Q5055" s="71" t="n">
        <v>332136.8</v>
      </c>
      <c r="R5055" t="inlineStr">
        <is>
          <t>Cardiology</t>
        </is>
      </c>
      <c r="S5055" s="70" t="n">
        <v>760</v>
      </c>
      <c r="T5055" s="71" t="n">
        <v>65710.42999999999</v>
      </c>
      <c r="U5055" t="inlineStr">
        <is>
          <t>High</t>
        </is>
      </c>
      <c r="V5055">
        <f>IF(AND(OR(Dashboard!$C$6="All",E5055=Dashboard!$C$6),OR(Dashboard!$F$6="All",G5055=Dashboard!$F$6),OR(Dashboard!$I$6="All",H5055=Dashboard!$I$6)),1,0)</f>
        <v/>
      </c>
    </row>
    <row r="5056">
      <c r="A5056" t="inlineStr">
        <is>
          <t>PF105047</t>
        </is>
      </c>
      <c r="B5056" s="68" t="n">
        <v>46266</v>
      </c>
      <c r="C5056" s="69" t="n">
        <v>2026</v>
      </c>
      <c r="D5056" t="inlineStr">
        <is>
          <t>Sep</t>
        </is>
      </c>
      <c r="E5056" t="inlineStr">
        <is>
          <t>United States</t>
        </is>
      </c>
      <c r="F5056" t="inlineStr">
        <is>
          <t>USA</t>
        </is>
      </c>
      <c r="G5056" t="inlineStr">
        <is>
          <t>Eliquis</t>
        </is>
      </c>
      <c r="H5056" t="inlineStr">
        <is>
          <t>Hospital</t>
        </is>
      </c>
      <c r="I5056" t="inlineStr">
        <is>
          <t>Private insurer</t>
        </is>
      </c>
      <c r="J5056" t="inlineStr">
        <is>
          <t>Kofi Mensah</t>
        </is>
      </c>
      <c r="K5056" s="70" t="n">
        <v>788</v>
      </c>
      <c r="L5056" s="71" t="n">
        <v>734.89</v>
      </c>
      <c r="M5056" s="71" t="n">
        <v>579093.3199999999</v>
      </c>
      <c r="N5056" s="71" t="n">
        <v>202682.66</v>
      </c>
      <c r="O5056" s="71" t="n">
        <v>376410.66</v>
      </c>
      <c r="P5056" s="71" t="n">
        <v>61330.52</v>
      </c>
      <c r="Q5056" s="71" t="n">
        <v>315080.14</v>
      </c>
      <c r="R5056" t="inlineStr">
        <is>
          <t>Cardiology</t>
        </is>
      </c>
      <c r="S5056" s="70" t="n">
        <v>500</v>
      </c>
      <c r="T5056" s="71" t="n">
        <v>75671.67</v>
      </c>
      <c r="U5056" t="inlineStr">
        <is>
          <t>High</t>
        </is>
      </c>
      <c r="V5056">
        <f>IF(AND(OR(Dashboard!$C$6="All",E5056=Dashboard!$C$6),OR(Dashboard!$F$6="All",G5056=Dashboard!$F$6),OR(Dashboard!$I$6="All",H5056=Dashboard!$I$6)),1,0)</f>
        <v/>
      </c>
    </row>
    <row r="5057">
      <c r="A5057" t="inlineStr">
        <is>
          <t>PF105048</t>
        </is>
      </c>
      <c r="B5057" s="68" t="n">
        <v>46266</v>
      </c>
      <c r="C5057" s="69" t="n">
        <v>2026</v>
      </c>
      <c r="D5057" t="inlineStr">
        <is>
          <t>Sep</t>
        </is>
      </c>
      <c r="E5057" t="inlineStr">
        <is>
          <t>Europe</t>
        </is>
      </c>
      <c r="F5057" t="inlineStr">
        <is>
          <t>UK</t>
        </is>
      </c>
      <c r="G5057" t="inlineStr">
        <is>
          <t>Vyndaqel</t>
        </is>
      </c>
      <c r="H5057" t="inlineStr">
        <is>
          <t>Retail pharmacy</t>
        </is>
      </c>
      <c r="I5057" t="inlineStr">
        <is>
          <t>Public payer</t>
        </is>
      </c>
      <c r="J5057" t="inlineStr">
        <is>
          <t>Yuki Sato</t>
        </is>
      </c>
      <c r="K5057" s="70" t="n">
        <v>2645</v>
      </c>
      <c r="L5057" s="71" t="n">
        <v>6083.65</v>
      </c>
      <c r="M5057" s="71" t="n">
        <v>16091254.25</v>
      </c>
      <c r="N5057" s="71" t="n">
        <v>1609125.43</v>
      </c>
      <c r="O5057" s="71" t="n">
        <v>14482128.82</v>
      </c>
      <c r="P5057" s="71" t="n">
        <v>1680503.23</v>
      </c>
      <c r="Q5057" s="71" t="n">
        <v>12801625.59</v>
      </c>
      <c r="R5057" t="inlineStr">
        <is>
          <t>Rare disease</t>
        </is>
      </c>
      <c r="S5057" s="70" t="n">
        <v>2039</v>
      </c>
      <c r="T5057" s="71" t="n">
        <v>2336378.82</v>
      </c>
      <c r="U5057" t="inlineStr">
        <is>
          <t>Medium</t>
        </is>
      </c>
      <c r="V5057">
        <f>IF(AND(OR(Dashboard!$C$6="All",E5057=Dashboard!$C$6),OR(Dashboard!$F$6="All",G5057=Dashboard!$F$6),OR(Dashboard!$I$6="All",H5057=Dashboard!$I$6)),1,0)</f>
        <v/>
      </c>
    </row>
    <row r="5058">
      <c r="A5058" t="inlineStr">
        <is>
          <t>PF105049</t>
        </is>
      </c>
      <c r="B5058" s="68" t="n">
        <v>46266</v>
      </c>
      <c r="C5058" s="69" t="n">
        <v>2026</v>
      </c>
      <c r="D5058" t="inlineStr">
        <is>
          <t>Sep</t>
        </is>
      </c>
      <c r="E5058" t="inlineStr">
        <is>
          <t>Europe</t>
        </is>
      </c>
      <c r="F5058" t="inlineStr">
        <is>
          <t>Germany</t>
        </is>
      </c>
      <c r="G5058" t="inlineStr">
        <is>
          <t>Ibrance</t>
        </is>
      </c>
      <c r="H5058" t="inlineStr">
        <is>
          <t>Government / tender</t>
        </is>
      </c>
      <c r="I5058" t="inlineStr">
        <is>
          <t>Self-pay</t>
        </is>
      </c>
      <c r="J5058" t="inlineStr">
        <is>
          <t>Wei Chen</t>
        </is>
      </c>
      <c r="K5058" s="70" t="n">
        <v>2533</v>
      </c>
      <c r="L5058" s="71" t="n">
        <v>2937.68</v>
      </c>
      <c r="M5058" s="71" t="n">
        <v>7441143.44</v>
      </c>
      <c r="N5058" s="71" t="n">
        <v>1860285.86</v>
      </c>
      <c r="O5058" s="71" t="n">
        <v>5580857.58</v>
      </c>
      <c r="P5058" s="71" t="n">
        <v>1062361.03</v>
      </c>
      <c r="Q5058" s="71" t="n">
        <v>4518496.55</v>
      </c>
      <c r="R5058" t="inlineStr">
        <is>
          <t>Oncology</t>
        </is>
      </c>
      <c r="S5058" s="70" t="n">
        <v>1863</v>
      </c>
      <c r="T5058" s="71" t="n">
        <v>1393524.96</v>
      </c>
      <c r="U5058" t="inlineStr">
        <is>
          <t>High</t>
        </is>
      </c>
      <c r="V5058">
        <f>IF(AND(OR(Dashboard!$C$6="All",E5058=Dashboard!$C$6),OR(Dashboard!$F$6="All",G5058=Dashboard!$F$6),OR(Dashboard!$I$6="All",H5058=Dashboard!$I$6)),1,0)</f>
        <v/>
      </c>
    </row>
    <row r="5059">
      <c r="A5059" t="inlineStr">
        <is>
          <t>PF105050</t>
        </is>
      </c>
      <c r="B5059" s="68" t="n">
        <v>46266</v>
      </c>
      <c r="C5059" s="69" t="n">
        <v>2026</v>
      </c>
      <c r="D5059" t="inlineStr">
        <is>
          <t>Sep</t>
        </is>
      </c>
      <c r="E5059" t="inlineStr">
        <is>
          <t>United States</t>
        </is>
      </c>
      <c r="F5059" t="inlineStr">
        <is>
          <t>USA</t>
        </is>
      </c>
      <c r="G5059" t="inlineStr">
        <is>
          <t>Xeljanz</t>
        </is>
      </c>
      <c r="H5059" t="inlineStr">
        <is>
          <t>Retail pharmacy</t>
        </is>
      </c>
      <c r="I5059" t="inlineStr">
        <is>
          <t>Public payer</t>
        </is>
      </c>
      <c r="J5059" t="inlineStr">
        <is>
          <t>Priya Nair</t>
        </is>
      </c>
      <c r="K5059" s="70" t="n">
        <v>1929</v>
      </c>
      <c r="L5059" s="71" t="n">
        <v>2291.05</v>
      </c>
      <c r="M5059" s="71" t="n">
        <v>4419435.45</v>
      </c>
      <c r="N5059" s="71" t="n">
        <v>1325830.64</v>
      </c>
      <c r="O5059" s="71" t="n">
        <v>3093604.81</v>
      </c>
      <c r="P5059" s="71" t="n">
        <v>470363.03</v>
      </c>
      <c r="Q5059" s="71" t="n">
        <v>2623241.78</v>
      </c>
      <c r="R5059" t="inlineStr">
        <is>
          <t>Inflammation</t>
        </is>
      </c>
      <c r="S5059" s="70" t="n">
        <v>1413</v>
      </c>
      <c r="T5059" s="71" t="n">
        <v>591129.08</v>
      </c>
      <c r="U5059" t="inlineStr">
        <is>
          <t>High</t>
        </is>
      </c>
      <c r="V5059">
        <f>IF(AND(OR(Dashboard!$C$6="All",E5059=Dashboard!$C$6),OR(Dashboard!$F$6="All",G5059=Dashboard!$F$6),OR(Dashboard!$I$6="All",H5059=Dashboard!$I$6)),1,0)</f>
        <v/>
      </c>
    </row>
    <row r="5060">
      <c r="A5060" t="inlineStr">
        <is>
          <t>PF105051</t>
        </is>
      </c>
      <c r="B5060" s="68" t="n">
        <v>46266</v>
      </c>
      <c r="C5060" s="69" t="n">
        <v>2026</v>
      </c>
      <c r="D5060" t="inlineStr">
        <is>
          <t>Sep</t>
        </is>
      </c>
      <c r="E5060" t="inlineStr">
        <is>
          <t>Emerging markets</t>
        </is>
      </c>
      <c r="F5060" t="inlineStr">
        <is>
          <t>Mexico</t>
        </is>
      </c>
      <c r="G5060" t="inlineStr">
        <is>
          <t>Xeljanz</t>
        </is>
      </c>
      <c r="H5060" t="inlineStr">
        <is>
          <t>Retail pharmacy</t>
        </is>
      </c>
      <c r="I5060" t="inlineStr">
        <is>
          <t>Private insurer</t>
        </is>
      </c>
      <c r="J5060" t="inlineStr">
        <is>
          <t>Omar Haddad</t>
        </is>
      </c>
      <c r="K5060" s="70" t="n">
        <v>2745</v>
      </c>
      <c r="L5060" s="71" t="n">
        <v>1298.41</v>
      </c>
      <c r="M5060" s="71" t="n">
        <v>3564135.45</v>
      </c>
      <c r="N5060" s="71" t="n">
        <v>712827.09</v>
      </c>
      <c r="O5060" s="71" t="n">
        <v>2851308.36</v>
      </c>
      <c r="P5060" s="71" t="n">
        <v>698785.3199999999</v>
      </c>
      <c r="Q5060" s="71" t="n">
        <v>2152523.04</v>
      </c>
      <c r="R5060" t="inlineStr">
        <is>
          <t>Inflammation</t>
        </is>
      </c>
      <c r="S5060" s="70" t="n">
        <v>1725</v>
      </c>
      <c r="T5060" s="71" t="n">
        <v>716214.58</v>
      </c>
      <c r="U5060" t="inlineStr">
        <is>
          <t>High</t>
        </is>
      </c>
      <c r="V5060">
        <f>IF(AND(OR(Dashboard!$C$6="All",E5060=Dashboard!$C$6),OR(Dashboard!$F$6="All",G5060=Dashboard!$F$6),OR(Dashboard!$I$6="All",H5060=Dashboard!$I$6)),1,0)</f>
        <v/>
      </c>
    </row>
    <row r="5061">
      <c r="A5061" t="inlineStr">
        <is>
          <t>PF105052</t>
        </is>
      </c>
      <c r="B5061" s="68" t="n">
        <v>46267</v>
      </c>
      <c r="C5061" s="69" t="n">
        <v>2026</v>
      </c>
      <c r="D5061" t="inlineStr">
        <is>
          <t>Sep</t>
        </is>
      </c>
      <c r="E5061" t="inlineStr">
        <is>
          <t>Emerging markets</t>
        </is>
      </c>
      <c r="F5061" t="inlineStr">
        <is>
          <t>Mexico</t>
        </is>
      </c>
      <c r="G5061" t="inlineStr">
        <is>
          <t>Eliquis</t>
        </is>
      </c>
      <c r="H5061" t="inlineStr">
        <is>
          <t>Retail pharmacy</t>
        </is>
      </c>
      <c r="I5061" t="inlineStr">
        <is>
          <t>Self-pay</t>
        </is>
      </c>
      <c r="J5061" t="inlineStr">
        <is>
          <t>Carlos Silva</t>
        </is>
      </c>
      <c r="K5061" s="70" t="n">
        <v>236</v>
      </c>
      <c r="L5061" s="71" t="n">
        <v>392.81</v>
      </c>
      <c r="M5061" s="71" t="n">
        <v>92703.16</v>
      </c>
      <c r="N5061" s="71" t="n">
        <v>13905.47</v>
      </c>
      <c r="O5061" s="71" t="n">
        <v>78797.69</v>
      </c>
      <c r="P5061" s="71" t="n">
        <v>17729.26</v>
      </c>
      <c r="Q5061" s="71" t="n">
        <v>61068.43</v>
      </c>
      <c r="R5061" t="inlineStr">
        <is>
          <t>Cardiology</t>
        </is>
      </c>
      <c r="S5061" s="70" t="n">
        <v>200</v>
      </c>
      <c r="T5061" s="71" t="n">
        <v>19586.56</v>
      </c>
      <c r="U5061" t="inlineStr">
        <is>
          <t>High</t>
        </is>
      </c>
      <c r="V5061">
        <f>IF(AND(OR(Dashboard!$C$6="All",E5061=Dashboard!$C$6),OR(Dashboard!$F$6="All",G5061=Dashboard!$F$6),OR(Dashboard!$I$6="All",H5061=Dashboard!$I$6)),1,0)</f>
        <v/>
      </c>
    </row>
    <row r="5062">
      <c r="A5062" t="inlineStr">
        <is>
          <t>PF105053</t>
        </is>
      </c>
      <c r="B5062" s="68" t="n">
        <v>46267</v>
      </c>
      <c r="C5062" s="69" t="n">
        <v>2026</v>
      </c>
      <c r="D5062" t="inlineStr">
        <is>
          <t>Sep</t>
        </is>
      </c>
      <c r="E5062" t="inlineStr">
        <is>
          <t>United States</t>
        </is>
      </c>
      <c r="F5062" t="inlineStr">
        <is>
          <t>USA</t>
        </is>
      </c>
      <c r="G5062" t="inlineStr">
        <is>
          <t>Xeljanz</t>
        </is>
      </c>
      <c r="H5062" t="inlineStr">
        <is>
          <t>Retail pharmacy</t>
        </is>
      </c>
      <c r="I5062" t="inlineStr">
        <is>
          <t>Private insurer</t>
        </is>
      </c>
      <c r="J5062" t="inlineStr">
        <is>
          <t>Wei Chen</t>
        </is>
      </c>
      <c r="K5062" s="70" t="n">
        <v>862</v>
      </c>
      <c r="L5062" s="71" t="n">
        <v>1943.38</v>
      </c>
      <c r="M5062" s="71" t="n">
        <v>1675193.56</v>
      </c>
      <c r="N5062" s="71" t="n">
        <v>502558.07</v>
      </c>
      <c r="O5062" s="71" t="n">
        <v>1172635.49</v>
      </c>
      <c r="P5062" s="71" t="n">
        <v>217900.6</v>
      </c>
      <c r="Q5062" s="71" t="n">
        <v>954734.89</v>
      </c>
      <c r="R5062" t="inlineStr">
        <is>
          <t>Inflammation</t>
        </is>
      </c>
      <c r="S5062" s="70" t="n">
        <v>779</v>
      </c>
      <c r="T5062" s="71" t="n">
        <v>340420.26</v>
      </c>
      <c r="U5062" t="inlineStr">
        <is>
          <t>High</t>
        </is>
      </c>
      <c r="V5062">
        <f>IF(AND(OR(Dashboard!$C$6="All",E5062=Dashboard!$C$6),OR(Dashboard!$F$6="All",G5062=Dashboard!$F$6),OR(Dashboard!$I$6="All",H5062=Dashboard!$I$6)),1,0)</f>
        <v/>
      </c>
    </row>
    <row r="5063">
      <c r="A5063" t="inlineStr">
        <is>
          <t>PF105054</t>
        </is>
      </c>
      <c r="B5063" s="68" t="n">
        <v>46267</v>
      </c>
      <c r="C5063" s="69" t="n">
        <v>2026</v>
      </c>
      <c r="D5063" t="inlineStr">
        <is>
          <t>Sep</t>
        </is>
      </c>
      <c r="E5063" t="inlineStr">
        <is>
          <t>Europe</t>
        </is>
      </c>
      <c r="F5063" t="inlineStr">
        <is>
          <t>Italy</t>
        </is>
      </c>
      <c r="G5063" t="inlineStr">
        <is>
          <t>Xeljanz</t>
        </is>
      </c>
      <c r="H5063" t="inlineStr">
        <is>
          <t>Government / tender</t>
        </is>
      </c>
      <c r="I5063" t="inlineStr">
        <is>
          <t>Private insurer</t>
        </is>
      </c>
      <c r="J5063" t="inlineStr">
        <is>
          <t>Amir Khan</t>
        </is>
      </c>
      <c r="K5063" s="70" t="n">
        <v>1903</v>
      </c>
      <c r="L5063" s="71" t="n">
        <v>1270.1</v>
      </c>
      <c r="M5063" s="71" t="n">
        <v>2417000.3</v>
      </c>
      <c r="N5063" s="71" t="n">
        <v>241700.03</v>
      </c>
      <c r="O5063" s="71" t="n">
        <v>2175300.27</v>
      </c>
      <c r="P5063" s="71" t="n">
        <v>493349.51</v>
      </c>
      <c r="Q5063" s="71" t="n">
        <v>1681950.76</v>
      </c>
      <c r="R5063" t="inlineStr">
        <is>
          <t>Inflammation</t>
        </is>
      </c>
      <c r="S5063" s="70" t="n">
        <v>1731</v>
      </c>
      <c r="T5063" s="71" t="n">
        <v>538345.4399999999</v>
      </c>
      <c r="U5063" t="inlineStr">
        <is>
          <t>High</t>
        </is>
      </c>
      <c r="V5063">
        <f>IF(AND(OR(Dashboard!$C$6="All",E5063=Dashboard!$C$6),OR(Dashboard!$F$6="All",G5063=Dashboard!$F$6),OR(Dashboard!$I$6="All",H5063=Dashboard!$I$6)),1,0)</f>
        <v/>
      </c>
    </row>
    <row r="5064">
      <c r="A5064" t="inlineStr">
        <is>
          <t>PF105055</t>
        </is>
      </c>
      <c r="B5064" s="68" t="n">
        <v>46267</v>
      </c>
      <c r="C5064" s="69" t="n">
        <v>2026</v>
      </c>
      <c r="D5064" t="inlineStr">
        <is>
          <t>Sep</t>
        </is>
      </c>
      <c r="E5064" t="inlineStr">
        <is>
          <t>United States</t>
        </is>
      </c>
      <c r="F5064" t="inlineStr">
        <is>
          <t>USA</t>
        </is>
      </c>
      <c r="G5064" t="inlineStr">
        <is>
          <t>Abrysvo</t>
        </is>
      </c>
      <c r="H5064" t="inlineStr">
        <is>
          <t>Hospital</t>
        </is>
      </c>
      <c r="I5064" t="inlineStr">
        <is>
          <t>Private insurer</t>
        </is>
      </c>
      <c r="J5064" t="inlineStr">
        <is>
          <t>Noah Smith</t>
        </is>
      </c>
      <c r="K5064" s="70" t="n">
        <v>748</v>
      </c>
      <c r="L5064" s="71" t="n">
        <v>473.62</v>
      </c>
      <c r="M5064" s="71" t="n">
        <v>354267.76</v>
      </c>
      <c r="N5064" s="71" t="n">
        <v>123993.72</v>
      </c>
      <c r="O5064" s="71" t="n">
        <v>230274.04</v>
      </c>
      <c r="P5064" s="71" t="n">
        <v>62485.59</v>
      </c>
      <c r="Q5064" s="71" t="n">
        <v>167788.45</v>
      </c>
      <c r="R5064" t="inlineStr">
        <is>
          <t>Vaccines</t>
        </is>
      </c>
      <c r="S5064" s="70" t="n">
        <v>574</v>
      </c>
      <c r="T5064" s="71" t="n">
        <v>40613.13</v>
      </c>
      <c r="U5064" t="inlineStr">
        <is>
          <t>Low</t>
        </is>
      </c>
      <c r="V5064">
        <f>IF(AND(OR(Dashboard!$C$6="All",E5064=Dashboard!$C$6),OR(Dashboard!$F$6="All",G5064=Dashboard!$F$6),OR(Dashboard!$I$6="All",H5064=Dashboard!$I$6)),1,0)</f>
        <v/>
      </c>
    </row>
    <row r="5065">
      <c r="A5065" t="inlineStr">
        <is>
          <t>PF105056</t>
        </is>
      </c>
      <c r="B5065" s="68" t="n">
        <v>46267</v>
      </c>
      <c r="C5065" s="69" t="n">
        <v>2026</v>
      </c>
      <c r="D5065" t="inlineStr">
        <is>
          <t>Sep</t>
        </is>
      </c>
      <c r="E5065" t="inlineStr">
        <is>
          <t>United States</t>
        </is>
      </c>
      <c r="F5065" t="inlineStr">
        <is>
          <t>USA</t>
        </is>
      </c>
      <c r="G5065" t="inlineStr">
        <is>
          <t>Comirnaty</t>
        </is>
      </c>
      <c r="H5065" t="inlineStr">
        <is>
          <t>Government / tender</t>
        </is>
      </c>
      <c r="I5065" t="inlineStr">
        <is>
          <t>Public payer</t>
        </is>
      </c>
      <c r="J5065" t="inlineStr">
        <is>
          <t>Fatima Al-Saud</t>
        </is>
      </c>
      <c r="K5065" s="70" t="n">
        <v>2260</v>
      </c>
      <c r="L5065" s="71" t="n">
        <v>155.25</v>
      </c>
      <c r="M5065" s="71" t="n">
        <v>350865</v>
      </c>
      <c r="N5065" s="71" t="n">
        <v>70173</v>
      </c>
      <c r="O5065" s="71" t="n">
        <v>280692</v>
      </c>
      <c r="P5065" s="71" t="n">
        <v>87141.7</v>
      </c>
      <c r="Q5065" s="71" t="n">
        <v>193550.3</v>
      </c>
      <c r="R5065" t="inlineStr">
        <is>
          <t>Vaccines</t>
        </is>
      </c>
      <c r="S5065" s="70" t="n">
        <v>1620</v>
      </c>
      <c r="T5065" s="71" t="n">
        <v>61116.47</v>
      </c>
      <c r="U5065" t="inlineStr">
        <is>
          <t>Low</t>
        </is>
      </c>
      <c r="V5065">
        <f>IF(AND(OR(Dashboard!$C$6="All",E5065=Dashboard!$C$6),OR(Dashboard!$F$6="All",G5065=Dashboard!$F$6),OR(Dashboard!$I$6="All",H5065=Dashboard!$I$6)),1,0)</f>
        <v/>
      </c>
    </row>
    <row r="5066">
      <c r="A5066" t="inlineStr">
        <is>
          <t>PF105057</t>
        </is>
      </c>
      <c r="B5066" s="68" t="n">
        <v>46267</v>
      </c>
      <c r="C5066" s="69" t="n">
        <v>2026</v>
      </c>
      <c r="D5066" t="inlineStr">
        <is>
          <t>Sep</t>
        </is>
      </c>
      <c r="E5066" t="inlineStr">
        <is>
          <t>United States</t>
        </is>
      </c>
      <c r="F5066" t="inlineStr">
        <is>
          <t>USA</t>
        </is>
      </c>
      <c r="G5066" t="inlineStr">
        <is>
          <t>Abrysvo</t>
        </is>
      </c>
      <c r="H5066" t="inlineStr">
        <is>
          <t>Retail pharmacy</t>
        </is>
      </c>
      <c r="I5066" t="inlineStr">
        <is>
          <t>Private insurer</t>
        </is>
      </c>
      <c r="J5066" t="inlineStr">
        <is>
          <t>Carlos Silva</t>
        </is>
      </c>
      <c r="K5066" s="70" t="n">
        <v>2847</v>
      </c>
      <c r="L5066" s="71" t="n">
        <v>507</v>
      </c>
      <c r="M5066" s="71" t="n">
        <v>1443429</v>
      </c>
      <c r="N5066" s="71" t="n">
        <v>360857.25</v>
      </c>
      <c r="O5066" s="71" t="n">
        <v>1082571.75</v>
      </c>
      <c r="P5066" s="71" t="n">
        <v>235483.2</v>
      </c>
      <c r="Q5066" s="71" t="n">
        <v>847088.55</v>
      </c>
      <c r="R5066" t="inlineStr">
        <is>
          <t>Vaccines</t>
        </is>
      </c>
      <c r="S5066" s="70" t="n">
        <v>2788</v>
      </c>
      <c r="T5066" s="71" t="n">
        <v>271633.67</v>
      </c>
      <c r="U5066" t="inlineStr">
        <is>
          <t>Low</t>
        </is>
      </c>
      <c r="V5066">
        <f>IF(AND(OR(Dashboard!$C$6="All",E5066=Dashboard!$C$6),OR(Dashboard!$F$6="All",G5066=Dashboard!$F$6),OR(Dashboard!$I$6="All",H5066=Dashboard!$I$6)),1,0)</f>
        <v/>
      </c>
    </row>
    <row r="5067">
      <c r="A5067" t="inlineStr">
        <is>
          <t>PF105058</t>
        </is>
      </c>
      <c r="B5067" s="68" t="n">
        <v>46268</v>
      </c>
      <c r="C5067" s="69" t="n">
        <v>2026</v>
      </c>
      <c r="D5067" t="inlineStr">
        <is>
          <t>Sep</t>
        </is>
      </c>
      <c r="E5067" t="inlineStr">
        <is>
          <t>Europe</t>
        </is>
      </c>
      <c r="F5067" t="inlineStr">
        <is>
          <t>UK</t>
        </is>
      </c>
      <c r="G5067" t="inlineStr">
        <is>
          <t>Prevnar 20</t>
        </is>
      </c>
      <c r="H5067" t="inlineStr">
        <is>
          <t>Hospital</t>
        </is>
      </c>
      <c r="I5067" t="inlineStr">
        <is>
          <t>Private insurer</t>
        </is>
      </c>
      <c r="J5067" t="inlineStr">
        <is>
          <t>Wei Chen</t>
        </is>
      </c>
      <c r="K5067" s="70" t="n">
        <v>1692</v>
      </c>
      <c r="L5067" s="71" t="n">
        <v>212.8</v>
      </c>
      <c r="M5067" s="71" t="n">
        <v>360057.6</v>
      </c>
      <c r="N5067" s="71" t="n">
        <v>54008.64</v>
      </c>
      <c r="O5067" s="71" t="n">
        <v>306048.96</v>
      </c>
      <c r="P5067" s="71" t="n">
        <v>115567.82</v>
      </c>
      <c r="Q5067" s="71" t="n">
        <v>190481.14</v>
      </c>
      <c r="R5067" t="inlineStr">
        <is>
          <t>Vaccines</t>
        </is>
      </c>
      <c r="S5067" s="70" t="n">
        <v>1674</v>
      </c>
      <c r="T5067" s="71" t="n">
        <v>71352.05</v>
      </c>
      <c r="U5067" t="inlineStr">
        <is>
          <t>Low</t>
        </is>
      </c>
      <c r="V5067">
        <f>IF(AND(OR(Dashboard!$C$6="All",E5067=Dashboard!$C$6),OR(Dashboard!$F$6="All",G5067=Dashboard!$F$6),OR(Dashboard!$I$6="All",H5067=Dashboard!$I$6)),1,0)</f>
        <v/>
      </c>
    </row>
    <row r="5068">
      <c r="A5068" t="inlineStr">
        <is>
          <t>PF105059</t>
        </is>
      </c>
      <c r="B5068" s="68" t="n">
        <v>46268</v>
      </c>
      <c r="C5068" s="69" t="n">
        <v>2026</v>
      </c>
      <c r="D5068" t="inlineStr">
        <is>
          <t>Sep</t>
        </is>
      </c>
      <c r="E5068" t="inlineStr">
        <is>
          <t>Europe</t>
        </is>
      </c>
      <c r="F5068" t="inlineStr">
        <is>
          <t>Italy</t>
        </is>
      </c>
      <c r="G5068" t="inlineStr">
        <is>
          <t>Xeljanz</t>
        </is>
      </c>
      <c r="H5068" t="inlineStr">
        <is>
          <t>Retail pharmacy</t>
        </is>
      </c>
      <c r="I5068" t="inlineStr">
        <is>
          <t>Public payer</t>
        </is>
      </c>
      <c r="J5068" t="inlineStr">
        <is>
          <t>Ana Costa</t>
        </is>
      </c>
      <c r="K5068" s="70" t="n">
        <v>129</v>
      </c>
      <c r="L5068" s="71" t="n">
        <v>1260.5</v>
      </c>
      <c r="M5068" s="71" t="n">
        <v>162604.5</v>
      </c>
      <c r="N5068" s="71" t="n">
        <v>8130.23</v>
      </c>
      <c r="O5068" s="71" t="n">
        <v>154474.27</v>
      </c>
      <c r="P5068" s="71" t="n">
        <v>32158.61</v>
      </c>
      <c r="Q5068" s="71" t="n">
        <v>122315.66</v>
      </c>
      <c r="R5068" t="inlineStr">
        <is>
          <t>Inflammation</t>
        </is>
      </c>
      <c r="S5068" s="70" t="n">
        <v>117</v>
      </c>
      <c r="T5068" s="71" t="n">
        <v>20680.47</v>
      </c>
      <c r="U5068" t="inlineStr">
        <is>
          <t>High</t>
        </is>
      </c>
      <c r="V5068">
        <f>IF(AND(OR(Dashboard!$C$6="All",E5068=Dashboard!$C$6),OR(Dashboard!$F$6="All",G5068=Dashboard!$F$6),OR(Dashboard!$I$6="All",H5068=Dashboard!$I$6)),1,0)</f>
        <v/>
      </c>
    </row>
    <row r="5069">
      <c r="A5069" t="inlineStr">
        <is>
          <t>PF105060</t>
        </is>
      </c>
      <c r="B5069" s="68" t="n">
        <v>46268</v>
      </c>
      <c r="C5069" s="69" t="n">
        <v>2026</v>
      </c>
      <c r="D5069" t="inlineStr">
        <is>
          <t>Sep</t>
        </is>
      </c>
      <c r="E5069" t="inlineStr">
        <is>
          <t>United States</t>
        </is>
      </c>
      <c r="F5069" t="inlineStr">
        <is>
          <t>USA</t>
        </is>
      </c>
      <c r="G5069" t="inlineStr">
        <is>
          <t>Abrysvo</t>
        </is>
      </c>
      <c r="H5069" t="inlineStr">
        <is>
          <t>Retail pharmacy</t>
        </is>
      </c>
      <c r="I5069" t="inlineStr">
        <is>
          <t>Public payer</t>
        </is>
      </c>
      <c r="J5069" t="inlineStr">
        <is>
          <t>Priya Nair</t>
        </is>
      </c>
      <c r="K5069" s="70" t="n">
        <v>2524</v>
      </c>
      <c r="L5069" s="71" t="n">
        <v>471.39</v>
      </c>
      <c r="M5069" s="71" t="n">
        <v>1189788.36</v>
      </c>
      <c r="N5069" s="71" t="n">
        <v>297447.09</v>
      </c>
      <c r="O5069" s="71" t="n">
        <v>892341.27</v>
      </c>
      <c r="P5069" s="71" t="n">
        <v>215925.33</v>
      </c>
      <c r="Q5069" s="71" t="n">
        <v>676415.9399999999</v>
      </c>
      <c r="R5069" t="inlineStr">
        <is>
          <t>Vaccines</t>
        </is>
      </c>
      <c r="S5069" s="70" t="n">
        <v>1684</v>
      </c>
      <c r="T5069" s="71" t="n">
        <v>170421.57</v>
      </c>
      <c r="U5069" t="inlineStr">
        <is>
          <t>Low</t>
        </is>
      </c>
      <c r="V5069">
        <f>IF(AND(OR(Dashboard!$C$6="All",E5069=Dashboard!$C$6),OR(Dashboard!$F$6="All",G5069=Dashboard!$F$6),OR(Dashboard!$I$6="All",H5069=Dashboard!$I$6)),1,0)</f>
        <v/>
      </c>
    </row>
    <row r="5070">
      <c r="A5070" t="inlineStr">
        <is>
          <t>PF105061</t>
        </is>
      </c>
      <c r="B5070" s="68" t="n">
        <v>46268</v>
      </c>
      <c r="C5070" s="69" t="n">
        <v>2026</v>
      </c>
      <c r="D5070" t="inlineStr">
        <is>
          <t>Sep</t>
        </is>
      </c>
      <c r="E5070" t="inlineStr">
        <is>
          <t>United States</t>
        </is>
      </c>
      <c r="F5070" t="inlineStr">
        <is>
          <t>USA</t>
        </is>
      </c>
      <c r="G5070" t="inlineStr">
        <is>
          <t>Prevnar 20</t>
        </is>
      </c>
      <c r="H5070" t="inlineStr">
        <is>
          <t>Retail pharmacy</t>
        </is>
      </c>
      <c r="I5070" t="inlineStr">
        <is>
          <t>Private insurer</t>
        </is>
      </c>
      <c r="J5070" t="inlineStr">
        <is>
          <t>Kofi Mensah</t>
        </is>
      </c>
      <c r="K5070" s="70" t="n">
        <v>2559</v>
      </c>
      <c r="L5070" s="71" t="n">
        <v>361.88</v>
      </c>
      <c r="M5070" s="71" t="n">
        <v>926050.92</v>
      </c>
      <c r="N5070" s="71" t="n">
        <v>277815.28</v>
      </c>
      <c r="O5070" s="71" t="n">
        <v>648235.64</v>
      </c>
      <c r="P5070" s="71" t="n">
        <v>181294.57</v>
      </c>
      <c r="Q5070" s="71" t="n">
        <v>466941.07</v>
      </c>
      <c r="R5070" t="inlineStr">
        <is>
          <t>Vaccines</t>
        </is>
      </c>
      <c r="S5070" s="70" t="n">
        <v>2456</v>
      </c>
      <c r="T5070" s="71" t="n">
        <v>120715.12</v>
      </c>
      <c r="U5070" t="inlineStr">
        <is>
          <t>Low</t>
        </is>
      </c>
      <c r="V5070">
        <f>IF(AND(OR(Dashboard!$C$6="All",E5070=Dashboard!$C$6),OR(Dashboard!$F$6="All",G5070=Dashboard!$F$6),OR(Dashboard!$I$6="All",H5070=Dashboard!$I$6)),1,0)</f>
        <v/>
      </c>
    </row>
    <row r="5071">
      <c r="A5071" t="inlineStr">
        <is>
          <t>PF105062</t>
        </is>
      </c>
      <c r="B5071" s="68" t="n">
        <v>46268</v>
      </c>
      <c r="C5071" s="69" t="n">
        <v>2026</v>
      </c>
      <c r="D5071" t="inlineStr">
        <is>
          <t>Sep</t>
        </is>
      </c>
      <c r="E5071" t="inlineStr">
        <is>
          <t>United States</t>
        </is>
      </c>
      <c r="F5071" t="inlineStr">
        <is>
          <t>USA</t>
        </is>
      </c>
      <c r="G5071" t="inlineStr">
        <is>
          <t>Xeljanz</t>
        </is>
      </c>
      <c r="H5071" t="inlineStr">
        <is>
          <t>Hospital</t>
        </is>
      </c>
      <c r="I5071" t="inlineStr">
        <is>
          <t>Private insurer</t>
        </is>
      </c>
      <c r="J5071" t="inlineStr">
        <is>
          <t>Ana Costa</t>
        </is>
      </c>
      <c r="K5071" s="70" t="n">
        <v>1618</v>
      </c>
      <c r="L5071" s="71" t="n">
        <v>2339.96</v>
      </c>
      <c r="M5071" s="71" t="n">
        <v>3786055.28</v>
      </c>
      <c r="N5071" s="71" t="n">
        <v>946513.8199999999</v>
      </c>
      <c r="O5071" s="71" t="n">
        <v>2839541.46</v>
      </c>
      <c r="P5071" s="71" t="n">
        <v>396761.69</v>
      </c>
      <c r="Q5071" s="71" t="n">
        <v>2442779.77</v>
      </c>
      <c r="R5071" t="inlineStr">
        <is>
          <t>Inflammation</t>
        </is>
      </c>
      <c r="S5071" s="70" t="n">
        <v>1365</v>
      </c>
      <c r="T5071" s="71" t="n">
        <v>544377.66</v>
      </c>
      <c r="U5071" t="inlineStr">
        <is>
          <t>High</t>
        </is>
      </c>
      <c r="V5071">
        <f>IF(AND(OR(Dashboard!$C$6="All",E5071=Dashboard!$C$6),OR(Dashboard!$F$6="All",G5071=Dashboard!$F$6),OR(Dashboard!$I$6="All",H5071=Dashboard!$I$6)),1,0)</f>
        <v/>
      </c>
    </row>
    <row r="5072">
      <c r="A5072" t="inlineStr">
        <is>
          <t>PF105063</t>
        </is>
      </c>
      <c r="B5072" s="68" t="n">
        <v>46269</v>
      </c>
      <c r="C5072" s="69" t="n">
        <v>2026</v>
      </c>
      <c r="D5072" t="inlineStr">
        <is>
          <t>Sep</t>
        </is>
      </c>
      <c r="E5072" t="inlineStr">
        <is>
          <t>International developed</t>
        </is>
      </c>
      <c r="F5072" t="inlineStr">
        <is>
          <t>Canada</t>
        </is>
      </c>
      <c r="G5072" t="inlineStr">
        <is>
          <t>Prevnar 20</t>
        </is>
      </c>
      <c r="H5072" t="inlineStr">
        <is>
          <t>Hospital</t>
        </is>
      </c>
      <c r="I5072" t="inlineStr">
        <is>
          <t>Private insurer</t>
        </is>
      </c>
      <c r="J5072" t="inlineStr">
        <is>
          <t>Carlos Silva</t>
        </is>
      </c>
      <c r="K5072" s="70" t="n">
        <v>169</v>
      </c>
      <c r="L5072" s="71" t="n">
        <v>234.84</v>
      </c>
      <c r="M5072" s="71" t="n">
        <v>39687.96</v>
      </c>
      <c r="N5072" s="71" t="n">
        <v>5953.19</v>
      </c>
      <c r="O5072" s="71" t="n">
        <v>33734.77</v>
      </c>
      <c r="P5072" s="71" t="n">
        <v>11937.92</v>
      </c>
      <c r="Q5072" s="71" t="n">
        <v>21796.85</v>
      </c>
      <c r="R5072" t="inlineStr">
        <is>
          <t>Vaccines</t>
        </is>
      </c>
      <c r="S5072" s="70" t="n">
        <v>129</v>
      </c>
      <c r="T5072" s="71" t="n">
        <v>7776.35</v>
      </c>
      <c r="U5072" t="inlineStr">
        <is>
          <t>Low</t>
        </is>
      </c>
      <c r="V5072">
        <f>IF(AND(OR(Dashboard!$C$6="All",E5072=Dashboard!$C$6),OR(Dashboard!$F$6="All",G5072=Dashboard!$F$6),OR(Dashboard!$I$6="All",H5072=Dashboard!$I$6)),1,0)</f>
        <v/>
      </c>
    </row>
    <row r="5073">
      <c r="A5073" t="inlineStr">
        <is>
          <t>PF105064</t>
        </is>
      </c>
      <c r="B5073" s="68" t="n">
        <v>46269</v>
      </c>
      <c r="C5073" s="69" t="n">
        <v>2026</v>
      </c>
      <c r="D5073" t="inlineStr">
        <is>
          <t>Sep</t>
        </is>
      </c>
      <c r="E5073" t="inlineStr">
        <is>
          <t>United States</t>
        </is>
      </c>
      <c r="F5073" t="inlineStr">
        <is>
          <t>USA</t>
        </is>
      </c>
      <c r="G5073" t="inlineStr">
        <is>
          <t>Paxlovid</t>
        </is>
      </c>
      <c r="H5073" t="inlineStr">
        <is>
          <t>Hospital</t>
        </is>
      </c>
      <c r="I5073" t="inlineStr">
        <is>
          <t>Public payer</t>
        </is>
      </c>
      <c r="J5073" t="inlineStr">
        <is>
          <t>Omar Haddad</t>
        </is>
      </c>
      <c r="K5073" s="70" t="n">
        <v>2331</v>
      </c>
      <c r="L5073" s="71" t="n">
        <v>1364.78</v>
      </c>
      <c r="M5073" s="71" t="n">
        <v>3181302.18</v>
      </c>
      <c r="N5073" s="71" t="n">
        <v>477195.33</v>
      </c>
      <c r="O5073" s="71" t="n">
        <v>2704106.85</v>
      </c>
      <c r="P5073" s="71" t="n">
        <v>618158.22</v>
      </c>
      <c r="Q5073" s="71" t="n">
        <v>2085948.63</v>
      </c>
      <c r="R5073" t="inlineStr">
        <is>
          <t>Antiviral</t>
        </is>
      </c>
      <c r="S5073" s="70" t="n">
        <v>1617</v>
      </c>
      <c r="T5073" s="71" t="n">
        <v>820074.97</v>
      </c>
      <c r="U5073" t="inlineStr">
        <is>
          <t>Low</t>
        </is>
      </c>
      <c r="V5073">
        <f>IF(AND(OR(Dashboard!$C$6="All",E5073=Dashboard!$C$6),OR(Dashboard!$F$6="All",G5073=Dashboard!$F$6),OR(Dashboard!$I$6="All",H5073=Dashboard!$I$6)),1,0)</f>
        <v/>
      </c>
    </row>
    <row r="5074">
      <c r="A5074" t="inlineStr">
        <is>
          <t>PF105065</t>
        </is>
      </c>
      <c r="B5074" s="68" t="n">
        <v>46269</v>
      </c>
      <c r="C5074" s="69" t="n">
        <v>2026</v>
      </c>
      <c r="D5074" t="inlineStr">
        <is>
          <t>Sep</t>
        </is>
      </c>
      <c r="E5074" t="inlineStr">
        <is>
          <t>United States</t>
        </is>
      </c>
      <c r="F5074" t="inlineStr">
        <is>
          <t>USA</t>
        </is>
      </c>
      <c r="G5074" t="inlineStr">
        <is>
          <t>Eliquis</t>
        </is>
      </c>
      <c r="H5074" t="inlineStr">
        <is>
          <t>Government / tender</t>
        </is>
      </c>
      <c r="I5074" t="inlineStr">
        <is>
          <t>Private insurer</t>
        </is>
      </c>
      <c r="J5074" t="inlineStr">
        <is>
          <t>Priya Nair</t>
        </is>
      </c>
      <c r="K5074" s="70" t="n">
        <v>2534</v>
      </c>
      <c r="L5074" s="71" t="n">
        <v>720.0700000000001</v>
      </c>
      <c r="M5074" s="71" t="n">
        <v>1824657.38</v>
      </c>
      <c r="N5074" s="71" t="n">
        <v>456164.34</v>
      </c>
      <c r="O5074" s="71" t="n">
        <v>1368493.04</v>
      </c>
      <c r="P5074" s="71" t="n">
        <v>189303.1</v>
      </c>
      <c r="Q5074" s="71" t="n">
        <v>1179189.94</v>
      </c>
      <c r="R5074" t="inlineStr">
        <is>
          <t>Cardiology</t>
        </is>
      </c>
      <c r="S5074" s="70" t="n">
        <v>2185</v>
      </c>
      <c r="T5074" s="71" t="n">
        <v>270042.48</v>
      </c>
      <c r="U5074" t="inlineStr">
        <is>
          <t>High</t>
        </is>
      </c>
      <c r="V5074">
        <f>IF(AND(OR(Dashboard!$C$6="All",E5074=Dashboard!$C$6),OR(Dashboard!$F$6="All",G5074=Dashboard!$F$6),OR(Dashboard!$I$6="All",H5074=Dashboard!$I$6)),1,0)</f>
        <v/>
      </c>
    </row>
    <row r="5075">
      <c r="A5075" t="inlineStr">
        <is>
          <t>PF105066</t>
        </is>
      </c>
      <c r="B5075" s="68" t="n">
        <v>46269</v>
      </c>
      <c r="C5075" s="69" t="n">
        <v>2026</v>
      </c>
      <c r="D5075" t="inlineStr">
        <is>
          <t>Sep</t>
        </is>
      </c>
      <c r="E5075" t="inlineStr">
        <is>
          <t>Emerging markets</t>
        </is>
      </c>
      <c r="F5075" t="inlineStr">
        <is>
          <t>Brazil</t>
        </is>
      </c>
      <c r="G5075" t="inlineStr">
        <is>
          <t>Comirnaty</t>
        </is>
      </c>
      <c r="H5075" t="inlineStr">
        <is>
          <t>Government / tender</t>
        </is>
      </c>
      <c r="I5075" t="inlineStr">
        <is>
          <t>Private insurer</t>
        </is>
      </c>
      <c r="J5075" t="inlineStr">
        <is>
          <t>Lucas Martin</t>
        </is>
      </c>
      <c r="K5075" s="70" t="n">
        <v>370</v>
      </c>
      <c r="L5075" s="71" t="n">
        <v>89.68000000000001</v>
      </c>
      <c r="M5075" s="71" t="n">
        <v>33181.6</v>
      </c>
      <c r="N5075" s="71" t="n">
        <v>4977.24</v>
      </c>
      <c r="O5075" s="71" t="n">
        <v>28204.36</v>
      </c>
      <c r="P5075" s="71" t="n">
        <v>14388.14</v>
      </c>
      <c r="Q5075" s="71" t="n">
        <v>13816.22</v>
      </c>
      <c r="R5075" t="inlineStr">
        <is>
          <t>Vaccines</t>
        </is>
      </c>
      <c r="S5075" s="70" t="n">
        <v>369</v>
      </c>
      <c r="T5075" s="71" t="n">
        <v>5010.34</v>
      </c>
      <c r="U5075" t="inlineStr">
        <is>
          <t>Low</t>
        </is>
      </c>
      <c r="V5075">
        <f>IF(AND(OR(Dashboard!$C$6="All",E5075=Dashboard!$C$6),OR(Dashboard!$F$6="All",G5075=Dashboard!$F$6),OR(Dashboard!$I$6="All",H5075=Dashboard!$I$6)),1,0)</f>
        <v/>
      </c>
    </row>
    <row r="5076">
      <c r="A5076" t="inlineStr">
        <is>
          <t>PF105067</t>
        </is>
      </c>
      <c r="B5076" s="68" t="n">
        <v>46269</v>
      </c>
      <c r="C5076" s="69" t="n">
        <v>2026</v>
      </c>
      <c r="D5076" t="inlineStr">
        <is>
          <t>Sep</t>
        </is>
      </c>
      <c r="E5076" t="inlineStr">
        <is>
          <t>Europe</t>
        </is>
      </c>
      <c r="F5076" t="inlineStr">
        <is>
          <t>Germany</t>
        </is>
      </c>
      <c r="G5076" t="inlineStr">
        <is>
          <t>Comirnaty</t>
        </is>
      </c>
      <c r="H5076" t="inlineStr">
        <is>
          <t>Retail pharmacy</t>
        </is>
      </c>
      <c r="I5076" t="inlineStr">
        <is>
          <t>Public payer</t>
        </is>
      </c>
      <c r="J5076" t="inlineStr">
        <is>
          <t>Noah Smith</t>
        </is>
      </c>
      <c r="K5076" s="70" t="n">
        <v>2215</v>
      </c>
      <c r="L5076" s="71" t="n">
        <v>89.14</v>
      </c>
      <c r="M5076" s="71" t="n">
        <v>197445.1</v>
      </c>
      <c r="N5076" s="71" t="n">
        <v>19744.51</v>
      </c>
      <c r="O5076" s="71" t="n">
        <v>177700.59</v>
      </c>
      <c r="P5076" s="71" t="n">
        <v>85735.62</v>
      </c>
      <c r="Q5076" s="71" t="n">
        <v>91964.97</v>
      </c>
      <c r="R5076" t="inlineStr">
        <is>
          <t>Vaccines</t>
        </is>
      </c>
      <c r="S5076" s="70" t="n">
        <v>2196</v>
      </c>
      <c r="T5076" s="71" t="n">
        <v>49586.82</v>
      </c>
      <c r="U5076" t="inlineStr">
        <is>
          <t>Low</t>
        </is>
      </c>
      <c r="V5076">
        <f>IF(AND(OR(Dashboard!$C$6="All",E5076=Dashboard!$C$6),OR(Dashboard!$F$6="All",G5076=Dashboard!$F$6),OR(Dashboard!$I$6="All",H5076=Dashboard!$I$6)),1,0)</f>
        <v/>
      </c>
    </row>
    <row r="5077">
      <c r="A5077" t="inlineStr">
        <is>
          <t>PF105068</t>
        </is>
      </c>
      <c r="B5077" s="68" t="n">
        <v>46270</v>
      </c>
      <c r="C5077" s="69" t="n">
        <v>2026</v>
      </c>
      <c r="D5077" t="inlineStr">
        <is>
          <t>Sep</t>
        </is>
      </c>
      <c r="E5077" t="inlineStr">
        <is>
          <t>United States</t>
        </is>
      </c>
      <c r="F5077" t="inlineStr">
        <is>
          <t>USA</t>
        </is>
      </c>
      <c r="G5077" t="inlineStr">
        <is>
          <t>Vyndaqel</t>
        </is>
      </c>
      <c r="H5077" t="inlineStr">
        <is>
          <t>Retail pharmacy</t>
        </is>
      </c>
      <c r="I5077" t="inlineStr">
        <is>
          <t>Private insurer</t>
        </is>
      </c>
      <c r="J5077" t="inlineStr">
        <is>
          <t>Priya Nair</t>
        </is>
      </c>
      <c r="K5077" s="70" t="n">
        <v>2649</v>
      </c>
      <c r="L5077" s="71" t="n">
        <v>10101.44</v>
      </c>
      <c r="M5077" s="71" t="n">
        <v>26758714.56</v>
      </c>
      <c r="N5077" s="71" t="n">
        <v>9365550.1</v>
      </c>
      <c r="O5077" s="71" t="n">
        <v>17393164.46</v>
      </c>
      <c r="P5077" s="71" t="n">
        <v>1632747.49</v>
      </c>
      <c r="Q5077" s="71" t="n">
        <v>15760416.97</v>
      </c>
      <c r="R5077" t="inlineStr">
        <is>
          <t>Rare disease</t>
        </is>
      </c>
      <c r="S5077" s="70" t="n">
        <v>1678</v>
      </c>
      <c r="T5077" s="71" t="n">
        <v>4589554.58</v>
      </c>
      <c r="U5077" t="inlineStr">
        <is>
          <t>Medium</t>
        </is>
      </c>
      <c r="V5077">
        <f>IF(AND(OR(Dashboard!$C$6="All",E5077=Dashboard!$C$6),OR(Dashboard!$F$6="All",G5077=Dashboard!$F$6),OR(Dashboard!$I$6="All",H5077=Dashboard!$I$6)),1,0)</f>
        <v/>
      </c>
    </row>
    <row r="5078">
      <c r="A5078" t="inlineStr">
        <is>
          <t>PF105069</t>
        </is>
      </c>
      <c r="B5078" s="68" t="n">
        <v>46270</v>
      </c>
      <c r="C5078" s="69" t="n">
        <v>2026</v>
      </c>
      <c r="D5078" t="inlineStr">
        <is>
          <t>Sep</t>
        </is>
      </c>
      <c r="E5078" t="inlineStr">
        <is>
          <t>United States</t>
        </is>
      </c>
      <c r="F5078" t="inlineStr">
        <is>
          <t>USA</t>
        </is>
      </c>
      <c r="G5078" t="inlineStr">
        <is>
          <t>Abrysvo</t>
        </is>
      </c>
      <c r="H5078" t="inlineStr">
        <is>
          <t>Retail pharmacy</t>
        </is>
      </c>
      <c r="I5078" t="inlineStr">
        <is>
          <t>Public payer</t>
        </is>
      </c>
      <c r="J5078" t="inlineStr">
        <is>
          <t>Hiroshi Tanaka</t>
        </is>
      </c>
      <c r="K5078" s="70" t="n">
        <v>1811</v>
      </c>
      <c r="L5078" s="71" t="n">
        <v>467.32</v>
      </c>
      <c r="M5078" s="71" t="n">
        <v>846316.52</v>
      </c>
      <c r="N5078" s="71" t="n">
        <v>169263.3</v>
      </c>
      <c r="O5078" s="71" t="n">
        <v>677053.22</v>
      </c>
      <c r="P5078" s="71" t="n">
        <v>151995.95</v>
      </c>
      <c r="Q5078" s="71" t="n">
        <v>525057.27</v>
      </c>
      <c r="R5078" t="inlineStr">
        <is>
          <t>Vaccines</t>
        </is>
      </c>
      <c r="S5078" s="70" t="n">
        <v>1292</v>
      </c>
      <c r="T5078" s="71" t="n">
        <v>134187.54</v>
      </c>
      <c r="U5078" t="inlineStr">
        <is>
          <t>Low</t>
        </is>
      </c>
      <c r="V5078">
        <f>IF(AND(OR(Dashboard!$C$6="All",E5078=Dashboard!$C$6),OR(Dashboard!$F$6="All",G5078=Dashboard!$F$6),OR(Dashboard!$I$6="All",H5078=Dashboard!$I$6)),1,0)</f>
        <v/>
      </c>
    </row>
    <row r="5079">
      <c r="A5079" t="inlineStr">
        <is>
          <t>PF105070</t>
        </is>
      </c>
      <c r="B5079" s="68" t="n">
        <v>46270</v>
      </c>
      <c r="C5079" s="69" t="n">
        <v>2026</v>
      </c>
      <c r="D5079" t="inlineStr">
        <is>
          <t>Sep</t>
        </is>
      </c>
      <c r="E5079" t="inlineStr">
        <is>
          <t>Emerging markets</t>
        </is>
      </c>
      <c r="F5079" t="inlineStr">
        <is>
          <t>Mexico</t>
        </is>
      </c>
      <c r="G5079" t="inlineStr">
        <is>
          <t>Paxlovid</t>
        </is>
      </c>
      <c r="H5079" t="inlineStr">
        <is>
          <t>Hospital</t>
        </is>
      </c>
      <c r="I5079" t="inlineStr">
        <is>
          <t>Private insurer</t>
        </is>
      </c>
      <c r="J5079" t="inlineStr">
        <is>
          <t>Emma Clarke</t>
        </is>
      </c>
      <c r="K5079" s="70" t="n">
        <v>200</v>
      </c>
      <c r="L5079" s="71" t="n">
        <v>853.84</v>
      </c>
      <c r="M5079" s="71" t="n">
        <v>170768</v>
      </c>
      <c r="N5079" s="71" t="n">
        <v>42692</v>
      </c>
      <c r="O5079" s="71" t="n">
        <v>128076</v>
      </c>
      <c r="P5079" s="71" t="n">
        <v>57142.48</v>
      </c>
      <c r="Q5079" s="71" t="n">
        <v>70933.52</v>
      </c>
      <c r="R5079" t="inlineStr">
        <is>
          <t>Antiviral</t>
        </is>
      </c>
      <c r="S5079" s="70" t="n">
        <v>172</v>
      </c>
      <c r="T5079" s="71" t="n">
        <v>43828.49</v>
      </c>
      <c r="U5079" t="inlineStr">
        <is>
          <t>Low</t>
        </is>
      </c>
      <c r="V5079">
        <f>IF(AND(OR(Dashboard!$C$6="All",E5079=Dashboard!$C$6),OR(Dashboard!$F$6="All",G5079=Dashboard!$F$6),OR(Dashboard!$I$6="All",H5079=Dashboard!$I$6)),1,0)</f>
        <v/>
      </c>
    </row>
    <row r="5080">
      <c r="A5080" t="inlineStr">
        <is>
          <t>PF105071</t>
        </is>
      </c>
      <c r="B5080" s="68" t="n">
        <v>46270</v>
      </c>
      <c r="C5080" s="69" t="n">
        <v>2026</v>
      </c>
      <c r="D5080" t="inlineStr">
        <is>
          <t>Sep</t>
        </is>
      </c>
      <c r="E5080" t="inlineStr">
        <is>
          <t>Europe</t>
        </is>
      </c>
      <c r="F5080" t="inlineStr">
        <is>
          <t>France</t>
        </is>
      </c>
      <c r="G5080" t="inlineStr">
        <is>
          <t>Prevnar 20</t>
        </is>
      </c>
      <c r="H5080" t="inlineStr">
        <is>
          <t>Government / tender</t>
        </is>
      </c>
      <c r="I5080" t="inlineStr">
        <is>
          <t>Public payer</t>
        </is>
      </c>
      <c r="J5080" t="inlineStr">
        <is>
          <t>Arjun Mehta</t>
        </is>
      </c>
      <c r="K5080" s="70" t="n">
        <v>166</v>
      </c>
      <c r="L5080" s="71" t="n">
        <v>222.39</v>
      </c>
      <c r="M5080" s="71" t="n">
        <v>36916.74</v>
      </c>
      <c r="N5080" s="71" t="n">
        <v>1845.84</v>
      </c>
      <c r="O5080" s="71" t="n">
        <v>35070.9</v>
      </c>
      <c r="P5080" s="71" t="n">
        <v>11018.02</v>
      </c>
      <c r="Q5080" s="71" t="n">
        <v>24052.88</v>
      </c>
      <c r="R5080" t="inlineStr">
        <is>
          <t>Vaccines</t>
        </is>
      </c>
      <c r="S5080" s="70" t="n">
        <v>105</v>
      </c>
      <c r="T5080" s="71" t="n">
        <v>6352.1</v>
      </c>
      <c r="U5080" t="inlineStr">
        <is>
          <t>Low</t>
        </is>
      </c>
      <c r="V5080">
        <f>IF(AND(OR(Dashboard!$C$6="All",E5080=Dashboard!$C$6),OR(Dashboard!$F$6="All",G5080=Dashboard!$F$6),OR(Dashboard!$I$6="All",H5080=Dashboard!$I$6)),1,0)</f>
        <v/>
      </c>
    </row>
    <row r="5081">
      <c r="A5081" t="inlineStr">
        <is>
          <t>PF105072</t>
        </is>
      </c>
      <c r="B5081" s="68" t="n">
        <v>46270</v>
      </c>
      <c r="C5081" s="69" t="n">
        <v>2026</v>
      </c>
      <c r="D5081" t="inlineStr">
        <is>
          <t>Sep</t>
        </is>
      </c>
      <c r="E5081" t="inlineStr">
        <is>
          <t>Europe</t>
        </is>
      </c>
      <c r="F5081" t="inlineStr">
        <is>
          <t>Italy</t>
        </is>
      </c>
      <c r="G5081" t="inlineStr">
        <is>
          <t>Xeljanz</t>
        </is>
      </c>
      <c r="H5081" t="inlineStr">
        <is>
          <t>Retail pharmacy</t>
        </is>
      </c>
      <c r="I5081" t="inlineStr">
        <is>
          <t>Private insurer</t>
        </is>
      </c>
      <c r="J5081" t="inlineStr">
        <is>
          <t>Wei Chen</t>
        </is>
      </c>
      <c r="K5081" s="70" t="n">
        <v>330</v>
      </c>
      <c r="L5081" s="71" t="n">
        <v>1440.6</v>
      </c>
      <c r="M5081" s="71" t="n">
        <v>475398</v>
      </c>
      <c r="N5081" s="71" t="n">
        <v>47539.8</v>
      </c>
      <c r="O5081" s="71" t="n">
        <v>427858.2</v>
      </c>
      <c r="P5081" s="71" t="n">
        <v>84071.89999999999</v>
      </c>
      <c r="Q5081" s="71" t="n">
        <v>343786.3</v>
      </c>
      <c r="R5081" t="inlineStr">
        <is>
          <t>Inflammation</t>
        </is>
      </c>
      <c r="S5081" s="70" t="n">
        <v>239</v>
      </c>
      <c r="T5081" s="71" t="n">
        <v>84615.82000000001</v>
      </c>
      <c r="U5081" t="inlineStr">
        <is>
          <t>High</t>
        </is>
      </c>
      <c r="V5081">
        <f>IF(AND(OR(Dashboard!$C$6="All",E5081=Dashboard!$C$6),OR(Dashboard!$F$6="All",G5081=Dashboard!$F$6),OR(Dashboard!$I$6="All",H5081=Dashboard!$I$6)),1,0)</f>
        <v/>
      </c>
    </row>
    <row r="5082">
      <c r="A5082" t="inlineStr">
        <is>
          <t>PF105073</t>
        </is>
      </c>
      <c r="B5082" s="68" t="n">
        <v>46270</v>
      </c>
      <c r="C5082" s="69" t="n">
        <v>2026</v>
      </c>
      <c r="D5082" t="inlineStr">
        <is>
          <t>Sep</t>
        </is>
      </c>
      <c r="E5082" t="inlineStr">
        <is>
          <t>United States</t>
        </is>
      </c>
      <c r="F5082" t="inlineStr">
        <is>
          <t>USA</t>
        </is>
      </c>
      <c r="G5082" t="inlineStr">
        <is>
          <t>Abrysvo</t>
        </is>
      </c>
      <c r="H5082" t="inlineStr">
        <is>
          <t>Retail pharmacy</t>
        </is>
      </c>
      <c r="I5082" t="inlineStr">
        <is>
          <t>Private insurer</t>
        </is>
      </c>
      <c r="J5082" t="inlineStr">
        <is>
          <t>Kofi Mensah</t>
        </is>
      </c>
      <c r="K5082" s="70" t="n">
        <v>345</v>
      </c>
      <c r="L5082" s="71" t="n">
        <v>467.31</v>
      </c>
      <c r="M5082" s="71" t="n">
        <v>161221.95</v>
      </c>
      <c r="N5082" s="71" t="n">
        <v>32244.39</v>
      </c>
      <c r="O5082" s="71" t="n">
        <v>128977.56</v>
      </c>
      <c r="P5082" s="71" t="n">
        <v>28024.4</v>
      </c>
      <c r="Q5082" s="71" t="n">
        <v>100953.16</v>
      </c>
      <c r="R5082" t="inlineStr">
        <is>
          <t>Vaccines</t>
        </is>
      </c>
      <c r="S5082" s="70" t="n">
        <v>311</v>
      </c>
      <c r="T5082" s="71" t="n">
        <v>27188.38</v>
      </c>
      <c r="U5082" t="inlineStr">
        <is>
          <t>Low</t>
        </is>
      </c>
      <c r="V5082">
        <f>IF(AND(OR(Dashboard!$C$6="All",E5082=Dashboard!$C$6),OR(Dashboard!$F$6="All",G5082=Dashboard!$F$6),OR(Dashboard!$I$6="All",H5082=Dashboard!$I$6)),1,0)</f>
        <v/>
      </c>
    </row>
    <row r="5083">
      <c r="A5083" t="inlineStr">
        <is>
          <t>PF105074</t>
        </is>
      </c>
      <c r="B5083" s="68" t="n">
        <v>46270</v>
      </c>
      <c r="C5083" s="69" t="n">
        <v>2026</v>
      </c>
      <c r="D5083" t="inlineStr">
        <is>
          <t>Sep</t>
        </is>
      </c>
      <c r="E5083" t="inlineStr">
        <is>
          <t>International developed</t>
        </is>
      </c>
      <c r="F5083" t="inlineStr">
        <is>
          <t>Canada</t>
        </is>
      </c>
      <c r="G5083" t="inlineStr">
        <is>
          <t>Paxlovid</t>
        </is>
      </c>
      <c r="H5083" t="inlineStr">
        <is>
          <t>Retail pharmacy</t>
        </is>
      </c>
      <c r="I5083" t="inlineStr">
        <is>
          <t>Private insurer</t>
        </is>
      </c>
      <c r="J5083" t="inlineStr">
        <is>
          <t>Emma Clarke</t>
        </is>
      </c>
      <c r="K5083" s="70" t="n">
        <v>1184</v>
      </c>
      <c r="L5083" s="71" t="n">
        <v>891.29</v>
      </c>
      <c r="M5083" s="71" t="n">
        <v>1055287.36</v>
      </c>
      <c r="N5083" s="71" t="n">
        <v>263821.84</v>
      </c>
      <c r="O5083" s="71" t="n">
        <v>791465.52</v>
      </c>
      <c r="P5083" s="71" t="n">
        <v>329370.36</v>
      </c>
      <c r="Q5083" s="71" t="n">
        <v>462095.16</v>
      </c>
      <c r="R5083" t="inlineStr">
        <is>
          <t>Antiviral</t>
        </is>
      </c>
      <c r="S5083" s="70" t="n">
        <v>1046</v>
      </c>
      <c r="T5083" s="71" t="n">
        <v>230368.7</v>
      </c>
      <c r="U5083" t="inlineStr">
        <is>
          <t>Low</t>
        </is>
      </c>
      <c r="V5083">
        <f>IF(AND(OR(Dashboard!$C$6="All",E5083=Dashboard!$C$6),OR(Dashboard!$F$6="All",G5083=Dashboard!$F$6),OR(Dashboard!$I$6="All",H5083=Dashboard!$I$6)),1,0)</f>
        <v/>
      </c>
    </row>
    <row r="5084">
      <c r="A5084" t="inlineStr">
        <is>
          <t>PF105075</t>
        </is>
      </c>
      <c r="B5084" s="68" t="n">
        <v>46270</v>
      </c>
      <c r="C5084" s="69" t="n">
        <v>2026</v>
      </c>
      <c r="D5084" t="inlineStr">
        <is>
          <t>Sep</t>
        </is>
      </c>
      <c r="E5084" t="inlineStr">
        <is>
          <t>International developed</t>
        </is>
      </c>
      <c r="F5084" t="inlineStr">
        <is>
          <t>Japan</t>
        </is>
      </c>
      <c r="G5084" t="inlineStr">
        <is>
          <t>Xeljanz</t>
        </is>
      </c>
      <c r="H5084" t="inlineStr">
        <is>
          <t>Retail pharmacy</t>
        </is>
      </c>
      <c r="I5084" t="inlineStr">
        <is>
          <t>Private insurer</t>
        </is>
      </c>
      <c r="J5084" t="inlineStr">
        <is>
          <t>Kofi Mensah</t>
        </is>
      </c>
      <c r="K5084" s="70" t="n">
        <v>185</v>
      </c>
      <c r="L5084" s="71" t="n">
        <v>1254.93</v>
      </c>
      <c r="M5084" s="71" t="n">
        <v>232162.05</v>
      </c>
      <c r="N5084" s="71" t="n">
        <v>58040.51</v>
      </c>
      <c r="O5084" s="71" t="n">
        <v>174121.54</v>
      </c>
      <c r="P5084" s="71" t="n">
        <v>47292.25</v>
      </c>
      <c r="Q5084" s="71" t="n">
        <v>126829.29</v>
      </c>
      <c r="R5084" t="inlineStr">
        <is>
          <t>Inflammation</t>
        </is>
      </c>
      <c r="S5084" s="70" t="n">
        <v>132</v>
      </c>
      <c r="T5084" s="71" t="n">
        <v>29575.54</v>
      </c>
      <c r="U5084" t="inlineStr">
        <is>
          <t>High</t>
        </is>
      </c>
      <c r="V5084">
        <f>IF(AND(OR(Dashboard!$C$6="All",E5084=Dashboard!$C$6),OR(Dashboard!$F$6="All",G5084=Dashboard!$F$6),OR(Dashboard!$I$6="All",H5084=Dashboard!$I$6)),1,0)</f>
        <v/>
      </c>
    </row>
    <row r="5085">
      <c r="A5085" t="inlineStr">
        <is>
          <t>PF105076</t>
        </is>
      </c>
      <c r="B5085" s="68" t="n">
        <v>46270</v>
      </c>
      <c r="C5085" s="69" t="n">
        <v>2026</v>
      </c>
      <c r="D5085" t="inlineStr">
        <is>
          <t>Sep</t>
        </is>
      </c>
      <c r="E5085" t="inlineStr">
        <is>
          <t>Emerging markets</t>
        </is>
      </c>
      <c r="F5085" t="inlineStr">
        <is>
          <t>Mexico</t>
        </is>
      </c>
      <c r="G5085" t="inlineStr">
        <is>
          <t>Prevnar 20</t>
        </is>
      </c>
      <c r="H5085" t="inlineStr">
        <is>
          <t>Government / tender</t>
        </is>
      </c>
      <c r="I5085" t="inlineStr">
        <is>
          <t>Self-pay</t>
        </is>
      </c>
      <c r="J5085" t="inlineStr">
        <is>
          <t>Mei Lin</t>
        </is>
      </c>
      <c r="K5085" s="70" t="n">
        <v>2662</v>
      </c>
      <c r="L5085" s="71" t="n">
        <v>237.74</v>
      </c>
      <c r="M5085" s="71" t="n">
        <v>632863.88</v>
      </c>
      <c r="N5085" s="71" t="n">
        <v>126572.78</v>
      </c>
      <c r="O5085" s="71" t="n">
        <v>506291.1</v>
      </c>
      <c r="P5085" s="71" t="n">
        <v>182772.12</v>
      </c>
      <c r="Q5085" s="71" t="n">
        <v>323518.98</v>
      </c>
      <c r="R5085" t="inlineStr">
        <is>
          <t>Vaccines</t>
        </is>
      </c>
      <c r="S5085" s="70" t="n">
        <v>2399</v>
      </c>
      <c r="T5085" s="71" t="n">
        <v>92037.09</v>
      </c>
      <c r="U5085" t="inlineStr">
        <is>
          <t>Low</t>
        </is>
      </c>
      <c r="V5085">
        <f>IF(AND(OR(Dashboard!$C$6="All",E5085=Dashboard!$C$6),OR(Dashboard!$F$6="All",G5085=Dashboard!$F$6),OR(Dashboard!$I$6="All",H5085=Dashboard!$I$6)),1,0)</f>
        <v/>
      </c>
    </row>
    <row r="5086">
      <c r="A5086" t="inlineStr">
        <is>
          <t>PF105077</t>
        </is>
      </c>
      <c r="B5086" s="68" t="n">
        <v>46270</v>
      </c>
      <c r="C5086" s="69" t="n">
        <v>2026</v>
      </c>
      <c r="D5086" t="inlineStr">
        <is>
          <t>Sep</t>
        </is>
      </c>
      <c r="E5086" t="inlineStr">
        <is>
          <t>Europe</t>
        </is>
      </c>
      <c r="F5086" t="inlineStr">
        <is>
          <t>Spain</t>
        </is>
      </c>
      <c r="G5086" t="inlineStr">
        <is>
          <t>Eliquis</t>
        </is>
      </c>
      <c r="H5086" t="inlineStr">
        <is>
          <t>Hospital</t>
        </is>
      </c>
      <c r="I5086" t="inlineStr">
        <is>
          <t>Private insurer</t>
        </is>
      </c>
      <c r="J5086" t="inlineStr">
        <is>
          <t>Sophie Müller</t>
        </is>
      </c>
      <c r="K5086" s="70" t="n">
        <v>323</v>
      </c>
      <c r="L5086" s="71" t="n">
        <v>458.23</v>
      </c>
      <c r="M5086" s="71" t="n">
        <v>148008.29</v>
      </c>
      <c r="N5086" s="71" t="n">
        <v>37002.07</v>
      </c>
      <c r="O5086" s="71" t="n">
        <v>111006.22</v>
      </c>
      <c r="P5086" s="71" t="n">
        <v>23842.33</v>
      </c>
      <c r="Q5086" s="71" t="n">
        <v>87163.89</v>
      </c>
      <c r="R5086" t="inlineStr">
        <is>
          <t>Cardiology</t>
        </is>
      </c>
      <c r="S5086" s="70" t="n">
        <v>290</v>
      </c>
      <c r="T5086" s="71" t="n">
        <v>30125.82</v>
      </c>
      <c r="U5086" t="inlineStr">
        <is>
          <t>High</t>
        </is>
      </c>
      <c r="V5086">
        <f>IF(AND(OR(Dashboard!$C$6="All",E5086=Dashboard!$C$6),OR(Dashboard!$F$6="All",G5086=Dashboard!$F$6),OR(Dashboard!$I$6="All",H5086=Dashboard!$I$6)),1,0)</f>
        <v/>
      </c>
    </row>
    <row r="5087">
      <c r="A5087" t="inlineStr">
        <is>
          <t>PF105078</t>
        </is>
      </c>
      <c r="B5087" s="68" t="n">
        <v>46270</v>
      </c>
      <c r="C5087" s="69" t="n">
        <v>2026</v>
      </c>
      <c r="D5087" t="inlineStr">
        <is>
          <t>Sep</t>
        </is>
      </c>
      <c r="E5087" t="inlineStr">
        <is>
          <t>International developed</t>
        </is>
      </c>
      <c r="F5087" t="inlineStr">
        <is>
          <t>Australia</t>
        </is>
      </c>
      <c r="G5087" t="inlineStr">
        <is>
          <t>Eliquis</t>
        </is>
      </c>
      <c r="H5087" t="inlineStr">
        <is>
          <t>Retail pharmacy</t>
        </is>
      </c>
      <c r="I5087" t="inlineStr">
        <is>
          <t>Private insurer</t>
        </is>
      </c>
      <c r="J5087" t="inlineStr">
        <is>
          <t>Zoya Ahmed</t>
        </is>
      </c>
      <c r="K5087" s="70" t="n">
        <v>1354</v>
      </c>
      <c r="L5087" s="71" t="n">
        <v>445.03</v>
      </c>
      <c r="M5087" s="71" t="n">
        <v>602570.62</v>
      </c>
      <c r="N5087" s="71" t="n">
        <v>30128.53</v>
      </c>
      <c r="O5087" s="71" t="n">
        <v>572442.09</v>
      </c>
      <c r="P5087" s="71" t="n">
        <v>103013.01</v>
      </c>
      <c r="Q5087" s="71" t="n">
        <v>469429.08</v>
      </c>
      <c r="R5087" t="inlineStr">
        <is>
          <t>Cardiology</t>
        </is>
      </c>
      <c r="S5087" s="70" t="n">
        <v>1033</v>
      </c>
      <c r="T5087" s="71" t="n">
        <v>111054.77</v>
      </c>
      <c r="U5087" t="inlineStr">
        <is>
          <t>High</t>
        </is>
      </c>
      <c r="V5087">
        <f>IF(AND(OR(Dashboard!$C$6="All",E5087=Dashboard!$C$6),OR(Dashboard!$F$6="All",G5087=Dashboard!$F$6),OR(Dashboard!$I$6="All",H5087=Dashboard!$I$6)),1,0)</f>
        <v/>
      </c>
    </row>
    <row r="5088">
      <c r="A5088" t="inlineStr">
        <is>
          <t>PF105079</t>
        </is>
      </c>
      <c r="B5088" s="68" t="n">
        <v>46270</v>
      </c>
      <c r="C5088" s="69" t="n">
        <v>2026</v>
      </c>
      <c r="D5088" t="inlineStr">
        <is>
          <t>Sep</t>
        </is>
      </c>
      <c r="E5088" t="inlineStr">
        <is>
          <t>Europe</t>
        </is>
      </c>
      <c r="F5088" t="inlineStr">
        <is>
          <t>Italy</t>
        </is>
      </c>
      <c r="G5088" t="inlineStr">
        <is>
          <t>Prevnar 20</t>
        </is>
      </c>
      <c r="H5088" t="inlineStr">
        <is>
          <t>Government / tender</t>
        </is>
      </c>
      <c r="I5088" t="inlineStr">
        <is>
          <t>Public payer</t>
        </is>
      </c>
      <c r="J5088" t="inlineStr">
        <is>
          <t>Noah Smith</t>
        </is>
      </c>
      <c r="K5088" s="70" t="n">
        <v>148</v>
      </c>
      <c r="L5088" s="71" t="n">
        <v>236.2</v>
      </c>
      <c r="M5088" s="71" t="n">
        <v>34957.6</v>
      </c>
      <c r="N5088" s="71" t="n">
        <v>1747.88</v>
      </c>
      <c r="O5088" s="71" t="n">
        <v>33209.72</v>
      </c>
      <c r="P5088" s="71" t="n">
        <v>10163.3</v>
      </c>
      <c r="Q5088" s="71" t="n">
        <v>23046.42</v>
      </c>
      <c r="R5088" t="inlineStr">
        <is>
          <t>Vaccines</t>
        </is>
      </c>
      <c r="S5088" s="70" t="n">
        <v>98</v>
      </c>
      <c r="T5088" s="71" t="n">
        <v>4312.11</v>
      </c>
      <c r="U5088" t="inlineStr">
        <is>
          <t>Low</t>
        </is>
      </c>
      <c r="V5088">
        <f>IF(AND(OR(Dashboard!$C$6="All",E5088=Dashboard!$C$6),OR(Dashboard!$F$6="All",G5088=Dashboard!$F$6),OR(Dashboard!$I$6="All",H5088=Dashboard!$I$6)),1,0)</f>
        <v/>
      </c>
    </row>
    <row r="5089">
      <c r="A5089" t="inlineStr">
        <is>
          <t>PF105080</t>
        </is>
      </c>
      <c r="B5089" s="68" t="n">
        <v>46270</v>
      </c>
      <c r="C5089" s="69" t="n">
        <v>2026</v>
      </c>
      <c r="D5089" t="inlineStr">
        <is>
          <t>Sep</t>
        </is>
      </c>
      <c r="E5089" t="inlineStr">
        <is>
          <t>United States</t>
        </is>
      </c>
      <c r="F5089" t="inlineStr">
        <is>
          <t>USA</t>
        </is>
      </c>
      <c r="G5089" t="inlineStr">
        <is>
          <t>Paxlovid</t>
        </is>
      </c>
      <c r="H5089" t="inlineStr">
        <is>
          <t>Retail pharmacy</t>
        </is>
      </c>
      <c r="I5089" t="inlineStr">
        <is>
          <t>Private insurer</t>
        </is>
      </c>
      <c r="J5089" t="inlineStr">
        <is>
          <t>Yuki Sato</t>
        </is>
      </c>
      <c r="K5089" s="70" t="n">
        <v>2244</v>
      </c>
      <c r="L5089" s="71" t="n">
        <v>1351.35</v>
      </c>
      <c r="M5089" s="71" t="n">
        <v>3032429.4</v>
      </c>
      <c r="N5089" s="71" t="n">
        <v>758107.35</v>
      </c>
      <c r="O5089" s="71" t="n">
        <v>2274322.05</v>
      </c>
      <c r="P5089" s="71" t="n">
        <v>603435.76</v>
      </c>
      <c r="Q5089" s="71" t="n">
        <v>1670886.29</v>
      </c>
      <c r="R5089" t="inlineStr">
        <is>
          <t>Antiviral</t>
        </is>
      </c>
      <c r="S5089" s="70" t="n">
        <v>2036</v>
      </c>
      <c r="T5089" s="71" t="n">
        <v>687836.24</v>
      </c>
      <c r="U5089" t="inlineStr">
        <is>
          <t>Low</t>
        </is>
      </c>
      <c r="V5089">
        <f>IF(AND(OR(Dashboard!$C$6="All",E5089=Dashboard!$C$6),OR(Dashboard!$F$6="All",G5089=Dashboard!$F$6),OR(Dashboard!$I$6="All",H5089=Dashboard!$I$6)),1,0)</f>
        <v/>
      </c>
    </row>
    <row r="5090">
      <c r="A5090" t="inlineStr">
        <is>
          <t>PF105081</t>
        </is>
      </c>
      <c r="B5090" s="68" t="n">
        <v>46270</v>
      </c>
      <c r="C5090" s="69" t="n">
        <v>2026</v>
      </c>
      <c r="D5090" t="inlineStr">
        <is>
          <t>Sep</t>
        </is>
      </c>
      <c r="E5090" t="inlineStr">
        <is>
          <t>Europe</t>
        </is>
      </c>
      <c r="F5090" t="inlineStr">
        <is>
          <t>UK</t>
        </is>
      </c>
      <c r="G5090" t="inlineStr">
        <is>
          <t>Eliquis</t>
        </is>
      </c>
      <c r="H5090" t="inlineStr">
        <is>
          <t>Retail pharmacy</t>
        </is>
      </c>
      <c r="I5090" t="inlineStr">
        <is>
          <t>Self-pay</t>
        </is>
      </c>
      <c r="J5090" t="inlineStr">
        <is>
          <t>Emma Clarke</t>
        </is>
      </c>
      <c r="K5090" s="70" t="n">
        <v>3070</v>
      </c>
      <c r="L5090" s="71" t="n">
        <v>466.74</v>
      </c>
      <c r="M5090" s="71" t="n">
        <v>1432891.8</v>
      </c>
      <c r="N5090" s="71" t="n">
        <v>358222.95</v>
      </c>
      <c r="O5090" s="71" t="n">
        <v>1074668.85</v>
      </c>
      <c r="P5090" s="71" t="n">
        <v>231676.14</v>
      </c>
      <c r="Q5090" s="71" t="n">
        <v>842992.71</v>
      </c>
      <c r="R5090" t="inlineStr">
        <is>
          <t>Cardiology</t>
        </is>
      </c>
      <c r="S5090" s="70" t="n">
        <v>2417</v>
      </c>
      <c r="T5090" s="71" t="n">
        <v>197875.79</v>
      </c>
      <c r="U5090" t="inlineStr">
        <is>
          <t>High</t>
        </is>
      </c>
      <c r="V5090">
        <f>IF(AND(OR(Dashboard!$C$6="All",E5090=Dashboard!$C$6),OR(Dashboard!$F$6="All",G5090=Dashboard!$F$6),OR(Dashboard!$I$6="All",H5090=Dashboard!$I$6)),1,0)</f>
        <v/>
      </c>
    </row>
    <row r="5091">
      <c r="A5091" t="inlineStr">
        <is>
          <t>PF105082</t>
        </is>
      </c>
      <c r="B5091" s="68" t="n">
        <v>46271</v>
      </c>
      <c r="C5091" s="69" t="n">
        <v>2026</v>
      </c>
      <c r="D5091" t="inlineStr">
        <is>
          <t>Sep</t>
        </is>
      </c>
      <c r="E5091" t="inlineStr">
        <is>
          <t>United States</t>
        </is>
      </c>
      <c r="F5091" t="inlineStr">
        <is>
          <t>USA</t>
        </is>
      </c>
      <c r="G5091" t="inlineStr">
        <is>
          <t>Vyndaqel</t>
        </is>
      </c>
      <c r="H5091" t="inlineStr">
        <is>
          <t>Retail pharmacy</t>
        </is>
      </c>
      <c r="I5091" t="inlineStr">
        <is>
          <t>Self-pay</t>
        </is>
      </c>
      <c r="J5091" t="inlineStr">
        <is>
          <t>Ravindra Patil</t>
        </is>
      </c>
      <c r="K5091" s="70" t="n">
        <v>239</v>
      </c>
      <c r="L5091" s="71" t="n">
        <v>10077.91</v>
      </c>
      <c r="M5091" s="71" t="n">
        <v>2408620.49</v>
      </c>
      <c r="N5091" s="71" t="n">
        <v>722586.15</v>
      </c>
      <c r="O5091" s="71" t="n">
        <v>1686034.34</v>
      </c>
      <c r="P5091" s="71" t="n">
        <v>150745.13</v>
      </c>
      <c r="Q5091" s="71" t="n">
        <v>1535289.21</v>
      </c>
      <c r="R5091" t="inlineStr">
        <is>
          <t>Rare disease</t>
        </is>
      </c>
      <c r="S5091" s="70" t="n">
        <v>195</v>
      </c>
      <c r="T5091" s="71" t="n">
        <v>330437.68</v>
      </c>
      <c r="U5091" t="inlineStr">
        <is>
          <t>Medium</t>
        </is>
      </c>
      <c r="V5091">
        <f>IF(AND(OR(Dashboard!$C$6="All",E5091=Dashboard!$C$6),OR(Dashboard!$F$6="All",G5091=Dashboard!$F$6),OR(Dashboard!$I$6="All",H5091=Dashboard!$I$6)),1,0)</f>
        <v/>
      </c>
    </row>
    <row r="5092">
      <c r="A5092" t="inlineStr">
        <is>
          <t>PF105083</t>
        </is>
      </c>
      <c r="B5092" s="68" t="n">
        <v>46271</v>
      </c>
      <c r="C5092" s="69" t="n">
        <v>2026</v>
      </c>
      <c r="D5092" t="inlineStr">
        <is>
          <t>Sep</t>
        </is>
      </c>
      <c r="E5092" t="inlineStr">
        <is>
          <t>United States</t>
        </is>
      </c>
      <c r="F5092" t="inlineStr">
        <is>
          <t>USA</t>
        </is>
      </c>
      <c r="G5092" t="inlineStr">
        <is>
          <t>Comirnaty</t>
        </is>
      </c>
      <c r="H5092" t="inlineStr">
        <is>
          <t>Government / tender</t>
        </is>
      </c>
      <c r="I5092" t="inlineStr">
        <is>
          <t>Private insurer</t>
        </is>
      </c>
      <c r="J5092" t="inlineStr">
        <is>
          <t>Aisha Bello</t>
        </is>
      </c>
      <c r="K5092" s="70" t="n">
        <v>87</v>
      </c>
      <c r="L5092" s="71" t="n">
        <v>150.97</v>
      </c>
      <c r="M5092" s="71" t="n">
        <v>13134.39</v>
      </c>
      <c r="N5092" s="71" t="n">
        <v>4597.04</v>
      </c>
      <c r="O5092" s="71" t="n">
        <v>8537.35</v>
      </c>
      <c r="P5092" s="71" t="n">
        <v>3470.06</v>
      </c>
      <c r="Q5092" s="71" t="n">
        <v>5067.29</v>
      </c>
      <c r="R5092" t="inlineStr">
        <is>
          <t>Vaccines</t>
        </is>
      </c>
      <c r="S5092" s="70" t="n">
        <v>74</v>
      </c>
      <c r="T5092" s="71" t="n">
        <v>3569.83</v>
      </c>
      <c r="U5092" t="inlineStr">
        <is>
          <t>Low</t>
        </is>
      </c>
      <c r="V5092">
        <f>IF(AND(OR(Dashboard!$C$6="All",E5092=Dashboard!$C$6),OR(Dashboard!$F$6="All",G5092=Dashboard!$F$6),OR(Dashboard!$I$6="All",H5092=Dashboard!$I$6)),1,0)</f>
        <v/>
      </c>
    </row>
    <row r="5093">
      <c r="A5093" t="inlineStr">
        <is>
          <t>PF105084</t>
        </is>
      </c>
      <c r="B5093" s="68" t="n">
        <v>46271</v>
      </c>
      <c r="C5093" s="69" t="n">
        <v>2026</v>
      </c>
      <c r="D5093" t="inlineStr">
        <is>
          <t>Sep</t>
        </is>
      </c>
      <c r="E5093" t="inlineStr">
        <is>
          <t>United States</t>
        </is>
      </c>
      <c r="F5093" t="inlineStr">
        <is>
          <t>USA</t>
        </is>
      </c>
      <c r="G5093" t="inlineStr">
        <is>
          <t>Eliquis</t>
        </is>
      </c>
      <c r="H5093" t="inlineStr">
        <is>
          <t>Hospital</t>
        </is>
      </c>
      <c r="I5093" t="inlineStr">
        <is>
          <t>Private insurer</t>
        </is>
      </c>
      <c r="J5093" t="inlineStr">
        <is>
          <t>Liam O'Brien</t>
        </is>
      </c>
      <c r="K5093" s="70" t="n">
        <v>2161</v>
      </c>
      <c r="L5093" s="71" t="n">
        <v>652.35</v>
      </c>
      <c r="M5093" s="71" t="n">
        <v>1409728.35</v>
      </c>
      <c r="N5093" s="71" t="n">
        <v>422918.51</v>
      </c>
      <c r="O5093" s="71" t="n">
        <v>986809.84</v>
      </c>
      <c r="P5093" s="71" t="n">
        <v>161959.84</v>
      </c>
      <c r="Q5093" s="71" t="n">
        <v>824850</v>
      </c>
      <c r="R5093" t="inlineStr">
        <is>
          <t>Cardiology</t>
        </is>
      </c>
      <c r="S5093" s="70" t="n">
        <v>1496</v>
      </c>
      <c r="T5093" s="71" t="n">
        <v>277932.67</v>
      </c>
      <c r="U5093" t="inlineStr">
        <is>
          <t>High</t>
        </is>
      </c>
      <c r="V5093">
        <f>IF(AND(OR(Dashboard!$C$6="All",E5093=Dashboard!$C$6),OR(Dashboard!$F$6="All",G5093=Dashboard!$F$6),OR(Dashboard!$I$6="All",H5093=Dashboard!$I$6)),1,0)</f>
        <v/>
      </c>
    </row>
    <row r="5094">
      <c r="A5094" t="inlineStr">
        <is>
          <t>PF105085</t>
        </is>
      </c>
      <c r="B5094" s="68" t="n">
        <v>46271</v>
      </c>
      <c r="C5094" s="69" t="n">
        <v>2026</v>
      </c>
      <c r="D5094" t="inlineStr">
        <is>
          <t>Sep</t>
        </is>
      </c>
      <c r="E5094" t="inlineStr">
        <is>
          <t>International developed</t>
        </is>
      </c>
      <c r="F5094" t="inlineStr">
        <is>
          <t>Canada</t>
        </is>
      </c>
      <c r="G5094" t="inlineStr">
        <is>
          <t>Comirnaty</t>
        </is>
      </c>
      <c r="H5094" t="inlineStr">
        <is>
          <t>Retail pharmacy</t>
        </is>
      </c>
      <c r="I5094" t="inlineStr">
        <is>
          <t>Self-pay</t>
        </is>
      </c>
      <c r="J5094" t="inlineStr">
        <is>
          <t>Sara Rossi</t>
        </is>
      </c>
      <c r="K5094" s="70" t="n">
        <v>2245</v>
      </c>
      <c r="L5094" s="71" t="n">
        <v>86.16</v>
      </c>
      <c r="M5094" s="71" t="n">
        <v>193429.2</v>
      </c>
      <c r="N5094" s="71" t="n">
        <v>19342.92</v>
      </c>
      <c r="O5094" s="71" t="n">
        <v>174086.28</v>
      </c>
      <c r="P5094" s="71" t="n">
        <v>88408.83</v>
      </c>
      <c r="Q5094" s="71" t="n">
        <v>85677.45</v>
      </c>
      <c r="R5094" t="inlineStr">
        <is>
          <t>Vaccines</t>
        </is>
      </c>
      <c r="S5094" s="70" t="n">
        <v>1759</v>
      </c>
      <c r="T5094" s="71" t="n">
        <v>40629.27</v>
      </c>
      <c r="U5094" t="inlineStr">
        <is>
          <t>Low</t>
        </is>
      </c>
      <c r="V5094">
        <f>IF(AND(OR(Dashboard!$C$6="All",E5094=Dashboard!$C$6),OR(Dashboard!$F$6="All",G5094=Dashboard!$F$6),OR(Dashboard!$I$6="All",H5094=Dashboard!$I$6)),1,0)</f>
        <v/>
      </c>
    </row>
    <row r="5095">
      <c r="A5095" t="inlineStr">
        <is>
          <t>PF105086</t>
        </is>
      </c>
      <c r="B5095" s="68" t="n">
        <v>46271</v>
      </c>
      <c r="C5095" s="69" t="n">
        <v>2026</v>
      </c>
      <c r="D5095" t="inlineStr">
        <is>
          <t>Sep</t>
        </is>
      </c>
      <c r="E5095" t="inlineStr">
        <is>
          <t>Emerging markets</t>
        </is>
      </c>
      <c r="F5095" t="inlineStr">
        <is>
          <t>India</t>
        </is>
      </c>
      <c r="G5095" t="inlineStr">
        <is>
          <t>Abrysvo</t>
        </is>
      </c>
      <c r="H5095" t="inlineStr">
        <is>
          <t>Retail pharmacy</t>
        </is>
      </c>
      <c r="I5095" t="inlineStr">
        <is>
          <t>Public payer</t>
        </is>
      </c>
      <c r="J5095" t="inlineStr">
        <is>
          <t>Mei Lin</t>
        </is>
      </c>
      <c r="K5095" s="70" t="n">
        <v>2023</v>
      </c>
      <c r="L5095" s="71" t="n">
        <v>337.87</v>
      </c>
      <c r="M5095" s="71" t="n">
        <v>683511.01</v>
      </c>
      <c r="N5095" s="71" t="n">
        <v>34175.55</v>
      </c>
      <c r="O5095" s="71" t="n">
        <v>649335.46</v>
      </c>
      <c r="P5095" s="71" t="n">
        <v>176085.9</v>
      </c>
      <c r="Q5095" s="71" t="n">
        <v>473249.56</v>
      </c>
      <c r="R5095" t="inlineStr">
        <is>
          <t>Vaccines</t>
        </is>
      </c>
      <c r="S5095" s="70" t="n">
        <v>1614</v>
      </c>
      <c r="T5095" s="71" t="n">
        <v>120908.57</v>
      </c>
      <c r="U5095" t="inlineStr">
        <is>
          <t>Low</t>
        </is>
      </c>
      <c r="V5095">
        <f>IF(AND(OR(Dashboard!$C$6="All",E5095=Dashboard!$C$6),OR(Dashboard!$F$6="All",G5095=Dashboard!$F$6),OR(Dashboard!$I$6="All",H5095=Dashboard!$I$6)),1,0)</f>
        <v/>
      </c>
    </row>
    <row r="5096">
      <c r="A5096" t="inlineStr">
        <is>
          <t>PF105087</t>
        </is>
      </c>
      <c r="B5096" s="68" t="n">
        <v>46271</v>
      </c>
      <c r="C5096" s="69" t="n">
        <v>2026</v>
      </c>
      <c r="D5096" t="inlineStr">
        <is>
          <t>Sep</t>
        </is>
      </c>
      <c r="E5096" t="inlineStr">
        <is>
          <t>International developed</t>
        </is>
      </c>
      <c r="F5096" t="inlineStr">
        <is>
          <t>Japan</t>
        </is>
      </c>
      <c r="G5096" t="inlineStr">
        <is>
          <t>Ibrance</t>
        </is>
      </c>
      <c r="H5096" t="inlineStr">
        <is>
          <t>Retail pharmacy</t>
        </is>
      </c>
      <c r="I5096" t="inlineStr">
        <is>
          <t>Private insurer</t>
        </is>
      </c>
      <c r="J5096" t="inlineStr">
        <is>
          <t>Ruhi Shaikh</t>
        </is>
      </c>
      <c r="K5096" s="70" t="n">
        <v>1588</v>
      </c>
      <c r="L5096" s="71" t="n">
        <v>3066.55</v>
      </c>
      <c r="M5096" s="71" t="n">
        <v>4869681.4</v>
      </c>
      <c r="N5096" s="71" t="n">
        <v>243484.07</v>
      </c>
      <c r="O5096" s="71" t="n">
        <v>4626197.33</v>
      </c>
      <c r="P5096" s="71" t="n">
        <v>667230.35</v>
      </c>
      <c r="Q5096" s="71" t="n">
        <v>3958966.98</v>
      </c>
      <c r="R5096" t="inlineStr">
        <is>
          <t>Oncology</t>
        </is>
      </c>
      <c r="S5096" s="70" t="n">
        <v>1483</v>
      </c>
      <c r="T5096" s="71" t="n">
        <v>602394.35</v>
      </c>
      <c r="U5096" t="inlineStr">
        <is>
          <t>High</t>
        </is>
      </c>
      <c r="V5096">
        <f>IF(AND(OR(Dashboard!$C$6="All",E5096=Dashboard!$C$6),OR(Dashboard!$F$6="All",G5096=Dashboard!$F$6),OR(Dashboard!$I$6="All",H5096=Dashboard!$I$6)),1,0)</f>
        <v/>
      </c>
    </row>
    <row r="5097">
      <c r="A5097" t="inlineStr">
        <is>
          <t>PF105088</t>
        </is>
      </c>
      <c r="B5097" s="68" t="n">
        <v>46271</v>
      </c>
      <c r="C5097" s="69" t="n">
        <v>2026</v>
      </c>
      <c r="D5097" t="inlineStr">
        <is>
          <t>Sep</t>
        </is>
      </c>
      <c r="E5097" t="inlineStr">
        <is>
          <t>United States</t>
        </is>
      </c>
      <c r="F5097" t="inlineStr">
        <is>
          <t>USA</t>
        </is>
      </c>
      <c r="G5097" t="inlineStr">
        <is>
          <t>Paxlovid</t>
        </is>
      </c>
      <c r="H5097" t="inlineStr">
        <is>
          <t>Government / tender</t>
        </is>
      </c>
      <c r="I5097" t="inlineStr">
        <is>
          <t>Public payer</t>
        </is>
      </c>
      <c r="J5097" t="inlineStr">
        <is>
          <t>Mei Lin</t>
        </is>
      </c>
      <c r="K5097" s="70" t="n">
        <v>627</v>
      </c>
      <c r="L5097" s="71" t="n">
        <v>1353.06</v>
      </c>
      <c r="M5097" s="71" t="n">
        <v>848368.62</v>
      </c>
      <c r="N5097" s="71" t="n">
        <v>296929.02</v>
      </c>
      <c r="O5097" s="71" t="n">
        <v>551439.6</v>
      </c>
      <c r="P5097" s="71" t="n">
        <v>168631.18</v>
      </c>
      <c r="Q5097" s="71" t="n">
        <v>382808.42</v>
      </c>
      <c r="R5097" t="inlineStr">
        <is>
          <t>Antiviral</t>
        </is>
      </c>
      <c r="S5097" s="70" t="n">
        <v>452</v>
      </c>
      <c r="T5097" s="71" t="n">
        <v>137126.15</v>
      </c>
      <c r="U5097" t="inlineStr">
        <is>
          <t>Low</t>
        </is>
      </c>
      <c r="V5097">
        <f>IF(AND(OR(Dashboard!$C$6="All",E5097=Dashboard!$C$6),OR(Dashboard!$F$6="All",G5097=Dashboard!$F$6),OR(Dashboard!$I$6="All",H5097=Dashboard!$I$6)),1,0)</f>
        <v/>
      </c>
    </row>
    <row r="5098">
      <c r="A5098" t="inlineStr">
        <is>
          <t>PF105089</t>
        </is>
      </c>
      <c r="B5098" s="68" t="n">
        <v>46271</v>
      </c>
      <c r="C5098" s="69" t="n">
        <v>2026</v>
      </c>
      <c r="D5098" t="inlineStr">
        <is>
          <t>Sep</t>
        </is>
      </c>
      <c r="E5098" t="inlineStr">
        <is>
          <t>Emerging markets</t>
        </is>
      </c>
      <c r="F5098" t="inlineStr">
        <is>
          <t>Brazil</t>
        </is>
      </c>
      <c r="G5098" t="inlineStr">
        <is>
          <t>Comirnaty</t>
        </is>
      </c>
      <c r="H5098" t="inlineStr">
        <is>
          <t>Government / tender</t>
        </is>
      </c>
      <c r="I5098" t="inlineStr">
        <is>
          <t>Private insurer</t>
        </is>
      </c>
      <c r="J5098" t="inlineStr">
        <is>
          <t>Shraddha Kulkarni</t>
        </is>
      </c>
      <c r="K5098" s="70" t="n">
        <v>1060</v>
      </c>
      <c r="L5098" s="71" t="n">
        <v>83.06999999999999</v>
      </c>
      <c r="M5098" s="71" t="n">
        <v>88054.2</v>
      </c>
      <c r="N5098" s="71" t="n">
        <v>22013.55</v>
      </c>
      <c r="O5098" s="71" t="n">
        <v>66040.64999999999</v>
      </c>
      <c r="P5098" s="71" t="n">
        <v>40324.11</v>
      </c>
      <c r="Q5098" s="71" t="n">
        <v>25716.54</v>
      </c>
      <c r="R5098" t="inlineStr">
        <is>
          <t>Vaccines</t>
        </is>
      </c>
      <c r="S5098" s="70" t="n">
        <v>944</v>
      </c>
      <c r="T5098" s="71" t="n">
        <v>17431.28</v>
      </c>
      <c r="U5098" t="inlineStr">
        <is>
          <t>Low</t>
        </is>
      </c>
      <c r="V5098">
        <f>IF(AND(OR(Dashboard!$C$6="All",E5098=Dashboard!$C$6),OR(Dashboard!$F$6="All",G5098=Dashboard!$F$6),OR(Dashboard!$I$6="All",H5098=Dashboard!$I$6)),1,0)</f>
        <v/>
      </c>
    </row>
    <row r="5099">
      <c r="A5099" t="inlineStr">
        <is>
          <t>PF105090</t>
        </is>
      </c>
      <c r="B5099" s="68" t="n">
        <v>46272</v>
      </c>
      <c r="C5099" s="69" t="n">
        <v>2026</v>
      </c>
      <c r="D5099" t="inlineStr">
        <is>
          <t>Sep</t>
        </is>
      </c>
      <c r="E5099" t="inlineStr">
        <is>
          <t>Emerging markets</t>
        </is>
      </c>
      <c r="F5099" t="inlineStr">
        <is>
          <t>Brazil</t>
        </is>
      </c>
      <c r="G5099" t="inlineStr">
        <is>
          <t>Vyndaqel</t>
        </is>
      </c>
      <c r="H5099" t="inlineStr">
        <is>
          <t>Retail pharmacy</t>
        </is>
      </c>
      <c r="I5099" t="inlineStr">
        <is>
          <t>Public payer</t>
        </is>
      </c>
      <c r="J5099" t="inlineStr">
        <is>
          <t>Fatima Al-Saud</t>
        </is>
      </c>
      <c r="K5099" s="70" t="n">
        <v>68</v>
      </c>
      <c r="L5099" s="71" t="n">
        <v>6304.66</v>
      </c>
      <c r="M5099" s="71" t="n">
        <v>428716.88</v>
      </c>
      <c r="N5099" s="71" t="n">
        <v>107179.22</v>
      </c>
      <c r="O5099" s="71" t="n">
        <v>321537.66</v>
      </c>
      <c r="P5099" s="71" t="n">
        <v>43341.45</v>
      </c>
      <c r="Q5099" s="71" t="n">
        <v>278196.21</v>
      </c>
      <c r="R5099" t="inlineStr">
        <is>
          <t>Rare disease</t>
        </is>
      </c>
      <c r="S5099" s="70" t="n">
        <v>43</v>
      </c>
      <c r="T5099" s="71" t="n">
        <v>48880.18</v>
      </c>
      <c r="U5099" t="inlineStr">
        <is>
          <t>Medium</t>
        </is>
      </c>
      <c r="V5099">
        <f>IF(AND(OR(Dashboard!$C$6="All",E5099=Dashboard!$C$6),OR(Dashboard!$F$6="All",G5099=Dashboard!$F$6),OR(Dashboard!$I$6="All",H5099=Dashboard!$I$6)),1,0)</f>
        <v/>
      </c>
    </row>
    <row r="5100">
      <c r="A5100" t="inlineStr">
        <is>
          <t>PF105091</t>
        </is>
      </c>
      <c r="B5100" s="68" t="n">
        <v>46272</v>
      </c>
      <c r="C5100" s="69" t="n">
        <v>2026</v>
      </c>
      <c r="D5100" t="inlineStr">
        <is>
          <t>Sep</t>
        </is>
      </c>
      <c r="E5100" t="inlineStr">
        <is>
          <t>United States</t>
        </is>
      </c>
      <c r="F5100" t="inlineStr">
        <is>
          <t>USA</t>
        </is>
      </c>
      <c r="G5100" t="inlineStr">
        <is>
          <t>Xeljanz</t>
        </is>
      </c>
      <c r="H5100" t="inlineStr">
        <is>
          <t>Retail pharmacy</t>
        </is>
      </c>
      <c r="I5100" t="inlineStr">
        <is>
          <t>Private insurer</t>
        </is>
      </c>
      <c r="J5100" t="inlineStr">
        <is>
          <t>Fatima Al-Saud</t>
        </is>
      </c>
      <c r="K5100" s="70" t="n">
        <v>227</v>
      </c>
      <c r="L5100" s="71" t="n">
        <v>2091.57</v>
      </c>
      <c r="M5100" s="71" t="n">
        <v>474786.39</v>
      </c>
      <c r="N5100" s="71" t="n">
        <v>118696.6</v>
      </c>
      <c r="O5100" s="71" t="n">
        <v>356089.79</v>
      </c>
      <c r="P5100" s="71" t="n">
        <v>58262.8</v>
      </c>
      <c r="Q5100" s="71" t="n">
        <v>297826.99</v>
      </c>
      <c r="R5100" t="inlineStr">
        <is>
          <t>Inflammation</t>
        </is>
      </c>
      <c r="S5100" s="70" t="n">
        <v>176</v>
      </c>
      <c r="T5100" s="71" t="n">
        <v>85512.49000000001</v>
      </c>
      <c r="U5100" t="inlineStr">
        <is>
          <t>High</t>
        </is>
      </c>
      <c r="V5100">
        <f>IF(AND(OR(Dashboard!$C$6="All",E5100=Dashboard!$C$6),OR(Dashboard!$F$6="All",G5100=Dashboard!$F$6),OR(Dashboard!$I$6="All",H5100=Dashboard!$I$6)),1,0)</f>
        <v/>
      </c>
    </row>
    <row r="5101">
      <c r="A5101" t="inlineStr">
        <is>
          <t>PF105092</t>
        </is>
      </c>
      <c r="B5101" s="68" t="n">
        <v>46272</v>
      </c>
      <c r="C5101" s="69" t="n">
        <v>2026</v>
      </c>
      <c r="D5101" t="inlineStr">
        <is>
          <t>Sep</t>
        </is>
      </c>
      <c r="E5101" t="inlineStr">
        <is>
          <t>United States</t>
        </is>
      </c>
      <c r="F5101" t="inlineStr">
        <is>
          <t>USA</t>
        </is>
      </c>
      <c r="G5101" t="inlineStr">
        <is>
          <t>Prevnar 20</t>
        </is>
      </c>
      <c r="H5101" t="inlineStr">
        <is>
          <t>Government / tender</t>
        </is>
      </c>
      <c r="I5101" t="inlineStr">
        <is>
          <t>Private insurer</t>
        </is>
      </c>
      <c r="J5101" t="inlineStr">
        <is>
          <t>Ana Costa</t>
        </is>
      </c>
      <c r="K5101" s="70" t="n">
        <v>1166</v>
      </c>
      <c r="L5101" s="71" t="n">
        <v>384.16</v>
      </c>
      <c r="M5101" s="71" t="n">
        <v>447930.56</v>
      </c>
      <c r="N5101" s="71" t="n">
        <v>156775.7</v>
      </c>
      <c r="O5101" s="71" t="n">
        <v>291154.86</v>
      </c>
      <c r="P5101" s="71" t="n">
        <v>81926.25</v>
      </c>
      <c r="Q5101" s="71" t="n">
        <v>209228.61</v>
      </c>
      <c r="R5101" t="inlineStr">
        <is>
          <t>Vaccines</t>
        </is>
      </c>
      <c r="S5101" s="70" t="n">
        <v>877</v>
      </c>
      <c r="T5101" s="71" t="n">
        <v>60209.4</v>
      </c>
      <c r="U5101" t="inlineStr">
        <is>
          <t>Low</t>
        </is>
      </c>
      <c r="V5101">
        <f>IF(AND(OR(Dashboard!$C$6="All",E5101=Dashboard!$C$6),OR(Dashboard!$F$6="All",G5101=Dashboard!$F$6),OR(Dashboard!$I$6="All",H5101=Dashboard!$I$6)),1,0)</f>
        <v/>
      </c>
    </row>
    <row r="5102">
      <c r="A5102" t="inlineStr">
        <is>
          <t>PF105093</t>
        </is>
      </c>
      <c r="B5102" s="68" t="n">
        <v>46272</v>
      </c>
      <c r="C5102" s="69" t="n">
        <v>2026</v>
      </c>
      <c r="D5102" t="inlineStr">
        <is>
          <t>Sep</t>
        </is>
      </c>
      <c r="E5102" t="inlineStr">
        <is>
          <t>United States</t>
        </is>
      </c>
      <c r="F5102" t="inlineStr">
        <is>
          <t>USA</t>
        </is>
      </c>
      <c r="G5102" t="inlineStr">
        <is>
          <t>Comirnaty</t>
        </is>
      </c>
      <c r="H5102" t="inlineStr">
        <is>
          <t>Retail pharmacy</t>
        </is>
      </c>
      <c r="I5102" t="inlineStr">
        <is>
          <t>Public payer</t>
        </is>
      </c>
      <c r="J5102" t="inlineStr">
        <is>
          <t>Ana Costa</t>
        </is>
      </c>
      <c r="K5102" s="70" t="n">
        <v>915</v>
      </c>
      <c r="L5102" s="71" t="n">
        <v>152.99</v>
      </c>
      <c r="M5102" s="71" t="n">
        <v>139985.85</v>
      </c>
      <c r="N5102" s="71" t="n">
        <v>34996.46</v>
      </c>
      <c r="O5102" s="71" t="n">
        <v>104989.39</v>
      </c>
      <c r="P5102" s="71" t="n">
        <v>35151.1</v>
      </c>
      <c r="Q5102" s="71" t="n">
        <v>69838.28999999999</v>
      </c>
      <c r="R5102" t="inlineStr">
        <is>
          <t>Vaccines</t>
        </is>
      </c>
      <c r="S5102" s="70" t="n">
        <v>730</v>
      </c>
      <c r="T5102" s="71" t="n">
        <v>30808.1</v>
      </c>
      <c r="U5102" t="inlineStr">
        <is>
          <t>Low</t>
        </is>
      </c>
      <c r="V5102">
        <f>IF(AND(OR(Dashboard!$C$6="All",E5102=Dashboard!$C$6),OR(Dashboard!$F$6="All",G5102=Dashboard!$F$6),OR(Dashboard!$I$6="All",H5102=Dashboard!$I$6)),1,0)</f>
        <v/>
      </c>
    </row>
    <row r="5103">
      <c r="A5103" t="inlineStr">
        <is>
          <t>PF105094</t>
        </is>
      </c>
      <c r="B5103" s="68" t="n">
        <v>46272</v>
      </c>
      <c r="C5103" s="69" t="n">
        <v>2026</v>
      </c>
      <c r="D5103" t="inlineStr">
        <is>
          <t>Sep</t>
        </is>
      </c>
      <c r="E5103" t="inlineStr">
        <is>
          <t>United States</t>
        </is>
      </c>
      <c r="F5103" t="inlineStr">
        <is>
          <t>USA</t>
        </is>
      </c>
      <c r="G5103" t="inlineStr">
        <is>
          <t>Eliquis</t>
        </is>
      </c>
      <c r="H5103" t="inlineStr">
        <is>
          <t>Hospital</t>
        </is>
      </c>
      <c r="I5103" t="inlineStr">
        <is>
          <t>Private insurer</t>
        </is>
      </c>
      <c r="J5103" t="inlineStr">
        <is>
          <t>Wei Chen</t>
        </is>
      </c>
      <c r="K5103" s="70" t="n">
        <v>602</v>
      </c>
      <c r="L5103" s="71" t="n">
        <v>708.64</v>
      </c>
      <c r="M5103" s="71" t="n">
        <v>426601.28</v>
      </c>
      <c r="N5103" s="71" t="n">
        <v>149310.45</v>
      </c>
      <c r="O5103" s="71" t="n">
        <v>277290.83</v>
      </c>
      <c r="P5103" s="71" t="n">
        <v>47168.6</v>
      </c>
      <c r="Q5103" s="71" t="n">
        <v>230122.23</v>
      </c>
      <c r="R5103" t="inlineStr">
        <is>
          <t>Cardiology</t>
        </is>
      </c>
      <c r="S5103" s="70" t="n">
        <v>381</v>
      </c>
      <c r="T5103" s="71" t="n">
        <v>50621.18</v>
      </c>
      <c r="U5103" t="inlineStr">
        <is>
          <t>High</t>
        </is>
      </c>
      <c r="V5103">
        <f>IF(AND(OR(Dashboard!$C$6="All",E5103=Dashboard!$C$6),OR(Dashboard!$F$6="All",G5103=Dashboard!$F$6),OR(Dashboard!$I$6="All",H5103=Dashboard!$I$6)),1,0)</f>
        <v/>
      </c>
    </row>
    <row r="5104">
      <c r="A5104" t="inlineStr">
        <is>
          <t>PF105095</t>
        </is>
      </c>
      <c r="B5104" s="68" t="n">
        <v>46272</v>
      </c>
      <c r="C5104" s="69" t="n">
        <v>2026</v>
      </c>
      <c r="D5104" t="inlineStr">
        <is>
          <t>Sep</t>
        </is>
      </c>
      <c r="E5104" t="inlineStr">
        <is>
          <t>International developed</t>
        </is>
      </c>
      <c r="F5104" t="inlineStr">
        <is>
          <t>Canada</t>
        </is>
      </c>
      <c r="G5104" t="inlineStr">
        <is>
          <t>Comirnaty</t>
        </is>
      </c>
      <c r="H5104" t="inlineStr">
        <is>
          <t>Government / tender</t>
        </is>
      </c>
      <c r="I5104" t="inlineStr">
        <is>
          <t>Public payer</t>
        </is>
      </c>
      <c r="J5104" t="inlineStr">
        <is>
          <t>Zoya Ahmed</t>
        </is>
      </c>
      <c r="K5104" s="70" t="n">
        <v>339</v>
      </c>
      <c r="L5104" s="71" t="n">
        <v>83.37</v>
      </c>
      <c r="M5104" s="71" t="n">
        <v>28262.43</v>
      </c>
      <c r="N5104" s="71" t="n">
        <v>2826.24</v>
      </c>
      <c r="O5104" s="71" t="n">
        <v>25436.19</v>
      </c>
      <c r="P5104" s="71" t="n">
        <v>13556.71</v>
      </c>
      <c r="Q5104" s="71" t="n">
        <v>11879.48</v>
      </c>
      <c r="R5104" t="inlineStr">
        <is>
          <t>Vaccines</t>
        </is>
      </c>
      <c r="S5104" s="70" t="n">
        <v>246</v>
      </c>
      <c r="T5104" s="71" t="n">
        <v>6368.12</v>
      </c>
      <c r="U5104" t="inlineStr">
        <is>
          <t>Low</t>
        </is>
      </c>
      <c r="V5104">
        <f>IF(AND(OR(Dashboard!$C$6="All",E5104=Dashboard!$C$6),OR(Dashboard!$F$6="All",G5104=Dashboard!$F$6),OR(Dashboard!$I$6="All",H5104=Dashboard!$I$6)),1,0)</f>
        <v/>
      </c>
    </row>
    <row r="5105">
      <c r="A5105" t="inlineStr">
        <is>
          <t>PF105096</t>
        </is>
      </c>
      <c r="B5105" s="68" t="n">
        <v>46272</v>
      </c>
      <c r="C5105" s="69" t="n">
        <v>2026</v>
      </c>
      <c r="D5105" t="inlineStr">
        <is>
          <t>Sep</t>
        </is>
      </c>
      <c r="E5105" t="inlineStr">
        <is>
          <t>Emerging markets</t>
        </is>
      </c>
      <c r="F5105" t="inlineStr">
        <is>
          <t>Brazil</t>
        </is>
      </c>
      <c r="G5105" t="inlineStr">
        <is>
          <t>Abrysvo</t>
        </is>
      </c>
      <c r="H5105" t="inlineStr">
        <is>
          <t>Retail pharmacy</t>
        </is>
      </c>
      <c r="I5105" t="inlineStr">
        <is>
          <t>Private insurer</t>
        </is>
      </c>
      <c r="J5105" t="inlineStr">
        <is>
          <t>Wei Chen</t>
        </is>
      </c>
      <c r="K5105" s="70" t="n">
        <v>2556</v>
      </c>
      <c r="L5105" s="71" t="n">
        <v>289.01</v>
      </c>
      <c r="M5105" s="71" t="n">
        <v>738709.5600000001</v>
      </c>
      <c r="N5105" s="71" t="n">
        <v>110806.43</v>
      </c>
      <c r="O5105" s="71" t="n">
        <v>627903.13</v>
      </c>
      <c r="P5105" s="71" t="n">
        <v>214819.19</v>
      </c>
      <c r="Q5105" s="71" t="n">
        <v>413083.94</v>
      </c>
      <c r="R5105" t="inlineStr">
        <is>
          <t>Vaccines</t>
        </is>
      </c>
      <c r="S5105" s="70" t="n">
        <v>2043</v>
      </c>
      <c r="T5105" s="71" t="n">
        <v>101542.49</v>
      </c>
      <c r="U5105" t="inlineStr">
        <is>
          <t>Low</t>
        </is>
      </c>
      <c r="V5105">
        <f>IF(AND(OR(Dashboard!$C$6="All",E5105=Dashboard!$C$6),OR(Dashboard!$F$6="All",G5105=Dashboard!$F$6),OR(Dashboard!$I$6="All",H5105=Dashboard!$I$6)),1,0)</f>
        <v/>
      </c>
    </row>
    <row r="5106">
      <c r="A5106" t="inlineStr">
        <is>
          <t>PF105097</t>
        </is>
      </c>
      <c r="B5106" s="68" t="n">
        <v>46272</v>
      </c>
      <c r="C5106" s="69" t="n">
        <v>2026</v>
      </c>
      <c r="D5106" t="inlineStr">
        <is>
          <t>Sep</t>
        </is>
      </c>
      <c r="E5106" t="inlineStr">
        <is>
          <t>International developed</t>
        </is>
      </c>
      <c r="F5106" t="inlineStr">
        <is>
          <t>Canada</t>
        </is>
      </c>
      <c r="G5106" t="inlineStr">
        <is>
          <t>Prevnar 20</t>
        </is>
      </c>
      <c r="H5106" t="inlineStr">
        <is>
          <t>Retail pharmacy</t>
        </is>
      </c>
      <c r="I5106" t="inlineStr">
        <is>
          <t>Private insurer</t>
        </is>
      </c>
      <c r="J5106" t="inlineStr">
        <is>
          <t>Ravindra Patil</t>
        </is>
      </c>
      <c r="K5106" s="70" t="n">
        <v>979</v>
      </c>
      <c r="L5106" s="71" t="n">
        <v>226.14</v>
      </c>
      <c r="M5106" s="71" t="n">
        <v>221391.06</v>
      </c>
      <c r="N5106" s="71" t="n">
        <v>33208.66</v>
      </c>
      <c r="O5106" s="71" t="n">
        <v>188182.4</v>
      </c>
      <c r="P5106" s="71" t="n">
        <v>69984.53999999999</v>
      </c>
      <c r="Q5106" s="71" t="n">
        <v>118197.86</v>
      </c>
      <c r="R5106" t="inlineStr">
        <is>
          <t>Vaccines</t>
        </is>
      </c>
      <c r="S5106" s="70" t="n">
        <v>866</v>
      </c>
      <c r="T5106" s="71" t="n">
        <v>37874.87</v>
      </c>
      <c r="U5106" t="inlineStr">
        <is>
          <t>Low</t>
        </is>
      </c>
      <c r="V5106">
        <f>IF(AND(OR(Dashboard!$C$6="All",E5106=Dashboard!$C$6),OR(Dashboard!$F$6="All",G5106=Dashboard!$F$6),OR(Dashboard!$I$6="All",H5106=Dashboard!$I$6)),1,0)</f>
        <v/>
      </c>
    </row>
    <row r="5107">
      <c r="A5107" t="inlineStr">
        <is>
          <t>PF105098</t>
        </is>
      </c>
      <c r="B5107" s="68" t="n">
        <v>46273</v>
      </c>
      <c r="C5107" s="69" t="n">
        <v>2026</v>
      </c>
      <c r="D5107" t="inlineStr">
        <is>
          <t>Sep</t>
        </is>
      </c>
      <c r="E5107" t="inlineStr">
        <is>
          <t>Europe</t>
        </is>
      </c>
      <c r="F5107" t="inlineStr">
        <is>
          <t>Italy</t>
        </is>
      </c>
      <c r="G5107" t="inlineStr">
        <is>
          <t>Prevnar 20</t>
        </is>
      </c>
      <c r="H5107" t="inlineStr">
        <is>
          <t>Retail pharmacy</t>
        </is>
      </c>
      <c r="I5107" t="inlineStr">
        <is>
          <t>Self-pay</t>
        </is>
      </c>
      <c r="J5107" t="inlineStr">
        <is>
          <t>Wei Chen</t>
        </is>
      </c>
      <c r="K5107" s="70" t="n">
        <v>308</v>
      </c>
      <c r="L5107" s="71" t="n">
        <v>213.32</v>
      </c>
      <c r="M5107" s="71" t="n">
        <v>65702.56</v>
      </c>
      <c r="N5107" s="71" t="n">
        <v>13140.51</v>
      </c>
      <c r="O5107" s="71" t="n">
        <v>52562.05</v>
      </c>
      <c r="P5107" s="71" t="n">
        <v>20849.56</v>
      </c>
      <c r="Q5107" s="71" t="n">
        <v>31712.49</v>
      </c>
      <c r="R5107" t="inlineStr">
        <is>
          <t>Vaccines</t>
        </is>
      </c>
      <c r="S5107" s="70" t="n">
        <v>217</v>
      </c>
      <c r="T5107" s="71" t="n">
        <v>11155.79</v>
      </c>
      <c r="U5107" t="inlineStr">
        <is>
          <t>Low</t>
        </is>
      </c>
      <c r="V5107">
        <f>IF(AND(OR(Dashboard!$C$6="All",E5107=Dashboard!$C$6),OR(Dashboard!$F$6="All",G5107=Dashboard!$F$6),OR(Dashboard!$I$6="All",H5107=Dashboard!$I$6)),1,0)</f>
        <v/>
      </c>
    </row>
    <row r="5108">
      <c r="A5108" t="inlineStr">
        <is>
          <t>PF105099</t>
        </is>
      </c>
      <c r="B5108" s="68" t="n">
        <v>46273</v>
      </c>
      <c r="C5108" s="69" t="n">
        <v>2026</v>
      </c>
      <c r="D5108" t="inlineStr">
        <is>
          <t>Sep</t>
        </is>
      </c>
      <c r="E5108" t="inlineStr">
        <is>
          <t>Europe</t>
        </is>
      </c>
      <c r="F5108" t="inlineStr">
        <is>
          <t>Spain</t>
        </is>
      </c>
      <c r="G5108" t="inlineStr">
        <is>
          <t>Eliquis</t>
        </is>
      </c>
      <c r="H5108" t="inlineStr">
        <is>
          <t>Retail pharmacy</t>
        </is>
      </c>
      <c r="I5108" t="inlineStr">
        <is>
          <t>Private insurer</t>
        </is>
      </c>
      <c r="J5108" t="inlineStr">
        <is>
          <t>Arjun Mehta</t>
        </is>
      </c>
      <c r="K5108" s="70" t="n">
        <v>1449</v>
      </c>
      <c r="L5108" s="71" t="n">
        <v>447.44</v>
      </c>
      <c r="M5108" s="71" t="n">
        <v>648340.5600000001</v>
      </c>
      <c r="N5108" s="71" t="n">
        <v>97251.08</v>
      </c>
      <c r="O5108" s="71" t="n">
        <v>551089.48</v>
      </c>
      <c r="P5108" s="71" t="n">
        <v>112411.2</v>
      </c>
      <c r="Q5108" s="71" t="n">
        <v>438678.28</v>
      </c>
      <c r="R5108" t="inlineStr">
        <is>
          <t>Cardiology</t>
        </is>
      </c>
      <c r="S5108" s="70" t="n">
        <v>1023</v>
      </c>
      <c r="T5108" s="71" t="n">
        <v>84134.94</v>
      </c>
      <c r="U5108" t="inlineStr">
        <is>
          <t>High</t>
        </is>
      </c>
      <c r="V5108">
        <f>IF(AND(OR(Dashboard!$C$6="All",E5108=Dashboard!$C$6),OR(Dashboard!$F$6="All",G5108=Dashboard!$F$6),OR(Dashboard!$I$6="All",H5108=Dashboard!$I$6)),1,0)</f>
        <v/>
      </c>
    </row>
    <row r="5109">
      <c r="A5109" t="inlineStr">
        <is>
          <t>PF105100</t>
        </is>
      </c>
      <c r="B5109" s="68" t="n">
        <v>46273</v>
      </c>
      <c r="C5109" s="69" t="n">
        <v>2026</v>
      </c>
      <c r="D5109" t="inlineStr">
        <is>
          <t>Sep</t>
        </is>
      </c>
      <c r="E5109" t="inlineStr">
        <is>
          <t>United States</t>
        </is>
      </c>
      <c r="F5109" t="inlineStr">
        <is>
          <t>USA</t>
        </is>
      </c>
      <c r="G5109" t="inlineStr">
        <is>
          <t>Ibrance</t>
        </is>
      </c>
      <c r="H5109" t="inlineStr">
        <is>
          <t>Government / tender</t>
        </is>
      </c>
      <c r="I5109" t="inlineStr">
        <is>
          <t>Self-pay</t>
        </is>
      </c>
      <c r="J5109" t="inlineStr">
        <is>
          <t>Liam O'Brien</t>
        </is>
      </c>
      <c r="K5109" s="70" t="n">
        <v>959</v>
      </c>
      <c r="L5109" s="71" t="n">
        <v>4335.16</v>
      </c>
      <c r="M5109" s="71" t="n">
        <v>4157418.44</v>
      </c>
      <c r="N5109" s="71" t="n">
        <v>1455096.45</v>
      </c>
      <c r="O5109" s="71" t="n">
        <v>2702321.99</v>
      </c>
      <c r="P5109" s="71" t="n">
        <v>413612.44</v>
      </c>
      <c r="Q5109" s="71" t="n">
        <v>2288709.55</v>
      </c>
      <c r="R5109" t="inlineStr">
        <is>
          <t>Oncology</t>
        </is>
      </c>
      <c r="S5109" s="70" t="n">
        <v>708</v>
      </c>
      <c r="T5109" s="71" t="n">
        <v>685531.99</v>
      </c>
      <c r="U5109" t="inlineStr">
        <is>
          <t>High</t>
        </is>
      </c>
      <c r="V5109">
        <f>IF(AND(OR(Dashboard!$C$6="All",E5109=Dashboard!$C$6),OR(Dashboard!$F$6="All",G5109=Dashboard!$F$6),OR(Dashboard!$I$6="All",H5109=Dashboard!$I$6)),1,0)</f>
        <v/>
      </c>
    </row>
    <row r="5110">
      <c r="A5110" t="inlineStr">
        <is>
          <t>PF105101</t>
        </is>
      </c>
      <c r="B5110" s="68" t="n">
        <v>46273</v>
      </c>
      <c r="C5110" s="69" t="n">
        <v>2026</v>
      </c>
      <c r="D5110" t="inlineStr">
        <is>
          <t>Sep</t>
        </is>
      </c>
      <c r="E5110" t="inlineStr">
        <is>
          <t>United States</t>
        </is>
      </c>
      <c r="F5110" t="inlineStr">
        <is>
          <t>USA</t>
        </is>
      </c>
      <c r="G5110" t="inlineStr">
        <is>
          <t>Vyndaqel</t>
        </is>
      </c>
      <c r="H5110" t="inlineStr">
        <is>
          <t>Retail pharmacy</t>
        </is>
      </c>
      <c r="I5110" t="inlineStr">
        <is>
          <t>Private insurer</t>
        </is>
      </c>
      <c r="J5110" t="inlineStr">
        <is>
          <t>Hiroshi Tanaka</t>
        </is>
      </c>
      <c r="K5110" s="70" t="n">
        <v>3070</v>
      </c>
      <c r="L5110" s="71" t="n">
        <v>9156.709999999999</v>
      </c>
      <c r="M5110" s="71" t="n">
        <v>28111099.7</v>
      </c>
      <c r="N5110" s="71" t="n">
        <v>5622219.94</v>
      </c>
      <c r="O5110" s="71" t="n">
        <v>22488879.76</v>
      </c>
      <c r="P5110" s="71" t="n">
        <v>1848432</v>
      </c>
      <c r="Q5110" s="71" t="n">
        <v>20640447.76</v>
      </c>
      <c r="R5110" t="inlineStr">
        <is>
          <t>Rare disease</t>
        </is>
      </c>
      <c r="S5110" s="70" t="n">
        <v>2807</v>
      </c>
      <c r="T5110" s="71" t="n">
        <v>3415782.55</v>
      </c>
      <c r="U5110" t="inlineStr">
        <is>
          <t>Medium</t>
        </is>
      </c>
      <c r="V5110">
        <f>IF(AND(OR(Dashboard!$C$6="All",E5110=Dashboard!$C$6),OR(Dashboard!$F$6="All",G5110=Dashboard!$F$6),OR(Dashboard!$I$6="All",H5110=Dashboard!$I$6)),1,0)</f>
        <v/>
      </c>
    </row>
    <row r="5111">
      <c r="A5111" t="inlineStr">
        <is>
          <t>PF105102</t>
        </is>
      </c>
      <c r="B5111" s="68" t="n">
        <v>46273</v>
      </c>
      <c r="C5111" s="69" t="n">
        <v>2026</v>
      </c>
      <c r="D5111" t="inlineStr">
        <is>
          <t>Sep</t>
        </is>
      </c>
      <c r="E5111" t="inlineStr">
        <is>
          <t>Europe</t>
        </is>
      </c>
      <c r="F5111" t="inlineStr">
        <is>
          <t>Germany</t>
        </is>
      </c>
      <c r="G5111" t="inlineStr">
        <is>
          <t>Prevnar 20</t>
        </is>
      </c>
      <c r="H5111" t="inlineStr">
        <is>
          <t>Retail pharmacy</t>
        </is>
      </c>
      <c r="I5111" t="inlineStr">
        <is>
          <t>Private insurer</t>
        </is>
      </c>
      <c r="J5111" t="inlineStr">
        <is>
          <t>Aisha Bello</t>
        </is>
      </c>
      <c r="K5111" s="70" t="n">
        <v>2379</v>
      </c>
      <c r="L5111" s="71" t="n">
        <v>240.99</v>
      </c>
      <c r="M5111" s="71" t="n">
        <v>573315.21</v>
      </c>
      <c r="N5111" s="71" t="n">
        <v>28665.76</v>
      </c>
      <c r="O5111" s="71" t="n">
        <v>544649.45</v>
      </c>
      <c r="P5111" s="71" t="n">
        <v>170152.63</v>
      </c>
      <c r="Q5111" s="71" t="n">
        <v>374496.82</v>
      </c>
      <c r="R5111" t="inlineStr">
        <is>
          <t>Vaccines</t>
        </is>
      </c>
      <c r="S5111" s="70" t="n">
        <v>2231</v>
      </c>
      <c r="T5111" s="71" t="n">
        <v>117227.95</v>
      </c>
      <c r="U5111" t="inlineStr">
        <is>
          <t>Low</t>
        </is>
      </c>
      <c r="V5111">
        <f>IF(AND(OR(Dashboard!$C$6="All",E5111=Dashboard!$C$6),OR(Dashboard!$F$6="All",G5111=Dashboard!$F$6),OR(Dashboard!$I$6="All",H5111=Dashboard!$I$6)),1,0)</f>
        <v/>
      </c>
    </row>
    <row r="5112">
      <c r="A5112" t="inlineStr">
        <is>
          <t>PF105103</t>
        </is>
      </c>
      <c r="B5112" s="68" t="n">
        <v>46273</v>
      </c>
      <c r="C5112" s="69" t="n">
        <v>2026</v>
      </c>
      <c r="D5112" t="inlineStr">
        <is>
          <t>Sep</t>
        </is>
      </c>
      <c r="E5112" t="inlineStr">
        <is>
          <t>United States</t>
        </is>
      </c>
      <c r="F5112" t="inlineStr">
        <is>
          <t>USA</t>
        </is>
      </c>
      <c r="G5112" t="inlineStr">
        <is>
          <t>Comirnaty</t>
        </is>
      </c>
      <c r="H5112" t="inlineStr">
        <is>
          <t>Government / tender</t>
        </is>
      </c>
      <c r="I5112" t="inlineStr">
        <is>
          <t>Public payer</t>
        </is>
      </c>
      <c r="J5112" t="inlineStr">
        <is>
          <t>Yuki Sato</t>
        </is>
      </c>
      <c r="K5112" s="70" t="n">
        <v>1226</v>
      </c>
      <c r="L5112" s="71" t="n">
        <v>153.33</v>
      </c>
      <c r="M5112" s="71" t="n">
        <v>187982.58</v>
      </c>
      <c r="N5112" s="71" t="n">
        <v>56394.77</v>
      </c>
      <c r="O5112" s="71" t="n">
        <v>131587.81</v>
      </c>
      <c r="P5112" s="71" t="n">
        <v>47492.97</v>
      </c>
      <c r="Q5112" s="71" t="n">
        <v>84094.84</v>
      </c>
      <c r="R5112" t="inlineStr">
        <is>
          <t>Vaccines</t>
        </is>
      </c>
      <c r="S5112" s="70" t="n">
        <v>1107</v>
      </c>
      <c r="T5112" s="71" t="n">
        <v>46252.24</v>
      </c>
      <c r="U5112" t="inlineStr">
        <is>
          <t>Low</t>
        </is>
      </c>
      <c r="V5112">
        <f>IF(AND(OR(Dashboard!$C$6="All",E5112=Dashboard!$C$6),OR(Dashboard!$F$6="All",G5112=Dashboard!$F$6),OR(Dashboard!$I$6="All",H5112=Dashboard!$I$6)),1,0)</f>
        <v/>
      </c>
    </row>
    <row r="5113">
      <c r="A5113" t="inlineStr">
        <is>
          <t>PF105104</t>
        </is>
      </c>
      <c r="B5113" s="68" t="n">
        <v>46273</v>
      </c>
      <c r="C5113" s="69" t="n">
        <v>2026</v>
      </c>
      <c r="D5113" t="inlineStr">
        <is>
          <t>Sep</t>
        </is>
      </c>
      <c r="E5113" t="inlineStr">
        <is>
          <t>Emerging markets</t>
        </is>
      </c>
      <c r="F5113" t="inlineStr">
        <is>
          <t>China</t>
        </is>
      </c>
      <c r="G5113" t="inlineStr">
        <is>
          <t>Ibrance</t>
        </is>
      </c>
      <c r="H5113" t="inlineStr">
        <is>
          <t>Government / tender</t>
        </is>
      </c>
      <c r="I5113" t="inlineStr">
        <is>
          <t>Self-pay</t>
        </is>
      </c>
      <c r="J5113" t="inlineStr">
        <is>
          <t>Shraddha Kulkarni</t>
        </is>
      </c>
      <c r="K5113" s="70" t="n">
        <v>2327</v>
      </c>
      <c r="L5113" s="71" t="n">
        <v>2736.64</v>
      </c>
      <c r="M5113" s="71" t="n">
        <v>6368161.28</v>
      </c>
      <c r="N5113" s="71" t="n">
        <v>636816.13</v>
      </c>
      <c r="O5113" s="71" t="n">
        <v>5731345.15</v>
      </c>
      <c r="P5113" s="71" t="n">
        <v>1026584.67</v>
      </c>
      <c r="Q5113" s="71" t="n">
        <v>4704760.48</v>
      </c>
      <c r="R5113" t="inlineStr">
        <is>
          <t>Oncology</t>
        </is>
      </c>
      <c r="S5113" s="70" t="n">
        <v>1877</v>
      </c>
      <c r="T5113" s="71" t="n">
        <v>999140.4300000001</v>
      </c>
      <c r="U5113" t="inlineStr">
        <is>
          <t>High</t>
        </is>
      </c>
      <c r="V5113">
        <f>IF(AND(OR(Dashboard!$C$6="All",E5113=Dashboard!$C$6),OR(Dashboard!$F$6="All",G5113=Dashboard!$F$6),OR(Dashboard!$I$6="All",H5113=Dashboard!$I$6)),1,0)</f>
        <v/>
      </c>
    </row>
    <row r="5114">
      <c r="A5114" t="inlineStr">
        <is>
          <t>PF105105</t>
        </is>
      </c>
      <c r="B5114" s="68" t="n">
        <v>46274</v>
      </c>
      <c r="C5114" s="69" t="n">
        <v>2026</v>
      </c>
      <c r="D5114" t="inlineStr">
        <is>
          <t>Sep</t>
        </is>
      </c>
      <c r="E5114" t="inlineStr">
        <is>
          <t>International developed</t>
        </is>
      </c>
      <c r="F5114" t="inlineStr">
        <is>
          <t>Japan</t>
        </is>
      </c>
      <c r="G5114" t="inlineStr">
        <is>
          <t>Prevnar 20</t>
        </is>
      </c>
      <c r="H5114" t="inlineStr">
        <is>
          <t>Government / tender</t>
        </is>
      </c>
      <c r="I5114" t="inlineStr">
        <is>
          <t>Public payer</t>
        </is>
      </c>
      <c r="J5114" t="inlineStr">
        <is>
          <t>Ana Costa</t>
        </is>
      </c>
      <c r="K5114" s="70" t="n">
        <v>633</v>
      </c>
      <c r="L5114" s="71" t="n">
        <v>225.85</v>
      </c>
      <c r="M5114" s="71" t="n">
        <v>142963.05</v>
      </c>
      <c r="N5114" s="71" t="n">
        <v>35740.76</v>
      </c>
      <c r="O5114" s="71" t="n">
        <v>107222.29</v>
      </c>
      <c r="P5114" s="71" t="n">
        <v>44055.49</v>
      </c>
      <c r="Q5114" s="71" t="n">
        <v>63166.8</v>
      </c>
      <c r="R5114" t="inlineStr">
        <is>
          <t>Vaccines</t>
        </is>
      </c>
      <c r="S5114" s="70" t="n">
        <v>615</v>
      </c>
      <c r="T5114" s="71" t="n">
        <v>20276.82</v>
      </c>
      <c r="U5114" t="inlineStr">
        <is>
          <t>Low</t>
        </is>
      </c>
      <c r="V5114">
        <f>IF(AND(OR(Dashboard!$C$6="All",E5114=Dashboard!$C$6),OR(Dashboard!$F$6="All",G5114=Dashboard!$F$6),OR(Dashboard!$I$6="All",H5114=Dashboard!$I$6)),1,0)</f>
        <v/>
      </c>
    </row>
    <row r="5115">
      <c r="A5115" t="inlineStr">
        <is>
          <t>PF105106</t>
        </is>
      </c>
      <c r="B5115" s="68" t="n">
        <v>46274</v>
      </c>
      <c r="C5115" s="69" t="n">
        <v>2026</v>
      </c>
      <c r="D5115" t="inlineStr">
        <is>
          <t>Sep</t>
        </is>
      </c>
      <c r="E5115" t="inlineStr">
        <is>
          <t>International developed</t>
        </is>
      </c>
      <c r="F5115" t="inlineStr">
        <is>
          <t>Australia</t>
        </is>
      </c>
      <c r="G5115" t="inlineStr">
        <is>
          <t>Vyndaqel</t>
        </is>
      </c>
      <c r="H5115" t="inlineStr">
        <is>
          <t>Hospital</t>
        </is>
      </c>
      <c r="I5115" t="inlineStr">
        <is>
          <t>Public payer</t>
        </is>
      </c>
      <c r="J5115" t="inlineStr">
        <is>
          <t>Ravindra Patil</t>
        </is>
      </c>
      <c r="K5115" s="70" t="n">
        <v>837</v>
      </c>
      <c r="L5115" s="71" t="n">
        <v>6218.53</v>
      </c>
      <c r="M5115" s="71" t="n">
        <v>5204909.61</v>
      </c>
      <c r="N5115" s="71" t="n">
        <v>520490.96</v>
      </c>
      <c r="O5115" s="71" t="n">
        <v>4684418.65</v>
      </c>
      <c r="P5115" s="71" t="n">
        <v>524996.0600000001</v>
      </c>
      <c r="Q5115" s="71" t="n">
        <v>4159422.59</v>
      </c>
      <c r="R5115" t="inlineStr">
        <is>
          <t>Rare disease</t>
        </is>
      </c>
      <c r="S5115" s="70" t="n">
        <v>563</v>
      </c>
      <c r="T5115" s="71" t="n">
        <v>567511.5699999999</v>
      </c>
      <c r="U5115" t="inlineStr">
        <is>
          <t>Medium</t>
        </is>
      </c>
      <c r="V5115">
        <f>IF(AND(OR(Dashboard!$C$6="All",E5115=Dashboard!$C$6),OR(Dashboard!$F$6="All",G5115=Dashboard!$F$6),OR(Dashboard!$I$6="All",H5115=Dashboard!$I$6)),1,0)</f>
        <v/>
      </c>
    </row>
    <row r="5116">
      <c r="A5116" t="inlineStr">
        <is>
          <t>PF105107</t>
        </is>
      </c>
      <c r="B5116" s="68" t="n">
        <v>46274</v>
      </c>
      <c r="C5116" s="69" t="n">
        <v>2026</v>
      </c>
      <c r="D5116" t="inlineStr">
        <is>
          <t>Sep</t>
        </is>
      </c>
      <c r="E5116" t="inlineStr">
        <is>
          <t>United States</t>
        </is>
      </c>
      <c r="F5116" t="inlineStr">
        <is>
          <t>USA</t>
        </is>
      </c>
      <c r="G5116" t="inlineStr">
        <is>
          <t>Xeljanz</t>
        </is>
      </c>
      <c r="H5116" t="inlineStr">
        <is>
          <t>Retail pharmacy</t>
        </is>
      </c>
      <c r="I5116" t="inlineStr">
        <is>
          <t>Private insurer</t>
        </is>
      </c>
      <c r="J5116" t="inlineStr">
        <is>
          <t>Fatima Al-Saud</t>
        </is>
      </c>
      <c r="K5116" s="70" t="n">
        <v>1748</v>
      </c>
      <c r="L5116" s="71" t="n">
        <v>2289.86</v>
      </c>
      <c r="M5116" s="71" t="n">
        <v>4002675.28</v>
      </c>
      <c r="N5116" s="71" t="n">
        <v>1000668.82</v>
      </c>
      <c r="O5116" s="71" t="n">
        <v>3002006.46</v>
      </c>
      <c r="P5116" s="71" t="n">
        <v>436628.86</v>
      </c>
      <c r="Q5116" s="71" t="n">
        <v>2565377.6</v>
      </c>
      <c r="R5116" t="inlineStr">
        <is>
          <t>Inflammation</t>
        </is>
      </c>
      <c r="S5116" s="70" t="n">
        <v>1586</v>
      </c>
      <c r="T5116" s="71" t="n">
        <v>771363.53</v>
      </c>
      <c r="U5116" t="inlineStr">
        <is>
          <t>High</t>
        </is>
      </c>
      <c r="V5116">
        <f>IF(AND(OR(Dashboard!$C$6="All",E5116=Dashboard!$C$6),OR(Dashboard!$F$6="All",G5116=Dashboard!$F$6),OR(Dashboard!$I$6="All",H5116=Dashboard!$I$6)),1,0)</f>
        <v/>
      </c>
    </row>
    <row r="5117">
      <c r="A5117" t="inlineStr">
        <is>
          <t>PF105108</t>
        </is>
      </c>
      <c r="B5117" s="68" t="n">
        <v>46274</v>
      </c>
      <c r="C5117" s="69" t="n">
        <v>2026</v>
      </c>
      <c r="D5117" t="inlineStr">
        <is>
          <t>Sep</t>
        </is>
      </c>
      <c r="E5117" t="inlineStr">
        <is>
          <t>United States</t>
        </is>
      </c>
      <c r="F5117" t="inlineStr">
        <is>
          <t>USA</t>
        </is>
      </c>
      <c r="G5117" t="inlineStr">
        <is>
          <t>Abrysvo</t>
        </is>
      </c>
      <c r="H5117" t="inlineStr">
        <is>
          <t>Retail pharmacy</t>
        </is>
      </c>
      <c r="I5117" t="inlineStr">
        <is>
          <t>Private insurer</t>
        </is>
      </c>
      <c r="J5117" t="inlineStr">
        <is>
          <t>Sara Rossi</t>
        </is>
      </c>
      <c r="K5117" s="70" t="n">
        <v>676</v>
      </c>
      <c r="L5117" s="71" t="n">
        <v>512.42</v>
      </c>
      <c r="M5117" s="71" t="n">
        <v>346395.92</v>
      </c>
      <c r="N5117" s="71" t="n">
        <v>86598.98</v>
      </c>
      <c r="O5117" s="71" t="n">
        <v>259796.94</v>
      </c>
      <c r="P5117" s="71" t="n">
        <v>56962.69</v>
      </c>
      <c r="Q5117" s="71" t="n">
        <v>202834.25</v>
      </c>
      <c r="R5117" t="inlineStr">
        <is>
          <t>Vaccines</t>
        </is>
      </c>
      <c r="S5117" s="70" t="n">
        <v>603</v>
      </c>
      <c r="T5117" s="71" t="n">
        <v>41706.18</v>
      </c>
      <c r="U5117" t="inlineStr">
        <is>
          <t>Low</t>
        </is>
      </c>
      <c r="V5117">
        <f>IF(AND(OR(Dashboard!$C$6="All",E5117=Dashboard!$C$6),OR(Dashboard!$F$6="All",G5117=Dashboard!$F$6),OR(Dashboard!$I$6="All",H5117=Dashboard!$I$6)),1,0)</f>
        <v/>
      </c>
    </row>
    <row r="5118">
      <c r="A5118" t="inlineStr">
        <is>
          <t>PF105109</t>
        </is>
      </c>
      <c r="B5118" s="68" t="n">
        <v>46274</v>
      </c>
      <c r="C5118" s="69" t="n">
        <v>2026</v>
      </c>
      <c r="D5118" t="inlineStr">
        <is>
          <t>Sep</t>
        </is>
      </c>
      <c r="E5118" t="inlineStr">
        <is>
          <t>Emerging markets</t>
        </is>
      </c>
      <c r="F5118" t="inlineStr">
        <is>
          <t>Mexico</t>
        </is>
      </c>
      <c r="G5118" t="inlineStr">
        <is>
          <t>Ibrance</t>
        </is>
      </c>
      <c r="H5118" t="inlineStr">
        <is>
          <t>Hospital</t>
        </is>
      </c>
      <c r="I5118" t="inlineStr">
        <is>
          <t>Private insurer</t>
        </is>
      </c>
      <c r="J5118" t="inlineStr">
        <is>
          <t>Noah Smith</t>
        </is>
      </c>
      <c r="K5118" s="70" t="n">
        <v>2377</v>
      </c>
      <c r="L5118" s="71" t="n">
        <v>3037.2</v>
      </c>
      <c r="M5118" s="71" t="n">
        <v>7219424.4</v>
      </c>
      <c r="N5118" s="71" t="n">
        <v>1082913.66</v>
      </c>
      <c r="O5118" s="71" t="n">
        <v>6136510.74</v>
      </c>
      <c r="P5118" s="71" t="n">
        <v>995923.73</v>
      </c>
      <c r="Q5118" s="71" t="n">
        <v>5140587.01</v>
      </c>
      <c r="R5118" t="inlineStr">
        <is>
          <t>Oncology</t>
        </is>
      </c>
      <c r="S5118" s="70" t="n">
        <v>2182</v>
      </c>
      <c r="T5118" s="71" t="n">
        <v>980015.41</v>
      </c>
      <c r="U5118" t="inlineStr">
        <is>
          <t>High</t>
        </is>
      </c>
      <c r="V5118">
        <f>IF(AND(OR(Dashboard!$C$6="All",E5118=Dashboard!$C$6),OR(Dashboard!$F$6="All",G5118=Dashboard!$F$6),OR(Dashboard!$I$6="All",H5118=Dashboard!$I$6)),1,0)</f>
        <v/>
      </c>
    </row>
    <row r="5119">
      <c r="A5119" t="inlineStr">
        <is>
          <t>PF105110</t>
        </is>
      </c>
      <c r="B5119" s="68" t="n">
        <v>46274</v>
      </c>
      <c r="C5119" s="69" t="n">
        <v>2026</v>
      </c>
      <c r="D5119" t="inlineStr">
        <is>
          <t>Sep</t>
        </is>
      </c>
      <c r="E5119" t="inlineStr">
        <is>
          <t>Europe</t>
        </is>
      </c>
      <c r="F5119" t="inlineStr">
        <is>
          <t>France</t>
        </is>
      </c>
      <c r="G5119" t="inlineStr">
        <is>
          <t>Eliquis</t>
        </is>
      </c>
      <c r="H5119" t="inlineStr">
        <is>
          <t>Retail pharmacy</t>
        </is>
      </c>
      <c r="I5119" t="inlineStr">
        <is>
          <t>Self-pay</t>
        </is>
      </c>
      <c r="J5119" t="inlineStr">
        <is>
          <t>Olivia Brown</t>
        </is>
      </c>
      <c r="K5119" s="70" t="n">
        <v>2925</v>
      </c>
      <c r="L5119" s="71" t="n">
        <v>391.83</v>
      </c>
      <c r="M5119" s="71" t="n">
        <v>1146102.75</v>
      </c>
      <c r="N5119" s="71" t="n">
        <v>114610.28</v>
      </c>
      <c r="O5119" s="71" t="n">
        <v>1031492.47</v>
      </c>
      <c r="P5119" s="71" t="n">
        <v>220687.77</v>
      </c>
      <c r="Q5119" s="71" t="n">
        <v>810804.7</v>
      </c>
      <c r="R5119" t="inlineStr">
        <is>
          <t>Cardiology</t>
        </is>
      </c>
      <c r="S5119" s="70" t="n">
        <v>2122</v>
      </c>
      <c r="T5119" s="71" t="n">
        <v>190162.46</v>
      </c>
      <c r="U5119" t="inlineStr">
        <is>
          <t>High</t>
        </is>
      </c>
      <c r="V5119">
        <f>IF(AND(OR(Dashboard!$C$6="All",E5119=Dashboard!$C$6),OR(Dashboard!$F$6="All",G5119=Dashboard!$F$6),OR(Dashboard!$I$6="All",H5119=Dashboard!$I$6)),1,0)</f>
        <v/>
      </c>
    </row>
    <row r="5120">
      <c r="A5120" t="inlineStr">
        <is>
          <t>PF105111</t>
        </is>
      </c>
      <c r="B5120" s="68" t="n">
        <v>46274</v>
      </c>
      <c r="C5120" s="69" t="n">
        <v>2026</v>
      </c>
      <c r="D5120" t="inlineStr">
        <is>
          <t>Sep</t>
        </is>
      </c>
      <c r="E5120" t="inlineStr">
        <is>
          <t>United States</t>
        </is>
      </c>
      <c r="F5120" t="inlineStr">
        <is>
          <t>USA</t>
        </is>
      </c>
      <c r="G5120" t="inlineStr">
        <is>
          <t>Abrysvo</t>
        </is>
      </c>
      <c r="H5120" t="inlineStr">
        <is>
          <t>Hospital</t>
        </is>
      </c>
      <c r="I5120" t="inlineStr">
        <is>
          <t>Private insurer</t>
        </is>
      </c>
      <c r="J5120" t="inlineStr">
        <is>
          <t>Kofi Mensah</t>
        </is>
      </c>
      <c r="K5120" s="70" t="n">
        <v>2157</v>
      </c>
      <c r="L5120" s="71" t="n">
        <v>552.08</v>
      </c>
      <c r="M5120" s="71" t="n">
        <v>1190836.56</v>
      </c>
      <c r="N5120" s="71" t="n">
        <v>238167.31</v>
      </c>
      <c r="O5120" s="71" t="n">
        <v>952669.25</v>
      </c>
      <c r="P5120" s="71" t="n">
        <v>182230.49</v>
      </c>
      <c r="Q5120" s="71" t="n">
        <v>770438.76</v>
      </c>
      <c r="R5120" t="inlineStr">
        <is>
          <t>Vaccines</t>
        </is>
      </c>
      <c r="S5120" s="70" t="n">
        <v>1540</v>
      </c>
      <c r="T5120" s="71" t="n">
        <v>139490.27</v>
      </c>
      <c r="U5120" t="inlineStr">
        <is>
          <t>Low</t>
        </is>
      </c>
      <c r="V5120">
        <f>IF(AND(OR(Dashboard!$C$6="All",E5120=Dashboard!$C$6),OR(Dashboard!$F$6="All",G5120=Dashboard!$F$6),OR(Dashboard!$I$6="All",H5120=Dashboard!$I$6)),1,0)</f>
        <v/>
      </c>
    </row>
    <row r="5121">
      <c r="A5121" t="inlineStr">
        <is>
          <t>PF105112</t>
        </is>
      </c>
      <c r="B5121" s="68" t="n">
        <v>46274</v>
      </c>
      <c r="C5121" s="69" t="n">
        <v>2026</v>
      </c>
      <c r="D5121" t="inlineStr">
        <is>
          <t>Sep</t>
        </is>
      </c>
      <c r="E5121" t="inlineStr">
        <is>
          <t>International developed</t>
        </is>
      </c>
      <c r="F5121" t="inlineStr">
        <is>
          <t>Canada</t>
        </is>
      </c>
      <c r="G5121" t="inlineStr">
        <is>
          <t>Prevnar 20</t>
        </is>
      </c>
      <c r="H5121" t="inlineStr">
        <is>
          <t>Government / tender</t>
        </is>
      </c>
      <c r="I5121" t="inlineStr">
        <is>
          <t>Public payer</t>
        </is>
      </c>
      <c r="J5121" t="inlineStr">
        <is>
          <t>Mei Lin</t>
        </is>
      </c>
      <c r="K5121" s="70" t="n">
        <v>728</v>
      </c>
      <c r="L5121" s="71" t="n">
        <v>221.41</v>
      </c>
      <c r="M5121" s="71" t="n">
        <v>161186.48</v>
      </c>
      <c r="N5121" s="71" t="n">
        <v>16118.65</v>
      </c>
      <c r="O5121" s="71" t="n">
        <v>145067.83</v>
      </c>
      <c r="P5121" s="71" t="n">
        <v>48760.75</v>
      </c>
      <c r="Q5121" s="71" t="n">
        <v>96307.08</v>
      </c>
      <c r="R5121" t="inlineStr">
        <is>
          <t>Vaccines</t>
        </is>
      </c>
      <c r="S5121" s="70" t="n">
        <v>520</v>
      </c>
      <c r="T5121" s="71" t="n">
        <v>21159.01</v>
      </c>
      <c r="U5121" t="inlineStr">
        <is>
          <t>Low</t>
        </is>
      </c>
      <c r="V5121">
        <f>IF(AND(OR(Dashboard!$C$6="All",E5121=Dashboard!$C$6),OR(Dashboard!$F$6="All",G5121=Dashboard!$F$6),OR(Dashboard!$I$6="All",H5121=Dashboard!$I$6)),1,0)</f>
        <v/>
      </c>
    </row>
    <row r="5122">
      <c r="A5122" t="inlineStr">
        <is>
          <t>PF105113</t>
        </is>
      </c>
      <c r="B5122" s="68" t="n">
        <v>46275</v>
      </c>
      <c r="C5122" s="69" t="n">
        <v>2026</v>
      </c>
      <c r="D5122" t="inlineStr">
        <is>
          <t>Sep</t>
        </is>
      </c>
      <c r="E5122" t="inlineStr">
        <is>
          <t>Europe</t>
        </is>
      </c>
      <c r="F5122" t="inlineStr">
        <is>
          <t>Spain</t>
        </is>
      </c>
      <c r="G5122" t="inlineStr">
        <is>
          <t>Abrysvo</t>
        </is>
      </c>
      <c r="H5122" t="inlineStr">
        <is>
          <t>Retail pharmacy</t>
        </is>
      </c>
      <c r="I5122" t="inlineStr">
        <is>
          <t>Public payer</t>
        </is>
      </c>
      <c r="J5122" t="inlineStr">
        <is>
          <t>Ruhi Shaikh</t>
        </is>
      </c>
      <c r="K5122" s="70" t="n">
        <v>2641</v>
      </c>
      <c r="L5122" s="71" t="n">
        <v>301.34</v>
      </c>
      <c r="M5122" s="71" t="n">
        <v>795838.9399999999</v>
      </c>
      <c r="N5122" s="71" t="n">
        <v>79583.89</v>
      </c>
      <c r="O5122" s="71" t="n">
        <v>716255.05</v>
      </c>
      <c r="P5122" s="71" t="n">
        <v>222854.94</v>
      </c>
      <c r="Q5122" s="71" t="n">
        <v>493400.11</v>
      </c>
      <c r="R5122" t="inlineStr">
        <is>
          <t>Vaccines</t>
        </is>
      </c>
      <c r="S5122" s="70" t="n">
        <v>1910</v>
      </c>
      <c r="T5122" s="71" t="n">
        <v>128775.72</v>
      </c>
      <c r="U5122" t="inlineStr">
        <is>
          <t>Low</t>
        </is>
      </c>
      <c r="V5122">
        <f>IF(AND(OR(Dashboard!$C$6="All",E5122=Dashboard!$C$6),OR(Dashboard!$F$6="All",G5122=Dashboard!$F$6),OR(Dashboard!$I$6="All",H5122=Dashboard!$I$6)),1,0)</f>
        <v/>
      </c>
    </row>
    <row r="5123">
      <c r="A5123" t="inlineStr">
        <is>
          <t>PF105114</t>
        </is>
      </c>
      <c r="B5123" s="68" t="n">
        <v>46275</v>
      </c>
      <c r="C5123" s="69" t="n">
        <v>2026</v>
      </c>
      <c r="D5123" t="inlineStr">
        <is>
          <t>Sep</t>
        </is>
      </c>
      <c r="E5123" t="inlineStr">
        <is>
          <t>International developed</t>
        </is>
      </c>
      <c r="F5123" t="inlineStr">
        <is>
          <t>Canada</t>
        </is>
      </c>
      <c r="G5123" t="inlineStr">
        <is>
          <t>Abrysvo</t>
        </is>
      </c>
      <c r="H5123" t="inlineStr">
        <is>
          <t>Government / tender</t>
        </is>
      </c>
      <c r="I5123" t="inlineStr">
        <is>
          <t>Public payer</t>
        </is>
      </c>
      <c r="J5123" t="inlineStr">
        <is>
          <t>Kofi Mensah</t>
        </is>
      </c>
      <c r="K5123" s="70" t="n">
        <v>634</v>
      </c>
      <c r="L5123" s="71" t="n">
        <v>311.5</v>
      </c>
      <c r="M5123" s="71" t="n">
        <v>197491</v>
      </c>
      <c r="N5123" s="71" t="n">
        <v>39498.2</v>
      </c>
      <c r="O5123" s="71" t="n">
        <v>157992.8</v>
      </c>
      <c r="P5123" s="71" t="n">
        <v>52896.21</v>
      </c>
      <c r="Q5123" s="71" t="n">
        <v>105096.59</v>
      </c>
      <c r="R5123" t="inlineStr">
        <is>
          <t>Vaccines</t>
        </is>
      </c>
      <c r="S5123" s="70" t="n">
        <v>559</v>
      </c>
      <c r="T5123" s="71" t="n">
        <v>23501.54</v>
      </c>
      <c r="U5123" t="inlineStr">
        <is>
          <t>Low</t>
        </is>
      </c>
      <c r="V5123">
        <f>IF(AND(OR(Dashboard!$C$6="All",E5123=Dashboard!$C$6),OR(Dashboard!$F$6="All",G5123=Dashboard!$F$6),OR(Dashboard!$I$6="All",H5123=Dashboard!$I$6)),1,0)</f>
        <v/>
      </c>
    </row>
    <row r="5124">
      <c r="A5124" t="inlineStr">
        <is>
          <t>PF105115</t>
        </is>
      </c>
      <c r="B5124" s="68" t="n">
        <v>46275</v>
      </c>
      <c r="C5124" s="69" t="n">
        <v>2026</v>
      </c>
      <c r="D5124" t="inlineStr">
        <is>
          <t>Sep</t>
        </is>
      </c>
      <c r="E5124" t="inlineStr">
        <is>
          <t>Emerging markets</t>
        </is>
      </c>
      <c r="F5124" t="inlineStr">
        <is>
          <t>China</t>
        </is>
      </c>
      <c r="G5124" t="inlineStr">
        <is>
          <t>Comirnaty</t>
        </is>
      </c>
      <c r="H5124" t="inlineStr">
        <is>
          <t>Hospital</t>
        </is>
      </c>
      <c r="I5124" t="inlineStr">
        <is>
          <t>Public payer</t>
        </is>
      </c>
      <c r="J5124" t="inlineStr">
        <is>
          <t>Ravindra Patil</t>
        </is>
      </c>
      <c r="K5124" s="70" t="n">
        <v>868</v>
      </c>
      <c r="L5124" s="71" t="n">
        <v>95.84999999999999</v>
      </c>
      <c r="M5124" s="71" t="n">
        <v>83197.8</v>
      </c>
      <c r="N5124" s="71" t="n">
        <v>8319.780000000001</v>
      </c>
      <c r="O5124" s="71" t="n">
        <v>74878.02</v>
      </c>
      <c r="P5124" s="71" t="n">
        <v>34478.04</v>
      </c>
      <c r="Q5124" s="71" t="n">
        <v>40399.98</v>
      </c>
      <c r="R5124" t="inlineStr">
        <is>
          <t>Vaccines</t>
        </is>
      </c>
      <c r="S5124" s="70" t="n">
        <v>594</v>
      </c>
      <c r="T5124" s="71" t="n">
        <v>22030.6</v>
      </c>
      <c r="U5124" t="inlineStr">
        <is>
          <t>Low</t>
        </is>
      </c>
      <c r="V5124">
        <f>IF(AND(OR(Dashboard!$C$6="All",E5124=Dashboard!$C$6),OR(Dashboard!$F$6="All",G5124=Dashboard!$F$6),OR(Dashboard!$I$6="All",H5124=Dashboard!$I$6)),1,0)</f>
        <v/>
      </c>
    </row>
    <row r="5125">
      <c r="A5125" t="inlineStr">
        <is>
          <t>PF105116</t>
        </is>
      </c>
      <c r="B5125" s="68" t="n">
        <v>46275</v>
      </c>
      <c r="C5125" s="69" t="n">
        <v>2026</v>
      </c>
      <c r="D5125" t="inlineStr">
        <is>
          <t>Sep</t>
        </is>
      </c>
      <c r="E5125" t="inlineStr">
        <is>
          <t>International developed</t>
        </is>
      </c>
      <c r="F5125" t="inlineStr">
        <is>
          <t>Canada</t>
        </is>
      </c>
      <c r="G5125" t="inlineStr">
        <is>
          <t>Eliquis</t>
        </is>
      </c>
      <c r="H5125" t="inlineStr">
        <is>
          <t>Retail pharmacy</t>
        </is>
      </c>
      <c r="I5125" t="inlineStr">
        <is>
          <t>Self-pay</t>
        </is>
      </c>
      <c r="J5125" t="inlineStr">
        <is>
          <t>Aisha Bello</t>
        </is>
      </c>
      <c r="K5125" s="70" t="n">
        <v>162</v>
      </c>
      <c r="L5125" s="71" t="n">
        <v>400.95</v>
      </c>
      <c r="M5125" s="71" t="n">
        <v>64953.9</v>
      </c>
      <c r="N5125" s="71" t="n">
        <v>16238.48</v>
      </c>
      <c r="O5125" s="71" t="n">
        <v>48715.42</v>
      </c>
      <c r="P5125" s="71" t="n">
        <v>11900.44</v>
      </c>
      <c r="Q5125" s="71" t="n">
        <v>36814.98</v>
      </c>
      <c r="R5125" t="inlineStr">
        <is>
          <t>Cardiology</t>
        </is>
      </c>
      <c r="S5125" s="70" t="n">
        <v>128</v>
      </c>
      <c r="T5125" s="71" t="n">
        <v>8573.040000000001</v>
      </c>
      <c r="U5125" t="inlineStr">
        <is>
          <t>High</t>
        </is>
      </c>
      <c r="V5125">
        <f>IF(AND(OR(Dashboard!$C$6="All",E5125=Dashboard!$C$6),OR(Dashboard!$F$6="All",G5125=Dashboard!$F$6),OR(Dashboard!$I$6="All",H5125=Dashboard!$I$6)),1,0)</f>
        <v/>
      </c>
    </row>
    <row r="5126">
      <c r="A5126" t="inlineStr">
        <is>
          <t>PF105117</t>
        </is>
      </c>
      <c r="B5126" s="68" t="n">
        <v>46275</v>
      </c>
      <c r="C5126" s="69" t="n">
        <v>2026</v>
      </c>
      <c r="D5126" t="inlineStr">
        <is>
          <t>Sep</t>
        </is>
      </c>
      <c r="E5126" t="inlineStr">
        <is>
          <t>United States</t>
        </is>
      </c>
      <c r="F5126" t="inlineStr">
        <is>
          <t>USA</t>
        </is>
      </c>
      <c r="G5126" t="inlineStr">
        <is>
          <t>Xeljanz</t>
        </is>
      </c>
      <c r="H5126" t="inlineStr">
        <is>
          <t>Retail pharmacy</t>
        </is>
      </c>
      <c r="I5126" t="inlineStr">
        <is>
          <t>Public payer</t>
        </is>
      </c>
      <c r="J5126" t="inlineStr">
        <is>
          <t>Aisha Bello</t>
        </is>
      </c>
      <c r="K5126" s="70" t="n">
        <v>622</v>
      </c>
      <c r="L5126" s="71" t="n">
        <v>2208.64</v>
      </c>
      <c r="M5126" s="71" t="n">
        <v>1373774.08</v>
      </c>
      <c r="N5126" s="71" t="n">
        <v>412132.22</v>
      </c>
      <c r="O5126" s="71" t="n">
        <v>961641.86</v>
      </c>
      <c r="P5126" s="71" t="n">
        <v>158275.15</v>
      </c>
      <c r="Q5126" s="71" t="n">
        <v>803366.71</v>
      </c>
      <c r="R5126" t="inlineStr">
        <is>
          <t>Inflammation</t>
        </is>
      </c>
      <c r="S5126" s="70" t="n">
        <v>562</v>
      </c>
      <c r="T5126" s="71" t="n">
        <v>238904.35</v>
      </c>
      <c r="U5126" t="inlineStr">
        <is>
          <t>High</t>
        </is>
      </c>
      <c r="V5126">
        <f>IF(AND(OR(Dashboard!$C$6="All",E5126=Dashboard!$C$6),OR(Dashboard!$F$6="All",G5126=Dashboard!$F$6),OR(Dashboard!$I$6="All",H5126=Dashboard!$I$6)),1,0)</f>
        <v/>
      </c>
    </row>
    <row r="5127">
      <c r="A5127" t="inlineStr">
        <is>
          <t>PF105118</t>
        </is>
      </c>
      <c r="B5127" s="68" t="n">
        <v>46275</v>
      </c>
      <c r="C5127" s="69" t="n">
        <v>2026</v>
      </c>
      <c r="D5127" t="inlineStr">
        <is>
          <t>Sep</t>
        </is>
      </c>
      <c r="E5127" t="inlineStr">
        <is>
          <t>United States</t>
        </is>
      </c>
      <c r="F5127" t="inlineStr">
        <is>
          <t>USA</t>
        </is>
      </c>
      <c r="G5127" t="inlineStr">
        <is>
          <t>Comirnaty</t>
        </is>
      </c>
      <c r="H5127" t="inlineStr">
        <is>
          <t>Retail pharmacy</t>
        </is>
      </c>
      <c r="I5127" t="inlineStr">
        <is>
          <t>Public payer</t>
        </is>
      </c>
      <c r="J5127" t="inlineStr">
        <is>
          <t>Shraddha Kulkarni</t>
        </is>
      </c>
      <c r="K5127" s="70" t="n">
        <v>2068</v>
      </c>
      <c r="L5127" s="71" t="n">
        <v>152.45</v>
      </c>
      <c r="M5127" s="71" t="n">
        <v>315266.6</v>
      </c>
      <c r="N5127" s="71" t="n">
        <v>94579.98</v>
      </c>
      <c r="O5127" s="71" t="n">
        <v>220686.62</v>
      </c>
      <c r="P5127" s="71" t="n">
        <v>76797.8</v>
      </c>
      <c r="Q5127" s="71" t="n">
        <v>143888.82</v>
      </c>
      <c r="R5127" t="inlineStr">
        <is>
          <t>Vaccines</t>
        </is>
      </c>
      <c r="S5127" s="70" t="n">
        <v>1421</v>
      </c>
      <c r="T5127" s="71" t="n">
        <v>72553.55</v>
      </c>
      <c r="U5127" t="inlineStr">
        <is>
          <t>Low</t>
        </is>
      </c>
      <c r="V5127">
        <f>IF(AND(OR(Dashboard!$C$6="All",E5127=Dashboard!$C$6),OR(Dashboard!$F$6="All",G5127=Dashboard!$F$6),OR(Dashboard!$I$6="All",H5127=Dashboard!$I$6)),1,0)</f>
        <v/>
      </c>
    </row>
    <row r="5128">
      <c r="A5128" t="inlineStr">
        <is>
          <t>PF105119</t>
        </is>
      </c>
      <c r="B5128" s="68" t="n">
        <v>46275</v>
      </c>
      <c r="C5128" s="69" t="n">
        <v>2026</v>
      </c>
      <c r="D5128" t="inlineStr">
        <is>
          <t>Sep</t>
        </is>
      </c>
      <c r="E5128" t="inlineStr">
        <is>
          <t>Emerging markets</t>
        </is>
      </c>
      <c r="F5128" t="inlineStr">
        <is>
          <t>China</t>
        </is>
      </c>
      <c r="G5128" t="inlineStr">
        <is>
          <t>Ibrance</t>
        </is>
      </c>
      <c r="H5128" t="inlineStr">
        <is>
          <t>Retail pharmacy</t>
        </is>
      </c>
      <c r="I5128" t="inlineStr">
        <is>
          <t>Public payer</t>
        </is>
      </c>
      <c r="J5128" t="inlineStr">
        <is>
          <t>Shraddha Kulkarni</t>
        </is>
      </c>
      <c r="K5128" s="70" t="n">
        <v>1057</v>
      </c>
      <c r="L5128" s="71" t="n">
        <v>3098.75</v>
      </c>
      <c r="M5128" s="71" t="n">
        <v>3275378.75</v>
      </c>
      <c r="N5128" s="71" t="n">
        <v>818844.6899999999</v>
      </c>
      <c r="O5128" s="71" t="n">
        <v>2456534.06</v>
      </c>
      <c r="P5128" s="71" t="n">
        <v>446150.21</v>
      </c>
      <c r="Q5128" s="71" t="n">
        <v>2010383.85</v>
      </c>
      <c r="R5128" t="inlineStr">
        <is>
          <t>Oncology</t>
        </is>
      </c>
      <c r="S5128" s="70" t="n">
        <v>959</v>
      </c>
      <c r="T5128" s="71" t="n">
        <v>575952.0699999999</v>
      </c>
      <c r="U5128" t="inlineStr">
        <is>
          <t>High</t>
        </is>
      </c>
      <c r="V5128">
        <f>IF(AND(OR(Dashboard!$C$6="All",E5128=Dashboard!$C$6),OR(Dashboard!$F$6="All",G5128=Dashboard!$F$6),OR(Dashboard!$I$6="All",H5128=Dashboard!$I$6)),1,0)</f>
        <v/>
      </c>
    </row>
    <row r="5129">
      <c r="A5129" t="inlineStr">
        <is>
          <t>PF105120</t>
        </is>
      </c>
      <c r="B5129" s="68" t="n">
        <v>46276</v>
      </c>
      <c r="C5129" s="69" t="n">
        <v>2026</v>
      </c>
      <c r="D5129" t="inlineStr">
        <is>
          <t>Sep</t>
        </is>
      </c>
      <c r="E5129" t="inlineStr">
        <is>
          <t>United States</t>
        </is>
      </c>
      <c r="F5129" t="inlineStr">
        <is>
          <t>USA</t>
        </is>
      </c>
      <c r="G5129" t="inlineStr">
        <is>
          <t>Ibrance</t>
        </is>
      </c>
      <c r="H5129" t="inlineStr">
        <is>
          <t>Retail pharmacy</t>
        </is>
      </c>
      <c r="I5129" t="inlineStr">
        <is>
          <t>Self-pay</t>
        </is>
      </c>
      <c r="J5129" t="inlineStr">
        <is>
          <t>Sophie Müller</t>
        </is>
      </c>
      <c r="K5129" s="70" t="n">
        <v>2696</v>
      </c>
      <c r="L5129" s="71" t="n">
        <v>4881.15</v>
      </c>
      <c r="M5129" s="71" t="n">
        <v>13159580.4</v>
      </c>
      <c r="N5129" s="71" t="n">
        <v>1973937.06</v>
      </c>
      <c r="O5129" s="71" t="n">
        <v>11185643.34</v>
      </c>
      <c r="P5129" s="71" t="n">
        <v>1217370.7</v>
      </c>
      <c r="Q5129" s="71" t="n">
        <v>9968272.640000001</v>
      </c>
      <c r="R5129" t="inlineStr">
        <is>
          <t>Oncology</t>
        </is>
      </c>
      <c r="S5129" s="70" t="n">
        <v>2315</v>
      </c>
      <c r="T5129" s="71" t="n">
        <v>1929620.48</v>
      </c>
      <c r="U5129" t="inlineStr">
        <is>
          <t>High</t>
        </is>
      </c>
      <c r="V5129">
        <f>IF(AND(OR(Dashboard!$C$6="All",E5129=Dashboard!$C$6),OR(Dashboard!$F$6="All",G5129=Dashboard!$F$6),OR(Dashboard!$I$6="All",H5129=Dashboard!$I$6)),1,0)</f>
        <v/>
      </c>
    </row>
    <row r="5130">
      <c r="A5130" t="inlineStr">
        <is>
          <t>PF105121</t>
        </is>
      </c>
      <c r="B5130" s="68" t="n">
        <v>46276</v>
      </c>
      <c r="C5130" s="69" t="n">
        <v>2026</v>
      </c>
      <c r="D5130" t="inlineStr">
        <is>
          <t>Sep</t>
        </is>
      </c>
      <c r="E5130" t="inlineStr">
        <is>
          <t>Europe</t>
        </is>
      </c>
      <c r="F5130" t="inlineStr">
        <is>
          <t>Italy</t>
        </is>
      </c>
      <c r="G5130" t="inlineStr">
        <is>
          <t>Prevnar 20</t>
        </is>
      </c>
      <c r="H5130" t="inlineStr">
        <is>
          <t>Retail pharmacy</t>
        </is>
      </c>
      <c r="I5130" t="inlineStr">
        <is>
          <t>Public payer</t>
        </is>
      </c>
      <c r="J5130" t="inlineStr">
        <is>
          <t>Yuki Sato</t>
        </is>
      </c>
      <c r="K5130" s="70" t="n">
        <v>642</v>
      </c>
      <c r="L5130" s="71" t="n">
        <v>249.5</v>
      </c>
      <c r="M5130" s="71" t="n">
        <v>160179</v>
      </c>
      <c r="N5130" s="71" t="n">
        <v>32035.8</v>
      </c>
      <c r="O5130" s="71" t="n">
        <v>128143.2</v>
      </c>
      <c r="P5130" s="71" t="n">
        <v>45889.39</v>
      </c>
      <c r="Q5130" s="71" t="n">
        <v>82253.81</v>
      </c>
      <c r="R5130" t="inlineStr">
        <is>
          <t>Vaccines</t>
        </is>
      </c>
      <c r="S5130" s="70" t="n">
        <v>428</v>
      </c>
      <c r="T5130" s="71" t="n">
        <v>26900.39</v>
      </c>
      <c r="U5130" t="inlineStr">
        <is>
          <t>Low</t>
        </is>
      </c>
      <c r="V5130">
        <f>IF(AND(OR(Dashboard!$C$6="All",E5130=Dashboard!$C$6),OR(Dashboard!$F$6="All",G5130=Dashboard!$F$6),OR(Dashboard!$I$6="All",H5130=Dashboard!$I$6)),1,0)</f>
        <v/>
      </c>
    </row>
    <row r="5131">
      <c r="A5131" t="inlineStr">
        <is>
          <t>PF105122</t>
        </is>
      </c>
      <c r="B5131" s="68" t="n">
        <v>46276</v>
      </c>
      <c r="C5131" s="69" t="n">
        <v>2026</v>
      </c>
      <c r="D5131" t="inlineStr">
        <is>
          <t>Sep</t>
        </is>
      </c>
      <c r="E5131" t="inlineStr">
        <is>
          <t>United States</t>
        </is>
      </c>
      <c r="F5131" t="inlineStr">
        <is>
          <t>USA</t>
        </is>
      </c>
      <c r="G5131" t="inlineStr">
        <is>
          <t>Paxlovid</t>
        </is>
      </c>
      <c r="H5131" t="inlineStr">
        <is>
          <t>Retail pharmacy</t>
        </is>
      </c>
      <c r="I5131" t="inlineStr">
        <is>
          <t>Public payer</t>
        </is>
      </c>
      <c r="J5131" t="inlineStr">
        <is>
          <t>Zoya Ahmed</t>
        </is>
      </c>
      <c r="K5131" s="70" t="n">
        <v>631</v>
      </c>
      <c r="L5131" s="71" t="n">
        <v>1560.7</v>
      </c>
      <c r="M5131" s="71" t="n">
        <v>984801.7</v>
      </c>
      <c r="N5131" s="71" t="n">
        <v>196960.34</v>
      </c>
      <c r="O5131" s="71" t="n">
        <v>787841.36</v>
      </c>
      <c r="P5131" s="71" t="n">
        <v>177265.05</v>
      </c>
      <c r="Q5131" s="71" t="n">
        <v>610576.3100000001</v>
      </c>
      <c r="R5131" t="inlineStr">
        <is>
          <t>Antiviral</t>
        </is>
      </c>
      <c r="S5131" s="70" t="n">
        <v>598</v>
      </c>
      <c r="T5131" s="71" t="n">
        <v>151848.35</v>
      </c>
      <c r="U5131" t="inlineStr">
        <is>
          <t>Low</t>
        </is>
      </c>
      <c r="V5131">
        <f>IF(AND(OR(Dashboard!$C$6="All",E5131=Dashboard!$C$6),OR(Dashboard!$F$6="All",G5131=Dashboard!$F$6),OR(Dashboard!$I$6="All",H5131=Dashboard!$I$6)),1,0)</f>
        <v/>
      </c>
    </row>
    <row r="5132">
      <c r="A5132" t="inlineStr">
        <is>
          <t>PF105123</t>
        </is>
      </c>
      <c r="B5132" s="68" t="n">
        <v>46276</v>
      </c>
      <c r="C5132" s="69" t="n">
        <v>2026</v>
      </c>
      <c r="D5132" t="inlineStr">
        <is>
          <t>Sep</t>
        </is>
      </c>
      <c r="E5132" t="inlineStr">
        <is>
          <t>Emerging markets</t>
        </is>
      </c>
      <c r="F5132" t="inlineStr">
        <is>
          <t>China</t>
        </is>
      </c>
      <c r="G5132" t="inlineStr">
        <is>
          <t>Ibrance</t>
        </is>
      </c>
      <c r="H5132" t="inlineStr">
        <is>
          <t>Retail pharmacy</t>
        </is>
      </c>
      <c r="I5132" t="inlineStr">
        <is>
          <t>Private insurer</t>
        </is>
      </c>
      <c r="J5132" t="inlineStr">
        <is>
          <t>Ruhi Shaikh</t>
        </is>
      </c>
      <c r="K5132" s="70" t="n">
        <v>938</v>
      </c>
      <c r="L5132" s="71" t="n">
        <v>2751.08</v>
      </c>
      <c r="M5132" s="71" t="n">
        <v>2580513.04</v>
      </c>
      <c r="N5132" s="71" t="n">
        <v>129025.65</v>
      </c>
      <c r="O5132" s="71" t="n">
        <v>2451487.39</v>
      </c>
      <c r="P5132" s="71" t="n">
        <v>419760.22</v>
      </c>
      <c r="Q5132" s="71" t="n">
        <v>2031727.17</v>
      </c>
      <c r="R5132" t="inlineStr">
        <is>
          <t>Oncology</t>
        </is>
      </c>
      <c r="S5132" s="70" t="n">
        <v>597</v>
      </c>
      <c r="T5132" s="71" t="n">
        <v>529668.6800000001</v>
      </c>
      <c r="U5132" t="inlineStr">
        <is>
          <t>High</t>
        </is>
      </c>
      <c r="V5132">
        <f>IF(AND(OR(Dashboard!$C$6="All",E5132=Dashboard!$C$6),OR(Dashboard!$F$6="All",G5132=Dashboard!$F$6),OR(Dashboard!$I$6="All",H5132=Dashboard!$I$6)),1,0)</f>
        <v/>
      </c>
    </row>
    <row r="5133">
      <c r="A5133" t="inlineStr">
        <is>
          <t>PF105124</t>
        </is>
      </c>
      <c r="B5133" s="68" t="n">
        <v>46276</v>
      </c>
      <c r="C5133" s="69" t="n">
        <v>2026</v>
      </c>
      <c r="D5133" t="inlineStr">
        <is>
          <t>Sep</t>
        </is>
      </c>
      <c r="E5133" t="inlineStr">
        <is>
          <t>United States</t>
        </is>
      </c>
      <c r="F5133" t="inlineStr">
        <is>
          <t>USA</t>
        </is>
      </c>
      <c r="G5133" t="inlineStr">
        <is>
          <t>Ibrance</t>
        </is>
      </c>
      <c r="H5133" t="inlineStr">
        <is>
          <t>Hospital</t>
        </is>
      </c>
      <c r="I5133" t="inlineStr">
        <is>
          <t>Private insurer</t>
        </is>
      </c>
      <c r="J5133" t="inlineStr">
        <is>
          <t>Mei Lin</t>
        </is>
      </c>
      <c r="K5133" s="70" t="n">
        <v>1980</v>
      </c>
      <c r="L5133" s="71" t="n">
        <v>4795.64</v>
      </c>
      <c r="M5133" s="71" t="n">
        <v>9495367.199999999</v>
      </c>
      <c r="N5133" s="71" t="n">
        <v>1899073.44</v>
      </c>
      <c r="O5133" s="71" t="n">
        <v>7596293.76</v>
      </c>
      <c r="P5133" s="71" t="n">
        <v>834578</v>
      </c>
      <c r="Q5133" s="71" t="n">
        <v>6761715.76</v>
      </c>
      <c r="R5133" t="inlineStr">
        <is>
          <t>Oncology</t>
        </is>
      </c>
      <c r="S5133" s="70" t="n">
        <v>1401</v>
      </c>
      <c r="T5133" s="71" t="n">
        <v>1787401.18</v>
      </c>
      <c r="U5133" t="inlineStr">
        <is>
          <t>High</t>
        </is>
      </c>
      <c r="V5133">
        <f>IF(AND(OR(Dashboard!$C$6="All",E5133=Dashboard!$C$6),OR(Dashboard!$F$6="All",G5133=Dashboard!$F$6),OR(Dashboard!$I$6="All",H5133=Dashboard!$I$6)),1,0)</f>
        <v/>
      </c>
    </row>
    <row r="5134">
      <c r="A5134" t="inlineStr">
        <is>
          <t>PF105125</t>
        </is>
      </c>
      <c r="B5134" s="68" t="n">
        <v>46276</v>
      </c>
      <c r="C5134" s="69" t="n">
        <v>2026</v>
      </c>
      <c r="D5134" t="inlineStr">
        <is>
          <t>Sep</t>
        </is>
      </c>
      <c r="E5134" t="inlineStr">
        <is>
          <t>Emerging markets</t>
        </is>
      </c>
      <c r="F5134" t="inlineStr">
        <is>
          <t>Mexico</t>
        </is>
      </c>
      <c r="G5134" t="inlineStr">
        <is>
          <t>Comirnaty</t>
        </is>
      </c>
      <c r="H5134" t="inlineStr">
        <is>
          <t>Government / tender</t>
        </is>
      </c>
      <c r="I5134" t="inlineStr">
        <is>
          <t>Public payer</t>
        </is>
      </c>
      <c r="J5134" t="inlineStr">
        <is>
          <t>Yuki Sato</t>
        </is>
      </c>
      <c r="K5134" s="70" t="n">
        <v>2281</v>
      </c>
      <c r="L5134" s="71" t="n">
        <v>83.17</v>
      </c>
      <c r="M5134" s="71" t="n">
        <v>189710.77</v>
      </c>
      <c r="N5134" s="71" t="n">
        <v>37942.15</v>
      </c>
      <c r="O5134" s="71" t="n">
        <v>151768.62</v>
      </c>
      <c r="P5134" s="71" t="n">
        <v>90392.09</v>
      </c>
      <c r="Q5134" s="71" t="n">
        <v>61376.53</v>
      </c>
      <c r="R5134" t="inlineStr">
        <is>
          <t>Vaccines</t>
        </is>
      </c>
      <c r="S5134" s="70" t="n">
        <v>1817</v>
      </c>
      <c r="T5134" s="71" t="n">
        <v>34728.6</v>
      </c>
      <c r="U5134" t="inlineStr">
        <is>
          <t>Low</t>
        </is>
      </c>
      <c r="V5134">
        <f>IF(AND(OR(Dashboard!$C$6="All",E5134=Dashboard!$C$6),OR(Dashboard!$F$6="All",G5134=Dashboard!$F$6),OR(Dashboard!$I$6="All",H5134=Dashboard!$I$6)),1,0)</f>
        <v/>
      </c>
    </row>
    <row r="5135">
      <c r="A5135" t="inlineStr">
        <is>
          <t>PF105126</t>
        </is>
      </c>
      <c r="B5135" s="68" t="n">
        <v>46276</v>
      </c>
      <c r="C5135" s="69" t="n">
        <v>2026</v>
      </c>
      <c r="D5135" t="inlineStr">
        <is>
          <t>Sep</t>
        </is>
      </c>
      <c r="E5135" t="inlineStr">
        <is>
          <t>Europe</t>
        </is>
      </c>
      <c r="F5135" t="inlineStr">
        <is>
          <t>Germany</t>
        </is>
      </c>
      <c r="G5135" t="inlineStr">
        <is>
          <t>Ibrance</t>
        </is>
      </c>
      <c r="H5135" t="inlineStr">
        <is>
          <t>Retail pharmacy</t>
        </is>
      </c>
      <c r="I5135" t="inlineStr">
        <is>
          <t>Public payer</t>
        </is>
      </c>
      <c r="J5135" t="inlineStr">
        <is>
          <t>Aisha Bello</t>
        </is>
      </c>
      <c r="K5135" s="70" t="n">
        <v>293</v>
      </c>
      <c r="L5135" s="71" t="n">
        <v>2971.46</v>
      </c>
      <c r="M5135" s="71" t="n">
        <v>870637.78</v>
      </c>
      <c r="N5135" s="71" t="n">
        <v>43531.89</v>
      </c>
      <c r="O5135" s="71" t="n">
        <v>827105.89</v>
      </c>
      <c r="P5135" s="71" t="n">
        <v>127200.23</v>
      </c>
      <c r="Q5135" s="71" t="n">
        <v>699905.66</v>
      </c>
      <c r="R5135" t="inlineStr">
        <is>
          <t>Oncology</t>
        </is>
      </c>
      <c r="S5135" s="70" t="n">
        <v>277</v>
      </c>
      <c r="T5135" s="71" t="n">
        <v>120013.9</v>
      </c>
      <c r="U5135" t="inlineStr">
        <is>
          <t>High</t>
        </is>
      </c>
      <c r="V5135">
        <f>IF(AND(OR(Dashboard!$C$6="All",E5135=Dashboard!$C$6),OR(Dashboard!$F$6="All",G5135=Dashboard!$F$6),OR(Dashboard!$I$6="All",H5135=Dashboard!$I$6)),1,0)</f>
        <v/>
      </c>
    </row>
    <row r="5136">
      <c r="A5136" t="inlineStr">
        <is>
          <t>PF105127</t>
        </is>
      </c>
      <c r="B5136" s="68" t="n">
        <v>46276</v>
      </c>
      <c r="C5136" s="69" t="n">
        <v>2026</v>
      </c>
      <c r="D5136" t="inlineStr">
        <is>
          <t>Sep</t>
        </is>
      </c>
      <c r="E5136" t="inlineStr">
        <is>
          <t>Emerging markets</t>
        </is>
      </c>
      <c r="F5136" t="inlineStr">
        <is>
          <t>Mexico</t>
        </is>
      </c>
      <c r="G5136" t="inlineStr">
        <is>
          <t>Eliquis</t>
        </is>
      </c>
      <c r="H5136" t="inlineStr">
        <is>
          <t>Retail pharmacy</t>
        </is>
      </c>
      <c r="I5136" t="inlineStr">
        <is>
          <t>Private insurer</t>
        </is>
      </c>
      <c r="J5136" t="inlineStr">
        <is>
          <t>Olivia Brown</t>
        </is>
      </c>
      <c r="K5136" s="70" t="n">
        <v>2853</v>
      </c>
      <c r="L5136" s="71" t="n">
        <v>440.46</v>
      </c>
      <c r="M5136" s="71" t="n">
        <v>1256632.38</v>
      </c>
      <c r="N5136" s="71" t="n">
        <v>251326.48</v>
      </c>
      <c r="O5136" s="71" t="n">
        <v>1005305.9</v>
      </c>
      <c r="P5136" s="71" t="n">
        <v>220302.02</v>
      </c>
      <c r="Q5136" s="71" t="n">
        <v>785003.88</v>
      </c>
      <c r="R5136" t="inlineStr">
        <is>
          <t>Cardiology</t>
        </is>
      </c>
      <c r="S5136" s="70" t="n">
        <v>1849</v>
      </c>
      <c r="T5136" s="71" t="n">
        <v>194534.9</v>
      </c>
      <c r="U5136" t="inlineStr">
        <is>
          <t>High</t>
        </is>
      </c>
      <c r="V5136">
        <f>IF(AND(OR(Dashboard!$C$6="All",E5136=Dashboard!$C$6),OR(Dashboard!$F$6="All",G5136=Dashboard!$F$6),OR(Dashboard!$I$6="All",H5136=Dashboard!$I$6)),1,0)</f>
        <v/>
      </c>
    </row>
    <row r="5137">
      <c r="A5137" t="inlineStr">
        <is>
          <t>PF105128</t>
        </is>
      </c>
      <c r="B5137" s="68" t="n">
        <v>46276</v>
      </c>
      <c r="C5137" s="69" t="n">
        <v>2026</v>
      </c>
      <c r="D5137" t="inlineStr">
        <is>
          <t>Sep</t>
        </is>
      </c>
      <c r="E5137" t="inlineStr">
        <is>
          <t>United States</t>
        </is>
      </c>
      <c r="F5137" t="inlineStr">
        <is>
          <t>USA</t>
        </is>
      </c>
      <c r="G5137" t="inlineStr">
        <is>
          <t>Xeljanz</t>
        </is>
      </c>
      <c r="H5137" t="inlineStr">
        <is>
          <t>Retail pharmacy</t>
        </is>
      </c>
      <c r="I5137" t="inlineStr">
        <is>
          <t>Self-pay</t>
        </is>
      </c>
      <c r="J5137" t="inlineStr">
        <is>
          <t>Shraddha Kulkarni</t>
        </is>
      </c>
      <c r="K5137" s="70" t="n">
        <v>1311</v>
      </c>
      <c r="L5137" s="71" t="n">
        <v>2260.47</v>
      </c>
      <c r="M5137" s="71" t="n">
        <v>2963476.17</v>
      </c>
      <c r="N5137" s="71" t="n">
        <v>1037216.66</v>
      </c>
      <c r="O5137" s="71" t="n">
        <v>1926259.51</v>
      </c>
      <c r="P5137" s="71" t="n">
        <v>331111.13</v>
      </c>
      <c r="Q5137" s="71" t="n">
        <v>1595148.38</v>
      </c>
      <c r="R5137" t="inlineStr">
        <is>
          <t>Inflammation</t>
        </is>
      </c>
      <c r="S5137" s="70" t="n">
        <v>1223</v>
      </c>
      <c r="T5137" s="71" t="n">
        <v>456242.68</v>
      </c>
      <c r="U5137" t="inlineStr">
        <is>
          <t>High</t>
        </is>
      </c>
      <c r="V5137">
        <f>IF(AND(OR(Dashboard!$C$6="All",E5137=Dashboard!$C$6),OR(Dashboard!$F$6="All",G5137=Dashboard!$F$6),OR(Dashboard!$I$6="All",H5137=Dashboard!$I$6)),1,0)</f>
        <v/>
      </c>
    </row>
    <row r="5138">
      <c r="A5138" t="inlineStr">
        <is>
          <t>PF105129</t>
        </is>
      </c>
      <c r="B5138" s="68" t="n">
        <v>46276</v>
      </c>
      <c r="C5138" s="69" t="n">
        <v>2026</v>
      </c>
      <c r="D5138" t="inlineStr">
        <is>
          <t>Sep</t>
        </is>
      </c>
      <c r="E5138" t="inlineStr">
        <is>
          <t>United States</t>
        </is>
      </c>
      <c r="F5138" t="inlineStr">
        <is>
          <t>USA</t>
        </is>
      </c>
      <c r="G5138" t="inlineStr">
        <is>
          <t>Eliquis</t>
        </is>
      </c>
      <c r="H5138" t="inlineStr">
        <is>
          <t>Retail pharmacy</t>
        </is>
      </c>
      <c r="I5138" t="inlineStr">
        <is>
          <t>Private insurer</t>
        </is>
      </c>
      <c r="J5138" t="inlineStr">
        <is>
          <t>Olivia Brown</t>
        </is>
      </c>
      <c r="K5138" s="70" t="n">
        <v>1739</v>
      </c>
      <c r="L5138" s="71" t="n">
        <v>654.37</v>
      </c>
      <c r="M5138" s="71" t="n">
        <v>1137949.43</v>
      </c>
      <c r="N5138" s="71" t="n">
        <v>227589.89</v>
      </c>
      <c r="O5138" s="71" t="n">
        <v>910359.54</v>
      </c>
      <c r="P5138" s="71" t="n">
        <v>130765.9</v>
      </c>
      <c r="Q5138" s="71" t="n">
        <v>779593.64</v>
      </c>
      <c r="R5138" t="inlineStr">
        <is>
          <t>Cardiology</t>
        </is>
      </c>
      <c r="S5138" s="70" t="n">
        <v>1612</v>
      </c>
      <c r="T5138" s="71" t="n">
        <v>218179.9</v>
      </c>
      <c r="U5138" t="inlineStr">
        <is>
          <t>High</t>
        </is>
      </c>
      <c r="V5138">
        <f>IF(AND(OR(Dashboard!$C$6="All",E5138=Dashboard!$C$6),OR(Dashboard!$F$6="All",G5138=Dashboard!$F$6),OR(Dashboard!$I$6="All",H5138=Dashboard!$I$6)),1,0)</f>
        <v/>
      </c>
    </row>
    <row r="5139">
      <c r="A5139" t="inlineStr">
        <is>
          <t>PF105130</t>
        </is>
      </c>
      <c r="B5139" s="68" t="n">
        <v>46276</v>
      </c>
      <c r="C5139" s="69" t="n">
        <v>2026</v>
      </c>
      <c r="D5139" t="inlineStr">
        <is>
          <t>Sep</t>
        </is>
      </c>
      <c r="E5139" t="inlineStr">
        <is>
          <t>Europe</t>
        </is>
      </c>
      <c r="F5139" t="inlineStr">
        <is>
          <t>Spain</t>
        </is>
      </c>
      <c r="G5139" t="inlineStr">
        <is>
          <t>Eliquis</t>
        </is>
      </c>
      <c r="H5139" t="inlineStr">
        <is>
          <t>Government / tender</t>
        </is>
      </c>
      <c r="I5139" t="inlineStr">
        <is>
          <t>Self-pay</t>
        </is>
      </c>
      <c r="J5139" t="inlineStr">
        <is>
          <t>Sophie Müller</t>
        </is>
      </c>
      <c r="K5139" s="70" t="n">
        <v>2259</v>
      </c>
      <c r="L5139" s="71" t="n">
        <v>460.93</v>
      </c>
      <c r="M5139" s="71" t="n">
        <v>1041240.87</v>
      </c>
      <c r="N5139" s="71" t="n">
        <v>156186.13</v>
      </c>
      <c r="O5139" s="71" t="n">
        <v>885054.74</v>
      </c>
      <c r="P5139" s="71" t="n">
        <v>169062.86</v>
      </c>
      <c r="Q5139" s="71" t="n">
        <v>715991.88</v>
      </c>
      <c r="R5139" t="inlineStr">
        <is>
          <t>Cardiology</t>
        </is>
      </c>
      <c r="S5139" s="70" t="n">
        <v>1947</v>
      </c>
      <c r="T5139" s="71" t="n">
        <v>150644.03</v>
      </c>
      <c r="U5139" t="inlineStr">
        <is>
          <t>High</t>
        </is>
      </c>
      <c r="V5139">
        <f>IF(AND(OR(Dashboard!$C$6="All",E5139=Dashboard!$C$6),OR(Dashboard!$F$6="All",G5139=Dashboard!$F$6),OR(Dashboard!$I$6="All",H5139=Dashboard!$I$6)),1,0)</f>
        <v/>
      </c>
    </row>
    <row r="5140">
      <c r="A5140" t="inlineStr">
        <is>
          <t>PF105131</t>
        </is>
      </c>
      <c r="B5140" s="68" t="n">
        <v>46276</v>
      </c>
      <c r="C5140" s="69" t="n">
        <v>2026</v>
      </c>
      <c r="D5140" t="inlineStr">
        <is>
          <t>Sep</t>
        </is>
      </c>
      <c r="E5140" t="inlineStr">
        <is>
          <t>United States</t>
        </is>
      </c>
      <c r="F5140" t="inlineStr">
        <is>
          <t>USA</t>
        </is>
      </c>
      <c r="G5140" t="inlineStr">
        <is>
          <t>Ibrance</t>
        </is>
      </c>
      <c r="H5140" t="inlineStr">
        <is>
          <t>Hospital</t>
        </is>
      </c>
      <c r="I5140" t="inlineStr">
        <is>
          <t>Public payer</t>
        </is>
      </c>
      <c r="J5140" t="inlineStr">
        <is>
          <t>Emma Clarke</t>
        </is>
      </c>
      <c r="K5140" s="70" t="n">
        <v>2329</v>
      </c>
      <c r="L5140" s="71" t="n">
        <v>4676.84</v>
      </c>
      <c r="M5140" s="71" t="n">
        <v>10892360.36</v>
      </c>
      <c r="N5140" s="71" t="n">
        <v>2723090.09</v>
      </c>
      <c r="O5140" s="71" t="n">
        <v>8169270.27</v>
      </c>
      <c r="P5140" s="71" t="n">
        <v>1010544.48</v>
      </c>
      <c r="Q5140" s="71" t="n">
        <v>7158725.79</v>
      </c>
      <c r="R5140" t="inlineStr">
        <is>
          <t>Oncology</t>
        </is>
      </c>
      <c r="S5140" s="70" t="n">
        <v>1942</v>
      </c>
      <c r="T5140" s="71" t="n">
        <v>2253006.32</v>
      </c>
      <c r="U5140" t="inlineStr">
        <is>
          <t>High</t>
        </is>
      </c>
      <c r="V5140">
        <f>IF(AND(OR(Dashboard!$C$6="All",E5140=Dashboard!$C$6),OR(Dashboard!$F$6="All",G5140=Dashboard!$F$6),OR(Dashboard!$I$6="All",H5140=Dashboard!$I$6)),1,0)</f>
        <v/>
      </c>
    </row>
    <row r="5141">
      <c r="A5141" t="inlineStr">
        <is>
          <t>PF105132</t>
        </is>
      </c>
      <c r="B5141" s="68" t="n">
        <v>46276</v>
      </c>
      <c r="C5141" s="69" t="n">
        <v>2026</v>
      </c>
      <c r="D5141" t="inlineStr">
        <is>
          <t>Sep</t>
        </is>
      </c>
      <c r="E5141" t="inlineStr">
        <is>
          <t>Emerging markets</t>
        </is>
      </c>
      <c r="F5141" t="inlineStr">
        <is>
          <t>China</t>
        </is>
      </c>
      <c r="G5141" t="inlineStr">
        <is>
          <t>Ibrance</t>
        </is>
      </c>
      <c r="H5141" t="inlineStr">
        <is>
          <t>Retail pharmacy</t>
        </is>
      </c>
      <c r="I5141" t="inlineStr">
        <is>
          <t>Private insurer</t>
        </is>
      </c>
      <c r="J5141" t="inlineStr">
        <is>
          <t>Ana Costa</t>
        </is>
      </c>
      <c r="K5141" s="70" t="n">
        <v>2419</v>
      </c>
      <c r="L5141" s="71" t="n">
        <v>3012.89</v>
      </c>
      <c r="M5141" s="71" t="n">
        <v>7288180.91</v>
      </c>
      <c r="N5141" s="71" t="n">
        <v>364409.05</v>
      </c>
      <c r="O5141" s="71" t="n">
        <v>6923771.86</v>
      </c>
      <c r="P5141" s="71" t="n">
        <v>1034566.97</v>
      </c>
      <c r="Q5141" s="71" t="n">
        <v>5889204.89</v>
      </c>
      <c r="R5141" t="inlineStr">
        <is>
          <t>Oncology</t>
        </is>
      </c>
      <c r="S5141" s="70" t="n">
        <v>1838</v>
      </c>
      <c r="T5141" s="71" t="n">
        <v>1169083.3</v>
      </c>
      <c r="U5141" t="inlineStr">
        <is>
          <t>High</t>
        </is>
      </c>
      <c r="V5141">
        <f>IF(AND(OR(Dashboard!$C$6="All",E5141=Dashboard!$C$6),OR(Dashboard!$F$6="All",G5141=Dashboard!$F$6),OR(Dashboard!$I$6="All",H5141=Dashboard!$I$6)),1,0)</f>
        <v/>
      </c>
    </row>
    <row r="5142">
      <c r="A5142" t="inlineStr">
        <is>
          <t>PF105133</t>
        </is>
      </c>
      <c r="B5142" s="68" t="n">
        <v>46276</v>
      </c>
      <c r="C5142" s="69" t="n">
        <v>2026</v>
      </c>
      <c r="D5142" t="inlineStr">
        <is>
          <t>Sep</t>
        </is>
      </c>
      <c r="E5142" t="inlineStr">
        <is>
          <t>Europe</t>
        </is>
      </c>
      <c r="F5142" t="inlineStr">
        <is>
          <t>Germany</t>
        </is>
      </c>
      <c r="G5142" t="inlineStr">
        <is>
          <t>Comirnaty</t>
        </is>
      </c>
      <c r="H5142" t="inlineStr">
        <is>
          <t>Hospital</t>
        </is>
      </c>
      <c r="I5142" t="inlineStr">
        <is>
          <t>Public payer</t>
        </is>
      </c>
      <c r="J5142" t="inlineStr">
        <is>
          <t>Priya Nair</t>
        </is>
      </c>
      <c r="K5142" s="70" t="n">
        <v>1100</v>
      </c>
      <c r="L5142" s="71" t="n">
        <v>96.01000000000001</v>
      </c>
      <c r="M5142" s="71" t="n">
        <v>105611</v>
      </c>
      <c r="N5142" s="71" t="n">
        <v>5280.55</v>
      </c>
      <c r="O5142" s="71" t="n">
        <v>100330.45</v>
      </c>
      <c r="P5142" s="71" t="n">
        <v>41076.41</v>
      </c>
      <c r="Q5142" s="71" t="n">
        <v>59254.04</v>
      </c>
      <c r="R5142" t="inlineStr">
        <is>
          <t>Vaccines</t>
        </is>
      </c>
      <c r="S5142" s="70" t="n">
        <v>1082</v>
      </c>
      <c r="T5142" s="71" t="n">
        <v>16324.84</v>
      </c>
      <c r="U5142" t="inlineStr">
        <is>
          <t>Low</t>
        </is>
      </c>
      <c r="V5142">
        <f>IF(AND(OR(Dashboard!$C$6="All",E5142=Dashboard!$C$6),OR(Dashboard!$F$6="All",G5142=Dashboard!$F$6),OR(Dashboard!$I$6="All",H5142=Dashboard!$I$6)),1,0)</f>
        <v/>
      </c>
    </row>
    <row r="5143">
      <c r="A5143" t="inlineStr">
        <is>
          <t>PF105134</t>
        </is>
      </c>
      <c r="B5143" s="68" t="n">
        <v>46277</v>
      </c>
      <c r="C5143" s="69" t="n">
        <v>2026</v>
      </c>
      <c r="D5143" t="inlineStr">
        <is>
          <t>Sep</t>
        </is>
      </c>
      <c r="E5143" t="inlineStr">
        <is>
          <t>Emerging markets</t>
        </is>
      </c>
      <c r="F5143" t="inlineStr">
        <is>
          <t>China</t>
        </is>
      </c>
      <c r="G5143" t="inlineStr">
        <is>
          <t>Eliquis</t>
        </is>
      </c>
      <c r="H5143" t="inlineStr">
        <is>
          <t>Hospital</t>
        </is>
      </c>
      <c r="I5143" t="inlineStr">
        <is>
          <t>Public payer</t>
        </is>
      </c>
      <c r="J5143" t="inlineStr">
        <is>
          <t>Hiroshi Tanaka</t>
        </is>
      </c>
      <c r="K5143" s="70" t="n">
        <v>568</v>
      </c>
      <c r="L5143" s="71" t="n">
        <v>428.06</v>
      </c>
      <c r="M5143" s="71" t="n">
        <v>243138.08</v>
      </c>
      <c r="N5143" s="71" t="n">
        <v>60784.52</v>
      </c>
      <c r="O5143" s="71" t="n">
        <v>182353.56</v>
      </c>
      <c r="P5143" s="71" t="n">
        <v>41964.87</v>
      </c>
      <c r="Q5143" s="71" t="n">
        <v>140388.69</v>
      </c>
      <c r="R5143" t="inlineStr">
        <is>
          <t>Cardiology</t>
        </is>
      </c>
      <c r="S5143" s="70" t="n">
        <v>402</v>
      </c>
      <c r="T5143" s="71" t="n">
        <v>31385.62</v>
      </c>
      <c r="U5143" t="inlineStr">
        <is>
          <t>High</t>
        </is>
      </c>
      <c r="V5143">
        <f>IF(AND(OR(Dashboard!$C$6="All",E5143=Dashboard!$C$6),OR(Dashboard!$F$6="All",G5143=Dashboard!$F$6),OR(Dashboard!$I$6="All",H5143=Dashboard!$I$6)),1,0)</f>
        <v/>
      </c>
    </row>
    <row r="5144">
      <c r="A5144" t="inlineStr">
        <is>
          <t>PF105135</t>
        </is>
      </c>
      <c r="B5144" s="68" t="n">
        <v>46277</v>
      </c>
      <c r="C5144" s="69" t="n">
        <v>2026</v>
      </c>
      <c r="D5144" t="inlineStr">
        <is>
          <t>Sep</t>
        </is>
      </c>
      <c r="E5144" t="inlineStr">
        <is>
          <t>Europe</t>
        </is>
      </c>
      <c r="F5144" t="inlineStr">
        <is>
          <t>Germany</t>
        </is>
      </c>
      <c r="G5144" t="inlineStr">
        <is>
          <t>Eliquis</t>
        </is>
      </c>
      <c r="H5144" t="inlineStr">
        <is>
          <t>Retail pharmacy</t>
        </is>
      </c>
      <c r="I5144" t="inlineStr">
        <is>
          <t>Self-pay</t>
        </is>
      </c>
      <c r="J5144" t="inlineStr">
        <is>
          <t>Wei Chen</t>
        </is>
      </c>
      <c r="K5144" s="70" t="n">
        <v>1175</v>
      </c>
      <c r="L5144" s="71" t="n">
        <v>454.99</v>
      </c>
      <c r="M5144" s="71" t="n">
        <v>534613.25</v>
      </c>
      <c r="N5144" s="71" t="n">
        <v>133653.31</v>
      </c>
      <c r="O5144" s="71" t="n">
        <v>400959.94</v>
      </c>
      <c r="P5144" s="71" t="n">
        <v>90549.25999999999</v>
      </c>
      <c r="Q5144" s="71" t="n">
        <v>310410.68</v>
      </c>
      <c r="R5144" t="inlineStr">
        <is>
          <t>Cardiology</t>
        </is>
      </c>
      <c r="S5144" s="70" t="n">
        <v>747</v>
      </c>
      <c r="T5144" s="71" t="n">
        <v>102283.42</v>
      </c>
      <c r="U5144" t="inlineStr">
        <is>
          <t>High</t>
        </is>
      </c>
      <c r="V5144">
        <f>IF(AND(OR(Dashboard!$C$6="All",E5144=Dashboard!$C$6),OR(Dashboard!$F$6="All",G5144=Dashboard!$F$6),OR(Dashboard!$I$6="All",H5144=Dashboard!$I$6)),1,0)</f>
        <v/>
      </c>
    </row>
    <row r="5145">
      <c r="A5145" t="inlineStr">
        <is>
          <t>PF105136</t>
        </is>
      </c>
      <c r="B5145" s="68" t="n">
        <v>46277</v>
      </c>
      <c r="C5145" s="69" t="n">
        <v>2026</v>
      </c>
      <c r="D5145" t="inlineStr">
        <is>
          <t>Sep</t>
        </is>
      </c>
      <c r="E5145" t="inlineStr">
        <is>
          <t>United States</t>
        </is>
      </c>
      <c r="F5145" t="inlineStr">
        <is>
          <t>USA</t>
        </is>
      </c>
      <c r="G5145" t="inlineStr">
        <is>
          <t>Paxlovid</t>
        </is>
      </c>
      <c r="H5145" t="inlineStr">
        <is>
          <t>Retail pharmacy</t>
        </is>
      </c>
      <c r="I5145" t="inlineStr">
        <is>
          <t>Private insurer</t>
        </is>
      </c>
      <c r="J5145" t="inlineStr">
        <is>
          <t>Amir Khan</t>
        </is>
      </c>
      <c r="K5145" s="70" t="n">
        <v>1731</v>
      </c>
      <c r="L5145" s="71" t="n">
        <v>1483.28</v>
      </c>
      <c r="M5145" s="71" t="n">
        <v>2567557.68</v>
      </c>
      <c r="N5145" s="71" t="n">
        <v>770267.3</v>
      </c>
      <c r="O5145" s="71" t="n">
        <v>1797290.38</v>
      </c>
      <c r="P5145" s="71" t="n">
        <v>468246.95</v>
      </c>
      <c r="Q5145" s="71" t="n">
        <v>1329043.43</v>
      </c>
      <c r="R5145" t="inlineStr">
        <is>
          <t>Antiviral</t>
        </is>
      </c>
      <c r="S5145" s="70" t="n">
        <v>1707</v>
      </c>
      <c r="T5145" s="71" t="n">
        <v>484955.14</v>
      </c>
      <c r="U5145" t="inlineStr">
        <is>
          <t>Low</t>
        </is>
      </c>
      <c r="V5145">
        <f>IF(AND(OR(Dashboard!$C$6="All",E5145=Dashboard!$C$6),OR(Dashboard!$F$6="All",G5145=Dashboard!$F$6),OR(Dashboard!$I$6="All",H5145=Dashboard!$I$6)),1,0)</f>
        <v/>
      </c>
    </row>
    <row r="5146">
      <c r="A5146" t="inlineStr">
        <is>
          <t>PF105137</t>
        </is>
      </c>
      <c r="B5146" s="68" t="n">
        <v>46277</v>
      </c>
      <c r="C5146" s="69" t="n">
        <v>2026</v>
      </c>
      <c r="D5146" t="inlineStr">
        <is>
          <t>Sep</t>
        </is>
      </c>
      <c r="E5146" t="inlineStr">
        <is>
          <t>Europe</t>
        </is>
      </c>
      <c r="F5146" t="inlineStr">
        <is>
          <t>France</t>
        </is>
      </c>
      <c r="G5146" t="inlineStr">
        <is>
          <t>Prevnar 20</t>
        </is>
      </c>
      <c r="H5146" t="inlineStr">
        <is>
          <t>Government / tender</t>
        </is>
      </c>
      <c r="I5146" t="inlineStr">
        <is>
          <t>Private insurer</t>
        </is>
      </c>
      <c r="J5146" t="inlineStr">
        <is>
          <t>Omar Haddad</t>
        </is>
      </c>
      <c r="K5146" s="70" t="n">
        <v>1333</v>
      </c>
      <c r="L5146" s="71" t="n">
        <v>215.11</v>
      </c>
      <c r="M5146" s="71" t="n">
        <v>286741.63</v>
      </c>
      <c r="N5146" s="71" t="n">
        <v>71685.41</v>
      </c>
      <c r="O5146" s="71" t="n">
        <v>215056.22</v>
      </c>
      <c r="P5146" s="71" t="n">
        <v>91658.64999999999</v>
      </c>
      <c r="Q5146" s="71" t="n">
        <v>123397.57</v>
      </c>
      <c r="R5146" t="inlineStr">
        <is>
          <t>Vaccines</t>
        </is>
      </c>
      <c r="S5146" s="70" t="n">
        <v>944</v>
      </c>
      <c r="T5146" s="71" t="n">
        <v>53428.27</v>
      </c>
      <c r="U5146" t="inlineStr">
        <is>
          <t>Low</t>
        </is>
      </c>
      <c r="V5146">
        <f>IF(AND(OR(Dashboard!$C$6="All",E5146=Dashboard!$C$6),OR(Dashboard!$F$6="All",G5146=Dashboard!$F$6),OR(Dashboard!$I$6="All",H5146=Dashboard!$I$6)),1,0)</f>
        <v/>
      </c>
    </row>
    <row r="5147">
      <c r="A5147" t="inlineStr">
        <is>
          <t>PF105138</t>
        </is>
      </c>
      <c r="B5147" s="68" t="n">
        <v>46277</v>
      </c>
      <c r="C5147" s="69" t="n">
        <v>2026</v>
      </c>
      <c r="D5147" t="inlineStr">
        <is>
          <t>Sep</t>
        </is>
      </c>
      <c r="E5147" t="inlineStr">
        <is>
          <t>Emerging markets</t>
        </is>
      </c>
      <c r="F5147" t="inlineStr">
        <is>
          <t>China</t>
        </is>
      </c>
      <c r="G5147" t="inlineStr">
        <is>
          <t>Ibrance</t>
        </is>
      </c>
      <c r="H5147" t="inlineStr">
        <is>
          <t>Hospital</t>
        </is>
      </c>
      <c r="I5147" t="inlineStr">
        <is>
          <t>Self-pay</t>
        </is>
      </c>
      <c r="J5147" t="inlineStr">
        <is>
          <t>Shraddha Kulkarni</t>
        </is>
      </c>
      <c r="K5147" s="70" t="n">
        <v>681</v>
      </c>
      <c r="L5147" s="71" t="n">
        <v>3041.99</v>
      </c>
      <c r="M5147" s="71" t="n">
        <v>2071595.19</v>
      </c>
      <c r="N5147" s="71" t="n">
        <v>517898.8</v>
      </c>
      <c r="O5147" s="71" t="n">
        <v>1553696.39</v>
      </c>
      <c r="P5147" s="71" t="n">
        <v>299238.4</v>
      </c>
      <c r="Q5147" s="71" t="n">
        <v>1254457.99</v>
      </c>
      <c r="R5147" t="inlineStr">
        <is>
          <t>Oncology</t>
        </is>
      </c>
      <c r="S5147" s="70" t="n">
        <v>505</v>
      </c>
      <c r="T5147" s="71" t="n">
        <v>357804.71</v>
      </c>
      <c r="U5147" t="inlineStr">
        <is>
          <t>High</t>
        </is>
      </c>
      <c r="V5147">
        <f>IF(AND(OR(Dashboard!$C$6="All",E5147=Dashboard!$C$6),OR(Dashboard!$F$6="All",G5147=Dashboard!$F$6),OR(Dashboard!$I$6="All",H5147=Dashboard!$I$6)),1,0)</f>
        <v/>
      </c>
    </row>
    <row r="5148">
      <c r="A5148" t="inlineStr">
        <is>
          <t>PF105139</t>
        </is>
      </c>
      <c r="B5148" s="68" t="n">
        <v>46277</v>
      </c>
      <c r="C5148" s="69" t="n">
        <v>2026</v>
      </c>
      <c r="D5148" t="inlineStr">
        <is>
          <t>Sep</t>
        </is>
      </c>
      <c r="E5148" t="inlineStr">
        <is>
          <t>International developed</t>
        </is>
      </c>
      <c r="F5148" t="inlineStr">
        <is>
          <t>Canada</t>
        </is>
      </c>
      <c r="G5148" t="inlineStr">
        <is>
          <t>Vyndaqel</t>
        </is>
      </c>
      <c r="H5148" t="inlineStr">
        <is>
          <t>Government / tender</t>
        </is>
      </c>
      <c r="I5148" t="inlineStr">
        <is>
          <t>Public payer</t>
        </is>
      </c>
      <c r="J5148" t="inlineStr">
        <is>
          <t>Mei Lin</t>
        </is>
      </c>
      <c r="K5148" s="70" t="n">
        <v>3257</v>
      </c>
      <c r="L5148" s="71" t="n">
        <v>5512.57</v>
      </c>
      <c r="M5148" s="71" t="n">
        <v>17954440.49</v>
      </c>
      <c r="N5148" s="71" t="n">
        <v>2693166.07</v>
      </c>
      <c r="O5148" s="71" t="n">
        <v>15261274.42</v>
      </c>
      <c r="P5148" s="71" t="n">
        <v>2061610.98</v>
      </c>
      <c r="Q5148" s="71" t="n">
        <v>13199663.44</v>
      </c>
      <c r="R5148" t="inlineStr">
        <is>
          <t>Rare disease</t>
        </is>
      </c>
      <c r="S5148" s="70" t="n">
        <v>2867</v>
      </c>
      <c r="T5148" s="71" t="n">
        <v>2451399.28</v>
      </c>
      <c r="U5148" t="inlineStr">
        <is>
          <t>Medium</t>
        </is>
      </c>
      <c r="V5148">
        <f>IF(AND(OR(Dashboard!$C$6="All",E5148=Dashboard!$C$6),OR(Dashboard!$F$6="All",G5148=Dashboard!$F$6),OR(Dashboard!$I$6="All",H5148=Dashboard!$I$6)),1,0)</f>
        <v/>
      </c>
    </row>
    <row r="5149">
      <c r="A5149" t="inlineStr">
        <is>
          <t>PF105140</t>
        </is>
      </c>
      <c r="B5149" s="68" t="n">
        <v>46277</v>
      </c>
      <c r="C5149" s="69" t="n">
        <v>2026</v>
      </c>
      <c r="D5149" t="inlineStr">
        <is>
          <t>Sep</t>
        </is>
      </c>
      <c r="E5149" t="inlineStr">
        <is>
          <t>Emerging markets</t>
        </is>
      </c>
      <c r="F5149" t="inlineStr">
        <is>
          <t>Mexico</t>
        </is>
      </c>
      <c r="G5149" t="inlineStr">
        <is>
          <t>Prevnar 20</t>
        </is>
      </c>
      <c r="H5149" t="inlineStr">
        <is>
          <t>Hospital</t>
        </is>
      </c>
      <c r="I5149" t="inlineStr">
        <is>
          <t>Public payer</t>
        </is>
      </c>
      <c r="J5149" t="inlineStr">
        <is>
          <t>Wei Chen</t>
        </is>
      </c>
      <c r="K5149" s="70" t="n">
        <v>1516</v>
      </c>
      <c r="L5149" s="71" t="n">
        <v>212.68</v>
      </c>
      <c r="M5149" s="71" t="n">
        <v>322422.88</v>
      </c>
      <c r="N5149" s="71" t="n">
        <v>64484.58</v>
      </c>
      <c r="O5149" s="71" t="n">
        <v>257938.3</v>
      </c>
      <c r="P5149" s="71" t="n">
        <v>107084.85</v>
      </c>
      <c r="Q5149" s="71" t="n">
        <v>150853.45</v>
      </c>
      <c r="R5149" t="inlineStr">
        <is>
          <t>Vaccines</t>
        </is>
      </c>
      <c r="S5149" s="70" t="n">
        <v>1341</v>
      </c>
      <c r="T5149" s="71" t="n">
        <v>42541.35</v>
      </c>
      <c r="U5149" t="inlineStr">
        <is>
          <t>Low</t>
        </is>
      </c>
      <c r="V5149">
        <f>IF(AND(OR(Dashboard!$C$6="All",E5149=Dashboard!$C$6),OR(Dashboard!$F$6="All",G5149=Dashboard!$F$6),OR(Dashboard!$I$6="All",H5149=Dashboard!$I$6)),1,0)</f>
        <v/>
      </c>
    </row>
    <row r="5150">
      <c r="A5150" t="inlineStr">
        <is>
          <t>PF105141</t>
        </is>
      </c>
      <c r="B5150" s="68" t="n">
        <v>46277</v>
      </c>
      <c r="C5150" s="69" t="n">
        <v>2026</v>
      </c>
      <c r="D5150" t="inlineStr">
        <is>
          <t>Sep</t>
        </is>
      </c>
      <c r="E5150" t="inlineStr">
        <is>
          <t>International developed</t>
        </is>
      </c>
      <c r="F5150" t="inlineStr">
        <is>
          <t>Japan</t>
        </is>
      </c>
      <c r="G5150" t="inlineStr">
        <is>
          <t>Eliquis</t>
        </is>
      </c>
      <c r="H5150" t="inlineStr">
        <is>
          <t>Retail pharmacy</t>
        </is>
      </c>
      <c r="I5150" t="inlineStr">
        <is>
          <t>Public payer</t>
        </is>
      </c>
      <c r="J5150" t="inlineStr">
        <is>
          <t>Arjun Mehta</t>
        </is>
      </c>
      <c r="K5150" s="70" t="n">
        <v>1143</v>
      </c>
      <c r="L5150" s="71" t="n">
        <v>446.55</v>
      </c>
      <c r="M5150" s="71" t="n">
        <v>510406.65</v>
      </c>
      <c r="N5150" s="71" t="n">
        <v>76561</v>
      </c>
      <c r="O5150" s="71" t="n">
        <v>433845.65</v>
      </c>
      <c r="P5150" s="71" t="n">
        <v>89499.64</v>
      </c>
      <c r="Q5150" s="71" t="n">
        <v>344346.01</v>
      </c>
      <c r="R5150" t="inlineStr">
        <is>
          <t>Cardiology</t>
        </is>
      </c>
      <c r="S5150" s="70" t="n">
        <v>759</v>
      </c>
      <c r="T5150" s="71" t="n">
        <v>82156.67</v>
      </c>
      <c r="U5150" t="inlineStr">
        <is>
          <t>High</t>
        </is>
      </c>
      <c r="V5150">
        <f>IF(AND(OR(Dashboard!$C$6="All",E5150=Dashboard!$C$6),OR(Dashboard!$F$6="All",G5150=Dashboard!$F$6),OR(Dashboard!$I$6="All",H5150=Dashboard!$I$6)),1,0)</f>
        <v/>
      </c>
    </row>
    <row r="5151">
      <c r="A5151" t="inlineStr">
        <is>
          <t>PF105142</t>
        </is>
      </c>
      <c r="B5151" s="68" t="n">
        <v>46277</v>
      </c>
      <c r="C5151" s="69" t="n">
        <v>2026</v>
      </c>
      <c r="D5151" t="inlineStr">
        <is>
          <t>Sep</t>
        </is>
      </c>
      <c r="E5151" t="inlineStr">
        <is>
          <t>Europe</t>
        </is>
      </c>
      <c r="F5151" t="inlineStr">
        <is>
          <t>Germany</t>
        </is>
      </c>
      <c r="G5151" t="inlineStr">
        <is>
          <t>Ibrance</t>
        </is>
      </c>
      <c r="H5151" t="inlineStr">
        <is>
          <t>Retail pharmacy</t>
        </is>
      </c>
      <c r="I5151" t="inlineStr">
        <is>
          <t>Private insurer</t>
        </is>
      </c>
      <c r="J5151" t="inlineStr">
        <is>
          <t>Emma Clarke</t>
        </is>
      </c>
      <c r="K5151" s="70" t="n">
        <v>2124</v>
      </c>
      <c r="L5151" s="71" t="n">
        <v>2754.8</v>
      </c>
      <c r="M5151" s="71" t="n">
        <v>5851195.2</v>
      </c>
      <c r="N5151" s="71" t="n">
        <v>1170239.04</v>
      </c>
      <c r="O5151" s="71" t="n">
        <v>4680956.16</v>
      </c>
      <c r="P5151" s="71" t="n">
        <v>930542.87</v>
      </c>
      <c r="Q5151" s="71" t="n">
        <v>3750413.29</v>
      </c>
      <c r="R5151" t="inlineStr">
        <is>
          <t>Oncology</t>
        </is>
      </c>
      <c r="S5151" s="70" t="n">
        <v>1357</v>
      </c>
      <c r="T5151" s="71" t="n">
        <v>970581.83</v>
      </c>
      <c r="U5151" t="inlineStr">
        <is>
          <t>High</t>
        </is>
      </c>
      <c r="V5151">
        <f>IF(AND(OR(Dashboard!$C$6="All",E5151=Dashboard!$C$6),OR(Dashboard!$F$6="All",G5151=Dashboard!$F$6),OR(Dashboard!$I$6="All",H5151=Dashboard!$I$6)),1,0)</f>
        <v/>
      </c>
    </row>
    <row r="5152">
      <c r="A5152" t="inlineStr">
        <is>
          <t>PF105143</t>
        </is>
      </c>
      <c r="B5152" s="68" t="n">
        <v>46278</v>
      </c>
      <c r="C5152" s="69" t="n">
        <v>2026</v>
      </c>
      <c r="D5152" t="inlineStr">
        <is>
          <t>Sep</t>
        </is>
      </c>
      <c r="E5152" t="inlineStr">
        <is>
          <t>United States</t>
        </is>
      </c>
      <c r="F5152" t="inlineStr">
        <is>
          <t>USA</t>
        </is>
      </c>
      <c r="G5152" t="inlineStr">
        <is>
          <t>Vyndaqel</t>
        </is>
      </c>
      <c r="H5152" t="inlineStr">
        <is>
          <t>Government / tender</t>
        </is>
      </c>
      <c r="I5152" t="inlineStr">
        <is>
          <t>Private insurer</t>
        </is>
      </c>
      <c r="J5152" t="inlineStr">
        <is>
          <t>Priya Nair</t>
        </is>
      </c>
      <c r="K5152" s="70" t="n">
        <v>2814</v>
      </c>
      <c r="L5152" s="71" t="n">
        <v>8829.68</v>
      </c>
      <c r="M5152" s="71" t="n">
        <v>24846719.52</v>
      </c>
      <c r="N5152" s="71" t="n">
        <v>8696351.83</v>
      </c>
      <c r="O5152" s="71" t="n">
        <v>16150367.69</v>
      </c>
      <c r="P5152" s="71" t="n">
        <v>1747688.53</v>
      </c>
      <c r="Q5152" s="71" t="n">
        <v>14402679.16</v>
      </c>
      <c r="R5152" t="inlineStr">
        <is>
          <t>Rare disease</t>
        </is>
      </c>
      <c r="S5152" s="70" t="n">
        <v>2053</v>
      </c>
      <c r="T5152" s="71" t="n">
        <v>3686661.9</v>
      </c>
      <c r="U5152" t="inlineStr">
        <is>
          <t>Medium</t>
        </is>
      </c>
      <c r="V5152">
        <f>IF(AND(OR(Dashboard!$C$6="All",E5152=Dashboard!$C$6),OR(Dashboard!$F$6="All",G5152=Dashboard!$F$6),OR(Dashboard!$I$6="All",H5152=Dashboard!$I$6)),1,0)</f>
        <v/>
      </c>
    </row>
    <row r="5153">
      <c r="A5153" t="inlineStr">
        <is>
          <t>PF105144</t>
        </is>
      </c>
      <c r="B5153" s="68" t="n">
        <v>46278</v>
      </c>
      <c r="C5153" s="69" t="n">
        <v>2026</v>
      </c>
      <c r="D5153" t="inlineStr">
        <is>
          <t>Sep</t>
        </is>
      </c>
      <c r="E5153" t="inlineStr">
        <is>
          <t>Europe</t>
        </is>
      </c>
      <c r="F5153" t="inlineStr">
        <is>
          <t>Italy</t>
        </is>
      </c>
      <c r="G5153" t="inlineStr">
        <is>
          <t>Prevnar 20</t>
        </is>
      </c>
      <c r="H5153" t="inlineStr">
        <is>
          <t>Retail pharmacy</t>
        </is>
      </c>
      <c r="I5153" t="inlineStr">
        <is>
          <t>Public payer</t>
        </is>
      </c>
      <c r="J5153" t="inlineStr">
        <is>
          <t>Ravindra Patil</t>
        </is>
      </c>
      <c r="K5153" s="70" t="n">
        <v>568</v>
      </c>
      <c r="L5153" s="71" t="n">
        <v>227.34</v>
      </c>
      <c r="M5153" s="71" t="n">
        <v>129129.12</v>
      </c>
      <c r="N5153" s="71" t="n">
        <v>6456.46</v>
      </c>
      <c r="O5153" s="71" t="n">
        <v>122672.66</v>
      </c>
      <c r="P5153" s="71" t="n">
        <v>38912.96</v>
      </c>
      <c r="Q5153" s="71" t="n">
        <v>83759.7</v>
      </c>
      <c r="R5153" t="inlineStr">
        <is>
          <t>Vaccines</t>
        </is>
      </c>
      <c r="S5153" s="70" t="n">
        <v>376</v>
      </c>
      <c r="T5153" s="71" t="n">
        <v>19735.82</v>
      </c>
      <c r="U5153" t="inlineStr">
        <is>
          <t>Low</t>
        </is>
      </c>
      <c r="V5153">
        <f>IF(AND(OR(Dashboard!$C$6="All",E5153=Dashboard!$C$6),OR(Dashboard!$F$6="All",G5153=Dashboard!$F$6),OR(Dashboard!$I$6="All",H5153=Dashboard!$I$6)),1,0)</f>
        <v/>
      </c>
    </row>
    <row r="5154">
      <c r="A5154" t="inlineStr">
        <is>
          <t>PF105145</t>
        </is>
      </c>
      <c r="B5154" s="68" t="n">
        <v>46278</v>
      </c>
      <c r="C5154" s="69" t="n">
        <v>2026</v>
      </c>
      <c r="D5154" t="inlineStr">
        <is>
          <t>Sep</t>
        </is>
      </c>
      <c r="E5154" t="inlineStr">
        <is>
          <t>Europe</t>
        </is>
      </c>
      <c r="F5154" t="inlineStr">
        <is>
          <t>France</t>
        </is>
      </c>
      <c r="G5154" t="inlineStr">
        <is>
          <t>Eliquis</t>
        </is>
      </c>
      <c r="H5154" t="inlineStr">
        <is>
          <t>Retail pharmacy</t>
        </is>
      </c>
      <c r="I5154" t="inlineStr">
        <is>
          <t>Private insurer</t>
        </is>
      </c>
      <c r="J5154" t="inlineStr">
        <is>
          <t>Priya Nair</t>
        </is>
      </c>
      <c r="K5154" s="70" t="n">
        <v>1227</v>
      </c>
      <c r="L5154" s="71" t="n">
        <v>417.41</v>
      </c>
      <c r="M5154" s="71" t="n">
        <v>512162.07</v>
      </c>
      <c r="N5154" s="71" t="n">
        <v>128040.52</v>
      </c>
      <c r="O5154" s="71" t="n">
        <v>384121.55</v>
      </c>
      <c r="P5154" s="71" t="n">
        <v>92238.14999999999</v>
      </c>
      <c r="Q5154" s="71" t="n">
        <v>291883.4</v>
      </c>
      <c r="R5154" t="inlineStr">
        <is>
          <t>Cardiology</t>
        </is>
      </c>
      <c r="S5154" s="70" t="n">
        <v>810</v>
      </c>
      <c r="T5154" s="71" t="n">
        <v>96606.63</v>
      </c>
      <c r="U5154" t="inlineStr">
        <is>
          <t>High</t>
        </is>
      </c>
      <c r="V5154">
        <f>IF(AND(OR(Dashboard!$C$6="All",E5154=Dashboard!$C$6),OR(Dashboard!$F$6="All",G5154=Dashboard!$F$6),OR(Dashboard!$I$6="All",H5154=Dashboard!$I$6)),1,0)</f>
        <v/>
      </c>
    </row>
    <row r="5155">
      <c r="A5155" t="inlineStr">
        <is>
          <t>PF105146</t>
        </is>
      </c>
      <c r="B5155" s="68" t="n">
        <v>46278</v>
      </c>
      <c r="C5155" s="69" t="n">
        <v>2026</v>
      </c>
      <c r="D5155" t="inlineStr">
        <is>
          <t>Sep</t>
        </is>
      </c>
      <c r="E5155" t="inlineStr">
        <is>
          <t>Europe</t>
        </is>
      </c>
      <c r="F5155" t="inlineStr">
        <is>
          <t>Italy</t>
        </is>
      </c>
      <c r="G5155" t="inlineStr">
        <is>
          <t>Abrysvo</t>
        </is>
      </c>
      <c r="H5155" t="inlineStr">
        <is>
          <t>Hospital</t>
        </is>
      </c>
      <c r="I5155" t="inlineStr">
        <is>
          <t>Public payer</t>
        </is>
      </c>
      <c r="J5155" t="inlineStr">
        <is>
          <t>Ana Costa</t>
        </is>
      </c>
      <c r="K5155" s="70" t="n">
        <v>1295</v>
      </c>
      <c r="L5155" s="71" t="n">
        <v>315.16</v>
      </c>
      <c r="M5155" s="71" t="n">
        <v>408132.2</v>
      </c>
      <c r="N5155" s="71" t="n">
        <v>61219.83</v>
      </c>
      <c r="O5155" s="71" t="n">
        <v>346912.37</v>
      </c>
      <c r="P5155" s="71" t="n">
        <v>110743.97</v>
      </c>
      <c r="Q5155" s="71" t="n">
        <v>236168.4</v>
      </c>
      <c r="R5155" t="inlineStr">
        <is>
          <t>Vaccines</t>
        </is>
      </c>
      <c r="S5155" s="70" t="n">
        <v>1268</v>
      </c>
      <c r="T5155" s="71" t="n">
        <v>54928.64</v>
      </c>
      <c r="U5155" t="inlineStr">
        <is>
          <t>Low</t>
        </is>
      </c>
      <c r="V5155">
        <f>IF(AND(OR(Dashboard!$C$6="All",E5155=Dashboard!$C$6),OR(Dashboard!$F$6="All",G5155=Dashboard!$F$6),OR(Dashboard!$I$6="All",H5155=Dashboard!$I$6)),1,0)</f>
        <v/>
      </c>
    </row>
    <row r="5156">
      <c r="A5156" t="inlineStr">
        <is>
          <t>PF105147</t>
        </is>
      </c>
      <c r="B5156" s="68" t="n">
        <v>46279</v>
      </c>
      <c r="C5156" s="69" t="n">
        <v>2026</v>
      </c>
      <c r="D5156" t="inlineStr">
        <is>
          <t>Sep</t>
        </is>
      </c>
      <c r="E5156" t="inlineStr">
        <is>
          <t>United States</t>
        </is>
      </c>
      <c r="F5156" t="inlineStr">
        <is>
          <t>USA</t>
        </is>
      </c>
      <c r="G5156" t="inlineStr">
        <is>
          <t>Abrysvo</t>
        </is>
      </c>
      <c r="H5156" t="inlineStr">
        <is>
          <t>Retail pharmacy</t>
        </is>
      </c>
      <c r="I5156" t="inlineStr">
        <is>
          <t>Self-pay</t>
        </is>
      </c>
      <c r="J5156" t="inlineStr">
        <is>
          <t>Olivia Brown</t>
        </is>
      </c>
      <c r="K5156" s="70" t="n">
        <v>2222</v>
      </c>
      <c r="L5156" s="71" t="n">
        <v>502.17</v>
      </c>
      <c r="M5156" s="71" t="n">
        <v>1115821.74</v>
      </c>
      <c r="N5156" s="71" t="n">
        <v>278955.43</v>
      </c>
      <c r="O5156" s="71" t="n">
        <v>836866.3100000001</v>
      </c>
      <c r="P5156" s="71" t="n">
        <v>184092.9</v>
      </c>
      <c r="Q5156" s="71" t="n">
        <v>652773.41</v>
      </c>
      <c r="R5156" t="inlineStr">
        <is>
          <t>Vaccines</t>
        </is>
      </c>
      <c r="S5156" s="70" t="n">
        <v>1666</v>
      </c>
      <c r="T5156" s="71" t="n">
        <v>165634.74</v>
      </c>
      <c r="U5156" t="inlineStr">
        <is>
          <t>Low</t>
        </is>
      </c>
      <c r="V5156">
        <f>IF(AND(OR(Dashboard!$C$6="All",E5156=Dashboard!$C$6),OR(Dashboard!$F$6="All",G5156=Dashboard!$F$6),OR(Dashboard!$I$6="All",H5156=Dashboard!$I$6)),1,0)</f>
        <v/>
      </c>
    </row>
    <row r="5157">
      <c r="A5157" t="inlineStr">
        <is>
          <t>PF105148</t>
        </is>
      </c>
      <c r="B5157" s="68" t="n">
        <v>46279</v>
      </c>
      <c r="C5157" s="69" t="n">
        <v>2026</v>
      </c>
      <c r="D5157" t="inlineStr">
        <is>
          <t>Sep</t>
        </is>
      </c>
      <c r="E5157" t="inlineStr">
        <is>
          <t>United States</t>
        </is>
      </c>
      <c r="F5157" t="inlineStr">
        <is>
          <t>USA</t>
        </is>
      </c>
      <c r="G5157" t="inlineStr">
        <is>
          <t>Abrysvo</t>
        </is>
      </c>
      <c r="H5157" t="inlineStr">
        <is>
          <t>Government / tender</t>
        </is>
      </c>
      <c r="I5157" t="inlineStr">
        <is>
          <t>Private insurer</t>
        </is>
      </c>
      <c r="J5157" t="inlineStr">
        <is>
          <t>Hiroshi Tanaka</t>
        </is>
      </c>
      <c r="K5157" s="70" t="n">
        <v>2386</v>
      </c>
      <c r="L5157" s="71" t="n">
        <v>492.46</v>
      </c>
      <c r="M5157" s="71" t="n">
        <v>1175009.56</v>
      </c>
      <c r="N5157" s="71" t="n">
        <v>235001.91</v>
      </c>
      <c r="O5157" s="71" t="n">
        <v>940007.65</v>
      </c>
      <c r="P5157" s="71" t="n">
        <v>197558.79</v>
      </c>
      <c r="Q5157" s="71" t="n">
        <v>742448.86</v>
      </c>
      <c r="R5157" t="inlineStr">
        <is>
          <t>Vaccines</t>
        </is>
      </c>
      <c r="S5157" s="70" t="n">
        <v>1992</v>
      </c>
      <c r="T5157" s="71" t="n">
        <v>150883.15</v>
      </c>
      <c r="U5157" t="inlineStr">
        <is>
          <t>Low</t>
        </is>
      </c>
      <c r="V5157">
        <f>IF(AND(OR(Dashboard!$C$6="All",E5157=Dashboard!$C$6),OR(Dashboard!$F$6="All",G5157=Dashboard!$F$6),OR(Dashboard!$I$6="All",H5157=Dashboard!$I$6)),1,0)</f>
        <v/>
      </c>
    </row>
    <row r="5158">
      <c r="A5158" t="inlineStr">
        <is>
          <t>PF105149</t>
        </is>
      </c>
      <c r="B5158" s="68" t="n">
        <v>46279</v>
      </c>
      <c r="C5158" s="69" t="n">
        <v>2026</v>
      </c>
      <c r="D5158" t="inlineStr">
        <is>
          <t>Sep</t>
        </is>
      </c>
      <c r="E5158" t="inlineStr">
        <is>
          <t>United States</t>
        </is>
      </c>
      <c r="F5158" t="inlineStr">
        <is>
          <t>USA</t>
        </is>
      </c>
      <c r="G5158" t="inlineStr">
        <is>
          <t>Paxlovid</t>
        </is>
      </c>
      <c r="H5158" t="inlineStr">
        <is>
          <t>Hospital</t>
        </is>
      </c>
      <c r="I5158" t="inlineStr">
        <is>
          <t>Public payer</t>
        </is>
      </c>
      <c r="J5158" t="inlineStr">
        <is>
          <t>Ruhi Shaikh</t>
        </is>
      </c>
      <c r="K5158" s="70" t="n">
        <v>890</v>
      </c>
      <c r="L5158" s="71" t="n">
        <v>1506.62</v>
      </c>
      <c r="M5158" s="71" t="n">
        <v>1340891.8</v>
      </c>
      <c r="N5158" s="71" t="n">
        <v>469312.13</v>
      </c>
      <c r="O5158" s="71" t="n">
        <v>871579.67</v>
      </c>
      <c r="P5158" s="71" t="n">
        <v>238281.98</v>
      </c>
      <c r="Q5158" s="71" t="n">
        <v>633297.6899999999</v>
      </c>
      <c r="R5158" t="inlineStr">
        <is>
          <t>Antiviral</t>
        </is>
      </c>
      <c r="S5158" s="70" t="n">
        <v>665</v>
      </c>
      <c r="T5158" s="71" t="n">
        <v>282549.55</v>
      </c>
      <c r="U5158" t="inlineStr">
        <is>
          <t>Low</t>
        </is>
      </c>
      <c r="V5158">
        <f>IF(AND(OR(Dashboard!$C$6="All",E5158=Dashboard!$C$6),OR(Dashboard!$F$6="All",G5158=Dashboard!$F$6),OR(Dashboard!$I$6="All",H5158=Dashboard!$I$6)),1,0)</f>
        <v/>
      </c>
    </row>
    <row r="5159">
      <c r="A5159" t="inlineStr">
        <is>
          <t>PF105150</t>
        </is>
      </c>
      <c r="B5159" s="68" t="n">
        <v>46279</v>
      </c>
      <c r="C5159" s="69" t="n">
        <v>2026</v>
      </c>
      <c r="D5159" t="inlineStr">
        <is>
          <t>Sep</t>
        </is>
      </c>
      <c r="E5159" t="inlineStr">
        <is>
          <t>Emerging markets</t>
        </is>
      </c>
      <c r="F5159" t="inlineStr">
        <is>
          <t>India</t>
        </is>
      </c>
      <c r="G5159" t="inlineStr">
        <is>
          <t>Xeljanz</t>
        </is>
      </c>
      <c r="H5159" t="inlineStr">
        <is>
          <t>Government / tender</t>
        </is>
      </c>
      <c r="I5159" t="inlineStr">
        <is>
          <t>Public payer</t>
        </is>
      </c>
      <c r="J5159" t="inlineStr">
        <is>
          <t>Carlos Silva</t>
        </is>
      </c>
      <c r="K5159" s="70" t="n">
        <v>1868</v>
      </c>
      <c r="L5159" s="71" t="n">
        <v>1358.45</v>
      </c>
      <c r="M5159" s="71" t="n">
        <v>2537584.6</v>
      </c>
      <c r="N5159" s="71" t="n">
        <v>634396.15</v>
      </c>
      <c r="O5159" s="71" t="n">
        <v>1903188.45</v>
      </c>
      <c r="P5159" s="71" t="n">
        <v>487885.21</v>
      </c>
      <c r="Q5159" s="71" t="n">
        <v>1415303.24</v>
      </c>
      <c r="R5159" t="inlineStr">
        <is>
          <t>Inflammation</t>
        </is>
      </c>
      <c r="S5159" s="70" t="n">
        <v>1192</v>
      </c>
      <c r="T5159" s="71" t="n">
        <v>467847.2</v>
      </c>
      <c r="U5159" t="inlineStr">
        <is>
          <t>High</t>
        </is>
      </c>
      <c r="V5159">
        <f>IF(AND(OR(Dashboard!$C$6="All",E5159=Dashboard!$C$6),OR(Dashboard!$F$6="All",G5159=Dashboard!$F$6),OR(Dashboard!$I$6="All",H5159=Dashboard!$I$6)),1,0)</f>
        <v/>
      </c>
    </row>
    <row r="5160">
      <c r="A5160" t="inlineStr">
        <is>
          <t>PF105151</t>
        </is>
      </c>
      <c r="B5160" s="68" t="n">
        <v>46279</v>
      </c>
      <c r="C5160" s="69" t="n">
        <v>2026</v>
      </c>
      <c r="D5160" t="inlineStr">
        <is>
          <t>Sep</t>
        </is>
      </c>
      <c r="E5160" t="inlineStr">
        <is>
          <t>United States</t>
        </is>
      </c>
      <c r="F5160" t="inlineStr">
        <is>
          <t>USA</t>
        </is>
      </c>
      <c r="G5160" t="inlineStr">
        <is>
          <t>Prevnar 20</t>
        </is>
      </c>
      <c r="H5160" t="inlineStr">
        <is>
          <t>Retail pharmacy</t>
        </is>
      </c>
      <c r="I5160" t="inlineStr">
        <is>
          <t>Public payer</t>
        </is>
      </c>
      <c r="J5160" t="inlineStr">
        <is>
          <t>Noah Smith</t>
        </is>
      </c>
      <c r="K5160" s="70" t="n">
        <v>2186</v>
      </c>
      <c r="L5160" s="71" t="n">
        <v>409.55</v>
      </c>
      <c r="M5160" s="71" t="n">
        <v>895276.3</v>
      </c>
      <c r="N5160" s="71" t="n">
        <v>223819.08</v>
      </c>
      <c r="O5160" s="71" t="n">
        <v>671457.22</v>
      </c>
      <c r="P5160" s="71" t="n">
        <v>147921.24</v>
      </c>
      <c r="Q5160" s="71" t="n">
        <v>523535.98</v>
      </c>
      <c r="R5160" t="inlineStr">
        <is>
          <t>Vaccines</t>
        </is>
      </c>
      <c r="S5160" s="70" t="n">
        <v>1851</v>
      </c>
      <c r="T5160" s="71" t="n">
        <v>124405.6</v>
      </c>
      <c r="U5160" t="inlineStr">
        <is>
          <t>Low</t>
        </is>
      </c>
      <c r="V5160">
        <f>IF(AND(OR(Dashboard!$C$6="All",E5160=Dashboard!$C$6),OR(Dashboard!$F$6="All",G5160=Dashboard!$F$6),OR(Dashboard!$I$6="All",H5160=Dashboard!$I$6)),1,0)</f>
        <v/>
      </c>
    </row>
    <row r="5161">
      <c r="A5161" t="inlineStr">
        <is>
          <t>PF105152</t>
        </is>
      </c>
      <c r="B5161" s="68" t="n">
        <v>46279</v>
      </c>
      <c r="C5161" s="69" t="n">
        <v>2026</v>
      </c>
      <c r="D5161" t="inlineStr">
        <is>
          <t>Sep</t>
        </is>
      </c>
      <c r="E5161" t="inlineStr">
        <is>
          <t>International developed</t>
        </is>
      </c>
      <c r="F5161" t="inlineStr">
        <is>
          <t>Canada</t>
        </is>
      </c>
      <c r="G5161" t="inlineStr">
        <is>
          <t>Prevnar 20</t>
        </is>
      </c>
      <c r="H5161" t="inlineStr">
        <is>
          <t>Hospital</t>
        </is>
      </c>
      <c r="I5161" t="inlineStr">
        <is>
          <t>Public payer</t>
        </is>
      </c>
      <c r="J5161" t="inlineStr">
        <is>
          <t>Ana Costa</t>
        </is>
      </c>
      <c r="K5161" s="70" t="n">
        <v>2945</v>
      </c>
      <c r="L5161" s="71" t="n">
        <v>257.41</v>
      </c>
      <c r="M5161" s="71" t="n">
        <v>758072.45</v>
      </c>
      <c r="N5161" s="71" t="n">
        <v>113710.87</v>
      </c>
      <c r="O5161" s="71" t="n">
        <v>644361.58</v>
      </c>
      <c r="P5161" s="71" t="n">
        <v>205282.16</v>
      </c>
      <c r="Q5161" s="71" t="n">
        <v>439079.42</v>
      </c>
      <c r="R5161" t="inlineStr">
        <is>
          <t>Vaccines</t>
        </is>
      </c>
      <c r="S5161" s="70" t="n">
        <v>1845</v>
      </c>
      <c r="T5161" s="71" t="n">
        <v>151742.57</v>
      </c>
      <c r="U5161" t="inlineStr">
        <is>
          <t>Low</t>
        </is>
      </c>
      <c r="V5161">
        <f>IF(AND(OR(Dashboard!$C$6="All",E5161=Dashboard!$C$6),OR(Dashboard!$F$6="All",G5161=Dashboard!$F$6),OR(Dashboard!$I$6="All",H5161=Dashboard!$I$6)),1,0)</f>
        <v/>
      </c>
    </row>
    <row r="5162">
      <c r="A5162" t="inlineStr">
        <is>
          <t>PF105153</t>
        </is>
      </c>
      <c r="B5162" s="68" t="n">
        <v>46280</v>
      </c>
      <c r="C5162" s="69" t="n">
        <v>2026</v>
      </c>
      <c r="D5162" t="inlineStr">
        <is>
          <t>Sep</t>
        </is>
      </c>
      <c r="E5162" t="inlineStr">
        <is>
          <t>Emerging markets</t>
        </is>
      </c>
      <c r="F5162" t="inlineStr">
        <is>
          <t>India</t>
        </is>
      </c>
      <c r="G5162" t="inlineStr">
        <is>
          <t>Ibrance</t>
        </is>
      </c>
      <c r="H5162" t="inlineStr">
        <is>
          <t>Government / tender</t>
        </is>
      </c>
      <c r="I5162" t="inlineStr">
        <is>
          <t>Private insurer</t>
        </is>
      </c>
      <c r="J5162" t="inlineStr">
        <is>
          <t>Noah Smith</t>
        </is>
      </c>
      <c r="K5162" s="70" t="n">
        <v>474</v>
      </c>
      <c r="L5162" s="71" t="n">
        <v>2972.04</v>
      </c>
      <c r="M5162" s="71" t="n">
        <v>1408746.96</v>
      </c>
      <c r="N5162" s="71" t="n">
        <v>352186.74</v>
      </c>
      <c r="O5162" s="71" t="n">
        <v>1056560.22</v>
      </c>
      <c r="P5162" s="71" t="n">
        <v>211347.42</v>
      </c>
      <c r="Q5162" s="71" t="n">
        <v>845212.8</v>
      </c>
      <c r="R5162" t="inlineStr">
        <is>
          <t>Oncology</t>
        </is>
      </c>
      <c r="S5162" s="70" t="n">
        <v>306</v>
      </c>
      <c r="T5162" s="71" t="n">
        <v>216860.43</v>
      </c>
      <c r="U5162" t="inlineStr">
        <is>
          <t>High</t>
        </is>
      </c>
      <c r="V5162">
        <f>IF(AND(OR(Dashboard!$C$6="All",E5162=Dashboard!$C$6),OR(Dashboard!$F$6="All",G5162=Dashboard!$F$6),OR(Dashboard!$I$6="All",H5162=Dashboard!$I$6)),1,0)</f>
        <v/>
      </c>
    </row>
    <row r="5163">
      <c r="A5163" t="inlineStr">
        <is>
          <t>PF105154</t>
        </is>
      </c>
      <c r="B5163" s="68" t="n">
        <v>46280</v>
      </c>
      <c r="C5163" s="69" t="n">
        <v>2026</v>
      </c>
      <c r="D5163" t="inlineStr">
        <is>
          <t>Sep</t>
        </is>
      </c>
      <c r="E5163" t="inlineStr">
        <is>
          <t>United States</t>
        </is>
      </c>
      <c r="F5163" t="inlineStr">
        <is>
          <t>USA</t>
        </is>
      </c>
      <c r="G5163" t="inlineStr">
        <is>
          <t>Eliquis</t>
        </is>
      </c>
      <c r="H5163" t="inlineStr">
        <is>
          <t>Retail pharmacy</t>
        </is>
      </c>
      <c r="I5163" t="inlineStr">
        <is>
          <t>Private insurer</t>
        </is>
      </c>
      <c r="J5163" t="inlineStr">
        <is>
          <t>Wei Chen</t>
        </is>
      </c>
      <c r="K5163" s="70" t="n">
        <v>3020</v>
      </c>
      <c r="L5163" s="71" t="n">
        <v>678.26</v>
      </c>
      <c r="M5163" s="71" t="n">
        <v>2048345.2</v>
      </c>
      <c r="N5163" s="71" t="n">
        <v>512086.3</v>
      </c>
      <c r="O5163" s="71" t="n">
        <v>1536258.9</v>
      </c>
      <c r="P5163" s="71" t="n">
        <v>237440.14</v>
      </c>
      <c r="Q5163" s="71" t="n">
        <v>1298818.76</v>
      </c>
      <c r="R5163" t="inlineStr">
        <is>
          <t>Cardiology</t>
        </is>
      </c>
      <c r="S5163" s="70" t="n">
        <v>2607</v>
      </c>
      <c r="T5163" s="71" t="n">
        <v>417859.23</v>
      </c>
      <c r="U5163" t="inlineStr">
        <is>
          <t>High</t>
        </is>
      </c>
      <c r="V5163">
        <f>IF(AND(OR(Dashboard!$C$6="All",E5163=Dashboard!$C$6),OR(Dashboard!$F$6="All",G5163=Dashboard!$F$6),OR(Dashboard!$I$6="All",H5163=Dashboard!$I$6)),1,0)</f>
        <v/>
      </c>
    </row>
    <row r="5164">
      <c r="A5164" t="inlineStr">
        <is>
          <t>PF105155</t>
        </is>
      </c>
      <c r="B5164" s="68" t="n">
        <v>46280</v>
      </c>
      <c r="C5164" s="69" t="n">
        <v>2026</v>
      </c>
      <c r="D5164" t="inlineStr">
        <is>
          <t>Sep</t>
        </is>
      </c>
      <c r="E5164" t="inlineStr">
        <is>
          <t>Europe</t>
        </is>
      </c>
      <c r="F5164" t="inlineStr">
        <is>
          <t>Spain</t>
        </is>
      </c>
      <c r="G5164" t="inlineStr">
        <is>
          <t>Prevnar 20</t>
        </is>
      </c>
      <c r="H5164" t="inlineStr">
        <is>
          <t>Hospital</t>
        </is>
      </c>
      <c r="I5164" t="inlineStr">
        <is>
          <t>Private insurer</t>
        </is>
      </c>
      <c r="J5164" t="inlineStr">
        <is>
          <t>Lucas Martin</t>
        </is>
      </c>
      <c r="K5164" s="70" t="n">
        <v>399</v>
      </c>
      <c r="L5164" s="71" t="n">
        <v>255.68</v>
      </c>
      <c r="M5164" s="71" t="n">
        <v>102016.32</v>
      </c>
      <c r="N5164" s="71" t="n">
        <v>15302.45</v>
      </c>
      <c r="O5164" s="71" t="n">
        <v>86713.87</v>
      </c>
      <c r="P5164" s="71" t="n">
        <v>26529.07</v>
      </c>
      <c r="Q5164" s="71" t="n">
        <v>60184.8</v>
      </c>
      <c r="R5164" t="inlineStr">
        <is>
          <t>Vaccines</t>
        </is>
      </c>
      <c r="S5164" s="70" t="n">
        <v>378</v>
      </c>
      <c r="T5164" s="71" t="n">
        <v>21832.33</v>
      </c>
      <c r="U5164" t="inlineStr">
        <is>
          <t>Low</t>
        </is>
      </c>
      <c r="V5164">
        <f>IF(AND(OR(Dashboard!$C$6="All",E5164=Dashboard!$C$6),OR(Dashboard!$F$6="All",G5164=Dashboard!$F$6),OR(Dashboard!$I$6="All",H5164=Dashboard!$I$6)),1,0)</f>
        <v/>
      </c>
    </row>
    <row r="5165">
      <c r="A5165" t="inlineStr">
        <is>
          <t>PF105156</t>
        </is>
      </c>
      <c r="B5165" s="68" t="n">
        <v>46280</v>
      </c>
      <c r="C5165" s="69" t="n">
        <v>2026</v>
      </c>
      <c r="D5165" t="inlineStr">
        <is>
          <t>Sep</t>
        </is>
      </c>
      <c r="E5165" t="inlineStr">
        <is>
          <t>Europe</t>
        </is>
      </c>
      <c r="F5165" t="inlineStr">
        <is>
          <t>Italy</t>
        </is>
      </c>
      <c r="G5165" t="inlineStr">
        <is>
          <t>Prevnar 20</t>
        </is>
      </c>
      <c r="H5165" t="inlineStr">
        <is>
          <t>Retail pharmacy</t>
        </is>
      </c>
      <c r="I5165" t="inlineStr">
        <is>
          <t>Private insurer</t>
        </is>
      </c>
      <c r="J5165" t="inlineStr">
        <is>
          <t>Ravindra Patil</t>
        </is>
      </c>
      <c r="K5165" s="70" t="n">
        <v>231</v>
      </c>
      <c r="L5165" s="71" t="n">
        <v>216.46</v>
      </c>
      <c r="M5165" s="71" t="n">
        <v>50002.26</v>
      </c>
      <c r="N5165" s="71" t="n">
        <v>10000.45</v>
      </c>
      <c r="O5165" s="71" t="n">
        <v>40001.81</v>
      </c>
      <c r="P5165" s="71" t="n">
        <v>16214.62</v>
      </c>
      <c r="Q5165" s="71" t="n">
        <v>23787.19</v>
      </c>
      <c r="R5165" t="inlineStr">
        <is>
          <t>Vaccines</t>
        </is>
      </c>
      <c r="S5165" s="70" t="n">
        <v>163</v>
      </c>
      <c r="T5165" s="71" t="n">
        <v>5969.89</v>
      </c>
      <c r="U5165" t="inlineStr">
        <is>
          <t>Low</t>
        </is>
      </c>
      <c r="V5165">
        <f>IF(AND(OR(Dashboard!$C$6="All",E5165=Dashboard!$C$6),OR(Dashboard!$F$6="All",G5165=Dashboard!$F$6),OR(Dashboard!$I$6="All",H5165=Dashboard!$I$6)),1,0)</f>
        <v/>
      </c>
    </row>
    <row r="5166">
      <c r="A5166" t="inlineStr">
        <is>
          <t>PF105157</t>
        </is>
      </c>
      <c r="B5166" s="68" t="n">
        <v>46280</v>
      </c>
      <c r="C5166" s="69" t="n">
        <v>2026</v>
      </c>
      <c r="D5166" t="inlineStr">
        <is>
          <t>Sep</t>
        </is>
      </c>
      <c r="E5166" t="inlineStr">
        <is>
          <t>United States</t>
        </is>
      </c>
      <c r="F5166" t="inlineStr">
        <is>
          <t>USA</t>
        </is>
      </c>
      <c r="G5166" t="inlineStr">
        <is>
          <t>Comirnaty</t>
        </is>
      </c>
      <c r="H5166" t="inlineStr">
        <is>
          <t>Retail pharmacy</t>
        </is>
      </c>
      <c r="I5166" t="inlineStr">
        <is>
          <t>Public payer</t>
        </is>
      </c>
      <c r="J5166" t="inlineStr">
        <is>
          <t>Hiroshi Tanaka</t>
        </is>
      </c>
      <c r="K5166" s="70" t="n">
        <v>1027</v>
      </c>
      <c r="L5166" s="71" t="n">
        <v>154.62</v>
      </c>
      <c r="M5166" s="71" t="n">
        <v>158794.74</v>
      </c>
      <c r="N5166" s="71" t="n">
        <v>39698.68</v>
      </c>
      <c r="O5166" s="71" t="n">
        <v>119096.06</v>
      </c>
      <c r="P5166" s="71" t="n">
        <v>38653.83</v>
      </c>
      <c r="Q5166" s="71" t="n">
        <v>80442.23</v>
      </c>
      <c r="R5166" t="inlineStr">
        <is>
          <t>Vaccines</t>
        </is>
      </c>
      <c r="S5166" s="70" t="n">
        <v>705</v>
      </c>
      <c r="T5166" s="71" t="n">
        <v>37564.74</v>
      </c>
      <c r="U5166" t="inlineStr">
        <is>
          <t>Low</t>
        </is>
      </c>
      <c r="V5166">
        <f>IF(AND(OR(Dashboard!$C$6="All",E5166=Dashboard!$C$6),OR(Dashboard!$F$6="All",G5166=Dashboard!$F$6),OR(Dashboard!$I$6="All",H5166=Dashboard!$I$6)),1,0)</f>
        <v/>
      </c>
    </row>
    <row r="5167">
      <c r="A5167" t="inlineStr">
        <is>
          <t>PF105158</t>
        </is>
      </c>
      <c r="B5167" s="68" t="n">
        <v>46280</v>
      </c>
      <c r="C5167" s="69" t="n">
        <v>2026</v>
      </c>
      <c r="D5167" t="inlineStr">
        <is>
          <t>Sep</t>
        </is>
      </c>
      <c r="E5167" t="inlineStr">
        <is>
          <t>United States</t>
        </is>
      </c>
      <c r="F5167" t="inlineStr">
        <is>
          <t>USA</t>
        </is>
      </c>
      <c r="G5167" t="inlineStr">
        <is>
          <t>Prevnar 20</t>
        </is>
      </c>
      <c r="H5167" t="inlineStr">
        <is>
          <t>Hospital</t>
        </is>
      </c>
      <c r="I5167" t="inlineStr">
        <is>
          <t>Self-pay</t>
        </is>
      </c>
      <c r="J5167" t="inlineStr">
        <is>
          <t>Ravindra Patil</t>
        </is>
      </c>
      <c r="K5167" s="70" t="n">
        <v>464</v>
      </c>
      <c r="L5167" s="71" t="n">
        <v>403.62</v>
      </c>
      <c r="M5167" s="71" t="n">
        <v>187279.68</v>
      </c>
      <c r="N5167" s="71" t="n">
        <v>37455.94</v>
      </c>
      <c r="O5167" s="71" t="n">
        <v>149823.74</v>
      </c>
      <c r="P5167" s="71" t="n">
        <v>31648.03</v>
      </c>
      <c r="Q5167" s="71" t="n">
        <v>118175.71</v>
      </c>
      <c r="R5167" t="inlineStr">
        <is>
          <t>Vaccines</t>
        </is>
      </c>
      <c r="S5167" s="70" t="n">
        <v>444</v>
      </c>
      <c r="T5167" s="71" t="n">
        <v>23029.81</v>
      </c>
      <c r="U5167" t="inlineStr">
        <is>
          <t>Low</t>
        </is>
      </c>
      <c r="V5167">
        <f>IF(AND(OR(Dashboard!$C$6="All",E5167=Dashboard!$C$6),OR(Dashboard!$F$6="All",G5167=Dashboard!$F$6),OR(Dashboard!$I$6="All",H5167=Dashboard!$I$6)),1,0)</f>
        <v/>
      </c>
    </row>
    <row r="5168">
      <c r="A5168" t="inlineStr">
        <is>
          <t>PF105159</t>
        </is>
      </c>
      <c r="B5168" s="68" t="n">
        <v>46280</v>
      </c>
      <c r="C5168" s="69" t="n">
        <v>2026</v>
      </c>
      <c r="D5168" t="inlineStr">
        <is>
          <t>Sep</t>
        </is>
      </c>
      <c r="E5168" t="inlineStr">
        <is>
          <t>Emerging markets</t>
        </is>
      </c>
      <c r="F5168" t="inlineStr">
        <is>
          <t>Mexico</t>
        </is>
      </c>
      <c r="G5168" t="inlineStr">
        <is>
          <t>Paxlovid</t>
        </is>
      </c>
      <c r="H5168" t="inlineStr">
        <is>
          <t>Hospital</t>
        </is>
      </c>
      <c r="I5168" t="inlineStr">
        <is>
          <t>Private insurer</t>
        </is>
      </c>
      <c r="J5168" t="inlineStr">
        <is>
          <t>Liam O'Brien</t>
        </is>
      </c>
      <c r="K5168" s="70" t="n">
        <v>593</v>
      </c>
      <c r="L5168" s="71" t="n">
        <v>872.78</v>
      </c>
      <c r="M5168" s="71" t="n">
        <v>517558.54</v>
      </c>
      <c r="N5168" s="71" t="n">
        <v>25877.93</v>
      </c>
      <c r="O5168" s="71" t="n">
        <v>491680.61</v>
      </c>
      <c r="P5168" s="71" t="n">
        <v>167487.78</v>
      </c>
      <c r="Q5168" s="71" t="n">
        <v>324192.83</v>
      </c>
      <c r="R5168" t="inlineStr">
        <is>
          <t>Antiviral</t>
        </is>
      </c>
      <c r="S5168" s="70" t="n">
        <v>417</v>
      </c>
      <c r="T5168" s="71" t="n">
        <v>114260.51</v>
      </c>
      <c r="U5168" t="inlineStr">
        <is>
          <t>Low</t>
        </is>
      </c>
      <c r="V5168">
        <f>IF(AND(OR(Dashboard!$C$6="All",E5168=Dashboard!$C$6),OR(Dashboard!$F$6="All",G5168=Dashboard!$F$6),OR(Dashboard!$I$6="All",H5168=Dashboard!$I$6)),1,0)</f>
        <v/>
      </c>
    </row>
    <row r="5169">
      <c r="A5169" t="inlineStr">
        <is>
          <t>PF105160</t>
        </is>
      </c>
      <c r="B5169" s="68" t="n">
        <v>46280</v>
      </c>
      <c r="C5169" s="69" t="n">
        <v>2026</v>
      </c>
      <c r="D5169" t="inlineStr">
        <is>
          <t>Sep</t>
        </is>
      </c>
      <c r="E5169" t="inlineStr">
        <is>
          <t>Emerging markets</t>
        </is>
      </c>
      <c r="F5169" t="inlineStr">
        <is>
          <t>Mexico</t>
        </is>
      </c>
      <c r="G5169" t="inlineStr">
        <is>
          <t>Prevnar 20</t>
        </is>
      </c>
      <c r="H5169" t="inlineStr">
        <is>
          <t>Retail pharmacy</t>
        </is>
      </c>
      <c r="I5169" t="inlineStr">
        <is>
          <t>Public payer</t>
        </is>
      </c>
      <c r="J5169" t="inlineStr">
        <is>
          <t>Amir Khan</t>
        </is>
      </c>
      <c r="K5169" s="70" t="n">
        <v>2068</v>
      </c>
      <c r="L5169" s="71" t="n">
        <v>244.05</v>
      </c>
      <c r="M5169" s="71" t="n">
        <v>504695.4</v>
      </c>
      <c r="N5169" s="71" t="n">
        <v>25234.77</v>
      </c>
      <c r="O5169" s="71" t="n">
        <v>479460.63</v>
      </c>
      <c r="P5169" s="71" t="n">
        <v>140891.44</v>
      </c>
      <c r="Q5169" s="71" t="n">
        <v>338569.19</v>
      </c>
      <c r="R5169" t="inlineStr">
        <is>
          <t>Vaccines</t>
        </is>
      </c>
      <c r="S5169" s="70" t="n">
        <v>1539</v>
      </c>
      <c r="T5169" s="71" t="n">
        <v>73057.39999999999</v>
      </c>
      <c r="U5169" t="inlineStr">
        <is>
          <t>Low</t>
        </is>
      </c>
      <c r="V5169">
        <f>IF(AND(OR(Dashboard!$C$6="All",E5169=Dashboard!$C$6),OR(Dashboard!$F$6="All",G5169=Dashboard!$F$6),OR(Dashboard!$I$6="All",H5169=Dashboard!$I$6)),1,0)</f>
        <v/>
      </c>
    </row>
    <row r="5170">
      <c r="A5170" t="inlineStr">
        <is>
          <t>PF105161</t>
        </is>
      </c>
      <c r="B5170" s="68" t="n">
        <v>46280</v>
      </c>
      <c r="C5170" s="69" t="n">
        <v>2026</v>
      </c>
      <c r="D5170" t="inlineStr">
        <is>
          <t>Sep</t>
        </is>
      </c>
      <c r="E5170" t="inlineStr">
        <is>
          <t>United States</t>
        </is>
      </c>
      <c r="F5170" t="inlineStr">
        <is>
          <t>USA</t>
        </is>
      </c>
      <c r="G5170" t="inlineStr">
        <is>
          <t>Vyndaqel</t>
        </is>
      </c>
      <c r="H5170" t="inlineStr">
        <is>
          <t>Hospital</t>
        </is>
      </c>
      <c r="I5170" t="inlineStr">
        <is>
          <t>Private insurer</t>
        </is>
      </c>
      <c r="J5170" t="inlineStr">
        <is>
          <t>Hiroshi Tanaka</t>
        </is>
      </c>
      <c r="K5170" s="70" t="n">
        <v>1137</v>
      </c>
      <c r="L5170" s="71" t="n">
        <v>8528.540000000001</v>
      </c>
      <c r="M5170" s="71" t="n">
        <v>9696949.98</v>
      </c>
      <c r="N5170" s="71" t="n">
        <v>1939390</v>
      </c>
      <c r="O5170" s="71" t="n">
        <v>7757559.98</v>
      </c>
      <c r="P5170" s="71" t="n">
        <v>731791.59</v>
      </c>
      <c r="Q5170" s="71" t="n">
        <v>7025768.39</v>
      </c>
      <c r="R5170" t="inlineStr">
        <is>
          <t>Rare disease</t>
        </is>
      </c>
      <c r="S5170" s="70" t="n">
        <v>734</v>
      </c>
      <c r="T5170" s="71" t="n">
        <v>1818428.85</v>
      </c>
      <c r="U5170" t="inlineStr">
        <is>
          <t>Medium</t>
        </is>
      </c>
      <c r="V5170">
        <f>IF(AND(OR(Dashboard!$C$6="All",E5170=Dashboard!$C$6),OR(Dashboard!$F$6="All",G5170=Dashboard!$F$6),OR(Dashboard!$I$6="All",H5170=Dashboard!$I$6)),1,0)</f>
        <v/>
      </c>
    </row>
    <row r="5171">
      <c r="A5171" t="inlineStr">
        <is>
          <t>PF105162</t>
        </is>
      </c>
      <c r="B5171" s="68" t="n">
        <v>46280</v>
      </c>
      <c r="C5171" s="69" t="n">
        <v>2026</v>
      </c>
      <c r="D5171" t="inlineStr">
        <is>
          <t>Sep</t>
        </is>
      </c>
      <c r="E5171" t="inlineStr">
        <is>
          <t>Europe</t>
        </is>
      </c>
      <c r="F5171" t="inlineStr">
        <is>
          <t>Italy</t>
        </is>
      </c>
      <c r="G5171" t="inlineStr">
        <is>
          <t>Comirnaty</t>
        </is>
      </c>
      <c r="H5171" t="inlineStr">
        <is>
          <t>Hospital</t>
        </is>
      </c>
      <c r="I5171" t="inlineStr">
        <is>
          <t>Private insurer</t>
        </is>
      </c>
      <c r="J5171" t="inlineStr">
        <is>
          <t>Kofi Mensah</t>
        </is>
      </c>
      <c r="K5171" s="70" t="n">
        <v>2010</v>
      </c>
      <c r="L5171" s="71" t="n">
        <v>95.40000000000001</v>
      </c>
      <c r="M5171" s="71" t="n">
        <v>191754</v>
      </c>
      <c r="N5171" s="71" t="n">
        <v>9587.700000000001</v>
      </c>
      <c r="O5171" s="71" t="n">
        <v>182166.3</v>
      </c>
      <c r="P5171" s="71" t="n">
        <v>78245.53</v>
      </c>
      <c r="Q5171" s="71" t="n">
        <v>103920.77</v>
      </c>
      <c r="R5171" t="inlineStr">
        <is>
          <t>Vaccines</t>
        </is>
      </c>
      <c r="S5171" s="70" t="n">
        <v>1358</v>
      </c>
      <c r="T5171" s="71" t="n">
        <v>30758.29</v>
      </c>
      <c r="U5171" t="inlineStr">
        <is>
          <t>Low</t>
        </is>
      </c>
      <c r="V5171">
        <f>IF(AND(OR(Dashboard!$C$6="All",E5171=Dashboard!$C$6),OR(Dashboard!$F$6="All",G5171=Dashboard!$F$6),OR(Dashboard!$I$6="All",H5171=Dashboard!$I$6)),1,0)</f>
        <v/>
      </c>
    </row>
    <row r="5172">
      <c r="A5172" t="inlineStr">
        <is>
          <t>PF105163</t>
        </is>
      </c>
      <c r="B5172" s="68" t="n">
        <v>46280</v>
      </c>
      <c r="C5172" s="69" t="n">
        <v>2026</v>
      </c>
      <c r="D5172" t="inlineStr">
        <is>
          <t>Sep</t>
        </is>
      </c>
      <c r="E5172" t="inlineStr">
        <is>
          <t>Europe</t>
        </is>
      </c>
      <c r="F5172" t="inlineStr">
        <is>
          <t>France</t>
        </is>
      </c>
      <c r="G5172" t="inlineStr">
        <is>
          <t>Vyndaqel</t>
        </is>
      </c>
      <c r="H5172" t="inlineStr">
        <is>
          <t>Hospital</t>
        </is>
      </c>
      <c r="I5172" t="inlineStr">
        <is>
          <t>Private insurer</t>
        </is>
      </c>
      <c r="J5172" t="inlineStr">
        <is>
          <t>Ravindra Patil</t>
        </is>
      </c>
      <c r="K5172" s="70" t="n">
        <v>937</v>
      </c>
      <c r="L5172" s="71" t="n">
        <v>5648.5</v>
      </c>
      <c r="M5172" s="71" t="n">
        <v>5292644.5</v>
      </c>
      <c r="N5172" s="71" t="n">
        <v>793896.67</v>
      </c>
      <c r="O5172" s="71" t="n">
        <v>4498747.83</v>
      </c>
      <c r="P5172" s="71" t="n">
        <v>564836.65</v>
      </c>
      <c r="Q5172" s="71" t="n">
        <v>3933911.18</v>
      </c>
      <c r="R5172" t="inlineStr">
        <is>
          <t>Rare disease</t>
        </is>
      </c>
      <c r="S5172" s="70" t="n">
        <v>675</v>
      </c>
      <c r="T5172" s="71" t="n">
        <v>837941.46</v>
      </c>
      <c r="U5172" t="inlineStr">
        <is>
          <t>Medium</t>
        </is>
      </c>
      <c r="V5172">
        <f>IF(AND(OR(Dashboard!$C$6="All",E5172=Dashboard!$C$6),OR(Dashboard!$F$6="All",G5172=Dashboard!$F$6),OR(Dashboard!$I$6="All",H5172=Dashboard!$I$6)),1,0)</f>
        <v/>
      </c>
    </row>
    <row r="5173">
      <c r="A5173" t="inlineStr">
        <is>
          <t>PF105164</t>
        </is>
      </c>
      <c r="B5173" s="68" t="n">
        <v>46280</v>
      </c>
      <c r="C5173" s="69" t="n">
        <v>2026</v>
      </c>
      <c r="D5173" t="inlineStr">
        <is>
          <t>Sep</t>
        </is>
      </c>
      <c r="E5173" t="inlineStr">
        <is>
          <t>United States</t>
        </is>
      </c>
      <c r="F5173" t="inlineStr">
        <is>
          <t>USA</t>
        </is>
      </c>
      <c r="G5173" t="inlineStr">
        <is>
          <t>Ibrance</t>
        </is>
      </c>
      <c r="H5173" t="inlineStr">
        <is>
          <t>Retail pharmacy</t>
        </is>
      </c>
      <c r="I5173" t="inlineStr">
        <is>
          <t>Private insurer</t>
        </is>
      </c>
      <c r="J5173" t="inlineStr">
        <is>
          <t>Kofi Mensah</t>
        </is>
      </c>
      <c r="K5173" s="70" t="n">
        <v>1623</v>
      </c>
      <c r="L5173" s="71" t="n">
        <v>4513.88</v>
      </c>
      <c r="M5173" s="71" t="n">
        <v>7326027.24</v>
      </c>
      <c r="N5173" s="71" t="n">
        <v>1831506.81</v>
      </c>
      <c r="O5173" s="71" t="n">
        <v>5494520.43</v>
      </c>
      <c r="P5173" s="71" t="n">
        <v>694480.21</v>
      </c>
      <c r="Q5173" s="71" t="n">
        <v>4800040.22</v>
      </c>
      <c r="R5173" t="inlineStr">
        <is>
          <t>Oncology</t>
        </is>
      </c>
      <c r="S5173" s="70" t="n">
        <v>1122</v>
      </c>
      <c r="T5173" s="71" t="n">
        <v>1159879.03</v>
      </c>
      <c r="U5173" t="inlineStr">
        <is>
          <t>High</t>
        </is>
      </c>
      <c r="V5173">
        <f>IF(AND(OR(Dashboard!$C$6="All",E5173=Dashboard!$C$6),OR(Dashboard!$F$6="All",G5173=Dashboard!$F$6),OR(Dashboard!$I$6="All",H5173=Dashboard!$I$6)),1,0)</f>
        <v/>
      </c>
    </row>
    <row r="5174">
      <c r="A5174" t="inlineStr">
        <is>
          <t>PF105165</t>
        </is>
      </c>
      <c r="B5174" s="68" t="n">
        <v>46280</v>
      </c>
      <c r="C5174" s="69" t="n">
        <v>2026</v>
      </c>
      <c r="D5174" t="inlineStr">
        <is>
          <t>Sep</t>
        </is>
      </c>
      <c r="E5174" t="inlineStr">
        <is>
          <t>Emerging markets</t>
        </is>
      </c>
      <c r="F5174" t="inlineStr">
        <is>
          <t>China</t>
        </is>
      </c>
      <c r="G5174" t="inlineStr">
        <is>
          <t>Eliquis</t>
        </is>
      </c>
      <c r="H5174" t="inlineStr">
        <is>
          <t>Hospital</t>
        </is>
      </c>
      <c r="I5174" t="inlineStr">
        <is>
          <t>Private insurer</t>
        </is>
      </c>
      <c r="J5174" t="inlineStr">
        <is>
          <t>Hiroshi Tanaka</t>
        </is>
      </c>
      <c r="K5174" s="70" t="n">
        <v>1997</v>
      </c>
      <c r="L5174" s="71" t="n">
        <v>399.83</v>
      </c>
      <c r="M5174" s="71" t="n">
        <v>798460.51</v>
      </c>
      <c r="N5174" s="71" t="n">
        <v>199615.13</v>
      </c>
      <c r="O5174" s="71" t="n">
        <v>598845.38</v>
      </c>
      <c r="P5174" s="71" t="n">
        <v>153128.32</v>
      </c>
      <c r="Q5174" s="71" t="n">
        <v>445717.06</v>
      </c>
      <c r="R5174" t="inlineStr">
        <is>
          <t>Cardiology</t>
        </is>
      </c>
      <c r="S5174" s="70" t="n">
        <v>1328</v>
      </c>
      <c r="T5174" s="71" t="n">
        <v>128599.54</v>
      </c>
      <c r="U5174" t="inlineStr">
        <is>
          <t>High</t>
        </is>
      </c>
      <c r="V5174">
        <f>IF(AND(OR(Dashboard!$C$6="All",E5174=Dashboard!$C$6),OR(Dashboard!$F$6="All",G5174=Dashboard!$F$6),OR(Dashboard!$I$6="All",H5174=Dashboard!$I$6)),1,0)</f>
        <v/>
      </c>
    </row>
    <row r="5175">
      <c r="A5175" t="inlineStr">
        <is>
          <t>PF105166</t>
        </is>
      </c>
      <c r="B5175" s="68" t="n">
        <v>46280</v>
      </c>
      <c r="C5175" s="69" t="n">
        <v>2026</v>
      </c>
      <c r="D5175" t="inlineStr">
        <is>
          <t>Sep</t>
        </is>
      </c>
      <c r="E5175" t="inlineStr">
        <is>
          <t>Europe</t>
        </is>
      </c>
      <c r="F5175" t="inlineStr">
        <is>
          <t>Germany</t>
        </is>
      </c>
      <c r="G5175" t="inlineStr">
        <is>
          <t>Xeljanz</t>
        </is>
      </c>
      <c r="H5175" t="inlineStr">
        <is>
          <t>Government / tender</t>
        </is>
      </c>
      <c r="I5175" t="inlineStr">
        <is>
          <t>Private insurer</t>
        </is>
      </c>
      <c r="J5175" t="inlineStr">
        <is>
          <t>Fatima Al-Saud</t>
        </is>
      </c>
      <c r="K5175" s="70" t="n">
        <v>2875</v>
      </c>
      <c r="L5175" s="71" t="n">
        <v>1450.44</v>
      </c>
      <c r="M5175" s="71" t="n">
        <v>4170015</v>
      </c>
      <c r="N5175" s="71" t="n">
        <v>1042503.75</v>
      </c>
      <c r="O5175" s="71" t="n">
        <v>3127511.25</v>
      </c>
      <c r="P5175" s="71" t="n">
        <v>737977.9</v>
      </c>
      <c r="Q5175" s="71" t="n">
        <v>2389533.35</v>
      </c>
      <c r="R5175" t="inlineStr">
        <is>
          <t>Inflammation</t>
        </is>
      </c>
      <c r="S5175" s="70" t="n">
        <v>2251</v>
      </c>
      <c r="T5175" s="71" t="n">
        <v>577466.29</v>
      </c>
      <c r="U5175" t="inlineStr">
        <is>
          <t>High</t>
        </is>
      </c>
      <c r="V5175">
        <f>IF(AND(OR(Dashboard!$C$6="All",E5175=Dashboard!$C$6),OR(Dashboard!$F$6="All",G5175=Dashboard!$F$6),OR(Dashboard!$I$6="All",H5175=Dashboard!$I$6)),1,0)</f>
        <v/>
      </c>
    </row>
    <row r="5176">
      <c r="A5176" t="inlineStr">
        <is>
          <t>PF105167</t>
        </is>
      </c>
      <c r="B5176" s="68" t="n">
        <v>46280</v>
      </c>
      <c r="C5176" s="69" t="n">
        <v>2026</v>
      </c>
      <c r="D5176" t="inlineStr">
        <is>
          <t>Sep</t>
        </is>
      </c>
      <c r="E5176" t="inlineStr">
        <is>
          <t>International developed</t>
        </is>
      </c>
      <c r="F5176" t="inlineStr">
        <is>
          <t>Canada</t>
        </is>
      </c>
      <c r="G5176" t="inlineStr">
        <is>
          <t>Xeljanz</t>
        </is>
      </c>
      <c r="H5176" t="inlineStr">
        <is>
          <t>Retail pharmacy</t>
        </is>
      </c>
      <c r="I5176" t="inlineStr">
        <is>
          <t>Public payer</t>
        </is>
      </c>
      <c r="J5176" t="inlineStr">
        <is>
          <t>Ruhi Shaikh</t>
        </is>
      </c>
      <c r="K5176" s="70" t="n">
        <v>141</v>
      </c>
      <c r="L5176" s="71" t="n">
        <v>1395.25</v>
      </c>
      <c r="M5176" s="71" t="n">
        <v>196730.25</v>
      </c>
      <c r="N5176" s="71" t="n">
        <v>39346.05</v>
      </c>
      <c r="O5176" s="71" t="n">
        <v>157384.2</v>
      </c>
      <c r="P5176" s="71" t="n">
        <v>35350.65</v>
      </c>
      <c r="Q5176" s="71" t="n">
        <v>122033.55</v>
      </c>
      <c r="R5176" t="inlineStr">
        <is>
          <t>Inflammation</t>
        </is>
      </c>
      <c r="S5176" s="70" t="n">
        <v>131</v>
      </c>
      <c r="T5176" s="71" t="n">
        <v>32104.72</v>
      </c>
      <c r="U5176" t="inlineStr">
        <is>
          <t>High</t>
        </is>
      </c>
      <c r="V5176">
        <f>IF(AND(OR(Dashboard!$C$6="All",E5176=Dashboard!$C$6),OR(Dashboard!$F$6="All",G5176=Dashboard!$F$6),OR(Dashboard!$I$6="All",H5176=Dashboard!$I$6)),1,0)</f>
        <v/>
      </c>
    </row>
    <row r="5177">
      <c r="A5177" t="inlineStr">
        <is>
          <t>PF105168</t>
        </is>
      </c>
      <c r="B5177" s="68" t="n">
        <v>46281</v>
      </c>
      <c r="C5177" s="69" t="n">
        <v>2026</v>
      </c>
      <c r="D5177" t="inlineStr">
        <is>
          <t>Sep</t>
        </is>
      </c>
      <c r="E5177" t="inlineStr">
        <is>
          <t>International developed</t>
        </is>
      </c>
      <c r="F5177" t="inlineStr">
        <is>
          <t>Japan</t>
        </is>
      </c>
      <c r="G5177" t="inlineStr">
        <is>
          <t>Prevnar 20</t>
        </is>
      </c>
      <c r="H5177" t="inlineStr">
        <is>
          <t>Retail pharmacy</t>
        </is>
      </c>
      <c r="I5177" t="inlineStr">
        <is>
          <t>Private insurer</t>
        </is>
      </c>
      <c r="J5177" t="inlineStr">
        <is>
          <t>Kofi Mensah</t>
        </is>
      </c>
      <c r="K5177" s="70" t="n">
        <v>2129</v>
      </c>
      <c r="L5177" s="71" t="n">
        <v>223.1</v>
      </c>
      <c r="M5177" s="71" t="n">
        <v>474979.9</v>
      </c>
      <c r="N5177" s="71" t="n">
        <v>118744.98</v>
      </c>
      <c r="O5177" s="71" t="n">
        <v>356234.92</v>
      </c>
      <c r="P5177" s="71" t="n">
        <v>148224.73</v>
      </c>
      <c r="Q5177" s="71" t="n">
        <v>208010.19</v>
      </c>
      <c r="R5177" t="inlineStr">
        <is>
          <t>Vaccines</t>
        </is>
      </c>
      <c r="S5177" s="70" t="n">
        <v>1463</v>
      </c>
      <c r="T5177" s="71" t="n">
        <v>98818.89999999999</v>
      </c>
      <c r="U5177" t="inlineStr">
        <is>
          <t>Low</t>
        </is>
      </c>
      <c r="V5177">
        <f>IF(AND(OR(Dashboard!$C$6="All",E5177=Dashboard!$C$6),OR(Dashboard!$F$6="All",G5177=Dashboard!$F$6),OR(Dashboard!$I$6="All",H5177=Dashboard!$I$6)),1,0)</f>
        <v/>
      </c>
    </row>
    <row r="5178">
      <c r="A5178" t="inlineStr">
        <is>
          <t>PF105169</t>
        </is>
      </c>
      <c r="B5178" s="68" t="n">
        <v>46281</v>
      </c>
      <c r="C5178" s="69" t="n">
        <v>2026</v>
      </c>
      <c r="D5178" t="inlineStr">
        <is>
          <t>Sep</t>
        </is>
      </c>
      <c r="E5178" t="inlineStr">
        <is>
          <t>Emerging markets</t>
        </is>
      </c>
      <c r="F5178" t="inlineStr">
        <is>
          <t>Brazil</t>
        </is>
      </c>
      <c r="G5178" t="inlineStr">
        <is>
          <t>Xeljanz</t>
        </is>
      </c>
      <c r="H5178" t="inlineStr">
        <is>
          <t>Hospital</t>
        </is>
      </c>
      <c r="I5178" t="inlineStr">
        <is>
          <t>Self-pay</t>
        </is>
      </c>
      <c r="J5178" t="inlineStr">
        <is>
          <t>Noah Smith</t>
        </is>
      </c>
      <c r="K5178" s="70" t="n">
        <v>2452</v>
      </c>
      <c r="L5178" s="71" t="n">
        <v>1468.22</v>
      </c>
      <c r="M5178" s="71" t="n">
        <v>3600075.44</v>
      </c>
      <c r="N5178" s="71" t="n">
        <v>720015.09</v>
      </c>
      <c r="O5178" s="71" t="n">
        <v>2880060.35</v>
      </c>
      <c r="P5178" s="71" t="n">
        <v>616152.15</v>
      </c>
      <c r="Q5178" s="71" t="n">
        <v>2263908.2</v>
      </c>
      <c r="R5178" t="inlineStr">
        <is>
          <t>Inflammation</t>
        </is>
      </c>
      <c r="S5178" s="70" t="n">
        <v>2394</v>
      </c>
      <c r="T5178" s="71" t="n">
        <v>560796.87</v>
      </c>
      <c r="U5178" t="inlineStr">
        <is>
          <t>High</t>
        </is>
      </c>
      <c r="V5178">
        <f>IF(AND(OR(Dashboard!$C$6="All",E5178=Dashboard!$C$6),OR(Dashboard!$F$6="All",G5178=Dashboard!$F$6),OR(Dashboard!$I$6="All",H5178=Dashboard!$I$6)),1,0)</f>
        <v/>
      </c>
    </row>
    <row r="5179">
      <c r="A5179" t="inlineStr">
        <is>
          <t>PF105170</t>
        </is>
      </c>
      <c r="B5179" s="68" t="n">
        <v>46281</v>
      </c>
      <c r="C5179" s="69" t="n">
        <v>2026</v>
      </c>
      <c r="D5179" t="inlineStr">
        <is>
          <t>Sep</t>
        </is>
      </c>
      <c r="E5179" t="inlineStr">
        <is>
          <t>Emerging markets</t>
        </is>
      </c>
      <c r="F5179" t="inlineStr">
        <is>
          <t>Brazil</t>
        </is>
      </c>
      <c r="G5179" t="inlineStr">
        <is>
          <t>Vyndaqel</t>
        </is>
      </c>
      <c r="H5179" t="inlineStr">
        <is>
          <t>Retail pharmacy</t>
        </is>
      </c>
      <c r="I5179" t="inlineStr">
        <is>
          <t>Self-pay</t>
        </is>
      </c>
      <c r="J5179" t="inlineStr">
        <is>
          <t>Fatima Al-Saud</t>
        </is>
      </c>
      <c r="K5179" s="70" t="n">
        <v>3102</v>
      </c>
      <c r="L5179" s="71" t="n">
        <v>5738.98</v>
      </c>
      <c r="M5179" s="71" t="n">
        <v>17802315.96</v>
      </c>
      <c r="N5179" s="71" t="n">
        <v>1780231.6</v>
      </c>
      <c r="O5179" s="71" t="n">
        <v>16022084.36</v>
      </c>
      <c r="P5179" s="71" t="n">
        <v>1883116.2</v>
      </c>
      <c r="Q5179" s="71" t="n">
        <v>14138968.16</v>
      </c>
      <c r="R5179" t="inlineStr">
        <is>
          <t>Rare disease</t>
        </is>
      </c>
      <c r="S5179" s="70" t="n">
        <v>2129</v>
      </c>
      <c r="T5179" s="71" t="n">
        <v>2274902.9</v>
      </c>
      <c r="U5179" t="inlineStr">
        <is>
          <t>Medium</t>
        </is>
      </c>
      <c r="V5179">
        <f>IF(AND(OR(Dashboard!$C$6="All",E5179=Dashboard!$C$6),OR(Dashboard!$F$6="All",G5179=Dashboard!$F$6),OR(Dashboard!$I$6="All",H5179=Dashboard!$I$6)),1,0)</f>
        <v/>
      </c>
    </row>
    <row r="5180">
      <c r="A5180" t="inlineStr">
        <is>
          <t>PF105171</t>
        </is>
      </c>
      <c r="B5180" s="68" t="n">
        <v>46281</v>
      </c>
      <c r="C5180" s="69" t="n">
        <v>2026</v>
      </c>
      <c r="D5180" t="inlineStr">
        <is>
          <t>Sep</t>
        </is>
      </c>
      <c r="E5180" t="inlineStr">
        <is>
          <t>Europe</t>
        </is>
      </c>
      <c r="F5180" t="inlineStr">
        <is>
          <t>Germany</t>
        </is>
      </c>
      <c r="G5180" t="inlineStr">
        <is>
          <t>Vyndaqel</t>
        </is>
      </c>
      <c r="H5180" t="inlineStr">
        <is>
          <t>Hospital</t>
        </is>
      </c>
      <c r="I5180" t="inlineStr">
        <is>
          <t>Private insurer</t>
        </is>
      </c>
      <c r="J5180" t="inlineStr">
        <is>
          <t>Ana Costa</t>
        </is>
      </c>
      <c r="K5180" s="70" t="n">
        <v>1227</v>
      </c>
      <c r="L5180" s="71" t="n">
        <v>5634.55</v>
      </c>
      <c r="M5180" s="71" t="n">
        <v>6913592.85</v>
      </c>
      <c r="N5180" s="71" t="n">
        <v>1728398.21</v>
      </c>
      <c r="O5180" s="71" t="n">
        <v>5185194.64</v>
      </c>
      <c r="P5180" s="71" t="n">
        <v>763815.99</v>
      </c>
      <c r="Q5180" s="71" t="n">
        <v>4421378.65</v>
      </c>
      <c r="R5180" t="inlineStr">
        <is>
          <t>Rare disease</t>
        </is>
      </c>
      <c r="S5180" s="70" t="n">
        <v>804</v>
      </c>
      <c r="T5180" s="71" t="n">
        <v>945453.12</v>
      </c>
      <c r="U5180" t="inlineStr">
        <is>
          <t>Medium</t>
        </is>
      </c>
      <c r="V5180">
        <f>IF(AND(OR(Dashboard!$C$6="All",E5180=Dashboard!$C$6),OR(Dashboard!$F$6="All",G5180=Dashboard!$F$6),OR(Dashboard!$I$6="All",H5180=Dashboard!$I$6)),1,0)</f>
        <v/>
      </c>
    </row>
    <row r="5181">
      <c r="A5181" t="inlineStr">
        <is>
          <t>PF105172</t>
        </is>
      </c>
      <c r="B5181" s="68" t="n">
        <v>46281</v>
      </c>
      <c r="C5181" s="69" t="n">
        <v>2026</v>
      </c>
      <c r="D5181" t="inlineStr">
        <is>
          <t>Sep</t>
        </is>
      </c>
      <c r="E5181" t="inlineStr">
        <is>
          <t>United States</t>
        </is>
      </c>
      <c r="F5181" t="inlineStr">
        <is>
          <t>USA</t>
        </is>
      </c>
      <c r="G5181" t="inlineStr">
        <is>
          <t>Prevnar 20</t>
        </is>
      </c>
      <c r="H5181" t="inlineStr">
        <is>
          <t>Hospital</t>
        </is>
      </c>
      <c r="I5181" t="inlineStr">
        <is>
          <t>Public payer</t>
        </is>
      </c>
      <c r="J5181" t="inlineStr">
        <is>
          <t>Fatima Al-Saud</t>
        </is>
      </c>
      <c r="K5181" s="70" t="n">
        <v>1383</v>
      </c>
      <c r="L5181" s="71" t="n">
        <v>407.54</v>
      </c>
      <c r="M5181" s="71" t="n">
        <v>563627.8199999999</v>
      </c>
      <c r="N5181" s="71" t="n">
        <v>197269.74</v>
      </c>
      <c r="O5181" s="71" t="n">
        <v>366358.08</v>
      </c>
      <c r="P5181" s="71" t="n">
        <v>91998.89999999999</v>
      </c>
      <c r="Q5181" s="71" t="n">
        <v>274359.18</v>
      </c>
      <c r="R5181" t="inlineStr">
        <is>
          <t>Vaccines</t>
        </is>
      </c>
      <c r="S5181" s="70" t="n">
        <v>971</v>
      </c>
      <c r="T5181" s="71" t="n">
        <v>91240.22</v>
      </c>
      <c r="U5181" t="inlineStr">
        <is>
          <t>Low</t>
        </is>
      </c>
      <c r="V5181">
        <f>IF(AND(OR(Dashboard!$C$6="All",E5181=Dashboard!$C$6),OR(Dashboard!$F$6="All",G5181=Dashboard!$F$6),OR(Dashboard!$I$6="All",H5181=Dashboard!$I$6)),1,0)</f>
        <v/>
      </c>
    </row>
    <row r="5182">
      <c r="A5182" t="inlineStr">
        <is>
          <t>PF105173</t>
        </is>
      </c>
      <c r="B5182" s="68" t="n">
        <v>46281</v>
      </c>
      <c r="C5182" s="69" t="n">
        <v>2026</v>
      </c>
      <c r="D5182" t="inlineStr">
        <is>
          <t>Sep</t>
        </is>
      </c>
      <c r="E5182" t="inlineStr">
        <is>
          <t>United States</t>
        </is>
      </c>
      <c r="F5182" t="inlineStr">
        <is>
          <t>USA</t>
        </is>
      </c>
      <c r="G5182" t="inlineStr">
        <is>
          <t>Prevnar 20</t>
        </is>
      </c>
      <c r="H5182" t="inlineStr">
        <is>
          <t>Hospital</t>
        </is>
      </c>
      <c r="I5182" t="inlineStr">
        <is>
          <t>Public payer</t>
        </is>
      </c>
      <c r="J5182" t="inlineStr">
        <is>
          <t>Mei Lin</t>
        </is>
      </c>
      <c r="K5182" s="70" t="n">
        <v>914</v>
      </c>
      <c r="L5182" s="71" t="n">
        <v>396.29</v>
      </c>
      <c r="M5182" s="71" t="n">
        <v>362209.06</v>
      </c>
      <c r="N5182" s="71" t="n">
        <v>90552.25999999999</v>
      </c>
      <c r="O5182" s="71" t="n">
        <v>271656.8</v>
      </c>
      <c r="P5182" s="71" t="n">
        <v>64180.88</v>
      </c>
      <c r="Q5182" s="71" t="n">
        <v>207475.92</v>
      </c>
      <c r="R5182" t="inlineStr">
        <is>
          <t>Vaccines</t>
        </is>
      </c>
      <c r="S5182" s="70" t="n">
        <v>786</v>
      </c>
      <c r="T5182" s="71" t="n">
        <v>54632.53</v>
      </c>
      <c r="U5182" t="inlineStr">
        <is>
          <t>Low</t>
        </is>
      </c>
      <c r="V5182">
        <f>IF(AND(OR(Dashboard!$C$6="All",E5182=Dashboard!$C$6),OR(Dashboard!$F$6="All",G5182=Dashboard!$F$6),OR(Dashboard!$I$6="All",H5182=Dashboard!$I$6)),1,0)</f>
        <v/>
      </c>
    </row>
    <row r="5183">
      <c r="A5183" t="inlineStr">
        <is>
          <t>PF105174</t>
        </is>
      </c>
      <c r="B5183" s="68" t="n">
        <v>46281</v>
      </c>
      <c r="C5183" s="69" t="n">
        <v>2026</v>
      </c>
      <c r="D5183" t="inlineStr">
        <is>
          <t>Sep</t>
        </is>
      </c>
      <c r="E5183" t="inlineStr">
        <is>
          <t>International developed</t>
        </is>
      </c>
      <c r="F5183" t="inlineStr">
        <is>
          <t>Japan</t>
        </is>
      </c>
      <c r="G5183" t="inlineStr">
        <is>
          <t>Eliquis</t>
        </is>
      </c>
      <c r="H5183" t="inlineStr">
        <is>
          <t>Hospital</t>
        </is>
      </c>
      <c r="I5183" t="inlineStr">
        <is>
          <t>Private insurer</t>
        </is>
      </c>
      <c r="J5183" t="inlineStr">
        <is>
          <t>Lucas Martin</t>
        </is>
      </c>
      <c r="K5183" s="70" t="n">
        <v>1199</v>
      </c>
      <c r="L5183" s="71" t="n">
        <v>433.22</v>
      </c>
      <c r="M5183" s="71" t="n">
        <v>519430.78</v>
      </c>
      <c r="N5183" s="71" t="n">
        <v>129857.7</v>
      </c>
      <c r="O5183" s="71" t="n">
        <v>389573.08</v>
      </c>
      <c r="P5183" s="71" t="n">
        <v>92803.78</v>
      </c>
      <c r="Q5183" s="71" t="n">
        <v>296769.3</v>
      </c>
      <c r="R5183" t="inlineStr">
        <is>
          <t>Cardiology</t>
        </is>
      </c>
      <c r="S5183" s="70" t="n">
        <v>1126</v>
      </c>
      <c r="T5183" s="71" t="n">
        <v>61701.5</v>
      </c>
      <c r="U5183" t="inlineStr">
        <is>
          <t>High</t>
        </is>
      </c>
      <c r="V5183">
        <f>IF(AND(OR(Dashboard!$C$6="All",E5183=Dashboard!$C$6),OR(Dashboard!$F$6="All",G5183=Dashboard!$F$6),OR(Dashboard!$I$6="All",H5183=Dashboard!$I$6)),1,0)</f>
        <v/>
      </c>
    </row>
    <row r="5184">
      <c r="A5184" t="inlineStr">
        <is>
          <t>PF105175</t>
        </is>
      </c>
      <c r="B5184" s="68" t="n">
        <v>46282</v>
      </c>
      <c r="C5184" s="69" t="n">
        <v>2026</v>
      </c>
      <c r="D5184" t="inlineStr">
        <is>
          <t>Sep</t>
        </is>
      </c>
      <c r="E5184" t="inlineStr">
        <is>
          <t>United States</t>
        </is>
      </c>
      <c r="F5184" t="inlineStr">
        <is>
          <t>USA</t>
        </is>
      </c>
      <c r="G5184" t="inlineStr">
        <is>
          <t>Vyndaqel</t>
        </is>
      </c>
      <c r="H5184" t="inlineStr">
        <is>
          <t>Government / tender</t>
        </is>
      </c>
      <c r="I5184" t="inlineStr">
        <is>
          <t>Public payer</t>
        </is>
      </c>
      <c r="J5184" t="inlineStr">
        <is>
          <t>Sara Rossi</t>
        </is>
      </c>
      <c r="K5184" s="70" t="n">
        <v>2603</v>
      </c>
      <c r="L5184" s="71" t="n">
        <v>9390.360000000001</v>
      </c>
      <c r="M5184" s="71" t="n">
        <v>24443107.08</v>
      </c>
      <c r="N5184" s="71" t="n">
        <v>8555087.48</v>
      </c>
      <c r="O5184" s="71" t="n">
        <v>15888019.6</v>
      </c>
      <c r="P5184" s="71" t="n">
        <v>1591630.38</v>
      </c>
      <c r="Q5184" s="71" t="n">
        <v>14296389.22</v>
      </c>
      <c r="R5184" t="inlineStr">
        <is>
          <t>Rare disease</t>
        </is>
      </c>
      <c r="S5184" s="70" t="n">
        <v>2119</v>
      </c>
      <c r="T5184" s="71" t="n">
        <v>3171714.74</v>
      </c>
      <c r="U5184" t="inlineStr">
        <is>
          <t>Medium</t>
        </is>
      </c>
      <c r="V5184">
        <f>IF(AND(OR(Dashboard!$C$6="All",E5184=Dashboard!$C$6),OR(Dashboard!$F$6="All",G5184=Dashboard!$F$6),OR(Dashboard!$I$6="All",H5184=Dashboard!$I$6)),1,0)</f>
        <v/>
      </c>
    </row>
    <row r="5185">
      <c r="A5185" t="inlineStr">
        <is>
          <t>PF105176</t>
        </is>
      </c>
      <c r="B5185" s="68" t="n">
        <v>46282</v>
      </c>
      <c r="C5185" s="69" t="n">
        <v>2026</v>
      </c>
      <c r="D5185" t="inlineStr">
        <is>
          <t>Sep</t>
        </is>
      </c>
      <c r="E5185" t="inlineStr">
        <is>
          <t>United States</t>
        </is>
      </c>
      <c r="F5185" t="inlineStr">
        <is>
          <t>USA</t>
        </is>
      </c>
      <c r="G5185" t="inlineStr">
        <is>
          <t>Paxlovid</t>
        </is>
      </c>
      <c r="H5185" t="inlineStr">
        <is>
          <t>Hospital</t>
        </is>
      </c>
      <c r="I5185" t="inlineStr">
        <is>
          <t>Public payer</t>
        </is>
      </c>
      <c r="J5185" t="inlineStr">
        <is>
          <t>Emma Clarke</t>
        </is>
      </c>
      <c r="K5185" s="70" t="n">
        <v>1699</v>
      </c>
      <c r="L5185" s="71" t="n">
        <v>1454.27</v>
      </c>
      <c r="M5185" s="71" t="n">
        <v>2470804.73</v>
      </c>
      <c r="N5185" s="71" t="n">
        <v>864781.66</v>
      </c>
      <c r="O5185" s="71" t="n">
        <v>1606023.07</v>
      </c>
      <c r="P5185" s="71" t="n">
        <v>458233.72</v>
      </c>
      <c r="Q5185" s="71" t="n">
        <v>1147789.35</v>
      </c>
      <c r="R5185" t="inlineStr">
        <is>
          <t>Antiviral</t>
        </is>
      </c>
      <c r="S5185" s="70" t="n">
        <v>1064</v>
      </c>
      <c r="T5185" s="71" t="n">
        <v>567785.65</v>
      </c>
      <c r="U5185" t="inlineStr">
        <is>
          <t>Low</t>
        </is>
      </c>
      <c r="V5185">
        <f>IF(AND(OR(Dashboard!$C$6="All",E5185=Dashboard!$C$6),OR(Dashboard!$F$6="All",G5185=Dashboard!$F$6),OR(Dashboard!$I$6="All",H5185=Dashboard!$I$6)),1,0)</f>
        <v/>
      </c>
    </row>
    <row r="5186">
      <c r="A5186" t="inlineStr">
        <is>
          <t>PF105177</t>
        </is>
      </c>
      <c r="B5186" s="68" t="n">
        <v>46282</v>
      </c>
      <c r="C5186" s="69" t="n">
        <v>2026</v>
      </c>
      <c r="D5186" t="inlineStr">
        <is>
          <t>Sep</t>
        </is>
      </c>
      <c r="E5186" t="inlineStr">
        <is>
          <t>United States</t>
        </is>
      </c>
      <c r="F5186" t="inlineStr">
        <is>
          <t>USA</t>
        </is>
      </c>
      <c r="G5186" t="inlineStr">
        <is>
          <t>Prevnar 20</t>
        </is>
      </c>
      <c r="H5186" t="inlineStr">
        <is>
          <t>Retail pharmacy</t>
        </is>
      </c>
      <c r="I5186" t="inlineStr">
        <is>
          <t>Private insurer</t>
        </is>
      </c>
      <c r="J5186" t="inlineStr">
        <is>
          <t>Kofi Mensah</t>
        </is>
      </c>
      <c r="K5186" s="70" t="n">
        <v>1173</v>
      </c>
      <c r="L5186" s="71" t="n">
        <v>355.32</v>
      </c>
      <c r="M5186" s="71" t="n">
        <v>416790.36</v>
      </c>
      <c r="N5186" s="71" t="n">
        <v>125037.11</v>
      </c>
      <c r="O5186" s="71" t="n">
        <v>291753.25</v>
      </c>
      <c r="P5186" s="71" t="n">
        <v>81392.14999999999</v>
      </c>
      <c r="Q5186" s="71" t="n">
        <v>210361.1</v>
      </c>
      <c r="R5186" t="inlineStr">
        <is>
          <t>Vaccines</t>
        </is>
      </c>
      <c r="S5186" s="70" t="n">
        <v>1009</v>
      </c>
      <c r="T5186" s="71" t="n">
        <v>80574.84</v>
      </c>
      <c r="U5186" t="inlineStr">
        <is>
          <t>Low</t>
        </is>
      </c>
      <c r="V5186">
        <f>IF(AND(OR(Dashboard!$C$6="All",E5186=Dashboard!$C$6),OR(Dashboard!$F$6="All",G5186=Dashboard!$F$6),OR(Dashboard!$I$6="All",H5186=Dashboard!$I$6)),1,0)</f>
        <v/>
      </c>
    </row>
    <row r="5187">
      <c r="A5187" t="inlineStr">
        <is>
          <t>PF105178</t>
        </is>
      </c>
      <c r="B5187" s="68" t="n">
        <v>46282</v>
      </c>
      <c r="C5187" s="69" t="n">
        <v>2026</v>
      </c>
      <c r="D5187" t="inlineStr">
        <is>
          <t>Sep</t>
        </is>
      </c>
      <c r="E5187" t="inlineStr">
        <is>
          <t>Europe</t>
        </is>
      </c>
      <c r="F5187" t="inlineStr">
        <is>
          <t>Spain</t>
        </is>
      </c>
      <c r="G5187" t="inlineStr">
        <is>
          <t>Paxlovid</t>
        </is>
      </c>
      <c r="H5187" t="inlineStr">
        <is>
          <t>Retail pharmacy</t>
        </is>
      </c>
      <c r="I5187" t="inlineStr">
        <is>
          <t>Private insurer</t>
        </is>
      </c>
      <c r="J5187" t="inlineStr">
        <is>
          <t>Omar Haddad</t>
        </is>
      </c>
      <c r="K5187" s="70" t="n">
        <v>1878</v>
      </c>
      <c r="L5187" s="71" t="n">
        <v>846.9299999999999</v>
      </c>
      <c r="M5187" s="71" t="n">
        <v>1590534.54</v>
      </c>
      <c r="N5187" s="71" t="n">
        <v>238580.18</v>
      </c>
      <c r="O5187" s="71" t="n">
        <v>1351954.36</v>
      </c>
      <c r="P5187" s="71" t="n">
        <v>523557.71</v>
      </c>
      <c r="Q5187" s="71" t="n">
        <v>828396.65</v>
      </c>
      <c r="R5187" t="inlineStr">
        <is>
          <t>Antiviral</t>
        </is>
      </c>
      <c r="S5187" s="70" t="n">
        <v>1707</v>
      </c>
      <c r="T5187" s="71" t="n">
        <v>246542.1</v>
      </c>
      <c r="U5187" t="inlineStr">
        <is>
          <t>Low</t>
        </is>
      </c>
      <c r="V5187">
        <f>IF(AND(OR(Dashboard!$C$6="All",E5187=Dashboard!$C$6),OR(Dashboard!$F$6="All",G5187=Dashboard!$F$6),OR(Dashboard!$I$6="All",H5187=Dashboard!$I$6)),1,0)</f>
        <v/>
      </c>
    </row>
    <row r="5188">
      <c r="A5188" t="inlineStr">
        <is>
          <t>PF105179</t>
        </is>
      </c>
      <c r="B5188" s="68" t="n">
        <v>46282</v>
      </c>
      <c r="C5188" s="69" t="n">
        <v>2026</v>
      </c>
      <c r="D5188" t="inlineStr">
        <is>
          <t>Sep</t>
        </is>
      </c>
      <c r="E5188" t="inlineStr">
        <is>
          <t>Emerging markets</t>
        </is>
      </c>
      <c r="F5188" t="inlineStr">
        <is>
          <t>Mexico</t>
        </is>
      </c>
      <c r="G5188" t="inlineStr">
        <is>
          <t>Paxlovid</t>
        </is>
      </c>
      <c r="H5188" t="inlineStr">
        <is>
          <t>Government / tender</t>
        </is>
      </c>
      <c r="I5188" t="inlineStr">
        <is>
          <t>Private insurer</t>
        </is>
      </c>
      <c r="J5188" t="inlineStr">
        <is>
          <t>Liam O'Brien</t>
        </is>
      </c>
      <c r="K5188" s="70" t="n">
        <v>1500</v>
      </c>
      <c r="L5188" s="71" t="n">
        <v>950.02</v>
      </c>
      <c r="M5188" s="71" t="n">
        <v>1425030</v>
      </c>
      <c r="N5188" s="71" t="n">
        <v>142503</v>
      </c>
      <c r="O5188" s="71" t="n">
        <v>1282527</v>
      </c>
      <c r="P5188" s="71" t="n">
        <v>413377.31</v>
      </c>
      <c r="Q5188" s="71" t="n">
        <v>869149.6899999999</v>
      </c>
      <c r="R5188" t="inlineStr">
        <is>
          <t>Antiviral</t>
        </is>
      </c>
      <c r="S5188" s="70" t="n">
        <v>1076</v>
      </c>
      <c r="T5188" s="71" t="n">
        <v>296088.95</v>
      </c>
      <c r="U5188" t="inlineStr">
        <is>
          <t>Low</t>
        </is>
      </c>
      <c r="V5188">
        <f>IF(AND(OR(Dashboard!$C$6="All",E5188=Dashboard!$C$6),OR(Dashboard!$F$6="All",G5188=Dashboard!$F$6),OR(Dashboard!$I$6="All",H5188=Dashboard!$I$6)),1,0)</f>
        <v/>
      </c>
    </row>
    <row r="5189">
      <c r="A5189" t="inlineStr">
        <is>
          <t>PF105180</t>
        </is>
      </c>
      <c r="B5189" s="68" t="n">
        <v>46282</v>
      </c>
      <c r="C5189" s="69" t="n">
        <v>2026</v>
      </c>
      <c r="D5189" t="inlineStr">
        <is>
          <t>Sep</t>
        </is>
      </c>
      <c r="E5189" t="inlineStr">
        <is>
          <t>United States</t>
        </is>
      </c>
      <c r="F5189" t="inlineStr">
        <is>
          <t>USA</t>
        </is>
      </c>
      <c r="G5189" t="inlineStr">
        <is>
          <t>Abrysvo</t>
        </is>
      </c>
      <c r="H5189" t="inlineStr">
        <is>
          <t>Hospital</t>
        </is>
      </c>
      <c r="I5189" t="inlineStr">
        <is>
          <t>Public payer</t>
        </is>
      </c>
      <c r="J5189" t="inlineStr">
        <is>
          <t>Carlos Silva</t>
        </is>
      </c>
      <c r="K5189" s="70" t="n">
        <v>1950</v>
      </c>
      <c r="L5189" s="71" t="n">
        <v>464.46</v>
      </c>
      <c r="M5189" s="71" t="n">
        <v>905697</v>
      </c>
      <c r="N5189" s="71" t="n">
        <v>271709.1</v>
      </c>
      <c r="O5189" s="71" t="n">
        <v>633987.9</v>
      </c>
      <c r="P5189" s="71" t="n">
        <v>160726.91</v>
      </c>
      <c r="Q5189" s="71" t="n">
        <v>473260.99</v>
      </c>
      <c r="R5189" t="inlineStr">
        <is>
          <t>Vaccines</t>
        </is>
      </c>
      <c r="S5189" s="70" t="n">
        <v>1537</v>
      </c>
      <c r="T5189" s="71" t="n">
        <v>166851.34</v>
      </c>
      <c r="U5189" t="inlineStr">
        <is>
          <t>Low</t>
        </is>
      </c>
      <c r="V5189">
        <f>IF(AND(OR(Dashboard!$C$6="All",E5189=Dashboard!$C$6),OR(Dashboard!$F$6="All",G5189=Dashboard!$F$6),OR(Dashboard!$I$6="All",H5189=Dashboard!$I$6)),1,0)</f>
        <v/>
      </c>
    </row>
    <row r="5190">
      <c r="A5190" t="inlineStr">
        <is>
          <t>PF105181</t>
        </is>
      </c>
      <c r="B5190" s="68" t="n">
        <v>46282</v>
      </c>
      <c r="C5190" s="69" t="n">
        <v>2026</v>
      </c>
      <c r="D5190" t="inlineStr">
        <is>
          <t>Sep</t>
        </is>
      </c>
      <c r="E5190" t="inlineStr">
        <is>
          <t>Europe</t>
        </is>
      </c>
      <c r="F5190" t="inlineStr">
        <is>
          <t>Italy</t>
        </is>
      </c>
      <c r="G5190" t="inlineStr">
        <is>
          <t>Eliquis</t>
        </is>
      </c>
      <c r="H5190" t="inlineStr">
        <is>
          <t>Retail pharmacy</t>
        </is>
      </c>
      <c r="I5190" t="inlineStr">
        <is>
          <t>Private insurer</t>
        </is>
      </c>
      <c r="J5190" t="inlineStr">
        <is>
          <t>Ravindra Patil</t>
        </is>
      </c>
      <c r="K5190" s="70" t="n">
        <v>1901</v>
      </c>
      <c r="L5190" s="71" t="n">
        <v>433.68</v>
      </c>
      <c r="M5190" s="71" t="n">
        <v>824425.6800000001</v>
      </c>
      <c r="N5190" s="71" t="n">
        <v>164885.14</v>
      </c>
      <c r="O5190" s="71" t="n">
        <v>659540.54</v>
      </c>
      <c r="P5190" s="71" t="n">
        <v>140791.18</v>
      </c>
      <c r="Q5190" s="71" t="n">
        <v>518749.36</v>
      </c>
      <c r="R5190" t="inlineStr">
        <is>
          <t>Cardiology</t>
        </is>
      </c>
      <c r="S5190" s="70" t="n">
        <v>1626</v>
      </c>
      <c r="T5190" s="71" t="n">
        <v>126235.97</v>
      </c>
      <c r="U5190" t="inlineStr">
        <is>
          <t>High</t>
        </is>
      </c>
      <c r="V5190">
        <f>IF(AND(OR(Dashboard!$C$6="All",E5190=Dashboard!$C$6),OR(Dashboard!$F$6="All",G5190=Dashboard!$F$6),OR(Dashboard!$I$6="All",H5190=Dashboard!$I$6)),1,0)</f>
        <v/>
      </c>
    </row>
    <row r="5191">
      <c r="A5191" t="inlineStr">
        <is>
          <t>PF105182</t>
        </is>
      </c>
      <c r="B5191" s="68" t="n">
        <v>46283</v>
      </c>
      <c r="C5191" s="69" t="n">
        <v>2026</v>
      </c>
      <c r="D5191" t="inlineStr">
        <is>
          <t>Sep</t>
        </is>
      </c>
      <c r="E5191" t="inlineStr">
        <is>
          <t>United States</t>
        </is>
      </c>
      <c r="F5191" t="inlineStr">
        <is>
          <t>USA</t>
        </is>
      </c>
      <c r="G5191" t="inlineStr">
        <is>
          <t>Comirnaty</t>
        </is>
      </c>
      <c r="H5191" t="inlineStr">
        <is>
          <t>Government / tender</t>
        </is>
      </c>
      <c r="I5191" t="inlineStr">
        <is>
          <t>Private insurer</t>
        </is>
      </c>
      <c r="J5191" t="inlineStr">
        <is>
          <t>Kofi Mensah</t>
        </is>
      </c>
      <c r="K5191" s="70" t="n">
        <v>913</v>
      </c>
      <c r="L5191" s="71" t="n">
        <v>135.47</v>
      </c>
      <c r="M5191" s="71" t="n">
        <v>123684.11</v>
      </c>
      <c r="N5191" s="71" t="n">
        <v>18552.62</v>
      </c>
      <c r="O5191" s="71" t="n">
        <v>105131.49</v>
      </c>
      <c r="P5191" s="71" t="n">
        <v>33952.64</v>
      </c>
      <c r="Q5191" s="71" t="n">
        <v>71178.85000000001</v>
      </c>
      <c r="R5191" t="inlineStr">
        <is>
          <t>Vaccines</t>
        </is>
      </c>
      <c r="S5191" s="70" t="n">
        <v>597</v>
      </c>
      <c r="T5191" s="71" t="n">
        <v>33714.01</v>
      </c>
      <c r="U5191" t="inlineStr">
        <is>
          <t>Low</t>
        </is>
      </c>
      <c r="V5191">
        <f>IF(AND(OR(Dashboard!$C$6="All",E5191=Dashboard!$C$6),OR(Dashboard!$F$6="All",G5191=Dashboard!$F$6),OR(Dashboard!$I$6="All",H5191=Dashboard!$I$6)),1,0)</f>
        <v/>
      </c>
    </row>
    <row r="5192">
      <c r="A5192" t="inlineStr">
        <is>
          <t>PF105183</t>
        </is>
      </c>
      <c r="B5192" s="68" t="n">
        <v>46283</v>
      </c>
      <c r="C5192" s="69" t="n">
        <v>2026</v>
      </c>
      <c r="D5192" t="inlineStr">
        <is>
          <t>Sep</t>
        </is>
      </c>
      <c r="E5192" t="inlineStr">
        <is>
          <t>Europe</t>
        </is>
      </c>
      <c r="F5192" t="inlineStr">
        <is>
          <t>Spain</t>
        </is>
      </c>
      <c r="G5192" t="inlineStr">
        <is>
          <t>Paxlovid</t>
        </is>
      </c>
      <c r="H5192" t="inlineStr">
        <is>
          <t>Hospital</t>
        </is>
      </c>
      <c r="I5192" t="inlineStr">
        <is>
          <t>Public payer</t>
        </is>
      </c>
      <c r="J5192" t="inlineStr">
        <is>
          <t>Mei Lin</t>
        </is>
      </c>
      <c r="K5192" s="70" t="n">
        <v>254</v>
      </c>
      <c r="L5192" s="71" t="n">
        <v>830.5599999999999</v>
      </c>
      <c r="M5192" s="71" t="n">
        <v>210962.24</v>
      </c>
      <c r="N5192" s="71" t="n">
        <v>31644.34</v>
      </c>
      <c r="O5192" s="71" t="n">
        <v>179317.9</v>
      </c>
      <c r="P5192" s="71" t="n">
        <v>69207.06</v>
      </c>
      <c r="Q5192" s="71" t="n">
        <v>110110.84</v>
      </c>
      <c r="R5192" t="inlineStr">
        <is>
          <t>Antiviral</t>
        </is>
      </c>
      <c r="S5192" s="70" t="n">
        <v>166</v>
      </c>
      <c r="T5192" s="71" t="n">
        <v>49039.33</v>
      </c>
      <c r="U5192" t="inlineStr">
        <is>
          <t>Low</t>
        </is>
      </c>
      <c r="V5192">
        <f>IF(AND(OR(Dashboard!$C$6="All",E5192=Dashboard!$C$6),OR(Dashboard!$F$6="All",G5192=Dashboard!$F$6),OR(Dashboard!$I$6="All",H5192=Dashboard!$I$6)),1,0)</f>
        <v/>
      </c>
    </row>
    <row r="5193">
      <c r="A5193" t="inlineStr">
        <is>
          <t>PF105184</t>
        </is>
      </c>
      <c r="B5193" s="68" t="n">
        <v>46283</v>
      </c>
      <c r="C5193" s="69" t="n">
        <v>2026</v>
      </c>
      <c r="D5193" t="inlineStr">
        <is>
          <t>Sep</t>
        </is>
      </c>
      <c r="E5193" t="inlineStr">
        <is>
          <t>United States</t>
        </is>
      </c>
      <c r="F5193" t="inlineStr">
        <is>
          <t>USA</t>
        </is>
      </c>
      <c r="G5193" t="inlineStr">
        <is>
          <t>Prevnar 20</t>
        </is>
      </c>
      <c r="H5193" t="inlineStr">
        <is>
          <t>Government / tender</t>
        </is>
      </c>
      <c r="I5193" t="inlineStr">
        <is>
          <t>Private insurer</t>
        </is>
      </c>
      <c r="J5193" t="inlineStr">
        <is>
          <t>Mei Lin</t>
        </is>
      </c>
      <c r="K5193" s="70" t="n">
        <v>1197</v>
      </c>
      <c r="L5193" s="71" t="n">
        <v>389.81</v>
      </c>
      <c r="M5193" s="71" t="n">
        <v>466602.57</v>
      </c>
      <c r="N5193" s="71" t="n">
        <v>93320.50999999999</v>
      </c>
      <c r="O5193" s="71" t="n">
        <v>373282.06</v>
      </c>
      <c r="P5193" s="71" t="n">
        <v>79906.73</v>
      </c>
      <c r="Q5193" s="71" t="n">
        <v>293375.33</v>
      </c>
      <c r="R5193" t="inlineStr">
        <is>
          <t>Vaccines</t>
        </is>
      </c>
      <c r="S5193" s="70" t="n">
        <v>792</v>
      </c>
      <c r="T5193" s="71" t="n">
        <v>70932.37</v>
      </c>
      <c r="U5193" t="inlineStr">
        <is>
          <t>Low</t>
        </is>
      </c>
      <c r="V5193">
        <f>IF(AND(OR(Dashboard!$C$6="All",E5193=Dashboard!$C$6),OR(Dashboard!$F$6="All",G5193=Dashboard!$F$6),OR(Dashboard!$I$6="All",H5193=Dashboard!$I$6)),1,0)</f>
        <v/>
      </c>
    </row>
    <row r="5194">
      <c r="A5194" t="inlineStr">
        <is>
          <t>PF105185</t>
        </is>
      </c>
      <c r="B5194" s="68" t="n">
        <v>46283</v>
      </c>
      <c r="C5194" s="69" t="n">
        <v>2026</v>
      </c>
      <c r="D5194" t="inlineStr">
        <is>
          <t>Sep</t>
        </is>
      </c>
      <c r="E5194" t="inlineStr">
        <is>
          <t>Emerging markets</t>
        </is>
      </c>
      <c r="F5194" t="inlineStr">
        <is>
          <t>Brazil</t>
        </is>
      </c>
      <c r="G5194" t="inlineStr">
        <is>
          <t>Comirnaty</t>
        </is>
      </c>
      <c r="H5194" t="inlineStr">
        <is>
          <t>Retail pharmacy</t>
        </is>
      </c>
      <c r="I5194" t="inlineStr">
        <is>
          <t>Private insurer</t>
        </is>
      </c>
      <c r="J5194" t="inlineStr">
        <is>
          <t>Carlos Silva</t>
        </is>
      </c>
      <c r="K5194" s="70" t="n">
        <v>1649</v>
      </c>
      <c r="L5194" s="71" t="n">
        <v>85.48</v>
      </c>
      <c r="M5194" s="71" t="n">
        <v>140956.52</v>
      </c>
      <c r="N5194" s="71" t="n">
        <v>28191.3</v>
      </c>
      <c r="O5194" s="71" t="n">
        <v>112765.22</v>
      </c>
      <c r="P5194" s="71" t="n">
        <v>64047.66</v>
      </c>
      <c r="Q5194" s="71" t="n">
        <v>48717.56</v>
      </c>
      <c r="R5194" t="inlineStr">
        <is>
          <t>Vaccines</t>
        </is>
      </c>
      <c r="S5194" s="70" t="n">
        <v>1224</v>
      </c>
      <c r="T5194" s="71" t="n">
        <v>25124.33</v>
      </c>
      <c r="U5194" t="inlineStr">
        <is>
          <t>Low</t>
        </is>
      </c>
      <c r="V5194">
        <f>IF(AND(OR(Dashboard!$C$6="All",E5194=Dashboard!$C$6),OR(Dashboard!$F$6="All",G5194=Dashboard!$F$6),OR(Dashboard!$I$6="All",H5194=Dashboard!$I$6)),1,0)</f>
        <v/>
      </c>
    </row>
    <row r="5195">
      <c r="A5195" t="inlineStr">
        <is>
          <t>PF105186</t>
        </is>
      </c>
      <c r="B5195" s="68" t="n">
        <v>46283</v>
      </c>
      <c r="C5195" s="69" t="n">
        <v>2026</v>
      </c>
      <c r="D5195" t="inlineStr">
        <is>
          <t>Sep</t>
        </is>
      </c>
      <c r="E5195" t="inlineStr">
        <is>
          <t>United States</t>
        </is>
      </c>
      <c r="F5195" t="inlineStr">
        <is>
          <t>USA</t>
        </is>
      </c>
      <c r="G5195" t="inlineStr">
        <is>
          <t>Comirnaty</t>
        </is>
      </c>
      <c r="H5195" t="inlineStr">
        <is>
          <t>Hospital</t>
        </is>
      </c>
      <c r="I5195" t="inlineStr">
        <is>
          <t>Public payer</t>
        </is>
      </c>
      <c r="J5195" t="inlineStr">
        <is>
          <t>Liam O'Brien</t>
        </is>
      </c>
      <c r="K5195" s="70" t="n">
        <v>319</v>
      </c>
      <c r="L5195" s="71" t="n">
        <v>134.14</v>
      </c>
      <c r="M5195" s="71" t="n">
        <v>42790.66</v>
      </c>
      <c r="N5195" s="71" t="n">
        <v>14976.73</v>
      </c>
      <c r="O5195" s="71" t="n">
        <v>27813.93</v>
      </c>
      <c r="P5195" s="71" t="n">
        <v>12044.66</v>
      </c>
      <c r="Q5195" s="71" t="n">
        <v>15769.27</v>
      </c>
      <c r="R5195" t="inlineStr">
        <is>
          <t>Vaccines</t>
        </is>
      </c>
      <c r="S5195" s="70" t="n">
        <v>282</v>
      </c>
      <c r="T5195" s="71" t="n">
        <v>7172.09</v>
      </c>
      <c r="U5195" t="inlineStr">
        <is>
          <t>Low</t>
        </is>
      </c>
      <c r="V5195">
        <f>IF(AND(OR(Dashboard!$C$6="All",E5195=Dashboard!$C$6),OR(Dashboard!$F$6="All",G5195=Dashboard!$F$6),OR(Dashboard!$I$6="All",H5195=Dashboard!$I$6)),1,0)</f>
        <v/>
      </c>
    </row>
    <row r="5196">
      <c r="A5196" t="inlineStr">
        <is>
          <t>PF105187</t>
        </is>
      </c>
      <c r="B5196" s="68" t="n">
        <v>46283</v>
      </c>
      <c r="C5196" s="69" t="n">
        <v>2026</v>
      </c>
      <c r="D5196" t="inlineStr">
        <is>
          <t>Sep</t>
        </is>
      </c>
      <c r="E5196" t="inlineStr">
        <is>
          <t>United States</t>
        </is>
      </c>
      <c r="F5196" t="inlineStr">
        <is>
          <t>USA</t>
        </is>
      </c>
      <c r="G5196" t="inlineStr">
        <is>
          <t>Eliquis</t>
        </is>
      </c>
      <c r="H5196" t="inlineStr">
        <is>
          <t>Government / tender</t>
        </is>
      </c>
      <c r="I5196" t="inlineStr">
        <is>
          <t>Self-pay</t>
        </is>
      </c>
      <c r="J5196" t="inlineStr">
        <is>
          <t>Wei Chen</t>
        </is>
      </c>
      <c r="K5196" s="70" t="n">
        <v>1177</v>
      </c>
      <c r="L5196" s="71" t="n">
        <v>748.1</v>
      </c>
      <c r="M5196" s="71" t="n">
        <v>880513.7</v>
      </c>
      <c r="N5196" s="71" t="n">
        <v>132077.06</v>
      </c>
      <c r="O5196" s="71" t="n">
        <v>748436.64</v>
      </c>
      <c r="P5196" s="71" t="n">
        <v>88063.8</v>
      </c>
      <c r="Q5196" s="71" t="n">
        <v>660372.84</v>
      </c>
      <c r="R5196" t="inlineStr">
        <is>
          <t>Cardiology</t>
        </is>
      </c>
      <c r="S5196" s="70" t="n">
        <v>805</v>
      </c>
      <c r="T5196" s="71" t="n">
        <v>184032.44</v>
      </c>
      <c r="U5196" t="inlineStr">
        <is>
          <t>High</t>
        </is>
      </c>
      <c r="V5196">
        <f>IF(AND(OR(Dashboard!$C$6="All",E5196=Dashboard!$C$6),OR(Dashboard!$F$6="All",G5196=Dashboard!$F$6),OR(Dashboard!$I$6="All",H5196=Dashboard!$I$6)),1,0)</f>
        <v/>
      </c>
    </row>
    <row r="5197">
      <c r="A5197" t="inlineStr">
        <is>
          <t>PF105188</t>
        </is>
      </c>
      <c r="B5197" s="68" t="n">
        <v>46283</v>
      </c>
      <c r="C5197" s="69" t="n">
        <v>2026</v>
      </c>
      <c r="D5197" t="inlineStr">
        <is>
          <t>Sep</t>
        </is>
      </c>
      <c r="E5197" t="inlineStr">
        <is>
          <t>Emerging markets</t>
        </is>
      </c>
      <c r="F5197" t="inlineStr">
        <is>
          <t>Mexico</t>
        </is>
      </c>
      <c r="G5197" t="inlineStr">
        <is>
          <t>Prevnar 20</t>
        </is>
      </c>
      <c r="H5197" t="inlineStr">
        <is>
          <t>Government / tender</t>
        </is>
      </c>
      <c r="I5197" t="inlineStr">
        <is>
          <t>Public payer</t>
        </is>
      </c>
      <c r="J5197" t="inlineStr">
        <is>
          <t>Emma Clarke</t>
        </is>
      </c>
      <c r="K5197" s="70" t="n">
        <v>2947</v>
      </c>
      <c r="L5197" s="71" t="n">
        <v>234.06</v>
      </c>
      <c r="M5197" s="71" t="n">
        <v>689774.8199999999</v>
      </c>
      <c r="N5197" s="71" t="n">
        <v>137954.96</v>
      </c>
      <c r="O5197" s="71" t="n">
        <v>551819.86</v>
      </c>
      <c r="P5197" s="71" t="n">
        <v>203706.71</v>
      </c>
      <c r="Q5197" s="71" t="n">
        <v>348113.15</v>
      </c>
      <c r="R5197" t="inlineStr">
        <is>
          <t>Vaccines</t>
        </is>
      </c>
      <c r="S5197" s="70" t="n">
        <v>1966</v>
      </c>
      <c r="T5197" s="71" t="n">
        <v>105202.15</v>
      </c>
      <c r="U5197" t="inlineStr">
        <is>
          <t>Low</t>
        </is>
      </c>
      <c r="V5197">
        <f>IF(AND(OR(Dashboard!$C$6="All",E5197=Dashboard!$C$6),OR(Dashboard!$F$6="All",G5197=Dashboard!$F$6),OR(Dashboard!$I$6="All",H5197=Dashboard!$I$6)),1,0)</f>
        <v/>
      </c>
    </row>
    <row r="5198">
      <c r="A5198" t="inlineStr">
        <is>
          <t>PF105189</t>
        </is>
      </c>
      <c r="B5198" s="68" t="n">
        <v>46283</v>
      </c>
      <c r="C5198" s="69" t="n">
        <v>2026</v>
      </c>
      <c r="D5198" t="inlineStr">
        <is>
          <t>Sep</t>
        </is>
      </c>
      <c r="E5198" t="inlineStr">
        <is>
          <t>Europe</t>
        </is>
      </c>
      <c r="F5198" t="inlineStr">
        <is>
          <t>France</t>
        </is>
      </c>
      <c r="G5198" t="inlineStr">
        <is>
          <t>Prevnar 20</t>
        </is>
      </c>
      <c r="H5198" t="inlineStr">
        <is>
          <t>Retail pharmacy</t>
        </is>
      </c>
      <c r="I5198" t="inlineStr">
        <is>
          <t>Public payer</t>
        </is>
      </c>
      <c r="J5198" t="inlineStr">
        <is>
          <t>Ruhi Shaikh</t>
        </is>
      </c>
      <c r="K5198" s="70" t="n">
        <v>1524</v>
      </c>
      <c r="L5198" s="71" t="n">
        <v>230.19</v>
      </c>
      <c r="M5198" s="71" t="n">
        <v>350809.56</v>
      </c>
      <c r="N5198" s="71" t="n">
        <v>35080.96</v>
      </c>
      <c r="O5198" s="71" t="n">
        <v>315728.6</v>
      </c>
      <c r="P5198" s="71" t="n">
        <v>101926.06</v>
      </c>
      <c r="Q5198" s="71" t="n">
        <v>213802.54</v>
      </c>
      <c r="R5198" t="inlineStr">
        <is>
          <t>Vaccines</t>
        </is>
      </c>
      <c r="S5198" s="70" t="n">
        <v>1508</v>
      </c>
      <c r="T5198" s="71" t="n">
        <v>44733.37</v>
      </c>
      <c r="U5198" t="inlineStr">
        <is>
          <t>Low</t>
        </is>
      </c>
      <c r="V5198">
        <f>IF(AND(OR(Dashboard!$C$6="All",E5198=Dashboard!$C$6),OR(Dashboard!$F$6="All",G5198=Dashboard!$F$6),OR(Dashboard!$I$6="All",H5198=Dashboard!$I$6)),1,0)</f>
        <v/>
      </c>
    </row>
    <row r="5199">
      <c r="A5199" t="inlineStr">
        <is>
          <t>PF105190</t>
        </is>
      </c>
      <c r="B5199" s="68" t="n">
        <v>46283</v>
      </c>
      <c r="C5199" s="69" t="n">
        <v>2026</v>
      </c>
      <c r="D5199" t="inlineStr">
        <is>
          <t>Sep</t>
        </is>
      </c>
      <c r="E5199" t="inlineStr">
        <is>
          <t>Europe</t>
        </is>
      </c>
      <c r="F5199" t="inlineStr">
        <is>
          <t>Spain</t>
        </is>
      </c>
      <c r="G5199" t="inlineStr">
        <is>
          <t>Eliquis</t>
        </is>
      </c>
      <c r="H5199" t="inlineStr">
        <is>
          <t>Retail pharmacy</t>
        </is>
      </c>
      <c r="I5199" t="inlineStr">
        <is>
          <t>Public payer</t>
        </is>
      </c>
      <c r="J5199" t="inlineStr">
        <is>
          <t>Kofi Mensah</t>
        </is>
      </c>
      <c r="K5199" s="70" t="n">
        <v>2157</v>
      </c>
      <c r="L5199" s="71" t="n">
        <v>436.14</v>
      </c>
      <c r="M5199" s="71" t="n">
        <v>940753.98</v>
      </c>
      <c r="N5199" s="71" t="n">
        <v>235188.49</v>
      </c>
      <c r="O5199" s="71" t="n">
        <v>705565.49</v>
      </c>
      <c r="P5199" s="71" t="n">
        <v>168329.26</v>
      </c>
      <c r="Q5199" s="71" t="n">
        <v>537236.23</v>
      </c>
      <c r="R5199" t="inlineStr">
        <is>
          <t>Cardiology</t>
        </is>
      </c>
      <c r="S5199" s="70" t="n">
        <v>1807</v>
      </c>
      <c r="T5199" s="71" t="n">
        <v>143069.98</v>
      </c>
      <c r="U5199" t="inlineStr">
        <is>
          <t>High</t>
        </is>
      </c>
      <c r="V5199">
        <f>IF(AND(OR(Dashboard!$C$6="All",E5199=Dashboard!$C$6),OR(Dashboard!$F$6="All",G5199=Dashboard!$F$6),OR(Dashboard!$I$6="All",H5199=Dashboard!$I$6)),1,0)</f>
        <v/>
      </c>
    </row>
    <row r="5200">
      <c r="A5200" t="inlineStr">
        <is>
          <t>PF105191</t>
        </is>
      </c>
      <c r="B5200" s="68" t="n">
        <v>46284</v>
      </c>
      <c r="C5200" s="69" t="n">
        <v>2026</v>
      </c>
      <c r="D5200" t="inlineStr">
        <is>
          <t>Sep</t>
        </is>
      </c>
      <c r="E5200" t="inlineStr">
        <is>
          <t>International developed</t>
        </is>
      </c>
      <c r="F5200" t="inlineStr">
        <is>
          <t>Canada</t>
        </is>
      </c>
      <c r="G5200" t="inlineStr">
        <is>
          <t>Prevnar 20</t>
        </is>
      </c>
      <c r="H5200" t="inlineStr">
        <is>
          <t>Retail pharmacy</t>
        </is>
      </c>
      <c r="I5200" t="inlineStr">
        <is>
          <t>Public payer</t>
        </is>
      </c>
      <c r="J5200" t="inlineStr">
        <is>
          <t>Wei Chen</t>
        </is>
      </c>
      <c r="K5200" s="70" t="n">
        <v>2111</v>
      </c>
      <c r="L5200" s="71" t="n">
        <v>249.52</v>
      </c>
      <c r="M5200" s="71" t="n">
        <v>526736.72</v>
      </c>
      <c r="N5200" s="71" t="n">
        <v>52673.67</v>
      </c>
      <c r="O5200" s="71" t="n">
        <v>474063.05</v>
      </c>
      <c r="P5200" s="71" t="n">
        <v>151310.87</v>
      </c>
      <c r="Q5200" s="71" t="n">
        <v>322752.18</v>
      </c>
      <c r="R5200" t="inlineStr">
        <is>
          <t>Vaccines</t>
        </is>
      </c>
      <c r="S5200" s="70" t="n">
        <v>1984</v>
      </c>
      <c r="T5200" s="71" t="n">
        <v>81303.88</v>
      </c>
      <c r="U5200" t="inlineStr">
        <is>
          <t>Low</t>
        </is>
      </c>
      <c r="V5200">
        <f>IF(AND(OR(Dashboard!$C$6="All",E5200=Dashboard!$C$6),OR(Dashboard!$F$6="All",G5200=Dashboard!$F$6),OR(Dashboard!$I$6="All",H5200=Dashboard!$I$6)),1,0)</f>
        <v/>
      </c>
    </row>
    <row r="5201">
      <c r="A5201" t="inlineStr">
        <is>
          <t>PF105192</t>
        </is>
      </c>
      <c r="B5201" s="68" t="n">
        <v>46284</v>
      </c>
      <c r="C5201" s="69" t="n">
        <v>2026</v>
      </c>
      <c r="D5201" t="inlineStr">
        <is>
          <t>Sep</t>
        </is>
      </c>
      <c r="E5201" t="inlineStr">
        <is>
          <t>United States</t>
        </is>
      </c>
      <c r="F5201" t="inlineStr">
        <is>
          <t>USA</t>
        </is>
      </c>
      <c r="G5201" t="inlineStr">
        <is>
          <t>Vyndaqel</t>
        </is>
      </c>
      <c r="H5201" t="inlineStr">
        <is>
          <t>Retail pharmacy</t>
        </is>
      </c>
      <c r="I5201" t="inlineStr">
        <is>
          <t>Public payer</t>
        </is>
      </c>
      <c r="J5201" t="inlineStr">
        <is>
          <t>Liam O'Brien</t>
        </is>
      </c>
      <c r="K5201" s="70" t="n">
        <v>256</v>
      </c>
      <c r="L5201" s="71" t="n">
        <v>9380.16</v>
      </c>
      <c r="M5201" s="71" t="n">
        <v>2401320.96</v>
      </c>
      <c r="N5201" s="71" t="n">
        <v>360198.14</v>
      </c>
      <c r="O5201" s="71" t="n">
        <v>2041122.82</v>
      </c>
      <c r="P5201" s="71" t="n">
        <v>160464.97</v>
      </c>
      <c r="Q5201" s="71" t="n">
        <v>1880657.85</v>
      </c>
      <c r="R5201" t="inlineStr">
        <is>
          <t>Rare disease</t>
        </is>
      </c>
      <c r="S5201" s="70" t="n">
        <v>248</v>
      </c>
      <c r="T5201" s="71" t="n">
        <v>278623.94</v>
      </c>
      <c r="U5201" t="inlineStr">
        <is>
          <t>Medium</t>
        </is>
      </c>
      <c r="V5201">
        <f>IF(AND(OR(Dashboard!$C$6="All",E5201=Dashboard!$C$6),OR(Dashboard!$F$6="All",G5201=Dashboard!$F$6),OR(Dashboard!$I$6="All",H5201=Dashboard!$I$6)),1,0)</f>
        <v/>
      </c>
    </row>
    <row r="5202">
      <c r="A5202" t="inlineStr">
        <is>
          <t>PF105193</t>
        </is>
      </c>
      <c r="B5202" s="68" t="n">
        <v>46284</v>
      </c>
      <c r="C5202" s="69" t="n">
        <v>2026</v>
      </c>
      <c r="D5202" t="inlineStr">
        <is>
          <t>Sep</t>
        </is>
      </c>
      <c r="E5202" t="inlineStr">
        <is>
          <t>Europe</t>
        </is>
      </c>
      <c r="F5202" t="inlineStr">
        <is>
          <t>Germany</t>
        </is>
      </c>
      <c r="G5202" t="inlineStr">
        <is>
          <t>Abrysvo</t>
        </is>
      </c>
      <c r="H5202" t="inlineStr">
        <is>
          <t>Hospital</t>
        </is>
      </c>
      <c r="I5202" t="inlineStr">
        <is>
          <t>Private insurer</t>
        </is>
      </c>
      <c r="J5202" t="inlineStr">
        <is>
          <t>Ruhi Shaikh</t>
        </is>
      </c>
      <c r="K5202" s="70" t="n">
        <v>3222</v>
      </c>
      <c r="L5202" s="71" t="n">
        <v>301.43</v>
      </c>
      <c r="M5202" s="71" t="n">
        <v>971207.46</v>
      </c>
      <c r="N5202" s="71" t="n">
        <v>48560.37</v>
      </c>
      <c r="O5202" s="71" t="n">
        <v>922647.09</v>
      </c>
      <c r="P5202" s="71" t="n">
        <v>265313.33</v>
      </c>
      <c r="Q5202" s="71" t="n">
        <v>657333.76</v>
      </c>
      <c r="R5202" t="inlineStr">
        <is>
          <t>Vaccines</t>
        </is>
      </c>
      <c r="S5202" s="70" t="n">
        <v>2020</v>
      </c>
      <c r="T5202" s="71" t="n">
        <v>120300.13</v>
      </c>
      <c r="U5202" t="inlineStr">
        <is>
          <t>Low</t>
        </is>
      </c>
      <c r="V5202">
        <f>IF(AND(OR(Dashboard!$C$6="All",E5202=Dashboard!$C$6),OR(Dashboard!$F$6="All",G5202=Dashboard!$F$6),OR(Dashboard!$I$6="All",H5202=Dashboard!$I$6)),1,0)</f>
        <v/>
      </c>
    </row>
    <row r="5203">
      <c r="A5203" t="inlineStr">
        <is>
          <t>PF105194</t>
        </is>
      </c>
      <c r="B5203" s="68" t="n">
        <v>46284</v>
      </c>
      <c r="C5203" s="69" t="n">
        <v>2026</v>
      </c>
      <c r="D5203" t="inlineStr">
        <is>
          <t>Sep</t>
        </is>
      </c>
      <c r="E5203" t="inlineStr">
        <is>
          <t>International developed</t>
        </is>
      </c>
      <c r="F5203" t="inlineStr">
        <is>
          <t>Canada</t>
        </is>
      </c>
      <c r="G5203" t="inlineStr">
        <is>
          <t>Eliquis</t>
        </is>
      </c>
      <c r="H5203" t="inlineStr">
        <is>
          <t>Hospital</t>
        </is>
      </c>
      <c r="I5203" t="inlineStr">
        <is>
          <t>Public payer</t>
        </is>
      </c>
      <c r="J5203" t="inlineStr">
        <is>
          <t>Amir Khan</t>
        </is>
      </c>
      <c r="K5203" s="70" t="n">
        <v>389</v>
      </c>
      <c r="L5203" s="71" t="n">
        <v>464.29</v>
      </c>
      <c r="M5203" s="71" t="n">
        <v>180608.81</v>
      </c>
      <c r="N5203" s="71" t="n">
        <v>9030.440000000001</v>
      </c>
      <c r="O5203" s="71" t="n">
        <v>171578.37</v>
      </c>
      <c r="P5203" s="71" t="n">
        <v>30295.68</v>
      </c>
      <c r="Q5203" s="71" t="n">
        <v>141282.69</v>
      </c>
      <c r="R5203" t="inlineStr">
        <is>
          <t>Cardiology</t>
        </is>
      </c>
      <c r="S5203" s="70" t="n">
        <v>293</v>
      </c>
      <c r="T5203" s="71" t="n">
        <v>22559.8</v>
      </c>
      <c r="U5203" t="inlineStr">
        <is>
          <t>High</t>
        </is>
      </c>
      <c r="V5203">
        <f>IF(AND(OR(Dashboard!$C$6="All",E5203=Dashboard!$C$6),OR(Dashboard!$F$6="All",G5203=Dashboard!$F$6),OR(Dashboard!$I$6="All",H5203=Dashboard!$I$6)),1,0)</f>
        <v/>
      </c>
    </row>
    <row r="5204">
      <c r="A5204" t="inlineStr">
        <is>
          <t>PF105195</t>
        </is>
      </c>
      <c r="B5204" s="68" t="n">
        <v>46284</v>
      </c>
      <c r="C5204" s="69" t="n">
        <v>2026</v>
      </c>
      <c r="D5204" t="inlineStr">
        <is>
          <t>Sep</t>
        </is>
      </c>
      <c r="E5204" t="inlineStr">
        <is>
          <t>United States</t>
        </is>
      </c>
      <c r="F5204" t="inlineStr">
        <is>
          <t>USA</t>
        </is>
      </c>
      <c r="G5204" t="inlineStr">
        <is>
          <t>Xeljanz</t>
        </is>
      </c>
      <c r="H5204" t="inlineStr">
        <is>
          <t>Government / tender</t>
        </is>
      </c>
      <c r="I5204" t="inlineStr">
        <is>
          <t>Private insurer</t>
        </is>
      </c>
      <c r="J5204" t="inlineStr">
        <is>
          <t>Fatima Al-Saud</t>
        </is>
      </c>
      <c r="K5204" s="70" t="n">
        <v>172</v>
      </c>
      <c r="L5204" s="71" t="n">
        <v>2258.17</v>
      </c>
      <c r="M5204" s="71" t="n">
        <v>388405.24</v>
      </c>
      <c r="N5204" s="71" t="n">
        <v>135941.83</v>
      </c>
      <c r="O5204" s="71" t="n">
        <v>252463.41</v>
      </c>
      <c r="P5204" s="71" t="n">
        <v>42922.95</v>
      </c>
      <c r="Q5204" s="71" t="n">
        <v>209540.46</v>
      </c>
      <c r="R5204" t="inlineStr">
        <is>
          <t>Inflammation</t>
        </is>
      </c>
      <c r="S5204" s="70" t="n">
        <v>129</v>
      </c>
      <c r="T5204" s="71" t="n">
        <v>83853.63</v>
      </c>
      <c r="U5204" t="inlineStr">
        <is>
          <t>High</t>
        </is>
      </c>
      <c r="V5204">
        <f>IF(AND(OR(Dashboard!$C$6="All",E5204=Dashboard!$C$6),OR(Dashboard!$F$6="All",G5204=Dashboard!$F$6),OR(Dashboard!$I$6="All",H5204=Dashboard!$I$6)),1,0)</f>
        <v/>
      </c>
    </row>
    <row r="5205">
      <c r="A5205" t="inlineStr">
        <is>
          <t>PF105196</t>
        </is>
      </c>
      <c r="B5205" s="68" t="n">
        <v>46284</v>
      </c>
      <c r="C5205" s="69" t="n">
        <v>2026</v>
      </c>
      <c r="D5205" t="inlineStr">
        <is>
          <t>Sep</t>
        </is>
      </c>
      <c r="E5205" t="inlineStr">
        <is>
          <t>International developed</t>
        </is>
      </c>
      <c r="F5205" t="inlineStr">
        <is>
          <t>Japan</t>
        </is>
      </c>
      <c r="G5205" t="inlineStr">
        <is>
          <t>Ibrance</t>
        </is>
      </c>
      <c r="H5205" t="inlineStr">
        <is>
          <t>Retail pharmacy</t>
        </is>
      </c>
      <c r="I5205" t="inlineStr">
        <is>
          <t>Public payer</t>
        </is>
      </c>
      <c r="J5205" t="inlineStr">
        <is>
          <t>Hiroshi Tanaka</t>
        </is>
      </c>
      <c r="K5205" s="70" t="n">
        <v>2095</v>
      </c>
      <c r="L5205" s="71" t="n">
        <v>2891.13</v>
      </c>
      <c r="M5205" s="71" t="n">
        <v>6056917.35</v>
      </c>
      <c r="N5205" s="71" t="n">
        <v>302845.87</v>
      </c>
      <c r="O5205" s="71" t="n">
        <v>5754071.48</v>
      </c>
      <c r="P5205" s="71" t="n">
        <v>888810.05</v>
      </c>
      <c r="Q5205" s="71" t="n">
        <v>4865261.43</v>
      </c>
      <c r="R5205" t="inlineStr">
        <is>
          <t>Oncology</t>
        </is>
      </c>
      <c r="S5205" s="70" t="n">
        <v>1386</v>
      </c>
      <c r="T5205" s="71" t="n">
        <v>1239896.03</v>
      </c>
      <c r="U5205" t="inlineStr">
        <is>
          <t>High</t>
        </is>
      </c>
      <c r="V5205">
        <f>IF(AND(OR(Dashboard!$C$6="All",E5205=Dashboard!$C$6),OR(Dashboard!$F$6="All",G5205=Dashboard!$F$6),OR(Dashboard!$I$6="All",H5205=Dashboard!$I$6)),1,0)</f>
        <v/>
      </c>
    </row>
    <row r="5206">
      <c r="A5206" t="inlineStr">
        <is>
          <t>PF105197</t>
        </is>
      </c>
      <c r="B5206" s="68" t="n">
        <v>46284</v>
      </c>
      <c r="C5206" s="69" t="n">
        <v>2026</v>
      </c>
      <c r="D5206" t="inlineStr">
        <is>
          <t>Sep</t>
        </is>
      </c>
      <c r="E5206" t="inlineStr">
        <is>
          <t>United States</t>
        </is>
      </c>
      <c r="F5206" t="inlineStr">
        <is>
          <t>USA</t>
        </is>
      </c>
      <c r="G5206" t="inlineStr">
        <is>
          <t>Paxlovid</t>
        </is>
      </c>
      <c r="H5206" t="inlineStr">
        <is>
          <t>Retail pharmacy</t>
        </is>
      </c>
      <c r="I5206" t="inlineStr">
        <is>
          <t>Public payer</t>
        </is>
      </c>
      <c r="J5206" t="inlineStr">
        <is>
          <t>Omar Haddad</t>
        </is>
      </c>
      <c r="K5206" s="70" t="n">
        <v>120</v>
      </c>
      <c r="L5206" s="71" t="n">
        <v>1417.93</v>
      </c>
      <c r="M5206" s="71" t="n">
        <v>170151.6</v>
      </c>
      <c r="N5206" s="71" t="n">
        <v>34030.32</v>
      </c>
      <c r="O5206" s="71" t="n">
        <v>136121.28</v>
      </c>
      <c r="P5206" s="71" t="n">
        <v>33906.39</v>
      </c>
      <c r="Q5206" s="71" t="n">
        <v>102214.89</v>
      </c>
      <c r="R5206" t="inlineStr">
        <is>
          <t>Antiviral</t>
        </is>
      </c>
      <c r="S5206" s="70" t="n">
        <v>98</v>
      </c>
      <c r="T5206" s="71" t="n">
        <v>44309.87</v>
      </c>
      <c r="U5206" t="inlineStr">
        <is>
          <t>Low</t>
        </is>
      </c>
      <c r="V5206">
        <f>IF(AND(OR(Dashboard!$C$6="All",E5206=Dashboard!$C$6),OR(Dashboard!$F$6="All",G5206=Dashboard!$F$6),OR(Dashboard!$I$6="All",H5206=Dashboard!$I$6)),1,0)</f>
        <v/>
      </c>
    </row>
    <row r="5207">
      <c r="A5207" t="inlineStr">
        <is>
          <t>PF105198</t>
        </is>
      </c>
      <c r="B5207" s="68" t="n">
        <v>46284</v>
      </c>
      <c r="C5207" s="69" t="n">
        <v>2026</v>
      </c>
      <c r="D5207" t="inlineStr">
        <is>
          <t>Sep</t>
        </is>
      </c>
      <c r="E5207" t="inlineStr">
        <is>
          <t>Emerging markets</t>
        </is>
      </c>
      <c r="F5207" t="inlineStr">
        <is>
          <t>Mexico</t>
        </is>
      </c>
      <c r="G5207" t="inlineStr">
        <is>
          <t>Paxlovid</t>
        </is>
      </c>
      <c r="H5207" t="inlineStr">
        <is>
          <t>Retail pharmacy</t>
        </is>
      </c>
      <c r="I5207" t="inlineStr">
        <is>
          <t>Public payer</t>
        </is>
      </c>
      <c r="J5207" t="inlineStr">
        <is>
          <t>Aisha Bello</t>
        </is>
      </c>
      <c r="K5207" s="70" t="n">
        <v>1233</v>
      </c>
      <c r="L5207" s="71" t="n">
        <v>972.04</v>
      </c>
      <c r="M5207" s="71" t="n">
        <v>1198525.32</v>
      </c>
      <c r="N5207" s="71" t="n">
        <v>179778.8</v>
      </c>
      <c r="O5207" s="71" t="n">
        <v>1018746.52</v>
      </c>
      <c r="P5207" s="71" t="n">
        <v>329048.9</v>
      </c>
      <c r="Q5207" s="71" t="n">
        <v>689697.62</v>
      </c>
      <c r="R5207" t="inlineStr">
        <is>
          <t>Antiviral</t>
        </is>
      </c>
      <c r="S5207" s="70" t="n">
        <v>1054</v>
      </c>
      <c r="T5207" s="71" t="n">
        <v>263981.44</v>
      </c>
      <c r="U5207" t="inlineStr">
        <is>
          <t>Low</t>
        </is>
      </c>
      <c r="V5207">
        <f>IF(AND(OR(Dashboard!$C$6="All",E5207=Dashboard!$C$6),OR(Dashboard!$F$6="All",G5207=Dashboard!$F$6),OR(Dashboard!$I$6="All",H5207=Dashboard!$I$6)),1,0)</f>
        <v/>
      </c>
    </row>
    <row r="5208">
      <c r="A5208" t="inlineStr">
        <is>
          <t>PF105199</t>
        </is>
      </c>
      <c r="B5208" s="68" t="n">
        <v>46284</v>
      </c>
      <c r="C5208" s="69" t="n">
        <v>2026</v>
      </c>
      <c r="D5208" t="inlineStr">
        <is>
          <t>Sep</t>
        </is>
      </c>
      <c r="E5208" t="inlineStr">
        <is>
          <t>International developed</t>
        </is>
      </c>
      <c r="F5208" t="inlineStr">
        <is>
          <t>Australia</t>
        </is>
      </c>
      <c r="G5208" t="inlineStr">
        <is>
          <t>Prevnar 20</t>
        </is>
      </c>
      <c r="H5208" t="inlineStr">
        <is>
          <t>Retail pharmacy</t>
        </is>
      </c>
      <c r="I5208" t="inlineStr">
        <is>
          <t>Public payer</t>
        </is>
      </c>
      <c r="J5208" t="inlineStr">
        <is>
          <t>Zoya Ahmed</t>
        </is>
      </c>
      <c r="K5208" s="70" t="n">
        <v>2058</v>
      </c>
      <c r="L5208" s="71" t="n">
        <v>230.85</v>
      </c>
      <c r="M5208" s="71" t="n">
        <v>475089.3</v>
      </c>
      <c r="N5208" s="71" t="n">
        <v>71263.39</v>
      </c>
      <c r="O5208" s="71" t="n">
        <v>403825.91</v>
      </c>
      <c r="P5208" s="71" t="n">
        <v>146237.2</v>
      </c>
      <c r="Q5208" s="71" t="n">
        <v>257588.71</v>
      </c>
      <c r="R5208" t="inlineStr">
        <is>
          <t>Vaccines</t>
        </is>
      </c>
      <c r="S5208" s="70" t="n">
        <v>1476</v>
      </c>
      <c r="T5208" s="71" t="n">
        <v>61144.39</v>
      </c>
      <c r="U5208" t="inlineStr">
        <is>
          <t>Low</t>
        </is>
      </c>
      <c r="V5208">
        <f>IF(AND(OR(Dashboard!$C$6="All",E5208=Dashboard!$C$6),OR(Dashboard!$F$6="All",G5208=Dashboard!$F$6),OR(Dashboard!$I$6="All",H5208=Dashboard!$I$6)),1,0)</f>
        <v/>
      </c>
    </row>
    <row r="5209">
      <c r="A5209" t="inlineStr">
        <is>
          <t>PF105200</t>
        </is>
      </c>
      <c r="B5209" s="68" t="n">
        <v>46284</v>
      </c>
      <c r="C5209" s="69" t="n">
        <v>2026</v>
      </c>
      <c r="D5209" t="inlineStr">
        <is>
          <t>Sep</t>
        </is>
      </c>
      <c r="E5209" t="inlineStr">
        <is>
          <t>United States</t>
        </is>
      </c>
      <c r="F5209" t="inlineStr">
        <is>
          <t>USA</t>
        </is>
      </c>
      <c r="G5209" t="inlineStr">
        <is>
          <t>Xeljanz</t>
        </is>
      </c>
      <c r="H5209" t="inlineStr">
        <is>
          <t>Hospital</t>
        </is>
      </c>
      <c r="I5209" t="inlineStr">
        <is>
          <t>Self-pay</t>
        </is>
      </c>
      <c r="J5209" t="inlineStr">
        <is>
          <t>Olivia Brown</t>
        </is>
      </c>
      <c r="K5209" s="70" t="n">
        <v>2429</v>
      </c>
      <c r="L5209" s="71" t="n">
        <v>2267.22</v>
      </c>
      <c r="M5209" s="71" t="n">
        <v>5507077.38</v>
      </c>
      <c r="N5209" s="71" t="n">
        <v>1927477.08</v>
      </c>
      <c r="O5209" s="71" t="n">
        <v>3579600.3</v>
      </c>
      <c r="P5209" s="71" t="n">
        <v>622878.23</v>
      </c>
      <c r="Q5209" s="71" t="n">
        <v>2956722.07</v>
      </c>
      <c r="R5209" t="inlineStr">
        <is>
          <t>Inflammation</t>
        </is>
      </c>
      <c r="S5209" s="70" t="n">
        <v>2126</v>
      </c>
      <c r="T5209" s="71" t="n">
        <v>1022218.86</v>
      </c>
      <c r="U5209" t="inlineStr">
        <is>
          <t>High</t>
        </is>
      </c>
      <c r="V5209">
        <f>IF(AND(OR(Dashboard!$C$6="All",E5209=Dashboard!$C$6),OR(Dashboard!$F$6="All",G5209=Dashboard!$F$6),OR(Dashboard!$I$6="All",H5209=Dashboard!$I$6)),1,0)</f>
        <v/>
      </c>
    </row>
    <row r="5210">
      <c r="A5210" t="inlineStr">
        <is>
          <t>PF105201</t>
        </is>
      </c>
      <c r="B5210" s="68" t="n">
        <v>46284</v>
      </c>
      <c r="C5210" s="69" t="n">
        <v>2026</v>
      </c>
      <c r="D5210" t="inlineStr">
        <is>
          <t>Sep</t>
        </is>
      </c>
      <c r="E5210" t="inlineStr">
        <is>
          <t>United States</t>
        </is>
      </c>
      <c r="F5210" t="inlineStr">
        <is>
          <t>USA</t>
        </is>
      </c>
      <c r="G5210" t="inlineStr">
        <is>
          <t>Prevnar 20</t>
        </is>
      </c>
      <c r="H5210" t="inlineStr">
        <is>
          <t>Retail pharmacy</t>
        </is>
      </c>
      <c r="I5210" t="inlineStr">
        <is>
          <t>Self-pay</t>
        </is>
      </c>
      <c r="J5210" t="inlineStr">
        <is>
          <t>Mei Lin</t>
        </is>
      </c>
      <c r="K5210" s="70" t="n">
        <v>581</v>
      </c>
      <c r="L5210" s="71" t="n">
        <v>397.62</v>
      </c>
      <c r="M5210" s="71" t="n">
        <v>231017.22</v>
      </c>
      <c r="N5210" s="71" t="n">
        <v>69305.17</v>
      </c>
      <c r="O5210" s="71" t="n">
        <v>161712.05</v>
      </c>
      <c r="P5210" s="71" t="n">
        <v>40407.06</v>
      </c>
      <c r="Q5210" s="71" t="n">
        <v>121304.99</v>
      </c>
      <c r="R5210" t="inlineStr">
        <is>
          <t>Vaccines</t>
        </is>
      </c>
      <c r="S5210" s="70" t="n">
        <v>378</v>
      </c>
      <c r="T5210" s="71" t="n">
        <v>43945.48</v>
      </c>
      <c r="U5210" t="inlineStr">
        <is>
          <t>Low</t>
        </is>
      </c>
      <c r="V5210">
        <f>IF(AND(OR(Dashboard!$C$6="All",E5210=Dashboard!$C$6),OR(Dashboard!$F$6="All",G5210=Dashboard!$F$6),OR(Dashboard!$I$6="All",H5210=Dashboard!$I$6)),1,0)</f>
        <v/>
      </c>
    </row>
    <row r="5211">
      <c r="A5211" t="inlineStr">
        <is>
          <t>PF105202</t>
        </is>
      </c>
      <c r="B5211" s="68" t="n">
        <v>46285</v>
      </c>
      <c r="C5211" s="69" t="n">
        <v>2026</v>
      </c>
      <c r="D5211" t="inlineStr">
        <is>
          <t>Sep</t>
        </is>
      </c>
      <c r="E5211" t="inlineStr">
        <is>
          <t>United States</t>
        </is>
      </c>
      <c r="F5211" t="inlineStr">
        <is>
          <t>USA</t>
        </is>
      </c>
      <c r="G5211" t="inlineStr">
        <is>
          <t>Xeljanz</t>
        </is>
      </c>
      <c r="H5211" t="inlineStr">
        <is>
          <t>Retail pharmacy</t>
        </is>
      </c>
      <c r="I5211" t="inlineStr">
        <is>
          <t>Private insurer</t>
        </is>
      </c>
      <c r="J5211" t="inlineStr">
        <is>
          <t>Sara Rossi</t>
        </is>
      </c>
      <c r="K5211" s="70" t="n">
        <v>1555</v>
      </c>
      <c r="L5211" s="71" t="n">
        <v>1947.54</v>
      </c>
      <c r="M5211" s="71" t="n">
        <v>3028424.7</v>
      </c>
      <c r="N5211" s="71" t="n">
        <v>908527.41</v>
      </c>
      <c r="O5211" s="71" t="n">
        <v>2119897.29</v>
      </c>
      <c r="P5211" s="71" t="n">
        <v>378501.94</v>
      </c>
      <c r="Q5211" s="71" t="n">
        <v>1741395.35</v>
      </c>
      <c r="R5211" t="inlineStr">
        <is>
          <t>Inflammation</t>
        </is>
      </c>
      <c r="S5211" s="70" t="n">
        <v>1514</v>
      </c>
      <c r="T5211" s="71" t="n">
        <v>524158.14</v>
      </c>
      <c r="U5211" t="inlineStr">
        <is>
          <t>High</t>
        </is>
      </c>
      <c r="V5211">
        <f>IF(AND(OR(Dashboard!$C$6="All",E5211=Dashboard!$C$6),OR(Dashboard!$F$6="All",G5211=Dashboard!$F$6),OR(Dashboard!$I$6="All",H5211=Dashboard!$I$6)),1,0)</f>
        <v/>
      </c>
    </row>
    <row r="5212">
      <c r="A5212" t="inlineStr">
        <is>
          <t>PF105203</t>
        </is>
      </c>
      <c r="B5212" s="68" t="n">
        <v>46285</v>
      </c>
      <c r="C5212" s="69" t="n">
        <v>2026</v>
      </c>
      <c r="D5212" t="inlineStr">
        <is>
          <t>Sep</t>
        </is>
      </c>
      <c r="E5212" t="inlineStr">
        <is>
          <t>United States</t>
        </is>
      </c>
      <c r="F5212" t="inlineStr">
        <is>
          <t>USA</t>
        </is>
      </c>
      <c r="G5212" t="inlineStr">
        <is>
          <t>Vyndaqel</t>
        </is>
      </c>
      <c r="H5212" t="inlineStr">
        <is>
          <t>Hospital</t>
        </is>
      </c>
      <c r="I5212" t="inlineStr">
        <is>
          <t>Private insurer</t>
        </is>
      </c>
      <c r="J5212" t="inlineStr">
        <is>
          <t>Olivia Brown</t>
        </is>
      </c>
      <c r="K5212" s="70" t="n">
        <v>2681</v>
      </c>
      <c r="L5212" s="71" t="n">
        <v>9349.879999999999</v>
      </c>
      <c r="M5212" s="71" t="n">
        <v>25067028.28</v>
      </c>
      <c r="N5212" s="71" t="n">
        <v>5013405.66</v>
      </c>
      <c r="O5212" s="71" t="n">
        <v>20053622.62</v>
      </c>
      <c r="P5212" s="71" t="n">
        <v>1643890.12</v>
      </c>
      <c r="Q5212" s="71" t="n">
        <v>18409732.5</v>
      </c>
      <c r="R5212" t="inlineStr">
        <is>
          <t>Rare disease</t>
        </is>
      </c>
      <c r="S5212" s="70" t="n">
        <v>1873</v>
      </c>
      <c r="T5212" s="71" t="n">
        <v>4789047.7</v>
      </c>
      <c r="U5212" t="inlineStr">
        <is>
          <t>Medium</t>
        </is>
      </c>
      <c r="V5212">
        <f>IF(AND(OR(Dashboard!$C$6="All",E5212=Dashboard!$C$6),OR(Dashboard!$F$6="All",G5212=Dashboard!$F$6),OR(Dashboard!$I$6="All",H5212=Dashboard!$I$6)),1,0)</f>
        <v/>
      </c>
    </row>
    <row r="5213">
      <c r="A5213" t="inlineStr">
        <is>
          <t>PF105204</t>
        </is>
      </c>
      <c r="B5213" s="68" t="n">
        <v>46285</v>
      </c>
      <c r="C5213" s="69" t="n">
        <v>2026</v>
      </c>
      <c r="D5213" t="inlineStr">
        <is>
          <t>Sep</t>
        </is>
      </c>
      <c r="E5213" t="inlineStr">
        <is>
          <t>United States</t>
        </is>
      </c>
      <c r="F5213" t="inlineStr">
        <is>
          <t>USA</t>
        </is>
      </c>
      <c r="G5213" t="inlineStr">
        <is>
          <t>Abrysvo</t>
        </is>
      </c>
      <c r="H5213" t="inlineStr">
        <is>
          <t>Government / tender</t>
        </is>
      </c>
      <c r="I5213" t="inlineStr">
        <is>
          <t>Public payer</t>
        </is>
      </c>
      <c r="J5213" t="inlineStr">
        <is>
          <t>Kofi Mensah</t>
        </is>
      </c>
      <c r="K5213" s="70" t="n">
        <v>914</v>
      </c>
      <c r="L5213" s="71" t="n">
        <v>529.61</v>
      </c>
      <c r="M5213" s="71" t="n">
        <v>484063.54</v>
      </c>
      <c r="N5213" s="71" t="n">
        <v>169422.24</v>
      </c>
      <c r="O5213" s="71" t="n">
        <v>314641.3</v>
      </c>
      <c r="P5213" s="71" t="n">
        <v>79197.53</v>
      </c>
      <c r="Q5213" s="71" t="n">
        <v>235443.77</v>
      </c>
      <c r="R5213" t="inlineStr">
        <is>
          <t>Vaccines</t>
        </is>
      </c>
      <c r="S5213" s="70" t="n">
        <v>823</v>
      </c>
      <c r="T5213" s="71" t="n">
        <v>84147.75999999999</v>
      </c>
      <c r="U5213" t="inlineStr">
        <is>
          <t>Low</t>
        </is>
      </c>
      <c r="V5213">
        <f>IF(AND(OR(Dashboard!$C$6="All",E5213=Dashboard!$C$6),OR(Dashboard!$F$6="All",G5213=Dashboard!$F$6),OR(Dashboard!$I$6="All",H5213=Dashboard!$I$6)),1,0)</f>
        <v/>
      </c>
    </row>
    <row r="5214">
      <c r="A5214" t="inlineStr">
        <is>
          <t>PF105205</t>
        </is>
      </c>
      <c r="B5214" s="68" t="n">
        <v>46285</v>
      </c>
      <c r="C5214" s="69" t="n">
        <v>2026</v>
      </c>
      <c r="D5214" t="inlineStr">
        <is>
          <t>Sep</t>
        </is>
      </c>
      <c r="E5214" t="inlineStr">
        <is>
          <t>United States</t>
        </is>
      </c>
      <c r="F5214" t="inlineStr">
        <is>
          <t>USA</t>
        </is>
      </c>
      <c r="G5214" t="inlineStr">
        <is>
          <t>Eliquis</t>
        </is>
      </c>
      <c r="H5214" t="inlineStr">
        <is>
          <t>Retail pharmacy</t>
        </is>
      </c>
      <c r="I5214" t="inlineStr">
        <is>
          <t>Private insurer</t>
        </is>
      </c>
      <c r="J5214" t="inlineStr">
        <is>
          <t>Ruhi Shaikh</t>
        </is>
      </c>
      <c r="K5214" s="70" t="n">
        <v>2987</v>
      </c>
      <c r="L5214" s="71" t="n">
        <v>689.26</v>
      </c>
      <c r="M5214" s="71" t="n">
        <v>2058819.62</v>
      </c>
      <c r="N5214" s="71" t="n">
        <v>411763.92</v>
      </c>
      <c r="O5214" s="71" t="n">
        <v>1647055.7</v>
      </c>
      <c r="P5214" s="71" t="n">
        <v>217947.95</v>
      </c>
      <c r="Q5214" s="71" t="n">
        <v>1429107.75</v>
      </c>
      <c r="R5214" t="inlineStr">
        <is>
          <t>Cardiology</t>
        </is>
      </c>
      <c r="S5214" s="70" t="n">
        <v>2251</v>
      </c>
      <c r="T5214" s="71" t="n">
        <v>409180.31</v>
      </c>
      <c r="U5214" t="inlineStr">
        <is>
          <t>High</t>
        </is>
      </c>
      <c r="V5214">
        <f>IF(AND(OR(Dashboard!$C$6="All",E5214=Dashboard!$C$6),OR(Dashboard!$F$6="All",G5214=Dashboard!$F$6),OR(Dashboard!$I$6="All",H5214=Dashboard!$I$6)),1,0)</f>
        <v/>
      </c>
    </row>
    <row r="5215">
      <c r="A5215" t="inlineStr">
        <is>
          <t>PF105206</t>
        </is>
      </c>
      <c r="B5215" s="68" t="n">
        <v>46285</v>
      </c>
      <c r="C5215" s="69" t="n">
        <v>2026</v>
      </c>
      <c r="D5215" t="inlineStr">
        <is>
          <t>Sep</t>
        </is>
      </c>
      <c r="E5215" t="inlineStr">
        <is>
          <t>United States</t>
        </is>
      </c>
      <c r="F5215" t="inlineStr">
        <is>
          <t>USA</t>
        </is>
      </c>
      <c r="G5215" t="inlineStr">
        <is>
          <t>Ibrance</t>
        </is>
      </c>
      <c r="H5215" t="inlineStr">
        <is>
          <t>Government / tender</t>
        </is>
      </c>
      <c r="I5215" t="inlineStr">
        <is>
          <t>Private insurer</t>
        </is>
      </c>
      <c r="J5215" t="inlineStr">
        <is>
          <t>Noah Smith</t>
        </is>
      </c>
      <c r="K5215" s="70" t="n">
        <v>2722</v>
      </c>
      <c r="L5215" s="71" t="n">
        <v>4082.06</v>
      </c>
      <c r="M5215" s="71" t="n">
        <v>11111367.32</v>
      </c>
      <c r="N5215" s="71" t="n">
        <v>3888978.56</v>
      </c>
      <c r="O5215" s="71" t="n">
        <v>7222388.76</v>
      </c>
      <c r="P5215" s="71" t="n">
        <v>1171598.37</v>
      </c>
      <c r="Q5215" s="71" t="n">
        <v>6050790.39</v>
      </c>
      <c r="R5215" t="inlineStr">
        <is>
          <t>Oncology</t>
        </is>
      </c>
      <c r="S5215" s="70" t="n">
        <v>1928</v>
      </c>
      <c r="T5215" s="71" t="n">
        <v>2153259.34</v>
      </c>
      <c r="U5215" t="inlineStr">
        <is>
          <t>High</t>
        </is>
      </c>
      <c r="V5215">
        <f>IF(AND(OR(Dashboard!$C$6="All",E5215=Dashboard!$C$6),OR(Dashboard!$F$6="All",G5215=Dashboard!$F$6),OR(Dashboard!$I$6="All",H5215=Dashboard!$I$6)),1,0)</f>
        <v/>
      </c>
    </row>
    <row r="5216">
      <c r="A5216" t="inlineStr">
        <is>
          <t>PF105207</t>
        </is>
      </c>
      <c r="B5216" s="68" t="n">
        <v>46285</v>
      </c>
      <c r="C5216" s="69" t="n">
        <v>2026</v>
      </c>
      <c r="D5216" t="inlineStr">
        <is>
          <t>Sep</t>
        </is>
      </c>
      <c r="E5216" t="inlineStr">
        <is>
          <t>Europe</t>
        </is>
      </c>
      <c r="F5216" t="inlineStr">
        <is>
          <t>Italy</t>
        </is>
      </c>
      <c r="G5216" t="inlineStr">
        <is>
          <t>Vyndaqel</t>
        </is>
      </c>
      <c r="H5216" t="inlineStr">
        <is>
          <t>Government / tender</t>
        </is>
      </c>
      <c r="I5216" t="inlineStr">
        <is>
          <t>Private insurer</t>
        </is>
      </c>
      <c r="J5216" t="inlineStr">
        <is>
          <t>Ravindra Patil</t>
        </is>
      </c>
      <c r="K5216" s="70" t="n">
        <v>1776</v>
      </c>
      <c r="L5216" s="71" t="n">
        <v>6215.94</v>
      </c>
      <c r="M5216" s="71" t="n">
        <v>11039509.44</v>
      </c>
      <c r="N5216" s="71" t="n">
        <v>551975.47</v>
      </c>
      <c r="O5216" s="71" t="n">
        <v>10487533.97</v>
      </c>
      <c r="P5216" s="71" t="n">
        <v>1093494.95</v>
      </c>
      <c r="Q5216" s="71" t="n">
        <v>9394039.02</v>
      </c>
      <c r="R5216" t="inlineStr">
        <is>
          <t>Rare disease</t>
        </is>
      </c>
      <c r="S5216" s="70" t="n">
        <v>1395</v>
      </c>
      <c r="T5216" s="71" t="n">
        <v>1499341.34</v>
      </c>
      <c r="U5216" t="inlineStr">
        <is>
          <t>Medium</t>
        </is>
      </c>
      <c r="V5216">
        <f>IF(AND(OR(Dashboard!$C$6="All",E5216=Dashboard!$C$6),OR(Dashboard!$F$6="All",G5216=Dashboard!$F$6),OR(Dashboard!$I$6="All",H5216=Dashboard!$I$6)),1,0)</f>
        <v/>
      </c>
    </row>
    <row r="5217">
      <c r="A5217" t="inlineStr">
        <is>
          <t>PF105208</t>
        </is>
      </c>
      <c r="B5217" s="68" t="n">
        <v>46285</v>
      </c>
      <c r="C5217" s="69" t="n">
        <v>2026</v>
      </c>
      <c r="D5217" t="inlineStr">
        <is>
          <t>Sep</t>
        </is>
      </c>
      <c r="E5217" t="inlineStr">
        <is>
          <t>Emerging markets</t>
        </is>
      </c>
      <c r="F5217" t="inlineStr">
        <is>
          <t>India</t>
        </is>
      </c>
      <c r="G5217" t="inlineStr">
        <is>
          <t>Xeljanz</t>
        </is>
      </c>
      <c r="H5217" t="inlineStr">
        <is>
          <t>Hospital</t>
        </is>
      </c>
      <c r="I5217" t="inlineStr">
        <is>
          <t>Public payer</t>
        </is>
      </c>
      <c r="J5217" t="inlineStr">
        <is>
          <t>Carlos Silva</t>
        </is>
      </c>
      <c r="K5217" s="70" t="n">
        <v>1096</v>
      </c>
      <c r="L5217" s="71" t="n">
        <v>1261.84</v>
      </c>
      <c r="M5217" s="71" t="n">
        <v>1382976.64</v>
      </c>
      <c r="N5217" s="71" t="n">
        <v>276595.33</v>
      </c>
      <c r="O5217" s="71" t="n">
        <v>1106381.31</v>
      </c>
      <c r="P5217" s="71" t="n">
        <v>273207.29</v>
      </c>
      <c r="Q5217" s="71" t="n">
        <v>833174.02</v>
      </c>
      <c r="R5217" t="inlineStr">
        <is>
          <t>Inflammation</t>
        </is>
      </c>
      <c r="S5217" s="70" t="n">
        <v>829</v>
      </c>
      <c r="T5217" s="71" t="n">
        <v>210804.98</v>
      </c>
      <c r="U5217" t="inlineStr">
        <is>
          <t>High</t>
        </is>
      </c>
      <c r="V5217">
        <f>IF(AND(OR(Dashboard!$C$6="All",E5217=Dashboard!$C$6),OR(Dashboard!$F$6="All",G5217=Dashboard!$F$6),OR(Dashboard!$I$6="All",H5217=Dashboard!$I$6)),1,0)</f>
        <v/>
      </c>
    </row>
    <row r="5218">
      <c r="A5218" t="inlineStr">
        <is>
          <t>PF105209</t>
        </is>
      </c>
      <c r="B5218" s="68" t="n">
        <v>46285</v>
      </c>
      <c r="C5218" s="69" t="n">
        <v>2026</v>
      </c>
      <c r="D5218" t="inlineStr">
        <is>
          <t>Sep</t>
        </is>
      </c>
      <c r="E5218" t="inlineStr">
        <is>
          <t>Europe</t>
        </is>
      </c>
      <c r="F5218" t="inlineStr">
        <is>
          <t>Germany</t>
        </is>
      </c>
      <c r="G5218" t="inlineStr">
        <is>
          <t>Xeljanz</t>
        </is>
      </c>
      <c r="H5218" t="inlineStr">
        <is>
          <t>Government / tender</t>
        </is>
      </c>
      <c r="I5218" t="inlineStr">
        <is>
          <t>Public payer</t>
        </is>
      </c>
      <c r="J5218" t="inlineStr">
        <is>
          <t>Sara Rossi</t>
        </is>
      </c>
      <c r="K5218" s="70" t="n">
        <v>2577</v>
      </c>
      <c r="L5218" s="71" t="n">
        <v>1279.83</v>
      </c>
      <c r="M5218" s="71" t="n">
        <v>3298121.91</v>
      </c>
      <c r="N5218" s="71" t="n">
        <v>329812.19</v>
      </c>
      <c r="O5218" s="71" t="n">
        <v>2968309.72</v>
      </c>
      <c r="P5218" s="71" t="n">
        <v>664899.22</v>
      </c>
      <c r="Q5218" s="71" t="n">
        <v>2303410.5</v>
      </c>
      <c r="R5218" t="inlineStr">
        <is>
          <t>Inflammation</t>
        </is>
      </c>
      <c r="S5218" s="70" t="n">
        <v>2147</v>
      </c>
      <c r="T5218" s="71" t="n">
        <v>562546.42</v>
      </c>
      <c r="U5218" t="inlineStr">
        <is>
          <t>High</t>
        </is>
      </c>
      <c r="V5218">
        <f>IF(AND(OR(Dashboard!$C$6="All",E5218=Dashboard!$C$6),OR(Dashboard!$F$6="All",G5218=Dashboard!$F$6),OR(Dashboard!$I$6="All",H5218=Dashboard!$I$6)),1,0)</f>
        <v/>
      </c>
    </row>
    <row r="5219">
      <c r="A5219" t="inlineStr">
        <is>
          <t>PF105210</t>
        </is>
      </c>
      <c r="B5219" s="68" t="n">
        <v>46285</v>
      </c>
      <c r="C5219" s="69" t="n">
        <v>2026</v>
      </c>
      <c r="D5219" t="inlineStr">
        <is>
          <t>Sep</t>
        </is>
      </c>
      <c r="E5219" t="inlineStr">
        <is>
          <t>Europe</t>
        </is>
      </c>
      <c r="F5219" t="inlineStr">
        <is>
          <t>Spain</t>
        </is>
      </c>
      <c r="G5219" t="inlineStr">
        <is>
          <t>Paxlovid</t>
        </is>
      </c>
      <c r="H5219" t="inlineStr">
        <is>
          <t>Government / tender</t>
        </is>
      </c>
      <c r="I5219" t="inlineStr">
        <is>
          <t>Private insurer</t>
        </is>
      </c>
      <c r="J5219" t="inlineStr">
        <is>
          <t>Aisha Bello</t>
        </is>
      </c>
      <c r="K5219" s="70" t="n">
        <v>751</v>
      </c>
      <c r="L5219" s="71" t="n">
        <v>885.8099999999999</v>
      </c>
      <c r="M5219" s="71" t="n">
        <v>665243.3100000001</v>
      </c>
      <c r="N5219" s="71" t="n">
        <v>33262.17</v>
      </c>
      <c r="O5219" s="71" t="n">
        <v>631981.14</v>
      </c>
      <c r="P5219" s="71" t="n">
        <v>206607.92</v>
      </c>
      <c r="Q5219" s="71" t="n">
        <v>425373.22</v>
      </c>
      <c r="R5219" t="inlineStr">
        <is>
          <t>Antiviral</t>
        </is>
      </c>
      <c r="S5219" s="70" t="n">
        <v>671</v>
      </c>
      <c r="T5219" s="71" t="n">
        <v>96734.34</v>
      </c>
      <c r="U5219" t="inlineStr">
        <is>
          <t>Low</t>
        </is>
      </c>
      <c r="V5219">
        <f>IF(AND(OR(Dashboard!$C$6="All",E5219=Dashboard!$C$6),OR(Dashboard!$F$6="All",G5219=Dashboard!$F$6),OR(Dashboard!$I$6="All",H5219=Dashboard!$I$6)),1,0)</f>
        <v/>
      </c>
    </row>
    <row r="5220">
      <c r="A5220" t="inlineStr">
        <is>
          <t>PF105211</t>
        </is>
      </c>
      <c r="B5220" s="68" t="n">
        <v>46285</v>
      </c>
      <c r="C5220" s="69" t="n">
        <v>2026</v>
      </c>
      <c r="D5220" t="inlineStr">
        <is>
          <t>Sep</t>
        </is>
      </c>
      <c r="E5220" t="inlineStr">
        <is>
          <t>United States</t>
        </is>
      </c>
      <c r="F5220" t="inlineStr">
        <is>
          <t>USA</t>
        </is>
      </c>
      <c r="G5220" t="inlineStr">
        <is>
          <t>Eliquis</t>
        </is>
      </c>
      <c r="H5220" t="inlineStr">
        <is>
          <t>Government / tender</t>
        </is>
      </c>
      <c r="I5220" t="inlineStr">
        <is>
          <t>Private insurer</t>
        </is>
      </c>
      <c r="J5220" t="inlineStr">
        <is>
          <t>Omar Haddad</t>
        </is>
      </c>
      <c r="K5220" s="70" t="n">
        <v>2435</v>
      </c>
      <c r="L5220" s="71" t="n">
        <v>730.27</v>
      </c>
      <c r="M5220" s="71" t="n">
        <v>1778207.45</v>
      </c>
      <c r="N5220" s="71" t="n">
        <v>355641.49</v>
      </c>
      <c r="O5220" s="71" t="n">
        <v>1422565.96</v>
      </c>
      <c r="P5220" s="71" t="n">
        <v>185988.37</v>
      </c>
      <c r="Q5220" s="71" t="n">
        <v>1236577.59</v>
      </c>
      <c r="R5220" t="inlineStr">
        <is>
          <t>Cardiology</t>
        </is>
      </c>
      <c r="S5220" s="70" t="n">
        <v>1623</v>
      </c>
      <c r="T5220" s="71" t="n">
        <v>311767.06</v>
      </c>
      <c r="U5220" t="inlineStr">
        <is>
          <t>High</t>
        </is>
      </c>
      <c r="V5220">
        <f>IF(AND(OR(Dashboard!$C$6="All",E5220=Dashboard!$C$6),OR(Dashboard!$F$6="All",G5220=Dashboard!$F$6),OR(Dashboard!$I$6="All",H5220=Dashboard!$I$6)),1,0)</f>
        <v/>
      </c>
    </row>
    <row r="5221">
      <c r="A5221" t="inlineStr">
        <is>
          <t>PF105212</t>
        </is>
      </c>
      <c r="B5221" s="68" t="n">
        <v>46286</v>
      </c>
      <c r="C5221" s="69" t="n">
        <v>2026</v>
      </c>
      <c r="D5221" t="inlineStr">
        <is>
          <t>Sep</t>
        </is>
      </c>
      <c r="E5221" t="inlineStr">
        <is>
          <t>Europe</t>
        </is>
      </c>
      <c r="F5221" t="inlineStr">
        <is>
          <t>Spain</t>
        </is>
      </c>
      <c r="G5221" t="inlineStr">
        <is>
          <t>Vyndaqel</t>
        </is>
      </c>
      <c r="H5221" t="inlineStr">
        <is>
          <t>Retail pharmacy</t>
        </is>
      </c>
      <c r="I5221" t="inlineStr">
        <is>
          <t>Private insurer</t>
        </is>
      </c>
      <c r="J5221" t="inlineStr">
        <is>
          <t>Fatima Al-Saud</t>
        </is>
      </c>
      <c r="K5221" s="70" t="n">
        <v>1191</v>
      </c>
      <c r="L5221" s="71" t="n">
        <v>5682.68</v>
      </c>
      <c r="M5221" s="71" t="n">
        <v>6768071.88</v>
      </c>
      <c r="N5221" s="71" t="n">
        <v>676807.1899999999</v>
      </c>
      <c r="O5221" s="71" t="n">
        <v>6091264.69</v>
      </c>
      <c r="P5221" s="71" t="n">
        <v>739081.14</v>
      </c>
      <c r="Q5221" s="71" t="n">
        <v>5352183.55</v>
      </c>
      <c r="R5221" t="inlineStr">
        <is>
          <t>Rare disease</t>
        </is>
      </c>
      <c r="S5221" s="70" t="n">
        <v>824</v>
      </c>
      <c r="T5221" s="71" t="n">
        <v>1200675.15</v>
      </c>
      <c r="U5221" t="inlineStr">
        <is>
          <t>Medium</t>
        </is>
      </c>
      <c r="V5221">
        <f>IF(AND(OR(Dashboard!$C$6="All",E5221=Dashboard!$C$6),OR(Dashboard!$F$6="All",G5221=Dashboard!$F$6),OR(Dashboard!$I$6="All",H5221=Dashboard!$I$6)),1,0)</f>
        <v/>
      </c>
    </row>
    <row r="5222">
      <c r="A5222" t="inlineStr">
        <is>
          <t>PF105213</t>
        </is>
      </c>
      <c r="B5222" s="68" t="n">
        <v>46286</v>
      </c>
      <c r="C5222" s="69" t="n">
        <v>2026</v>
      </c>
      <c r="D5222" t="inlineStr">
        <is>
          <t>Sep</t>
        </is>
      </c>
      <c r="E5222" t="inlineStr">
        <is>
          <t>United States</t>
        </is>
      </c>
      <c r="F5222" t="inlineStr">
        <is>
          <t>USA</t>
        </is>
      </c>
      <c r="G5222" t="inlineStr">
        <is>
          <t>Prevnar 20</t>
        </is>
      </c>
      <c r="H5222" t="inlineStr">
        <is>
          <t>Hospital</t>
        </is>
      </c>
      <c r="I5222" t="inlineStr">
        <is>
          <t>Private insurer</t>
        </is>
      </c>
      <c r="J5222" t="inlineStr">
        <is>
          <t>Noah Smith</t>
        </is>
      </c>
      <c r="K5222" s="70" t="n">
        <v>932</v>
      </c>
      <c r="L5222" s="71" t="n">
        <v>389.78</v>
      </c>
      <c r="M5222" s="71" t="n">
        <v>363274.96</v>
      </c>
      <c r="N5222" s="71" t="n">
        <v>72654.99000000001</v>
      </c>
      <c r="O5222" s="71" t="n">
        <v>290619.97</v>
      </c>
      <c r="P5222" s="71" t="n">
        <v>64380.79</v>
      </c>
      <c r="Q5222" s="71" t="n">
        <v>226239.18</v>
      </c>
      <c r="R5222" t="inlineStr">
        <is>
          <t>Vaccines</t>
        </is>
      </c>
      <c r="S5222" s="70" t="n">
        <v>730</v>
      </c>
      <c r="T5222" s="71" t="n">
        <v>75473.28999999999</v>
      </c>
      <c r="U5222" t="inlineStr">
        <is>
          <t>Low</t>
        </is>
      </c>
      <c r="V5222">
        <f>IF(AND(OR(Dashboard!$C$6="All",E5222=Dashboard!$C$6),OR(Dashboard!$F$6="All",G5222=Dashboard!$F$6),OR(Dashboard!$I$6="All",H5222=Dashboard!$I$6)),1,0)</f>
        <v/>
      </c>
    </row>
    <row r="5223">
      <c r="A5223" t="inlineStr">
        <is>
          <t>PF105214</t>
        </is>
      </c>
      <c r="B5223" s="68" t="n">
        <v>46286</v>
      </c>
      <c r="C5223" s="69" t="n">
        <v>2026</v>
      </c>
      <c r="D5223" t="inlineStr">
        <is>
          <t>Sep</t>
        </is>
      </c>
      <c r="E5223" t="inlineStr">
        <is>
          <t>United States</t>
        </is>
      </c>
      <c r="F5223" t="inlineStr">
        <is>
          <t>USA</t>
        </is>
      </c>
      <c r="G5223" t="inlineStr">
        <is>
          <t>Abrysvo</t>
        </is>
      </c>
      <c r="H5223" t="inlineStr">
        <is>
          <t>Retail pharmacy</t>
        </is>
      </c>
      <c r="I5223" t="inlineStr">
        <is>
          <t>Private insurer</t>
        </is>
      </c>
      <c r="J5223" t="inlineStr">
        <is>
          <t>Ana Costa</t>
        </is>
      </c>
      <c r="K5223" s="70" t="n">
        <v>520</v>
      </c>
      <c r="L5223" s="71" t="n">
        <v>534.66</v>
      </c>
      <c r="M5223" s="71" t="n">
        <v>278023.2</v>
      </c>
      <c r="N5223" s="71" t="n">
        <v>97308.12</v>
      </c>
      <c r="O5223" s="71" t="n">
        <v>180715.08</v>
      </c>
      <c r="P5223" s="71" t="n">
        <v>43801.13</v>
      </c>
      <c r="Q5223" s="71" t="n">
        <v>136913.95</v>
      </c>
      <c r="R5223" t="inlineStr">
        <is>
          <t>Vaccines</t>
        </is>
      </c>
      <c r="S5223" s="70" t="n">
        <v>424</v>
      </c>
      <c r="T5223" s="71" t="n">
        <v>32538.87</v>
      </c>
      <c r="U5223" t="inlineStr">
        <is>
          <t>Low</t>
        </is>
      </c>
      <c r="V5223">
        <f>IF(AND(OR(Dashboard!$C$6="All",E5223=Dashboard!$C$6),OR(Dashboard!$F$6="All",G5223=Dashboard!$F$6),OR(Dashboard!$I$6="All",H5223=Dashboard!$I$6)),1,0)</f>
        <v/>
      </c>
    </row>
    <row r="5224">
      <c r="A5224" t="inlineStr">
        <is>
          <t>PF105215</t>
        </is>
      </c>
      <c r="B5224" s="68" t="n">
        <v>46286</v>
      </c>
      <c r="C5224" s="69" t="n">
        <v>2026</v>
      </c>
      <c r="D5224" t="inlineStr">
        <is>
          <t>Sep</t>
        </is>
      </c>
      <c r="E5224" t="inlineStr">
        <is>
          <t>United States</t>
        </is>
      </c>
      <c r="F5224" t="inlineStr">
        <is>
          <t>USA</t>
        </is>
      </c>
      <c r="G5224" t="inlineStr">
        <is>
          <t>Ibrance</t>
        </is>
      </c>
      <c r="H5224" t="inlineStr">
        <is>
          <t>Hospital</t>
        </is>
      </c>
      <c r="I5224" t="inlineStr">
        <is>
          <t>Private insurer</t>
        </is>
      </c>
      <c r="J5224" t="inlineStr">
        <is>
          <t>Sophie Müller</t>
        </is>
      </c>
      <c r="K5224" s="70" t="n">
        <v>2219</v>
      </c>
      <c r="L5224" s="71" t="n">
        <v>4341.77</v>
      </c>
      <c r="M5224" s="71" t="n">
        <v>9634387.630000001</v>
      </c>
      <c r="N5224" s="71" t="n">
        <v>3372035.67</v>
      </c>
      <c r="O5224" s="71" t="n">
        <v>6262351.96</v>
      </c>
      <c r="P5224" s="71" t="n">
        <v>927355.61</v>
      </c>
      <c r="Q5224" s="71" t="n">
        <v>5334996.35</v>
      </c>
      <c r="R5224" t="inlineStr">
        <is>
          <t>Oncology</t>
        </is>
      </c>
      <c r="S5224" s="70" t="n">
        <v>2038</v>
      </c>
      <c r="T5224" s="71" t="n">
        <v>1340364.07</v>
      </c>
      <c r="U5224" t="inlineStr">
        <is>
          <t>High</t>
        </is>
      </c>
      <c r="V5224">
        <f>IF(AND(OR(Dashboard!$C$6="All",E5224=Dashboard!$C$6),OR(Dashboard!$F$6="All",G5224=Dashboard!$F$6),OR(Dashboard!$I$6="All",H5224=Dashboard!$I$6)),1,0)</f>
        <v/>
      </c>
    </row>
    <row r="5225">
      <c r="A5225" t="inlineStr">
        <is>
          <t>PF105216</t>
        </is>
      </c>
      <c r="B5225" s="68" t="n">
        <v>46286</v>
      </c>
      <c r="C5225" s="69" t="n">
        <v>2026</v>
      </c>
      <c r="D5225" t="inlineStr">
        <is>
          <t>Sep</t>
        </is>
      </c>
      <c r="E5225" t="inlineStr">
        <is>
          <t>United States</t>
        </is>
      </c>
      <c r="F5225" t="inlineStr">
        <is>
          <t>USA</t>
        </is>
      </c>
      <c r="G5225" t="inlineStr">
        <is>
          <t>Ibrance</t>
        </is>
      </c>
      <c r="H5225" t="inlineStr">
        <is>
          <t>Retail pharmacy</t>
        </is>
      </c>
      <c r="I5225" t="inlineStr">
        <is>
          <t>Private insurer</t>
        </is>
      </c>
      <c r="J5225" t="inlineStr">
        <is>
          <t>Amir Khan</t>
        </is>
      </c>
      <c r="K5225" s="70" t="n">
        <v>1321</v>
      </c>
      <c r="L5225" s="71" t="n">
        <v>4925.35</v>
      </c>
      <c r="M5225" s="71" t="n">
        <v>6506387.35</v>
      </c>
      <c r="N5225" s="71" t="n">
        <v>2277235.57</v>
      </c>
      <c r="O5225" s="71" t="n">
        <v>4229151.78</v>
      </c>
      <c r="P5225" s="71" t="n">
        <v>584391.3100000001</v>
      </c>
      <c r="Q5225" s="71" t="n">
        <v>3644760.47</v>
      </c>
      <c r="R5225" t="inlineStr">
        <is>
          <t>Oncology</t>
        </is>
      </c>
      <c r="S5225" s="70" t="n">
        <v>1221</v>
      </c>
      <c r="T5225" s="71" t="n">
        <v>934520.99</v>
      </c>
      <c r="U5225" t="inlineStr">
        <is>
          <t>High</t>
        </is>
      </c>
      <c r="V5225">
        <f>IF(AND(OR(Dashboard!$C$6="All",E5225=Dashboard!$C$6),OR(Dashboard!$F$6="All",G5225=Dashboard!$F$6),OR(Dashboard!$I$6="All",H5225=Dashboard!$I$6)),1,0)</f>
        <v/>
      </c>
    </row>
    <row r="5226">
      <c r="A5226" t="inlineStr">
        <is>
          <t>PF105217</t>
        </is>
      </c>
      <c r="B5226" s="68" t="n">
        <v>46286</v>
      </c>
      <c r="C5226" s="69" t="n">
        <v>2026</v>
      </c>
      <c r="D5226" t="inlineStr">
        <is>
          <t>Sep</t>
        </is>
      </c>
      <c r="E5226" t="inlineStr">
        <is>
          <t>United States</t>
        </is>
      </c>
      <c r="F5226" t="inlineStr">
        <is>
          <t>USA</t>
        </is>
      </c>
      <c r="G5226" t="inlineStr">
        <is>
          <t>Paxlovid</t>
        </is>
      </c>
      <c r="H5226" t="inlineStr">
        <is>
          <t>Government / tender</t>
        </is>
      </c>
      <c r="I5226" t="inlineStr">
        <is>
          <t>Public payer</t>
        </is>
      </c>
      <c r="J5226" t="inlineStr">
        <is>
          <t>Ravindra Patil</t>
        </is>
      </c>
      <c r="K5226" s="70" t="n">
        <v>1835</v>
      </c>
      <c r="L5226" s="71" t="n">
        <v>1463.03</v>
      </c>
      <c r="M5226" s="71" t="n">
        <v>2684660.05</v>
      </c>
      <c r="N5226" s="71" t="n">
        <v>671165.01</v>
      </c>
      <c r="O5226" s="71" t="n">
        <v>2013495.04</v>
      </c>
      <c r="P5226" s="71" t="n">
        <v>517762.07</v>
      </c>
      <c r="Q5226" s="71" t="n">
        <v>1495732.97</v>
      </c>
      <c r="R5226" t="inlineStr">
        <is>
          <t>Antiviral</t>
        </is>
      </c>
      <c r="S5226" s="70" t="n">
        <v>1162</v>
      </c>
      <c r="T5226" s="71" t="n">
        <v>534433.67</v>
      </c>
      <c r="U5226" t="inlineStr">
        <is>
          <t>Low</t>
        </is>
      </c>
      <c r="V5226">
        <f>IF(AND(OR(Dashboard!$C$6="All",E5226=Dashboard!$C$6),OR(Dashboard!$F$6="All",G5226=Dashboard!$F$6),OR(Dashboard!$I$6="All",H5226=Dashboard!$I$6)),1,0)</f>
        <v/>
      </c>
    </row>
    <row r="5227">
      <c r="A5227" t="inlineStr">
        <is>
          <t>PF105218</t>
        </is>
      </c>
      <c r="B5227" s="68" t="n">
        <v>46286</v>
      </c>
      <c r="C5227" s="69" t="n">
        <v>2026</v>
      </c>
      <c r="D5227" t="inlineStr">
        <is>
          <t>Sep</t>
        </is>
      </c>
      <c r="E5227" t="inlineStr">
        <is>
          <t>International developed</t>
        </is>
      </c>
      <c r="F5227" t="inlineStr">
        <is>
          <t>Japan</t>
        </is>
      </c>
      <c r="G5227" t="inlineStr">
        <is>
          <t>Eliquis</t>
        </is>
      </c>
      <c r="H5227" t="inlineStr">
        <is>
          <t>Retail pharmacy</t>
        </is>
      </c>
      <c r="I5227" t="inlineStr">
        <is>
          <t>Private insurer</t>
        </is>
      </c>
      <c r="J5227" t="inlineStr">
        <is>
          <t>Ruhi Shaikh</t>
        </is>
      </c>
      <c r="K5227" s="70" t="n">
        <v>2265</v>
      </c>
      <c r="L5227" s="71" t="n">
        <v>422.95</v>
      </c>
      <c r="M5227" s="71" t="n">
        <v>957981.75</v>
      </c>
      <c r="N5227" s="71" t="n">
        <v>143697.26</v>
      </c>
      <c r="O5227" s="71" t="n">
        <v>814284.49</v>
      </c>
      <c r="P5227" s="71" t="n">
        <v>165305.49</v>
      </c>
      <c r="Q5227" s="71" t="n">
        <v>648979</v>
      </c>
      <c r="R5227" t="inlineStr">
        <is>
          <t>Cardiology</t>
        </is>
      </c>
      <c r="S5227" s="70" t="n">
        <v>1813</v>
      </c>
      <c r="T5227" s="71" t="n">
        <v>167229.74</v>
      </c>
      <c r="U5227" t="inlineStr">
        <is>
          <t>High</t>
        </is>
      </c>
      <c r="V5227">
        <f>IF(AND(OR(Dashboard!$C$6="All",E5227=Dashboard!$C$6),OR(Dashboard!$F$6="All",G5227=Dashboard!$F$6),OR(Dashboard!$I$6="All",H5227=Dashboard!$I$6)),1,0)</f>
        <v/>
      </c>
    </row>
    <row r="5228">
      <c r="A5228" t="inlineStr">
        <is>
          <t>PF105219</t>
        </is>
      </c>
      <c r="B5228" s="68" t="n">
        <v>46286</v>
      </c>
      <c r="C5228" s="69" t="n">
        <v>2026</v>
      </c>
      <c r="D5228" t="inlineStr">
        <is>
          <t>Sep</t>
        </is>
      </c>
      <c r="E5228" t="inlineStr">
        <is>
          <t>United States</t>
        </is>
      </c>
      <c r="F5228" t="inlineStr">
        <is>
          <t>USA</t>
        </is>
      </c>
      <c r="G5228" t="inlineStr">
        <is>
          <t>Eliquis</t>
        </is>
      </c>
      <c r="H5228" t="inlineStr">
        <is>
          <t>Retail pharmacy</t>
        </is>
      </c>
      <c r="I5228" t="inlineStr">
        <is>
          <t>Private insurer</t>
        </is>
      </c>
      <c r="J5228" t="inlineStr">
        <is>
          <t>Liam O'Brien</t>
        </is>
      </c>
      <c r="K5228" s="70" t="n">
        <v>2718</v>
      </c>
      <c r="L5228" s="71" t="n">
        <v>655.52</v>
      </c>
      <c r="M5228" s="71" t="n">
        <v>1781703.36</v>
      </c>
      <c r="N5228" s="71" t="n">
        <v>356340.67</v>
      </c>
      <c r="O5228" s="71" t="n">
        <v>1425362.69</v>
      </c>
      <c r="P5228" s="71" t="n">
        <v>209636.94</v>
      </c>
      <c r="Q5228" s="71" t="n">
        <v>1215725.75</v>
      </c>
      <c r="R5228" t="inlineStr">
        <is>
          <t>Cardiology</t>
        </is>
      </c>
      <c r="S5228" s="70" t="n">
        <v>1945</v>
      </c>
      <c r="T5228" s="71" t="n">
        <v>243978.97</v>
      </c>
      <c r="U5228" t="inlineStr">
        <is>
          <t>High</t>
        </is>
      </c>
      <c r="V5228">
        <f>IF(AND(OR(Dashboard!$C$6="All",E5228=Dashboard!$C$6),OR(Dashboard!$F$6="All",G5228=Dashboard!$F$6),OR(Dashboard!$I$6="All",H5228=Dashboard!$I$6)),1,0)</f>
        <v/>
      </c>
    </row>
    <row r="5229">
      <c r="A5229" t="inlineStr">
        <is>
          <t>PF105220</t>
        </is>
      </c>
      <c r="B5229" s="68" t="n">
        <v>46287</v>
      </c>
      <c r="C5229" s="69" t="n">
        <v>2026</v>
      </c>
      <c r="D5229" t="inlineStr">
        <is>
          <t>Sep</t>
        </is>
      </c>
      <c r="E5229" t="inlineStr">
        <is>
          <t>Europe</t>
        </is>
      </c>
      <c r="F5229" t="inlineStr">
        <is>
          <t>UK</t>
        </is>
      </c>
      <c r="G5229" t="inlineStr">
        <is>
          <t>Abrysvo</t>
        </is>
      </c>
      <c r="H5229" t="inlineStr">
        <is>
          <t>Government / tender</t>
        </is>
      </c>
      <c r="I5229" t="inlineStr">
        <is>
          <t>Private insurer</t>
        </is>
      </c>
      <c r="J5229" t="inlineStr">
        <is>
          <t>Fatima Al-Saud</t>
        </is>
      </c>
      <c r="K5229" s="70" t="n">
        <v>1449</v>
      </c>
      <c r="L5229" s="71" t="n">
        <v>341.68</v>
      </c>
      <c r="M5229" s="71" t="n">
        <v>495094.32</v>
      </c>
      <c r="N5229" s="71" t="n">
        <v>99018.86</v>
      </c>
      <c r="O5229" s="71" t="n">
        <v>396075.46</v>
      </c>
      <c r="P5229" s="71" t="n">
        <v>121883.47</v>
      </c>
      <c r="Q5229" s="71" t="n">
        <v>274191.99</v>
      </c>
      <c r="R5229" t="inlineStr">
        <is>
          <t>Vaccines</t>
        </is>
      </c>
      <c r="S5229" s="70" t="n">
        <v>914</v>
      </c>
      <c r="T5229" s="71" t="n">
        <v>60965.18</v>
      </c>
      <c r="U5229" t="inlineStr">
        <is>
          <t>Low</t>
        </is>
      </c>
      <c r="V5229">
        <f>IF(AND(OR(Dashboard!$C$6="All",E5229=Dashboard!$C$6),OR(Dashboard!$F$6="All",G5229=Dashboard!$F$6),OR(Dashboard!$I$6="All",H5229=Dashboard!$I$6)),1,0)</f>
        <v/>
      </c>
    </row>
    <row r="5230">
      <c r="A5230" t="inlineStr">
        <is>
          <t>PF105221</t>
        </is>
      </c>
      <c r="B5230" s="68" t="n">
        <v>46287</v>
      </c>
      <c r="C5230" s="69" t="n">
        <v>2026</v>
      </c>
      <c r="D5230" t="inlineStr">
        <is>
          <t>Sep</t>
        </is>
      </c>
      <c r="E5230" t="inlineStr">
        <is>
          <t>International developed</t>
        </is>
      </c>
      <c r="F5230" t="inlineStr">
        <is>
          <t>Canada</t>
        </is>
      </c>
      <c r="G5230" t="inlineStr">
        <is>
          <t>Prevnar 20</t>
        </is>
      </c>
      <c r="H5230" t="inlineStr">
        <is>
          <t>Retail pharmacy</t>
        </is>
      </c>
      <c r="I5230" t="inlineStr">
        <is>
          <t>Private insurer</t>
        </is>
      </c>
      <c r="J5230" t="inlineStr">
        <is>
          <t>Ravindra Patil</t>
        </is>
      </c>
      <c r="K5230" s="70" t="n">
        <v>2915</v>
      </c>
      <c r="L5230" s="71" t="n">
        <v>223.65</v>
      </c>
      <c r="M5230" s="71" t="n">
        <v>651939.75</v>
      </c>
      <c r="N5230" s="71" t="n">
        <v>65193.98</v>
      </c>
      <c r="O5230" s="71" t="n">
        <v>586745.77</v>
      </c>
      <c r="P5230" s="71" t="n">
        <v>200699.93</v>
      </c>
      <c r="Q5230" s="71" t="n">
        <v>386045.84</v>
      </c>
      <c r="R5230" t="inlineStr">
        <is>
          <t>Vaccines</t>
        </is>
      </c>
      <c r="S5230" s="70" t="n">
        <v>2743</v>
      </c>
      <c r="T5230" s="71" t="n">
        <v>120185.41</v>
      </c>
      <c r="U5230" t="inlineStr">
        <is>
          <t>Low</t>
        </is>
      </c>
      <c r="V5230">
        <f>IF(AND(OR(Dashboard!$C$6="All",E5230=Dashboard!$C$6),OR(Dashboard!$F$6="All",G5230=Dashboard!$F$6),OR(Dashboard!$I$6="All",H5230=Dashboard!$I$6)),1,0)</f>
        <v/>
      </c>
    </row>
    <row r="5231">
      <c r="A5231" t="inlineStr">
        <is>
          <t>PF105222</t>
        </is>
      </c>
      <c r="B5231" s="68" t="n">
        <v>46287</v>
      </c>
      <c r="C5231" s="69" t="n">
        <v>2026</v>
      </c>
      <c r="D5231" t="inlineStr">
        <is>
          <t>Sep</t>
        </is>
      </c>
      <c r="E5231" t="inlineStr">
        <is>
          <t>United States</t>
        </is>
      </c>
      <c r="F5231" t="inlineStr">
        <is>
          <t>USA</t>
        </is>
      </c>
      <c r="G5231" t="inlineStr">
        <is>
          <t>Prevnar 20</t>
        </is>
      </c>
      <c r="H5231" t="inlineStr">
        <is>
          <t>Government / tender</t>
        </is>
      </c>
      <c r="I5231" t="inlineStr">
        <is>
          <t>Self-pay</t>
        </is>
      </c>
      <c r="J5231" t="inlineStr">
        <is>
          <t>Emma Clarke</t>
        </is>
      </c>
      <c r="K5231" s="70" t="n">
        <v>2260</v>
      </c>
      <c r="L5231" s="71" t="n">
        <v>389.86</v>
      </c>
      <c r="M5231" s="71" t="n">
        <v>881083.6</v>
      </c>
      <c r="N5231" s="71" t="n">
        <v>132162.54</v>
      </c>
      <c r="O5231" s="71" t="n">
        <v>748921.0600000001</v>
      </c>
      <c r="P5231" s="71" t="n">
        <v>150332.26</v>
      </c>
      <c r="Q5231" s="71" t="n">
        <v>598588.8</v>
      </c>
      <c r="R5231" t="inlineStr">
        <is>
          <t>Vaccines</t>
        </is>
      </c>
      <c r="S5231" s="70" t="n">
        <v>1470</v>
      </c>
      <c r="T5231" s="71" t="n">
        <v>152242.57</v>
      </c>
      <c r="U5231" t="inlineStr">
        <is>
          <t>Low</t>
        </is>
      </c>
      <c r="V5231">
        <f>IF(AND(OR(Dashboard!$C$6="All",E5231=Dashboard!$C$6),OR(Dashboard!$F$6="All",G5231=Dashboard!$F$6),OR(Dashboard!$I$6="All",H5231=Dashboard!$I$6)),1,0)</f>
        <v/>
      </c>
    </row>
    <row r="5232">
      <c r="A5232" t="inlineStr">
        <is>
          <t>PF105223</t>
        </is>
      </c>
      <c r="B5232" s="68" t="n">
        <v>46287</v>
      </c>
      <c r="C5232" s="69" t="n">
        <v>2026</v>
      </c>
      <c r="D5232" t="inlineStr">
        <is>
          <t>Sep</t>
        </is>
      </c>
      <c r="E5232" t="inlineStr">
        <is>
          <t>International developed</t>
        </is>
      </c>
      <c r="F5232" t="inlineStr">
        <is>
          <t>Japan</t>
        </is>
      </c>
      <c r="G5232" t="inlineStr">
        <is>
          <t>Comirnaty</t>
        </is>
      </c>
      <c r="H5232" t="inlineStr">
        <is>
          <t>Government / tender</t>
        </is>
      </c>
      <c r="I5232" t="inlineStr">
        <is>
          <t>Public payer</t>
        </is>
      </c>
      <c r="J5232" t="inlineStr">
        <is>
          <t>Yuki Sato</t>
        </is>
      </c>
      <c r="K5232" s="70" t="n">
        <v>1374</v>
      </c>
      <c r="L5232" s="71" t="n">
        <v>92.41</v>
      </c>
      <c r="M5232" s="71" t="n">
        <v>126971.34</v>
      </c>
      <c r="N5232" s="71" t="n">
        <v>12697.13</v>
      </c>
      <c r="O5232" s="71" t="n">
        <v>114274.21</v>
      </c>
      <c r="P5232" s="71" t="n">
        <v>54672.18</v>
      </c>
      <c r="Q5232" s="71" t="n">
        <v>59602.03</v>
      </c>
      <c r="R5232" t="inlineStr">
        <is>
          <t>Vaccines</t>
        </is>
      </c>
      <c r="S5232" s="70" t="n">
        <v>1178</v>
      </c>
      <c r="T5232" s="71" t="n">
        <v>20763.4</v>
      </c>
      <c r="U5232" t="inlineStr">
        <is>
          <t>Low</t>
        </is>
      </c>
      <c r="V5232">
        <f>IF(AND(OR(Dashboard!$C$6="All",E5232=Dashboard!$C$6),OR(Dashboard!$F$6="All",G5232=Dashboard!$F$6),OR(Dashboard!$I$6="All",H5232=Dashboard!$I$6)),1,0)</f>
        <v/>
      </c>
    </row>
    <row r="5233">
      <c r="A5233" t="inlineStr">
        <is>
          <t>PF105224</t>
        </is>
      </c>
      <c r="B5233" s="68" t="n">
        <v>46287</v>
      </c>
      <c r="C5233" s="69" t="n">
        <v>2026</v>
      </c>
      <c r="D5233" t="inlineStr">
        <is>
          <t>Sep</t>
        </is>
      </c>
      <c r="E5233" t="inlineStr">
        <is>
          <t>Emerging markets</t>
        </is>
      </c>
      <c r="F5233" t="inlineStr">
        <is>
          <t>Mexico</t>
        </is>
      </c>
      <c r="G5233" t="inlineStr">
        <is>
          <t>Ibrance</t>
        </is>
      </c>
      <c r="H5233" t="inlineStr">
        <is>
          <t>Retail pharmacy</t>
        </is>
      </c>
      <c r="I5233" t="inlineStr">
        <is>
          <t>Public payer</t>
        </is>
      </c>
      <c r="J5233" t="inlineStr">
        <is>
          <t>Kofi Mensah</t>
        </is>
      </c>
      <c r="K5233" s="70" t="n">
        <v>2841</v>
      </c>
      <c r="L5233" s="71" t="n">
        <v>2640.03</v>
      </c>
      <c r="M5233" s="71" t="n">
        <v>7500325.23</v>
      </c>
      <c r="N5233" s="71" t="n">
        <v>1875081.31</v>
      </c>
      <c r="O5233" s="71" t="n">
        <v>5625243.92</v>
      </c>
      <c r="P5233" s="71" t="n">
        <v>1189609.29</v>
      </c>
      <c r="Q5233" s="71" t="n">
        <v>4435634.63</v>
      </c>
      <c r="R5233" t="inlineStr">
        <is>
          <t>Oncology</t>
        </is>
      </c>
      <c r="S5233" s="70" t="n">
        <v>2455</v>
      </c>
      <c r="T5233" s="71" t="n">
        <v>1157473.39</v>
      </c>
      <c r="U5233" t="inlineStr">
        <is>
          <t>High</t>
        </is>
      </c>
      <c r="V5233">
        <f>IF(AND(OR(Dashboard!$C$6="All",E5233=Dashboard!$C$6),OR(Dashboard!$F$6="All",G5233=Dashboard!$F$6),OR(Dashboard!$I$6="All",H5233=Dashboard!$I$6)),1,0)</f>
        <v/>
      </c>
    </row>
    <row r="5234">
      <c r="A5234" t="inlineStr">
        <is>
          <t>PF105225</t>
        </is>
      </c>
      <c r="B5234" s="68" t="n">
        <v>46287</v>
      </c>
      <c r="C5234" s="69" t="n">
        <v>2026</v>
      </c>
      <c r="D5234" t="inlineStr">
        <is>
          <t>Sep</t>
        </is>
      </c>
      <c r="E5234" t="inlineStr">
        <is>
          <t>United States</t>
        </is>
      </c>
      <c r="F5234" t="inlineStr">
        <is>
          <t>USA</t>
        </is>
      </c>
      <c r="G5234" t="inlineStr">
        <is>
          <t>Prevnar 20</t>
        </is>
      </c>
      <c r="H5234" t="inlineStr">
        <is>
          <t>Government / tender</t>
        </is>
      </c>
      <c r="I5234" t="inlineStr">
        <is>
          <t>Private insurer</t>
        </is>
      </c>
      <c r="J5234" t="inlineStr">
        <is>
          <t>Fatima Al-Saud</t>
        </is>
      </c>
      <c r="K5234" s="70" t="n">
        <v>872</v>
      </c>
      <c r="L5234" s="71" t="n">
        <v>402.1</v>
      </c>
      <c r="M5234" s="71" t="n">
        <v>350631.2</v>
      </c>
      <c r="N5234" s="71" t="n">
        <v>122720.92</v>
      </c>
      <c r="O5234" s="71" t="n">
        <v>227910.28</v>
      </c>
      <c r="P5234" s="71" t="n">
        <v>60488.72</v>
      </c>
      <c r="Q5234" s="71" t="n">
        <v>167421.56</v>
      </c>
      <c r="R5234" t="inlineStr">
        <is>
          <t>Vaccines</t>
        </is>
      </c>
      <c r="S5234" s="70" t="n">
        <v>609</v>
      </c>
      <c r="T5234" s="71" t="n">
        <v>43410.49</v>
      </c>
      <c r="U5234" t="inlineStr">
        <is>
          <t>Low</t>
        </is>
      </c>
      <c r="V5234">
        <f>IF(AND(OR(Dashboard!$C$6="All",E5234=Dashboard!$C$6),OR(Dashboard!$F$6="All",G5234=Dashboard!$F$6),OR(Dashboard!$I$6="All",H5234=Dashboard!$I$6)),1,0)</f>
        <v/>
      </c>
    </row>
    <row r="5235">
      <c r="A5235" t="inlineStr">
        <is>
          <t>PF105226</t>
        </is>
      </c>
      <c r="B5235" s="68" t="n">
        <v>46287</v>
      </c>
      <c r="C5235" s="69" t="n">
        <v>2026</v>
      </c>
      <c r="D5235" t="inlineStr">
        <is>
          <t>Sep</t>
        </is>
      </c>
      <c r="E5235" t="inlineStr">
        <is>
          <t>United States</t>
        </is>
      </c>
      <c r="F5235" t="inlineStr">
        <is>
          <t>USA</t>
        </is>
      </c>
      <c r="G5235" t="inlineStr">
        <is>
          <t>Vyndaqel</t>
        </is>
      </c>
      <c r="H5235" t="inlineStr">
        <is>
          <t>Retail pharmacy</t>
        </is>
      </c>
      <c r="I5235" t="inlineStr">
        <is>
          <t>Public payer</t>
        </is>
      </c>
      <c r="J5235" t="inlineStr">
        <is>
          <t>Fatima Al-Saud</t>
        </is>
      </c>
      <c r="K5235" s="70" t="n">
        <v>737</v>
      </c>
      <c r="L5235" s="71" t="n">
        <v>9768.75</v>
      </c>
      <c r="M5235" s="71" t="n">
        <v>7199568.75</v>
      </c>
      <c r="N5235" s="71" t="n">
        <v>1799892.19</v>
      </c>
      <c r="O5235" s="71" t="n">
        <v>5399676.56</v>
      </c>
      <c r="P5235" s="71" t="n">
        <v>465223.1</v>
      </c>
      <c r="Q5235" s="71" t="n">
        <v>4934453.46</v>
      </c>
      <c r="R5235" t="inlineStr">
        <is>
          <t>Rare disease</t>
        </is>
      </c>
      <c r="S5235" s="70" t="n">
        <v>608</v>
      </c>
      <c r="T5235" s="71" t="n">
        <v>1026232.69</v>
      </c>
      <c r="U5235" t="inlineStr">
        <is>
          <t>Medium</t>
        </is>
      </c>
      <c r="V5235">
        <f>IF(AND(OR(Dashboard!$C$6="All",E5235=Dashboard!$C$6),OR(Dashboard!$F$6="All",G5235=Dashboard!$F$6),OR(Dashboard!$I$6="All",H5235=Dashboard!$I$6)),1,0)</f>
        <v/>
      </c>
    </row>
    <row r="5236">
      <c r="A5236" t="inlineStr">
        <is>
          <t>PF105227</t>
        </is>
      </c>
      <c r="B5236" s="68" t="n">
        <v>46287</v>
      </c>
      <c r="C5236" s="69" t="n">
        <v>2026</v>
      </c>
      <c r="D5236" t="inlineStr">
        <is>
          <t>Sep</t>
        </is>
      </c>
      <c r="E5236" t="inlineStr">
        <is>
          <t>United States</t>
        </is>
      </c>
      <c r="F5236" t="inlineStr">
        <is>
          <t>USA</t>
        </is>
      </c>
      <c r="G5236" t="inlineStr">
        <is>
          <t>Comirnaty</t>
        </is>
      </c>
      <c r="H5236" t="inlineStr">
        <is>
          <t>Retail pharmacy</t>
        </is>
      </c>
      <c r="I5236" t="inlineStr">
        <is>
          <t>Public payer</t>
        </is>
      </c>
      <c r="J5236" t="inlineStr">
        <is>
          <t>Amir Khan</t>
        </is>
      </c>
      <c r="K5236" s="70" t="n">
        <v>1252</v>
      </c>
      <c r="L5236" s="71" t="n">
        <v>155.5</v>
      </c>
      <c r="M5236" s="71" t="n">
        <v>194686</v>
      </c>
      <c r="N5236" s="71" t="n">
        <v>48671.5</v>
      </c>
      <c r="O5236" s="71" t="n">
        <v>146014.5</v>
      </c>
      <c r="P5236" s="71" t="n">
        <v>46564.88</v>
      </c>
      <c r="Q5236" s="71" t="n">
        <v>99449.62</v>
      </c>
      <c r="R5236" t="inlineStr">
        <is>
          <t>Vaccines</t>
        </is>
      </c>
      <c r="S5236" s="70" t="n">
        <v>815</v>
      </c>
      <c r="T5236" s="71" t="n">
        <v>42460.61</v>
      </c>
      <c r="U5236" t="inlineStr">
        <is>
          <t>Low</t>
        </is>
      </c>
      <c r="V5236">
        <f>IF(AND(OR(Dashboard!$C$6="All",E5236=Dashboard!$C$6),OR(Dashboard!$F$6="All",G5236=Dashboard!$F$6),OR(Dashboard!$I$6="All",H5236=Dashboard!$I$6)),1,0)</f>
        <v/>
      </c>
    </row>
    <row r="5237">
      <c r="A5237" t="inlineStr">
        <is>
          <t>PF105228</t>
        </is>
      </c>
      <c r="B5237" s="68" t="n">
        <v>46288</v>
      </c>
      <c r="C5237" s="69" t="n">
        <v>2026</v>
      </c>
      <c r="D5237" t="inlineStr">
        <is>
          <t>Sep</t>
        </is>
      </c>
      <c r="E5237" t="inlineStr">
        <is>
          <t>Emerging markets</t>
        </is>
      </c>
      <c r="F5237" t="inlineStr">
        <is>
          <t>Mexico</t>
        </is>
      </c>
      <c r="G5237" t="inlineStr">
        <is>
          <t>Eliquis</t>
        </is>
      </c>
      <c r="H5237" t="inlineStr">
        <is>
          <t>Retail pharmacy</t>
        </is>
      </c>
      <c r="I5237" t="inlineStr">
        <is>
          <t>Private insurer</t>
        </is>
      </c>
      <c r="J5237" t="inlineStr">
        <is>
          <t>Hiroshi Tanaka</t>
        </is>
      </c>
      <c r="K5237" s="70" t="n">
        <v>1928</v>
      </c>
      <c r="L5237" s="71" t="n">
        <v>450.2</v>
      </c>
      <c r="M5237" s="71" t="n">
        <v>867985.6</v>
      </c>
      <c r="N5237" s="71" t="n">
        <v>86798.56</v>
      </c>
      <c r="O5237" s="71" t="n">
        <v>781187.04</v>
      </c>
      <c r="P5237" s="71" t="n">
        <v>145990.99</v>
      </c>
      <c r="Q5237" s="71" t="n">
        <v>635196.05</v>
      </c>
      <c r="R5237" t="inlineStr">
        <is>
          <t>Cardiology</t>
        </is>
      </c>
      <c r="S5237" s="70" t="n">
        <v>1582</v>
      </c>
      <c r="T5237" s="71" t="n">
        <v>115542.96</v>
      </c>
      <c r="U5237" t="inlineStr">
        <is>
          <t>High</t>
        </is>
      </c>
      <c r="V5237">
        <f>IF(AND(OR(Dashboard!$C$6="All",E5237=Dashboard!$C$6),OR(Dashboard!$F$6="All",G5237=Dashboard!$F$6),OR(Dashboard!$I$6="All",H5237=Dashboard!$I$6)),1,0)</f>
        <v/>
      </c>
    </row>
    <row r="5238">
      <c r="A5238" t="inlineStr">
        <is>
          <t>PF105229</t>
        </is>
      </c>
      <c r="B5238" s="68" t="n">
        <v>46288</v>
      </c>
      <c r="C5238" s="69" t="n">
        <v>2026</v>
      </c>
      <c r="D5238" t="inlineStr">
        <is>
          <t>Sep</t>
        </is>
      </c>
      <c r="E5238" t="inlineStr">
        <is>
          <t>International developed</t>
        </is>
      </c>
      <c r="F5238" t="inlineStr">
        <is>
          <t>Canada</t>
        </is>
      </c>
      <c r="G5238" t="inlineStr">
        <is>
          <t>Eliquis</t>
        </is>
      </c>
      <c r="H5238" t="inlineStr">
        <is>
          <t>Government / tender</t>
        </is>
      </c>
      <c r="I5238" t="inlineStr">
        <is>
          <t>Private insurer</t>
        </is>
      </c>
      <c r="J5238" t="inlineStr">
        <is>
          <t>Amir Khan</t>
        </is>
      </c>
      <c r="K5238" s="70" t="n">
        <v>1003</v>
      </c>
      <c r="L5238" s="71" t="n">
        <v>474.05</v>
      </c>
      <c r="M5238" s="71" t="n">
        <v>475472.15</v>
      </c>
      <c r="N5238" s="71" t="n">
        <v>47547.22</v>
      </c>
      <c r="O5238" s="71" t="n">
        <v>427924.93</v>
      </c>
      <c r="P5238" s="71" t="n">
        <v>77377.99000000001</v>
      </c>
      <c r="Q5238" s="71" t="n">
        <v>350546.94</v>
      </c>
      <c r="R5238" t="inlineStr">
        <is>
          <t>Cardiology</t>
        </is>
      </c>
      <c r="S5238" s="70" t="n">
        <v>837</v>
      </c>
      <c r="T5238" s="71" t="n">
        <v>90252.73</v>
      </c>
      <c r="U5238" t="inlineStr">
        <is>
          <t>High</t>
        </is>
      </c>
      <c r="V5238">
        <f>IF(AND(OR(Dashboard!$C$6="All",E5238=Dashboard!$C$6),OR(Dashboard!$F$6="All",G5238=Dashboard!$F$6),OR(Dashboard!$I$6="All",H5238=Dashboard!$I$6)),1,0)</f>
        <v/>
      </c>
    </row>
    <row r="5239">
      <c r="A5239" t="inlineStr">
        <is>
          <t>PF105230</t>
        </is>
      </c>
      <c r="B5239" s="68" t="n">
        <v>46288</v>
      </c>
      <c r="C5239" s="69" t="n">
        <v>2026</v>
      </c>
      <c r="D5239" t="inlineStr">
        <is>
          <t>Sep</t>
        </is>
      </c>
      <c r="E5239" t="inlineStr">
        <is>
          <t>United States</t>
        </is>
      </c>
      <c r="F5239" t="inlineStr">
        <is>
          <t>USA</t>
        </is>
      </c>
      <c r="G5239" t="inlineStr">
        <is>
          <t>Eliquis</t>
        </is>
      </c>
      <c r="H5239" t="inlineStr">
        <is>
          <t>Hospital</t>
        </is>
      </c>
      <c r="I5239" t="inlineStr">
        <is>
          <t>Private insurer</t>
        </is>
      </c>
      <c r="J5239" t="inlineStr">
        <is>
          <t>Fatima Al-Saud</t>
        </is>
      </c>
      <c r="K5239" s="70" t="n">
        <v>1609</v>
      </c>
      <c r="L5239" s="71" t="n">
        <v>692.41</v>
      </c>
      <c r="M5239" s="71" t="n">
        <v>1114087.69</v>
      </c>
      <c r="N5239" s="71" t="n">
        <v>167113.15</v>
      </c>
      <c r="O5239" s="71" t="n">
        <v>946974.54</v>
      </c>
      <c r="P5239" s="71" t="n">
        <v>126292.61</v>
      </c>
      <c r="Q5239" s="71" t="n">
        <v>820681.9300000001</v>
      </c>
      <c r="R5239" t="inlineStr">
        <is>
          <t>Cardiology</t>
        </is>
      </c>
      <c r="S5239" s="70" t="n">
        <v>1281</v>
      </c>
      <c r="T5239" s="71" t="n">
        <v>210211.61</v>
      </c>
      <c r="U5239" t="inlineStr">
        <is>
          <t>High</t>
        </is>
      </c>
      <c r="V5239">
        <f>IF(AND(OR(Dashboard!$C$6="All",E5239=Dashboard!$C$6),OR(Dashboard!$F$6="All",G5239=Dashboard!$F$6),OR(Dashboard!$I$6="All",H5239=Dashboard!$I$6)),1,0)</f>
        <v/>
      </c>
    </row>
    <row r="5240">
      <c r="A5240" t="inlineStr">
        <is>
          <t>PF105231</t>
        </is>
      </c>
      <c r="B5240" s="68" t="n">
        <v>46288</v>
      </c>
      <c r="C5240" s="69" t="n">
        <v>2026</v>
      </c>
      <c r="D5240" t="inlineStr">
        <is>
          <t>Sep</t>
        </is>
      </c>
      <c r="E5240" t="inlineStr">
        <is>
          <t>United States</t>
        </is>
      </c>
      <c r="F5240" t="inlineStr">
        <is>
          <t>USA</t>
        </is>
      </c>
      <c r="G5240" t="inlineStr">
        <is>
          <t>Vyndaqel</t>
        </is>
      </c>
      <c r="H5240" t="inlineStr">
        <is>
          <t>Retail pharmacy</t>
        </is>
      </c>
      <c r="I5240" t="inlineStr">
        <is>
          <t>Public payer</t>
        </is>
      </c>
      <c r="J5240" t="inlineStr">
        <is>
          <t>Amir Khan</t>
        </is>
      </c>
      <c r="K5240" s="70" t="n">
        <v>466</v>
      </c>
      <c r="L5240" s="71" t="n">
        <v>8514.559999999999</v>
      </c>
      <c r="M5240" s="71" t="n">
        <v>3967784.96</v>
      </c>
      <c r="N5240" s="71" t="n">
        <v>793556.99</v>
      </c>
      <c r="O5240" s="71" t="n">
        <v>3174227.97</v>
      </c>
      <c r="P5240" s="71" t="n">
        <v>293163.31</v>
      </c>
      <c r="Q5240" s="71" t="n">
        <v>2881064.66</v>
      </c>
      <c r="R5240" t="inlineStr">
        <is>
          <t>Rare disease</t>
        </is>
      </c>
      <c r="S5240" s="70" t="n">
        <v>307</v>
      </c>
      <c r="T5240" s="71" t="n">
        <v>558520.39</v>
      </c>
      <c r="U5240" t="inlineStr">
        <is>
          <t>Medium</t>
        </is>
      </c>
      <c r="V5240">
        <f>IF(AND(OR(Dashboard!$C$6="All",E5240=Dashboard!$C$6),OR(Dashboard!$F$6="All",G5240=Dashboard!$F$6),OR(Dashboard!$I$6="All",H5240=Dashboard!$I$6)),1,0)</f>
        <v/>
      </c>
    </row>
    <row r="5241">
      <c r="A5241" t="inlineStr">
        <is>
          <t>PF105232</t>
        </is>
      </c>
      <c r="B5241" s="68" t="n">
        <v>46288</v>
      </c>
      <c r="C5241" s="69" t="n">
        <v>2026</v>
      </c>
      <c r="D5241" t="inlineStr">
        <is>
          <t>Sep</t>
        </is>
      </c>
      <c r="E5241" t="inlineStr">
        <is>
          <t>United States</t>
        </is>
      </c>
      <c r="F5241" t="inlineStr">
        <is>
          <t>USA</t>
        </is>
      </c>
      <c r="G5241" t="inlineStr">
        <is>
          <t>Comirnaty</t>
        </is>
      </c>
      <c r="H5241" t="inlineStr">
        <is>
          <t>Retail pharmacy</t>
        </is>
      </c>
      <c r="I5241" t="inlineStr">
        <is>
          <t>Self-pay</t>
        </is>
      </c>
      <c r="J5241" t="inlineStr">
        <is>
          <t>Omar Haddad</t>
        </is>
      </c>
      <c r="K5241" s="70" t="n">
        <v>1779</v>
      </c>
      <c r="L5241" s="71" t="n">
        <v>131.96</v>
      </c>
      <c r="M5241" s="71" t="n">
        <v>234756.84</v>
      </c>
      <c r="N5241" s="71" t="n">
        <v>82164.89</v>
      </c>
      <c r="O5241" s="71" t="n">
        <v>152591.95</v>
      </c>
      <c r="P5241" s="71" t="n">
        <v>68922.42</v>
      </c>
      <c r="Q5241" s="71" t="n">
        <v>83669.53</v>
      </c>
      <c r="R5241" t="inlineStr">
        <is>
          <t>Vaccines</t>
        </is>
      </c>
      <c r="S5241" s="70" t="n">
        <v>1387</v>
      </c>
      <c r="T5241" s="71" t="n">
        <v>46498.47</v>
      </c>
      <c r="U5241" t="inlineStr">
        <is>
          <t>Low</t>
        </is>
      </c>
      <c r="V5241">
        <f>IF(AND(OR(Dashboard!$C$6="All",E5241=Dashboard!$C$6),OR(Dashboard!$F$6="All",G5241=Dashboard!$F$6),OR(Dashboard!$I$6="All",H5241=Dashboard!$I$6)),1,0)</f>
        <v/>
      </c>
    </row>
    <row r="5242">
      <c r="A5242" t="inlineStr">
        <is>
          <t>PF105233</t>
        </is>
      </c>
      <c r="B5242" s="68" t="n">
        <v>46288</v>
      </c>
      <c r="C5242" s="69" t="n">
        <v>2026</v>
      </c>
      <c r="D5242" t="inlineStr">
        <is>
          <t>Sep</t>
        </is>
      </c>
      <c r="E5242" t="inlineStr">
        <is>
          <t>United States</t>
        </is>
      </c>
      <c r="F5242" t="inlineStr">
        <is>
          <t>USA</t>
        </is>
      </c>
      <c r="G5242" t="inlineStr">
        <is>
          <t>Eliquis</t>
        </is>
      </c>
      <c r="H5242" t="inlineStr">
        <is>
          <t>Hospital</t>
        </is>
      </c>
      <c r="I5242" t="inlineStr">
        <is>
          <t>Public payer</t>
        </is>
      </c>
      <c r="J5242" t="inlineStr">
        <is>
          <t>Sophie Müller</t>
        </is>
      </c>
      <c r="K5242" s="70" t="n">
        <v>1769</v>
      </c>
      <c r="L5242" s="71" t="n">
        <v>640.8</v>
      </c>
      <c r="M5242" s="71" t="n">
        <v>1133575.2</v>
      </c>
      <c r="N5242" s="71" t="n">
        <v>340072.56</v>
      </c>
      <c r="O5242" s="71" t="n">
        <v>793502.64</v>
      </c>
      <c r="P5242" s="71" t="n">
        <v>132834.63</v>
      </c>
      <c r="Q5242" s="71" t="n">
        <v>660668.01</v>
      </c>
      <c r="R5242" t="inlineStr">
        <is>
          <t>Cardiology</t>
        </is>
      </c>
      <c r="S5242" s="70" t="n">
        <v>1286</v>
      </c>
      <c r="T5242" s="71" t="n">
        <v>186502.42</v>
      </c>
      <c r="U5242" t="inlineStr">
        <is>
          <t>High</t>
        </is>
      </c>
      <c r="V5242">
        <f>IF(AND(OR(Dashboard!$C$6="All",E5242=Dashboard!$C$6),OR(Dashboard!$F$6="All",G5242=Dashboard!$F$6),OR(Dashboard!$I$6="All",H5242=Dashboard!$I$6)),1,0)</f>
        <v/>
      </c>
    </row>
    <row r="5243">
      <c r="A5243" t="inlineStr">
        <is>
          <t>PF105234</t>
        </is>
      </c>
      <c r="B5243" s="68" t="n">
        <v>46288</v>
      </c>
      <c r="C5243" s="69" t="n">
        <v>2026</v>
      </c>
      <c r="D5243" t="inlineStr">
        <is>
          <t>Sep</t>
        </is>
      </c>
      <c r="E5243" t="inlineStr">
        <is>
          <t>Europe</t>
        </is>
      </c>
      <c r="F5243" t="inlineStr">
        <is>
          <t>Italy</t>
        </is>
      </c>
      <c r="G5243" t="inlineStr">
        <is>
          <t>Prevnar 20</t>
        </is>
      </c>
      <c r="H5243" t="inlineStr">
        <is>
          <t>Government / tender</t>
        </is>
      </c>
      <c r="I5243" t="inlineStr">
        <is>
          <t>Private insurer</t>
        </is>
      </c>
      <c r="J5243" t="inlineStr">
        <is>
          <t>Emma Clarke</t>
        </is>
      </c>
      <c r="K5243" s="70" t="n">
        <v>1484</v>
      </c>
      <c r="L5243" s="71" t="n">
        <v>249.23</v>
      </c>
      <c r="M5243" s="71" t="n">
        <v>369857.32</v>
      </c>
      <c r="N5243" s="71" t="n">
        <v>73971.46000000001</v>
      </c>
      <c r="O5243" s="71" t="n">
        <v>295885.86</v>
      </c>
      <c r="P5243" s="71" t="n">
        <v>105037.66</v>
      </c>
      <c r="Q5243" s="71" t="n">
        <v>190848.2</v>
      </c>
      <c r="R5243" t="inlineStr">
        <is>
          <t>Vaccines</t>
        </is>
      </c>
      <c r="S5243" s="70" t="n">
        <v>1324</v>
      </c>
      <c r="T5243" s="71" t="n">
        <v>76762.21000000001</v>
      </c>
      <c r="U5243" t="inlineStr">
        <is>
          <t>Low</t>
        </is>
      </c>
      <c r="V5243">
        <f>IF(AND(OR(Dashboard!$C$6="All",E5243=Dashboard!$C$6),OR(Dashboard!$F$6="All",G5243=Dashboard!$F$6),OR(Dashboard!$I$6="All",H5243=Dashboard!$I$6)),1,0)</f>
        <v/>
      </c>
    </row>
    <row r="5244">
      <c r="A5244" t="inlineStr">
        <is>
          <t>PF105235</t>
        </is>
      </c>
      <c r="B5244" s="68" t="n">
        <v>46288</v>
      </c>
      <c r="C5244" s="69" t="n">
        <v>2026</v>
      </c>
      <c r="D5244" t="inlineStr">
        <is>
          <t>Sep</t>
        </is>
      </c>
      <c r="E5244" t="inlineStr">
        <is>
          <t>Emerging markets</t>
        </is>
      </c>
      <c r="F5244" t="inlineStr">
        <is>
          <t>Mexico</t>
        </is>
      </c>
      <c r="G5244" t="inlineStr">
        <is>
          <t>Paxlovid</t>
        </is>
      </c>
      <c r="H5244" t="inlineStr">
        <is>
          <t>Retail pharmacy</t>
        </is>
      </c>
      <c r="I5244" t="inlineStr">
        <is>
          <t>Public payer</t>
        </is>
      </c>
      <c r="J5244" t="inlineStr">
        <is>
          <t>Olivia Brown</t>
        </is>
      </c>
      <c r="K5244" s="70" t="n">
        <v>1390</v>
      </c>
      <c r="L5244" s="71" t="n">
        <v>985.05</v>
      </c>
      <c r="M5244" s="71" t="n">
        <v>1369219.5</v>
      </c>
      <c r="N5244" s="71" t="n">
        <v>68460.98</v>
      </c>
      <c r="O5244" s="71" t="n">
        <v>1300758.52</v>
      </c>
      <c r="P5244" s="71" t="n">
        <v>382061.1</v>
      </c>
      <c r="Q5244" s="71" t="n">
        <v>918697.42</v>
      </c>
      <c r="R5244" t="inlineStr">
        <is>
          <t>Antiviral</t>
        </is>
      </c>
      <c r="S5244" s="70" t="n">
        <v>973</v>
      </c>
      <c r="T5244" s="71" t="n">
        <v>203652.58</v>
      </c>
      <c r="U5244" t="inlineStr">
        <is>
          <t>Low</t>
        </is>
      </c>
      <c r="V5244">
        <f>IF(AND(OR(Dashboard!$C$6="All",E5244=Dashboard!$C$6),OR(Dashboard!$F$6="All",G5244=Dashboard!$F$6),OR(Dashboard!$I$6="All",H5244=Dashboard!$I$6)),1,0)</f>
        <v/>
      </c>
    </row>
    <row r="5245">
      <c r="A5245" t="inlineStr">
        <is>
          <t>PF105236</t>
        </is>
      </c>
      <c r="B5245" s="68" t="n">
        <v>46288</v>
      </c>
      <c r="C5245" s="69" t="n">
        <v>2026</v>
      </c>
      <c r="D5245" t="inlineStr">
        <is>
          <t>Sep</t>
        </is>
      </c>
      <c r="E5245" t="inlineStr">
        <is>
          <t>United States</t>
        </is>
      </c>
      <c r="F5245" t="inlineStr">
        <is>
          <t>USA</t>
        </is>
      </c>
      <c r="G5245" t="inlineStr">
        <is>
          <t>Prevnar 20</t>
        </is>
      </c>
      <c r="H5245" t="inlineStr">
        <is>
          <t>Hospital</t>
        </is>
      </c>
      <c r="I5245" t="inlineStr">
        <is>
          <t>Private insurer</t>
        </is>
      </c>
      <c r="J5245" t="inlineStr">
        <is>
          <t>Zoya Ahmed</t>
        </is>
      </c>
      <c r="K5245" s="70" t="n">
        <v>854</v>
      </c>
      <c r="L5245" s="71" t="n">
        <v>363.33</v>
      </c>
      <c r="M5245" s="71" t="n">
        <v>310283.82</v>
      </c>
      <c r="N5245" s="71" t="n">
        <v>46542.57</v>
      </c>
      <c r="O5245" s="71" t="n">
        <v>263741.25</v>
      </c>
      <c r="P5245" s="71" t="n">
        <v>61046.95</v>
      </c>
      <c r="Q5245" s="71" t="n">
        <v>202694.3</v>
      </c>
      <c r="R5245" t="inlineStr">
        <is>
          <t>Vaccines</t>
        </is>
      </c>
      <c r="S5245" s="70" t="n">
        <v>541</v>
      </c>
      <c r="T5245" s="71" t="n">
        <v>53271.36</v>
      </c>
      <c r="U5245" t="inlineStr">
        <is>
          <t>Low</t>
        </is>
      </c>
      <c r="V5245">
        <f>IF(AND(OR(Dashboard!$C$6="All",E5245=Dashboard!$C$6),OR(Dashboard!$F$6="All",G5245=Dashboard!$F$6),OR(Dashboard!$I$6="All",H5245=Dashboard!$I$6)),1,0)</f>
        <v/>
      </c>
    </row>
    <row r="5246">
      <c r="A5246" t="inlineStr">
        <is>
          <t>PF105237</t>
        </is>
      </c>
      <c r="B5246" s="68" t="n">
        <v>46288</v>
      </c>
      <c r="C5246" s="69" t="n">
        <v>2026</v>
      </c>
      <c r="D5246" t="inlineStr">
        <is>
          <t>Sep</t>
        </is>
      </c>
      <c r="E5246" t="inlineStr">
        <is>
          <t>United States</t>
        </is>
      </c>
      <c r="F5246" t="inlineStr">
        <is>
          <t>USA</t>
        </is>
      </c>
      <c r="G5246" t="inlineStr">
        <is>
          <t>Eliquis</t>
        </is>
      </c>
      <c r="H5246" t="inlineStr">
        <is>
          <t>Government / tender</t>
        </is>
      </c>
      <c r="I5246" t="inlineStr">
        <is>
          <t>Public payer</t>
        </is>
      </c>
      <c r="J5246" t="inlineStr">
        <is>
          <t>Hiroshi Tanaka</t>
        </is>
      </c>
      <c r="K5246" s="70" t="n">
        <v>1940</v>
      </c>
      <c r="L5246" s="71" t="n">
        <v>695</v>
      </c>
      <c r="M5246" s="71" t="n">
        <v>1348300</v>
      </c>
      <c r="N5246" s="71" t="n">
        <v>337075</v>
      </c>
      <c r="O5246" s="71" t="n">
        <v>1011225</v>
      </c>
      <c r="P5246" s="71" t="n">
        <v>145494.56</v>
      </c>
      <c r="Q5246" s="71" t="n">
        <v>865730.4399999999</v>
      </c>
      <c r="R5246" t="inlineStr">
        <is>
          <t>Cardiology</t>
        </is>
      </c>
      <c r="S5246" s="70" t="n">
        <v>1553</v>
      </c>
      <c r="T5246" s="71" t="n">
        <v>219689.3</v>
      </c>
      <c r="U5246" t="inlineStr">
        <is>
          <t>High</t>
        </is>
      </c>
      <c r="V5246">
        <f>IF(AND(OR(Dashboard!$C$6="All",E5246=Dashboard!$C$6),OR(Dashboard!$F$6="All",G5246=Dashboard!$F$6),OR(Dashboard!$I$6="All",H5246=Dashboard!$I$6)),1,0)</f>
        <v/>
      </c>
    </row>
    <row r="5247">
      <c r="A5247" t="inlineStr">
        <is>
          <t>PF105238</t>
        </is>
      </c>
      <c r="B5247" s="68" t="n">
        <v>46289</v>
      </c>
      <c r="C5247" s="69" t="n">
        <v>2026</v>
      </c>
      <c r="D5247" t="inlineStr">
        <is>
          <t>Sep</t>
        </is>
      </c>
      <c r="E5247" t="inlineStr">
        <is>
          <t>Emerging markets</t>
        </is>
      </c>
      <c r="F5247" t="inlineStr">
        <is>
          <t>Brazil</t>
        </is>
      </c>
      <c r="G5247" t="inlineStr">
        <is>
          <t>Eliquis</t>
        </is>
      </c>
      <c r="H5247" t="inlineStr">
        <is>
          <t>Government / tender</t>
        </is>
      </c>
      <c r="I5247" t="inlineStr">
        <is>
          <t>Public payer</t>
        </is>
      </c>
      <c r="J5247" t="inlineStr">
        <is>
          <t>Ruhi Shaikh</t>
        </is>
      </c>
      <c r="K5247" s="70" t="n">
        <v>1173</v>
      </c>
      <c r="L5247" s="71" t="n">
        <v>448.29</v>
      </c>
      <c r="M5247" s="71" t="n">
        <v>525844.17</v>
      </c>
      <c r="N5247" s="71" t="n">
        <v>52584.42</v>
      </c>
      <c r="O5247" s="71" t="n">
        <v>473259.75</v>
      </c>
      <c r="P5247" s="71" t="n">
        <v>87605.91</v>
      </c>
      <c r="Q5247" s="71" t="n">
        <v>385653.84</v>
      </c>
      <c r="R5247" t="inlineStr">
        <is>
          <t>Cardiology</t>
        </is>
      </c>
      <c r="S5247" s="70" t="n">
        <v>947</v>
      </c>
      <c r="T5247" s="71" t="n">
        <v>107559.25</v>
      </c>
      <c r="U5247" t="inlineStr">
        <is>
          <t>High</t>
        </is>
      </c>
      <c r="V5247">
        <f>IF(AND(OR(Dashboard!$C$6="All",E5247=Dashboard!$C$6),OR(Dashboard!$F$6="All",G5247=Dashboard!$F$6),OR(Dashboard!$I$6="All",H5247=Dashboard!$I$6)),1,0)</f>
        <v/>
      </c>
    </row>
    <row r="5248">
      <c r="A5248" t="inlineStr">
        <is>
          <t>PF105239</t>
        </is>
      </c>
      <c r="B5248" s="68" t="n">
        <v>46289</v>
      </c>
      <c r="C5248" s="69" t="n">
        <v>2026</v>
      </c>
      <c r="D5248" t="inlineStr">
        <is>
          <t>Sep</t>
        </is>
      </c>
      <c r="E5248" t="inlineStr">
        <is>
          <t>International developed</t>
        </is>
      </c>
      <c r="F5248" t="inlineStr">
        <is>
          <t>Japan</t>
        </is>
      </c>
      <c r="G5248" t="inlineStr">
        <is>
          <t>Vyndaqel</t>
        </is>
      </c>
      <c r="H5248" t="inlineStr">
        <is>
          <t>Hospital</t>
        </is>
      </c>
      <c r="I5248" t="inlineStr">
        <is>
          <t>Private insurer</t>
        </is>
      </c>
      <c r="J5248" t="inlineStr">
        <is>
          <t>Noah Smith</t>
        </is>
      </c>
      <c r="K5248" s="70" t="n">
        <v>2455</v>
      </c>
      <c r="L5248" s="71" t="n">
        <v>5465.11</v>
      </c>
      <c r="M5248" s="71" t="n">
        <v>13416845.05</v>
      </c>
      <c r="N5248" s="71" t="n">
        <v>670842.25</v>
      </c>
      <c r="O5248" s="71" t="n">
        <v>12746002.8</v>
      </c>
      <c r="P5248" s="71" t="n">
        <v>1555100.88</v>
      </c>
      <c r="Q5248" s="71" t="n">
        <v>11190901.92</v>
      </c>
      <c r="R5248" t="inlineStr">
        <is>
          <t>Rare disease</t>
        </is>
      </c>
      <c r="S5248" s="70" t="n">
        <v>1950</v>
      </c>
      <c r="T5248" s="71" t="n">
        <v>1732687.15</v>
      </c>
      <c r="U5248" t="inlineStr">
        <is>
          <t>Medium</t>
        </is>
      </c>
      <c r="V5248">
        <f>IF(AND(OR(Dashboard!$C$6="All",E5248=Dashboard!$C$6),OR(Dashboard!$F$6="All",G5248=Dashboard!$F$6),OR(Dashboard!$I$6="All",H5248=Dashboard!$I$6)),1,0)</f>
        <v/>
      </c>
    </row>
    <row r="5249">
      <c r="A5249" t="inlineStr">
        <is>
          <t>PF105240</t>
        </is>
      </c>
      <c r="B5249" s="68" t="n">
        <v>46289</v>
      </c>
      <c r="C5249" s="69" t="n">
        <v>2026</v>
      </c>
      <c r="D5249" t="inlineStr">
        <is>
          <t>Sep</t>
        </is>
      </c>
      <c r="E5249" t="inlineStr">
        <is>
          <t>International developed</t>
        </is>
      </c>
      <c r="F5249" t="inlineStr">
        <is>
          <t>Japan</t>
        </is>
      </c>
      <c r="G5249" t="inlineStr">
        <is>
          <t>Paxlovid</t>
        </is>
      </c>
      <c r="H5249" t="inlineStr">
        <is>
          <t>Retail pharmacy</t>
        </is>
      </c>
      <c r="I5249" t="inlineStr">
        <is>
          <t>Self-pay</t>
        </is>
      </c>
      <c r="J5249" t="inlineStr">
        <is>
          <t>Omar Haddad</t>
        </is>
      </c>
      <c r="K5249" s="70" t="n">
        <v>1827</v>
      </c>
      <c r="L5249" s="71" t="n">
        <v>900.3200000000001</v>
      </c>
      <c r="M5249" s="71" t="n">
        <v>1644884.64</v>
      </c>
      <c r="N5249" s="71" t="n">
        <v>82244.23</v>
      </c>
      <c r="O5249" s="71" t="n">
        <v>1562640.41</v>
      </c>
      <c r="P5249" s="71" t="n">
        <v>505787.24</v>
      </c>
      <c r="Q5249" s="71" t="n">
        <v>1056853.17</v>
      </c>
      <c r="R5249" t="inlineStr">
        <is>
          <t>Antiviral</t>
        </is>
      </c>
      <c r="S5249" s="70" t="n">
        <v>1282</v>
      </c>
      <c r="T5249" s="71" t="n">
        <v>354324.8</v>
      </c>
      <c r="U5249" t="inlineStr">
        <is>
          <t>Low</t>
        </is>
      </c>
      <c r="V5249">
        <f>IF(AND(OR(Dashboard!$C$6="All",E5249=Dashboard!$C$6),OR(Dashboard!$F$6="All",G5249=Dashboard!$F$6),OR(Dashboard!$I$6="All",H5249=Dashboard!$I$6)),1,0)</f>
        <v/>
      </c>
    </row>
    <row r="5250">
      <c r="A5250" t="inlineStr">
        <is>
          <t>PF105241</t>
        </is>
      </c>
      <c r="B5250" s="68" t="n">
        <v>46289</v>
      </c>
      <c r="C5250" s="69" t="n">
        <v>2026</v>
      </c>
      <c r="D5250" t="inlineStr">
        <is>
          <t>Sep</t>
        </is>
      </c>
      <c r="E5250" t="inlineStr">
        <is>
          <t>United States</t>
        </is>
      </c>
      <c r="F5250" t="inlineStr">
        <is>
          <t>USA</t>
        </is>
      </c>
      <c r="G5250" t="inlineStr">
        <is>
          <t>Comirnaty</t>
        </is>
      </c>
      <c r="H5250" t="inlineStr">
        <is>
          <t>Government / tender</t>
        </is>
      </c>
      <c r="I5250" t="inlineStr">
        <is>
          <t>Private insurer</t>
        </is>
      </c>
      <c r="J5250" t="inlineStr">
        <is>
          <t>Ravindra Patil</t>
        </is>
      </c>
      <c r="K5250" s="70" t="n">
        <v>666</v>
      </c>
      <c r="L5250" s="71" t="n">
        <v>140.98</v>
      </c>
      <c r="M5250" s="71" t="n">
        <v>93892.67999999999</v>
      </c>
      <c r="N5250" s="71" t="n">
        <v>28167.8</v>
      </c>
      <c r="O5250" s="71" t="n">
        <v>65724.88</v>
      </c>
      <c r="P5250" s="71" t="n">
        <v>24743.91</v>
      </c>
      <c r="Q5250" s="71" t="n">
        <v>40980.97</v>
      </c>
      <c r="R5250" t="inlineStr">
        <is>
          <t>Vaccines</t>
        </is>
      </c>
      <c r="S5250" s="70" t="n">
        <v>582</v>
      </c>
      <c r="T5250" s="71" t="n">
        <v>20880.17</v>
      </c>
      <c r="U5250" t="inlineStr">
        <is>
          <t>Low</t>
        </is>
      </c>
      <c r="V5250">
        <f>IF(AND(OR(Dashboard!$C$6="All",E5250=Dashboard!$C$6),OR(Dashboard!$F$6="All",G5250=Dashboard!$F$6),OR(Dashboard!$I$6="All",H5250=Dashboard!$I$6)),1,0)</f>
        <v/>
      </c>
    </row>
    <row r="5251">
      <c r="A5251" t="inlineStr">
        <is>
          <t>PF105242</t>
        </is>
      </c>
      <c r="B5251" s="68" t="n">
        <v>46289</v>
      </c>
      <c r="C5251" s="69" t="n">
        <v>2026</v>
      </c>
      <c r="D5251" t="inlineStr">
        <is>
          <t>Sep</t>
        </is>
      </c>
      <c r="E5251" t="inlineStr">
        <is>
          <t>Emerging markets</t>
        </is>
      </c>
      <c r="F5251" t="inlineStr">
        <is>
          <t>Brazil</t>
        </is>
      </c>
      <c r="G5251" t="inlineStr">
        <is>
          <t>Vyndaqel</t>
        </is>
      </c>
      <c r="H5251" t="inlineStr">
        <is>
          <t>Hospital</t>
        </is>
      </c>
      <c r="I5251" t="inlineStr">
        <is>
          <t>Private insurer</t>
        </is>
      </c>
      <c r="J5251" t="inlineStr">
        <is>
          <t>Ruhi Shaikh</t>
        </is>
      </c>
      <c r="K5251" s="70" t="n">
        <v>733</v>
      </c>
      <c r="L5251" s="71" t="n">
        <v>6203.98</v>
      </c>
      <c r="M5251" s="71" t="n">
        <v>4547517.34</v>
      </c>
      <c r="N5251" s="71" t="n">
        <v>454751.73</v>
      </c>
      <c r="O5251" s="71" t="n">
        <v>4092765.61</v>
      </c>
      <c r="P5251" s="71" t="n">
        <v>461449.24</v>
      </c>
      <c r="Q5251" s="71" t="n">
        <v>3631316.37</v>
      </c>
      <c r="R5251" t="inlineStr">
        <is>
          <t>Rare disease</t>
        </is>
      </c>
      <c r="S5251" s="70" t="n">
        <v>663</v>
      </c>
      <c r="T5251" s="71" t="n">
        <v>535444.47</v>
      </c>
      <c r="U5251" t="inlineStr">
        <is>
          <t>Medium</t>
        </is>
      </c>
      <c r="V5251">
        <f>IF(AND(OR(Dashboard!$C$6="All",E5251=Dashboard!$C$6),OR(Dashboard!$F$6="All",G5251=Dashboard!$F$6),OR(Dashboard!$I$6="All",H5251=Dashboard!$I$6)),1,0)</f>
        <v/>
      </c>
    </row>
    <row r="5252">
      <c r="A5252" t="inlineStr">
        <is>
          <t>PF105243</t>
        </is>
      </c>
      <c r="B5252" s="68" t="n">
        <v>46289</v>
      </c>
      <c r="C5252" s="69" t="n">
        <v>2026</v>
      </c>
      <c r="D5252" t="inlineStr">
        <is>
          <t>Sep</t>
        </is>
      </c>
      <c r="E5252" t="inlineStr">
        <is>
          <t>International developed</t>
        </is>
      </c>
      <c r="F5252" t="inlineStr">
        <is>
          <t>Canada</t>
        </is>
      </c>
      <c r="G5252" t="inlineStr">
        <is>
          <t>Prevnar 20</t>
        </is>
      </c>
      <c r="H5252" t="inlineStr">
        <is>
          <t>Retail pharmacy</t>
        </is>
      </c>
      <c r="I5252" t="inlineStr">
        <is>
          <t>Self-pay</t>
        </is>
      </c>
      <c r="J5252" t="inlineStr">
        <is>
          <t>Amir Khan</t>
        </is>
      </c>
      <c r="K5252" s="70" t="n">
        <v>1273</v>
      </c>
      <c r="L5252" s="71" t="n">
        <v>247.37</v>
      </c>
      <c r="M5252" s="71" t="n">
        <v>314902.01</v>
      </c>
      <c r="N5252" s="71" t="n">
        <v>62980.4</v>
      </c>
      <c r="O5252" s="71" t="n">
        <v>251921.61</v>
      </c>
      <c r="P5252" s="71" t="n">
        <v>90186.94</v>
      </c>
      <c r="Q5252" s="71" t="n">
        <v>161734.67</v>
      </c>
      <c r="R5252" t="inlineStr">
        <is>
          <t>Vaccines</t>
        </is>
      </c>
      <c r="S5252" s="70" t="n">
        <v>1139</v>
      </c>
      <c r="T5252" s="71" t="n">
        <v>47102.56</v>
      </c>
      <c r="U5252" t="inlineStr">
        <is>
          <t>Low</t>
        </is>
      </c>
      <c r="V5252">
        <f>IF(AND(OR(Dashboard!$C$6="All",E5252=Dashboard!$C$6),OR(Dashboard!$F$6="All",G5252=Dashboard!$F$6),OR(Dashboard!$I$6="All",H5252=Dashboard!$I$6)),1,0)</f>
        <v/>
      </c>
    </row>
    <row r="5253">
      <c r="A5253" t="inlineStr">
        <is>
          <t>PF105244</t>
        </is>
      </c>
      <c r="B5253" s="68" t="n">
        <v>46289</v>
      </c>
      <c r="C5253" s="69" t="n">
        <v>2026</v>
      </c>
      <c r="D5253" t="inlineStr">
        <is>
          <t>Sep</t>
        </is>
      </c>
      <c r="E5253" t="inlineStr">
        <is>
          <t>United States</t>
        </is>
      </c>
      <c r="F5253" t="inlineStr">
        <is>
          <t>USA</t>
        </is>
      </c>
      <c r="G5253" t="inlineStr">
        <is>
          <t>Paxlovid</t>
        </is>
      </c>
      <c r="H5253" t="inlineStr">
        <is>
          <t>Government / tender</t>
        </is>
      </c>
      <c r="I5253" t="inlineStr">
        <is>
          <t>Private insurer</t>
        </is>
      </c>
      <c r="J5253" t="inlineStr">
        <is>
          <t>Amir Khan</t>
        </is>
      </c>
      <c r="K5253" s="70" t="n">
        <v>1970</v>
      </c>
      <c r="L5253" s="71" t="n">
        <v>1577.12</v>
      </c>
      <c r="M5253" s="71" t="n">
        <v>3106926.4</v>
      </c>
      <c r="N5253" s="71" t="n">
        <v>621385.28</v>
      </c>
      <c r="O5253" s="71" t="n">
        <v>2485541.12</v>
      </c>
      <c r="P5253" s="71" t="n">
        <v>522880.43</v>
      </c>
      <c r="Q5253" s="71" t="n">
        <v>1962660.69</v>
      </c>
      <c r="R5253" t="inlineStr">
        <is>
          <t>Antiviral</t>
        </is>
      </c>
      <c r="S5253" s="70" t="n">
        <v>1839</v>
      </c>
      <c r="T5253" s="71" t="n">
        <v>630897.8</v>
      </c>
      <c r="U5253" t="inlineStr">
        <is>
          <t>Low</t>
        </is>
      </c>
      <c r="V5253">
        <f>IF(AND(OR(Dashboard!$C$6="All",E5253=Dashboard!$C$6),OR(Dashboard!$F$6="All",G5253=Dashboard!$F$6),OR(Dashboard!$I$6="All",H5253=Dashboard!$I$6)),1,0)</f>
        <v/>
      </c>
    </row>
    <row r="5254">
      <c r="A5254" t="inlineStr">
        <is>
          <t>PF105245</t>
        </is>
      </c>
      <c r="B5254" s="68" t="n">
        <v>46289</v>
      </c>
      <c r="C5254" s="69" t="n">
        <v>2026</v>
      </c>
      <c r="D5254" t="inlineStr">
        <is>
          <t>Sep</t>
        </is>
      </c>
      <c r="E5254" t="inlineStr">
        <is>
          <t>United States</t>
        </is>
      </c>
      <c r="F5254" t="inlineStr">
        <is>
          <t>USA</t>
        </is>
      </c>
      <c r="G5254" t="inlineStr">
        <is>
          <t>Xeljanz</t>
        </is>
      </c>
      <c r="H5254" t="inlineStr">
        <is>
          <t>Hospital</t>
        </is>
      </c>
      <c r="I5254" t="inlineStr">
        <is>
          <t>Private insurer</t>
        </is>
      </c>
      <c r="J5254" t="inlineStr">
        <is>
          <t>Arjun Mehta</t>
        </is>
      </c>
      <c r="K5254" s="70" t="n">
        <v>737</v>
      </c>
      <c r="L5254" s="71" t="n">
        <v>2143.1</v>
      </c>
      <c r="M5254" s="71" t="n">
        <v>1579464.7</v>
      </c>
      <c r="N5254" s="71" t="n">
        <v>394866.17</v>
      </c>
      <c r="O5254" s="71" t="n">
        <v>1184598.53</v>
      </c>
      <c r="P5254" s="71" t="n">
        <v>192687.71</v>
      </c>
      <c r="Q5254" s="71" t="n">
        <v>991910.8199999999</v>
      </c>
      <c r="R5254" t="inlineStr">
        <is>
          <t>Inflammation</t>
        </is>
      </c>
      <c r="S5254" s="70" t="n">
        <v>488</v>
      </c>
      <c r="T5254" s="71" t="n">
        <v>299023.43</v>
      </c>
      <c r="U5254" t="inlineStr">
        <is>
          <t>High</t>
        </is>
      </c>
      <c r="V5254">
        <f>IF(AND(OR(Dashboard!$C$6="All",E5254=Dashboard!$C$6),OR(Dashboard!$F$6="All",G5254=Dashboard!$F$6),OR(Dashboard!$I$6="All",H5254=Dashboard!$I$6)),1,0)</f>
        <v/>
      </c>
    </row>
    <row r="5255">
      <c r="A5255" t="inlineStr">
        <is>
          <t>PF105246</t>
        </is>
      </c>
      <c r="B5255" s="68" t="n">
        <v>46289</v>
      </c>
      <c r="C5255" s="69" t="n">
        <v>2026</v>
      </c>
      <c r="D5255" t="inlineStr">
        <is>
          <t>Sep</t>
        </is>
      </c>
      <c r="E5255" t="inlineStr">
        <is>
          <t>United States</t>
        </is>
      </c>
      <c r="F5255" t="inlineStr">
        <is>
          <t>USA</t>
        </is>
      </c>
      <c r="G5255" t="inlineStr">
        <is>
          <t>Eliquis</t>
        </is>
      </c>
      <c r="H5255" t="inlineStr">
        <is>
          <t>Hospital</t>
        </is>
      </c>
      <c r="I5255" t="inlineStr">
        <is>
          <t>Public payer</t>
        </is>
      </c>
      <c r="J5255" t="inlineStr">
        <is>
          <t>Lucas Martin</t>
        </is>
      </c>
      <c r="K5255" s="70" t="n">
        <v>599</v>
      </c>
      <c r="L5255" s="71" t="n">
        <v>751.4</v>
      </c>
      <c r="M5255" s="71" t="n">
        <v>450088.6</v>
      </c>
      <c r="N5255" s="71" t="n">
        <v>112522.15</v>
      </c>
      <c r="O5255" s="71" t="n">
        <v>337566.45</v>
      </c>
      <c r="P5255" s="71" t="n">
        <v>44929.59</v>
      </c>
      <c r="Q5255" s="71" t="n">
        <v>292636.86</v>
      </c>
      <c r="R5255" t="inlineStr">
        <is>
          <t>Cardiology</t>
        </is>
      </c>
      <c r="S5255" s="70" t="n">
        <v>420</v>
      </c>
      <c r="T5255" s="71" t="n">
        <v>63516.83</v>
      </c>
      <c r="U5255" t="inlineStr">
        <is>
          <t>High</t>
        </is>
      </c>
      <c r="V5255">
        <f>IF(AND(OR(Dashboard!$C$6="All",E5255=Dashboard!$C$6),OR(Dashboard!$F$6="All",G5255=Dashboard!$F$6),OR(Dashboard!$I$6="All",H5255=Dashboard!$I$6)),1,0)</f>
        <v/>
      </c>
    </row>
    <row r="5256">
      <c r="A5256" t="inlineStr">
        <is>
          <t>PF105247</t>
        </is>
      </c>
      <c r="B5256" s="68" t="n">
        <v>46289</v>
      </c>
      <c r="C5256" s="69" t="n">
        <v>2026</v>
      </c>
      <c r="D5256" t="inlineStr">
        <is>
          <t>Sep</t>
        </is>
      </c>
      <c r="E5256" t="inlineStr">
        <is>
          <t>Emerging markets</t>
        </is>
      </c>
      <c r="F5256" t="inlineStr">
        <is>
          <t>Brazil</t>
        </is>
      </c>
      <c r="G5256" t="inlineStr">
        <is>
          <t>Comirnaty</t>
        </is>
      </c>
      <c r="H5256" t="inlineStr">
        <is>
          <t>Hospital</t>
        </is>
      </c>
      <c r="I5256" t="inlineStr">
        <is>
          <t>Private insurer</t>
        </is>
      </c>
      <c r="J5256" t="inlineStr">
        <is>
          <t>Mei Lin</t>
        </is>
      </c>
      <c r="K5256" s="70" t="n">
        <v>862</v>
      </c>
      <c r="L5256" s="71" t="n">
        <v>83.72</v>
      </c>
      <c r="M5256" s="71" t="n">
        <v>72166.64</v>
      </c>
      <c r="N5256" s="71" t="n">
        <v>7216.66</v>
      </c>
      <c r="O5256" s="71" t="n">
        <v>64949.98</v>
      </c>
      <c r="P5256" s="71" t="n">
        <v>32954.92</v>
      </c>
      <c r="Q5256" s="71" t="n">
        <v>31995.06</v>
      </c>
      <c r="R5256" t="inlineStr">
        <is>
          <t>Vaccines</t>
        </is>
      </c>
      <c r="S5256" s="70" t="n">
        <v>631</v>
      </c>
      <c r="T5256" s="71" t="n">
        <v>11825.79</v>
      </c>
      <c r="U5256" t="inlineStr">
        <is>
          <t>Low</t>
        </is>
      </c>
      <c r="V5256">
        <f>IF(AND(OR(Dashboard!$C$6="All",E5256=Dashboard!$C$6),OR(Dashboard!$F$6="All",G5256=Dashboard!$F$6),OR(Dashboard!$I$6="All",H5256=Dashboard!$I$6)),1,0)</f>
        <v/>
      </c>
    </row>
    <row r="5257">
      <c r="A5257" t="inlineStr">
        <is>
          <t>PF105248</t>
        </is>
      </c>
      <c r="B5257" s="68" t="n">
        <v>46290</v>
      </c>
      <c r="C5257" s="69" t="n">
        <v>2026</v>
      </c>
      <c r="D5257" t="inlineStr">
        <is>
          <t>Sep</t>
        </is>
      </c>
      <c r="E5257" t="inlineStr">
        <is>
          <t>United States</t>
        </is>
      </c>
      <c r="F5257" t="inlineStr">
        <is>
          <t>USA</t>
        </is>
      </c>
      <c r="G5257" t="inlineStr">
        <is>
          <t>Paxlovid</t>
        </is>
      </c>
      <c r="H5257" t="inlineStr">
        <is>
          <t>Retail pharmacy</t>
        </is>
      </c>
      <c r="I5257" t="inlineStr">
        <is>
          <t>Private insurer</t>
        </is>
      </c>
      <c r="J5257" t="inlineStr">
        <is>
          <t>Ana Costa</t>
        </is>
      </c>
      <c r="K5257" s="70" t="n">
        <v>1175</v>
      </c>
      <c r="L5257" s="71" t="n">
        <v>1415.94</v>
      </c>
      <c r="M5257" s="71" t="n">
        <v>1663729.5</v>
      </c>
      <c r="N5257" s="71" t="n">
        <v>499118.85</v>
      </c>
      <c r="O5257" s="71" t="n">
        <v>1164610.65</v>
      </c>
      <c r="P5257" s="71" t="n">
        <v>312337</v>
      </c>
      <c r="Q5257" s="71" t="n">
        <v>852273.65</v>
      </c>
      <c r="R5257" t="inlineStr">
        <is>
          <t>Antiviral</t>
        </is>
      </c>
      <c r="S5257" s="70" t="n">
        <v>1111</v>
      </c>
      <c r="T5257" s="71" t="n">
        <v>391141.96</v>
      </c>
      <c r="U5257" t="inlineStr">
        <is>
          <t>Low</t>
        </is>
      </c>
      <c r="V5257">
        <f>IF(AND(OR(Dashboard!$C$6="All",E5257=Dashboard!$C$6),OR(Dashboard!$F$6="All",G5257=Dashboard!$F$6),OR(Dashboard!$I$6="All",H5257=Dashboard!$I$6)),1,0)</f>
        <v/>
      </c>
    </row>
    <row r="5258">
      <c r="A5258" t="inlineStr">
        <is>
          <t>PF105249</t>
        </is>
      </c>
      <c r="B5258" s="68" t="n">
        <v>46290</v>
      </c>
      <c r="C5258" s="69" t="n">
        <v>2026</v>
      </c>
      <c r="D5258" t="inlineStr">
        <is>
          <t>Sep</t>
        </is>
      </c>
      <c r="E5258" t="inlineStr">
        <is>
          <t>Europe</t>
        </is>
      </c>
      <c r="F5258" t="inlineStr">
        <is>
          <t>Germany</t>
        </is>
      </c>
      <c r="G5258" t="inlineStr">
        <is>
          <t>Paxlovid</t>
        </is>
      </c>
      <c r="H5258" t="inlineStr">
        <is>
          <t>Government / tender</t>
        </is>
      </c>
      <c r="I5258" t="inlineStr">
        <is>
          <t>Private insurer</t>
        </is>
      </c>
      <c r="J5258" t="inlineStr">
        <is>
          <t>Kofi Mensah</t>
        </is>
      </c>
      <c r="K5258" s="70" t="n">
        <v>2111</v>
      </c>
      <c r="L5258" s="71" t="n">
        <v>903.28</v>
      </c>
      <c r="M5258" s="71" t="n">
        <v>1906824.08</v>
      </c>
      <c r="N5258" s="71" t="n">
        <v>190682.41</v>
      </c>
      <c r="O5258" s="71" t="n">
        <v>1716141.67</v>
      </c>
      <c r="P5258" s="71" t="n">
        <v>558601.74</v>
      </c>
      <c r="Q5258" s="71" t="n">
        <v>1157539.93</v>
      </c>
      <c r="R5258" t="inlineStr">
        <is>
          <t>Antiviral</t>
        </is>
      </c>
      <c r="S5258" s="70" t="n">
        <v>1741</v>
      </c>
      <c r="T5258" s="71" t="n">
        <v>419984.98</v>
      </c>
      <c r="U5258" t="inlineStr">
        <is>
          <t>Low</t>
        </is>
      </c>
      <c r="V5258">
        <f>IF(AND(OR(Dashboard!$C$6="All",E5258=Dashboard!$C$6),OR(Dashboard!$F$6="All",G5258=Dashboard!$F$6),OR(Dashboard!$I$6="All",H5258=Dashboard!$I$6)),1,0)</f>
        <v/>
      </c>
    </row>
    <row r="5259">
      <c r="A5259" t="inlineStr">
        <is>
          <t>PF105250</t>
        </is>
      </c>
      <c r="B5259" s="68" t="n">
        <v>46290</v>
      </c>
      <c r="C5259" s="69" t="n">
        <v>2026</v>
      </c>
      <c r="D5259" t="inlineStr">
        <is>
          <t>Sep</t>
        </is>
      </c>
      <c r="E5259" t="inlineStr">
        <is>
          <t>United States</t>
        </is>
      </c>
      <c r="F5259" t="inlineStr">
        <is>
          <t>USA</t>
        </is>
      </c>
      <c r="G5259" t="inlineStr">
        <is>
          <t>Paxlovid</t>
        </is>
      </c>
      <c r="H5259" t="inlineStr">
        <is>
          <t>Government / tender</t>
        </is>
      </c>
      <c r="I5259" t="inlineStr">
        <is>
          <t>Private insurer</t>
        </is>
      </c>
      <c r="J5259" t="inlineStr">
        <is>
          <t>Emma Clarke</t>
        </is>
      </c>
      <c r="K5259" s="70" t="n">
        <v>544</v>
      </c>
      <c r="L5259" s="71" t="n">
        <v>1366.22</v>
      </c>
      <c r="M5259" s="71" t="n">
        <v>743223.6800000001</v>
      </c>
      <c r="N5259" s="71" t="n">
        <v>222967.1</v>
      </c>
      <c r="O5259" s="71" t="n">
        <v>520256.58</v>
      </c>
      <c r="P5259" s="71" t="n">
        <v>153159.3</v>
      </c>
      <c r="Q5259" s="71" t="n">
        <v>367097.28</v>
      </c>
      <c r="R5259" t="inlineStr">
        <is>
          <t>Antiviral</t>
        </is>
      </c>
      <c r="S5259" s="70" t="n">
        <v>478</v>
      </c>
      <c r="T5259" s="71" t="n">
        <v>113152.64</v>
      </c>
      <c r="U5259" t="inlineStr">
        <is>
          <t>Low</t>
        </is>
      </c>
      <c r="V5259">
        <f>IF(AND(OR(Dashboard!$C$6="All",E5259=Dashboard!$C$6),OR(Dashboard!$F$6="All",G5259=Dashboard!$F$6),OR(Dashboard!$I$6="All",H5259=Dashboard!$I$6)),1,0)</f>
        <v/>
      </c>
    </row>
    <row r="5260">
      <c r="A5260" t="inlineStr">
        <is>
          <t>PF105251</t>
        </is>
      </c>
      <c r="B5260" s="68" t="n">
        <v>46290</v>
      </c>
      <c r="C5260" s="69" t="n">
        <v>2026</v>
      </c>
      <c r="D5260" t="inlineStr">
        <is>
          <t>Sep</t>
        </is>
      </c>
      <c r="E5260" t="inlineStr">
        <is>
          <t>Emerging markets</t>
        </is>
      </c>
      <c r="F5260" t="inlineStr">
        <is>
          <t>India</t>
        </is>
      </c>
      <c r="G5260" t="inlineStr">
        <is>
          <t>Xeljanz</t>
        </is>
      </c>
      <c r="H5260" t="inlineStr">
        <is>
          <t>Government / tender</t>
        </is>
      </c>
      <c r="I5260" t="inlineStr">
        <is>
          <t>Private insurer</t>
        </is>
      </c>
      <c r="J5260" t="inlineStr">
        <is>
          <t>Liam O'Brien</t>
        </is>
      </c>
      <c r="K5260" s="70" t="n">
        <v>1304</v>
      </c>
      <c r="L5260" s="71" t="n">
        <v>1318.33</v>
      </c>
      <c r="M5260" s="71" t="n">
        <v>1719102.32</v>
      </c>
      <c r="N5260" s="71" t="n">
        <v>85955.12</v>
      </c>
      <c r="O5260" s="71" t="n">
        <v>1633147.2</v>
      </c>
      <c r="P5260" s="71" t="n">
        <v>317215.77</v>
      </c>
      <c r="Q5260" s="71" t="n">
        <v>1315931.43</v>
      </c>
      <c r="R5260" t="inlineStr">
        <is>
          <t>Inflammation</t>
        </is>
      </c>
      <c r="S5260" s="70" t="n">
        <v>1123</v>
      </c>
      <c r="T5260" s="71" t="n">
        <v>342534.62</v>
      </c>
      <c r="U5260" t="inlineStr">
        <is>
          <t>High</t>
        </is>
      </c>
      <c r="V5260">
        <f>IF(AND(OR(Dashboard!$C$6="All",E5260=Dashboard!$C$6),OR(Dashboard!$F$6="All",G5260=Dashboard!$F$6),OR(Dashboard!$I$6="All",H5260=Dashboard!$I$6)),1,0)</f>
        <v/>
      </c>
    </row>
    <row r="5261">
      <c r="A5261" t="inlineStr">
        <is>
          <t>PF105252</t>
        </is>
      </c>
      <c r="B5261" s="68" t="n">
        <v>46290</v>
      </c>
      <c r="C5261" s="69" t="n">
        <v>2026</v>
      </c>
      <c r="D5261" t="inlineStr">
        <is>
          <t>Sep</t>
        </is>
      </c>
      <c r="E5261" t="inlineStr">
        <is>
          <t>International developed</t>
        </is>
      </c>
      <c r="F5261" t="inlineStr">
        <is>
          <t>Canada</t>
        </is>
      </c>
      <c r="G5261" t="inlineStr">
        <is>
          <t>Comirnaty</t>
        </is>
      </c>
      <c r="H5261" t="inlineStr">
        <is>
          <t>Government / tender</t>
        </is>
      </c>
      <c r="I5261" t="inlineStr">
        <is>
          <t>Private insurer</t>
        </is>
      </c>
      <c r="J5261" t="inlineStr">
        <is>
          <t>Wei Chen</t>
        </is>
      </c>
      <c r="K5261" s="70" t="n">
        <v>788</v>
      </c>
      <c r="L5261" s="71" t="n">
        <v>87.84999999999999</v>
      </c>
      <c r="M5261" s="71" t="n">
        <v>69225.8</v>
      </c>
      <c r="N5261" s="71" t="n">
        <v>6922.58</v>
      </c>
      <c r="O5261" s="71" t="n">
        <v>62303.22</v>
      </c>
      <c r="P5261" s="71" t="n">
        <v>29619.54</v>
      </c>
      <c r="Q5261" s="71" t="n">
        <v>32683.68</v>
      </c>
      <c r="R5261" t="inlineStr">
        <is>
          <t>Vaccines</t>
        </is>
      </c>
      <c r="S5261" s="70" t="n">
        <v>554</v>
      </c>
      <c r="T5261" s="71" t="n">
        <v>13080.33</v>
      </c>
      <c r="U5261" t="inlineStr">
        <is>
          <t>Low</t>
        </is>
      </c>
      <c r="V5261">
        <f>IF(AND(OR(Dashboard!$C$6="All",E5261=Dashboard!$C$6),OR(Dashboard!$F$6="All",G5261=Dashboard!$F$6),OR(Dashboard!$I$6="All",H5261=Dashboard!$I$6)),1,0)</f>
        <v/>
      </c>
    </row>
    <row r="5262">
      <c r="A5262" t="inlineStr">
        <is>
          <t>PF105253</t>
        </is>
      </c>
      <c r="B5262" s="68" t="n">
        <v>46290</v>
      </c>
      <c r="C5262" s="69" t="n">
        <v>2026</v>
      </c>
      <c r="D5262" t="inlineStr">
        <is>
          <t>Sep</t>
        </is>
      </c>
      <c r="E5262" t="inlineStr">
        <is>
          <t>United States</t>
        </is>
      </c>
      <c r="F5262" t="inlineStr">
        <is>
          <t>USA</t>
        </is>
      </c>
      <c r="G5262" t="inlineStr">
        <is>
          <t>Paxlovid</t>
        </is>
      </c>
      <c r="H5262" t="inlineStr">
        <is>
          <t>Government / tender</t>
        </is>
      </c>
      <c r="I5262" t="inlineStr">
        <is>
          <t>Private insurer</t>
        </is>
      </c>
      <c r="J5262" t="inlineStr">
        <is>
          <t>Kofi Mensah</t>
        </is>
      </c>
      <c r="K5262" s="70" t="n">
        <v>2432</v>
      </c>
      <c r="L5262" s="71" t="n">
        <v>1346.81</v>
      </c>
      <c r="M5262" s="71" t="n">
        <v>3275441.92</v>
      </c>
      <c r="N5262" s="71" t="n">
        <v>655088.38</v>
      </c>
      <c r="O5262" s="71" t="n">
        <v>2620353.54</v>
      </c>
      <c r="P5262" s="71" t="n">
        <v>671652.51</v>
      </c>
      <c r="Q5262" s="71" t="n">
        <v>1948701.03</v>
      </c>
      <c r="R5262" t="inlineStr">
        <is>
          <t>Antiviral</t>
        </is>
      </c>
      <c r="S5262" s="70" t="n">
        <v>2356</v>
      </c>
      <c r="T5262" s="71" t="n">
        <v>750924.9300000001</v>
      </c>
      <c r="U5262" t="inlineStr">
        <is>
          <t>Low</t>
        </is>
      </c>
      <c r="V5262">
        <f>IF(AND(OR(Dashboard!$C$6="All",E5262=Dashboard!$C$6),OR(Dashboard!$F$6="All",G5262=Dashboard!$F$6),OR(Dashboard!$I$6="All",H5262=Dashboard!$I$6)),1,0)</f>
        <v/>
      </c>
    </row>
    <row r="5263">
      <c r="A5263" t="inlineStr">
        <is>
          <t>PF105254</t>
        </is>
      </c>
      <c r="B5263" s="68" t="n">
        <v>46291</v>
      </c>
      <c r="C5263" s="69" t="n">
        <v>2026</v>
      </c>
      <c r="D5263" t="inlineStr">
        <is>
          <t>Sep</t>
        </is>
      </c>
      <c r="E5263" t="inlineStr">
        <is>
          <t>United States</t>
        </is>
      </c>
      <c r="F5263" t="inlineStr">
        <is>
          <t>USA</t>
        </is>
      </c>
      <c r="G5263" t="inlineStr">
        <is>
          <t>Eliquis</t>
        </is>
      </c>
      <c r="H5263" t="inlineStr">
        <is>
          <t>Retail pharmacy</t>
        </is>
      </c>
      <c r="I5263" t="inlineStr">
        <is>
          <t>Self-pay</t>
        </is>
      </c>
      <c r="J5263" t="inlineStr">
        <is>
          <t>Sophie Müller</t>
        </is>
      </c>
      <c r="K5263" s="70" t="n">
        <v>2487</v>
      </c>
      <c r="L5263" s="71" t="n">
        <v>687.73</v>
      </c>
      <c r="M5263" s="71" t="n">
        <v>1710384.51</v>
      </c>
      <c r="N5263" s="71" t="n">
        <v>427596.13</v>
      </c>
      <c r="O5263" s="71" t="n">
        <v>1282788.38</v>
      </c>
      <c r="P5263" s="71" t="n">
        <v>182897.55</v>
      </c>
      <c r="Q5263" s="71" t="n">
        <v>1099890.83</v>
      </c>
      <c r="R5263" t="inlineStr">
        <is>
          <t>Cardiology</t>
        </is>
      </c>
      <c r="S5263" s="70" t="n">
        <v>1658</v>
      </c>
      <c r="T5263" s="71" t="n">
        <v>279038.88</v>
      </c>
      <c r="U5263" t="inlineStr">
        <is>
          <t>High</t>
        </is>
      </c>
      <c r="V5263">
        <f>IF(AND(OR(Dashboard!$C$6="All",E5263=Dashboard!$C$6),OR(Dashboard!$F$6="All",G5263=Dashboard!$F$6),OR(Dashboard!$I$6="All",H5263=Dashboard!$I$6)),1,0)</f>
        <v/>
      </c>
    </row>
    <row r="5264">
      <c r="A5264" t="inlineStr">
        <is>
          <t>PF105255</t>
        </is>
      </c>
      <c r="B5264" s="68" t="n">
        <v>46291</v>
      </c>
      <c r="C5264" s="69" t="n">
        <v>2026</v>
      </c>
      <c r="D5264" t="inlineStr">
        <is>
          <t>Sep</t>
        </is>
      </c>
      <c r="E5264" t="inlineStr">
        <is>
          <t>United States</t>
        </is>
      </c>
      <c r="F5264" t="inlineStr">
        <is>
          <t>USA</t>
        </is>
      </c>
      <c r="G5264" t="inlineStr">
        <is>
          <t>Abrysvo</t>
        </is>
      </c>
      <c r="H5264" t="inlineStr">
        <is>
          <t>Retail pharmacy</t>
        </is>
      </c>
      <c r="I5264" t="inlineStr">
        <is>
          <t>Private insurer</t>
        </is>
      </c>
      <c r="J5264" t="inlineStr">
        <is>
          <t>Ana Costa</t>
        </is>
      </c>
      <c r="K5264" s="70" t="n">
        <v>3116</v>
      </c>
      <c r="L5264" s="71" t="n">
        <v>557.37</v>
      </c>
      <c r="M5264" s="71" t="n">
        <v>1736764.92</v>
      </c>
      <c r="N5264" s="71" t="n">
        <v>607867.72</v>
      </c>
      <c r="O5264" s="71" t="n">
        <v>1128897.2</v>
      </c>
      <c r="P5264" s="71" t="n">
        <v>255072.98</v>
      </c>
      <c r="Q5264" s="71" t="n">
        <v>873824.22</v>
      </c>
      <c r="R5264" t="inlineStr">
        <is>
          <t>Vaccines</t>
        </is>
      </c>
      <c r="S5264" s="70" t="n">
        <v>2192</v>
      </c>
      <c r="T5264" s="71" t="n">
        <v>210026.47</v>
      </c>
      <c r="U5264" t="inlineStr">
        <is>
          <t>Low</t>
        </is>
      </c>
      <c r="V5264">
        <f>IF(AND(OR(Dashboard!$C$6="All",E5264=Dashboard!$C$6),OR(Dashboard!$F$6="All",G5264=Dashboard!$F$6),OR(Dashboard!$I$6="All",H5264=Dashboard!$I$6)),1,0)</f>
        <v/>
      </c>
    </row>
    <row r="5265">
      <c r="A5265" t="inlineStr">
        <is>
          <t>PF105256</t>
        </is>
      </c>
      <c r="B5265" s="68" t="n">
        <v>46291</v>
      </c>
      <c r="C5265" s="69" t="n">
        <v>2026</v>
      </c>
      <c r="D5265" t="inlineStr">
        <is>
          <t>Sep</t>
        </is>
      </c>
      <c r="E5265" t="inlineStr">
        <is>
          <t>International developed</t>
        </is>
      </c>
      <c r="F5265" t="inlineStr">
        <is>
          <t>Australia</t>
        </is>
      </c>
      <c r="G5265" t="inlineStr">
        <is>
          <t>Paxlovid</t>
        </is>
      </c>
      <c r="H5265" t="inlineStr">
        <is>
          <t>Hospital</t>
        </is>
      </c>
      <c r="I5265" t="inlineStr">
        <is>
          <t>Public payer</t>
        </is>
      </c>
      <c r="J5265" t="inlineStr">
        <is>
          <t>Fatima Al-Saud</t>
        </is>
      </c>
      <c r="K5265" s="70" t="n">
        <v>509</v>
      </c>
      <c r="L5265" s="71" t="n">
        <v>1007.36</v>
      </c>
      <c r="M5265" s="71" t="n">
        <v>512746.24</v>
      </c>
      <c r="N5265" s="71" t="n">
        <v>76911.94</v>
      </c>
      <c r="O5265" s="71" t="n">
        <v>435834.3</v>
      </c>
      <c r="P5265" s="71" t="n">
        <v>142296.57</v>
      </c>
      <c r="Q5265" s="71" t="n">
        <v>293537.73</v>
      </c>
      <c r="R5265" t="inlineStr">
        <is>
          <t>Antiviral</t>
        </is>
      </c>
      <c r="S5265" s="70" t="n">
        <v>331</v>
      </c>
      <c r="T5265" s="71" t="n">
        <v>126052.54</v>
      </c>
      <c r="U5265" t="inlineStr">
        <is>
          <t>Low</t>
        </is>
      </c>
      <c r="V5265">
        <f>IF(AND(OR(Dashboard!$C$6="All",E5265=Dashboard!$C$6),OR(Dashboard!$F$6="All",G5265=Dashboard!$F$6),OR(Dashboard!$I$6="All",H5265=Dashboard!$I$6)),1,0)</f>
        <v/>
      </c>
    </row>
    <row r="5266">
      <c r="A5266" t="inlineStr">
        <is>
          <t>PF105257</t>
        </is>
      </c>
      <c r="B5266" s="68" t="n">
        <v>46291</v>
      </c>
      <c r="C5266" s="69" t="n">
        <v>2026</v>
      </c>
      <c r="D5266" t="inlineStr">
        <is>
          <t>Sep</t>
        </is>
      </c>
      <c r="E5266" t="inlineStr">
        <is>
          <t>Emerging markets</t>
        </is>
      </c>
      <c r="F5266" t="inlineStr">
        <is>
          <t>Mexico</t>
        </is>
      </c>
      <c r="G5266" t="inlineStr">
        <is>
          <t>Abrysvo</t>
        </is>
      </c>
      <c r="H5266" t="inlineStr">
        <is>
          <t>Hospital</t>
        </is>
      </c>
      <c r="I5266" t="inlineStr">
        <is>
          <t>Public payer</t>
        </is>
      </c>
      <c r="J5266" t="inlineStr">
        <is>
          <t>Fatima Al-Saud</t>
        </is>
      </c>
      <c r="K5266" s="70" t="n">
        <v>1190</v>
      </c>
      <c r="L5266" s="71" t="n">
        <v>327.15</v>
      </c>
      <c r="M5266" s="71" t="n">
        <v>389308.5</v>
      </c>
      <c r="N5266" s="71" t="n">
        <v>19465.42</v>
      </c>
      <c r="O5266" s="71" t="n">
        <v>369843.08</v>
      </c>
      <c r="P5266" s="71" t="n">
        <v>97885.8</v>
      </c>
      <c r="Q5266" s="71" t="n">
        <v>271957.28</v>
      </c>
      <c r="R5266" t="inlineStr">
        <is>
          <t>Vaccines</t>
        </is>
      </c>
      <c r="S5266" s="70" t="n">
        <v>1148</v>
      </c>
      <c r="T5266" s="71" t="n">
        <v>72879.64</v>
      </c>
      <c r="U5266" t="inlineStr">
        <is>
          <t>Low</t>
        </is>
      </c>
      <c r="V5266">
        <f>IF(AND(OR(Dashboard!$C$6="All",E5266=Dashboard!$C$6),OR(Dashboard!$F$6="All",G5266=Dashboard!$F$6),OR(Dashboard!$I$6="All",H5266=Dashboard!$I$6)),1,0)</f>
        <v/>
      </c>
    </row>
    <row r="5267">
      <c r="A5267" t="inlineStr">
        <is>
          <t>PF105258</t>
        </is>
      </c>
      <c r="B5267" s="68" t="n">
        <v>46291</v>
      </c>
      <c r="C5267" s="69" t="n">
        <v>2026</v>
      </c>
      <c r="D5267" t="inlineStr">
        <is>
          <t>Sep</t>
        </is>
      </c>
      <c r="E5267" t="inlineStr">
        <is>
          <t>Europe</t>
        </is>
      </c>
      <c r="F5267" t="inlineStr">
        <is>
          <t>Germany</t>
        </is>
      </c>
      <c r="G5267" t="inlineStr">
        <is>
          <t>Paxlovid</t>
        </is>
      </c>
      <c r="H5267" t="inlineStr">
        <is>
          <t>Retail pharmacy</t>
        </is>
      </c>
      <c r="I5267" t="inlineStr">
        <is>
          <t>Private insurer</t>
        </is>
      </c>
      <c r="J5267" t="inlineStr">
        <is>
          <t>Olivia Brown</t>
        </is>
      </c>
      <c r="K5267" s="70" t="n">
        <v>2441</v>
      </c>
      <c r="L5267" s="71" t="n">
        <v>974.76</v>
      </c>
      <c r="M5267" s="71" t="n">
        <v>2379389.16</v>
      </c>
      <c r="N5267" s="71" t="n">
        <v>594847.29</v>
      </c>
      <c r="O5267" s="71" t="n">
        <v>1784541.87</v>
      </c>
      <c r="P5267" s="71" t="n">
        <v>673023.8</v>
      </c>
      <c r="Q5267" s="71" t="n">
        <v>1111518.07</v>
      </c>
      <c r="R5267" t="inlineStr">
        <is>
          <t>Antiviral</t>
        </is>
      </c>
      <c r="S5267" s="70" t="n">
        <v>1748</v>
      </c>
      <c r="T5267" s="71" t="n">
        <v>565246.02</v>
      </c>
      <c r="U5267" t="inlineStr">
        <is>
          <t>Low</t>
        </is>
      </c>
      <c r="V5267">
        <f>IF(AND(OR(Dashboard!$C$6="All",E5267=Dashboard!$C$6),OR(Dashboard!$F$6="All",G5267=Dashboard!$F$6),OR(Dashboard!$I$6="All",H5267=Dashboard!$I$6)),1,0)</f>
        <v/>
      </c>
    </row>
    <row r="5268">
      <c r="A5268" t="inlineStr">
        <is>
          <t>PF105259</t>
        </is>
      </c>
      <c r="B5268" s="68" t="n">
        <v>46291</v>
      </c>
      <c r="C5268" s="69" t="n">
        <v>2026</v>
      </c>
      <c r="D5268" t="inlineStr">
        <is>
          <t>Sep</t>
        </is>
      </c>
      <c r="E5268" t="inlineStr">
        <is>
          <t>United States</t>
        </is>
      </c>
      <c r="F5268" t="inlineStr">
        <is>
          <t>USA</t>
        </is>
      </c>
      <c r="G5268" t="inlineStr">
        <is>
          <t>Vyndaqel</t>
        </is>
      </c>
      <c r="H5268" t="inlineStr">
        <is>
          <t>Hospital</t>
        </is>
      </c>
      <c r="I5268" t="inlineStr">
        <is>
          <t>Private insurer</t>
        </is>
      </c>
      <c r="J5268" t="inlineStr">
        <is>
          <t>Ana Costa</t>
        </is>
      </c>
      <c r="K5268" s="70" t="n">
        <v>3308</v>
      </c>
      <c r="L5268" s="71" t="n">
        <v>8673.49</v>
      </c>
      <c r="M5268" s="71" t="n">
        <v>28691904.92</v>
      </c>
      <c r="N5268" s="71" t="n">
        <v>10042166.72</v>
      </c>
      <c r="O5268" s="71" t="n">
        <v>18649738.2</v>
      </c>
      <c r="P5268" s="71" t="n">
        <v>1989706.67</v>
      </c>
      <c r="Q5268" s="71" t="n">
        <v>16660031.53</v>
      </c>
      <c r="R5268" t="inlineStr">
        <is>
          <t>Rare disease</t>
        </is>
      </c>
      <c r="S5268" s="70" t="n">
        <v>3084</v>
      </c>
      <c r="T5268" s="71" t="n">
        <v>4206996.46</v>
      </c>
      <c r="U5268" t="inlineStr">
        <is>
          <t>Medium</t>
        </is>
      </c>
      <c r="V5268">
        <f>IF(AND(OR(Dashboard!$C$6="All",E5268=Dashboard!$C$6),OR(Dashboard!$F$6="All",G5268=Dashboard!$F$6),OR(Dashboard!$I$6="All",H5268=Dashboard!$I$6)),1,0)</f>
        <v/>
      </c>
    </row>
    <row r="5269">
      <c r="A5269" t="inlineStr">
        <is>
          <t>PF105260</t>
        </is>
      </c>
      <c r="B5269" s="68" t="n">
        <v>46291</v>
      </c>
      <c r="C5269" s="69" t="n">
        <v>2026</v>
      </c>
      <c r="D5269" t="inlineStr">
        <is>
          <t>Sep</t>
        </is>
      </c>
      <c r="E5269" t="inlineStr">
        <is>
          <t>United States</t>
        </is>
      </c>
      <c r="F5269" t="inlineStr">
        <is>
          <t>USA</t>
        </is>
      </c>
      <c r="G5269" t="inlineStr">
        <is>
          <t>Paxlovid</t>
        </is>
      </c>
      <c r="H5269" t="inlineStr">
        <is>
          <t>Retail pharmacy</t>
        </is>
      </c>
      <c r="I5269" t="inlineStr">
        <is>
          <t>Private insurer</t>
        </is>
      </c>
      <c r="J5269" t="inlineStr">
        <is>
          <t>Sophie Müller</t>
        </is>
      </c>
      <c r="K5269" s="70" t="n">
        <v>1810</v>
      </c>
      <c r="L5269" s="71" t="n">
        <v>1467.48</v>
      </c>
      <c r="M5269" s="71" t="n">
        <v>2656138.8</v>
      </c>
      <c r="N5269" s="71" t="n">
        <v>398420.82</v>
      </c>
      <c r="O5269" s="71" t="n">
        <v>2257717.98</v>
      </c>
      <c r="P5269" s="71" t="n">
        <v>485691.38</v>
      </c>
      <c r="Q5269" s="71" t="n">
        <v>1772026.6</v>
      </c>
      <c r="R5269" t="inlineStr">
        <is>
          <t>Antiviral</t>
        </is>
      </c>
      <c r="S5269" s="70" t="n">
        <v>1279</v>
      </c>
      <c r="T5269" s="71" t="n">
        <v>677872.92</v>
      </c>
      <c r="U5269" t="inlineStr">
        <is>
          <t>Low</t>
        </is>
      </c>
      <c r="V5269">
        <f>IF(AND(OR(Dashboard!$C$6="All",E5269=Dashboard!$C$6),OR(Dashboard!$F$6="All",G5269=Dashboard!$F$6),OR(Dashboard!$I$6="All",H5269=Dashboard!$I$6)),1,0)</f>
        <v/>
      </c>
    </row>
    <row r="5270">
      <c r="A5270" t="inlineStr">
        <is>
          <t>PF105261</t>
        </is>
      </c>
      <c r="B5270" s="68" t="n">
        <v>46291</v>
      </c>
      <c r="C5270" s="69" t="n">
        <v>2026</v>
      </c>
      <c r="D5270" t="inlineStr">
        <is>
          <t>Sep</t>
        </is>
      </c>
      <c r="E5270" t="inlineStr">
        <is>
          <t>Emerging markets</t>
        </is>
      </c>
      <c r="F5270" t="inlineStr">
        <is>
          <t>India</t>
        </is>
      </c>
      <c r="G5270" t="inlineStr">
        <is>
          <t>Eliquis</t>
        </is>
      </c>
      <c r="H5270" t="inlineStr">
        <is>
          <t>Hospital</t>
        </is>
      </c>
      <c r="I5270" t="inlineStr">
        <is>
          <t>Private insurer</t>
        </is>
      </c>
      <c r="J5270" t="inlineStr">
        <is>
          <t>Ana Costa</t>
        </is>
      </c>
      <c r="K5270" s="70" t="n">
        <v>2746</v>
      </c>
      <c r="L5270" s="71" t="n">
        <v>447.59</v>
      </c>
      <c r="M5270" s="71" t="n">
        <v>1229082.14</v>
      </c>
      <c r="N5270" s="71" t="n">
        <v>122908.21</v>
      </c>
      <c r="O5270" s="71" t="n">
        <v>1106173.93</v>
      </c>
      <c r="P5270" s="71" t="n">
        <v>211216.39</v>
      </c>
      <c r="Q5270" s="71" t="n">
        <v>894957.54</v>
      </c>
      <c r="R5270" t="inlineStr">
        <is>
          <t>Cardiology</t>
        </is>
      </c>
      <c r="S5270" s="70" t="n">
        <v>2252</v>
      </c>
      <c r="T5270" s="71" t="n">
        <v>202399.34</v>
      </c>
      <c r="U5270" t="inlineStr">
        <is>
          <t>High</t>
        </is>
      </c>
      <c r="V5270">
        <f>IF(AND(OR(Dashboard!$C$6="All",E5270=Dashboard!$C$6),OR(Dashboard!$F$6="All",G5270=Dashboard!$F$6),OR(Dashboard!$I$6="All",H5270=Dashboard!$I$6)),1,0)</f>
        <v/>
      </c>
    </row>
    <row r="5271">
      <c r="A5271" t="inlineStr">
        <is>
          <t>PF105262</t>
        </is>
      </c>
      <c r="B5271" s="68" t="n">
        <v>46291</v>
      </c>
      <c r="C5271" s="69" t="n">
        <v>2026</v>
      </c>
      <c r="D5271" t="inlineStr">
        <is>
          <t>Sep</t>
        </is>
      </c>
      <c r="E5271" t="inlineStr">
        <is>
          <t>United States</t>
        </is>
      </c>
      <c r="F5271" t="inlineStr">
        <is>
          <t>USA</t>
        </is>
      </c>
      <c r="G5271" t="inlineStr">
        <is>
          <t>Prevnar 20</t>
        </is>
      </c>
      <c r="H5271" t="inlineStr">
        <is>
          <t>Hospital</t>
        </is>
      </c>
      <c r="I5271" t="inlineStr">
        <is>
          <t>Self-pay</t>
        </is>
      </c>
      <c r="J5271" t="inlineStr">
        <is>
          <t>Sophie Müller</t>
        </is>
      </c>
      <c r="K5271" s="70" t="n">
        <v>223</v>
      </c>
      <c r="L5271" s="71" t="n">
        <v>344.29</v>
      </c>
      <c r="M5271" s="71" t="n">
        <v>76776.67</v>
      </c>
      <c r="N5271" s="71" t="n">
        <v>11516.5</v>
      </c>
      <c r="O5271" s="71" t="n">
        <v>65260.17</v>
      </c>
      <c r="P5271" s="71" t="n">
        <v>15793.63</v>
      </c>
      <c r="Q5271" s="71" t="n">
        <v>49466.54</v>
      </c>
      <c r="R5271" t="inlineStr">
        <is>
          <t>Vaccines</t>
        </is>
      </c>
      <c r="S5271" s="70" t="n">
        <v>146</v>
      </c>
      <c r="T5271" s="71" t="n">
        <v>12296.79</v>
      </c>
      <c r="U5271" t="inlineStr">
        <is>
          <t>Low</t>
        </is>
      </c>
      <c r="V5271">
        <f>IF(AND(OR(Dashboard!$C$6="All",E5271=Dashboard!$C$6),OR(Dashboard!$F$6="All",G5271=Dashboard!$F$6),OR(Dashboard!$I$6="All",H5271=Dashboard!$I$6)),1,0)</f>
        <v/>
      </c>
    </row>
    <row r="5272">
      <c r="A5272" t="inlineStr">
        <is>
          <t>PF105263</t>
        </is>
      </c>
      <c r="B5272" s="68" t="n">
        <v>46292</v>
      </c>
      <c r="C5272" s="69" t="n">
        <v>2026</v>
      </c>
      <c r="D5272" t="inlineStr">
        <is>
          <t>Sep</t>
        </is>
      </c>
      <c r="E5272" t="inlineStr">
        <is>
          <t>United States</t>
        </is>
      </c>
      <c r="F5272" t="inlineStr">
        <is>
          <t>USA</t>
        </is>
      </c>
      <c r="G5272" t="inlineStr">
        <is>
          <t>Eliquis</t>
        </is>
      </c>
      <c r="H5272" t="inlineStr">
        <is>
          <t>Retail pharmacy</t>
        </is>
      </c>
      <c r="I5272" t="inlineStr">
        <is>
          <t>Private insurer</t>
        </is>
      </c>
      <c r="J5272" t="inlineStr">
        <is>
          <t>Sophie Müller</t>
        </is>
      </c>
      <c r="K5272" s="70" t="n">
        <v>2554</v>
      </c>
      <c r="L5272" s="71" t="n">
        <v>647.97</v>
      </c>
      <c r="M5272" s="71" t="n">
        <v>1654915.38</v>
      </c>
      <c r="N5272" s="71" t="n">
        <v>413728.84</v>
      </c>
      <c r="O5272" s="71" t="n">
        <v>1241186.54</v>
      </c>
      <c r="P5272" s="71" t="n">
        <v>198783</v>
      </c>
      <c r="Q5272" s="71" t="n">
        <v>1042403.54</v>
      </c>
      <c r="R5272" t="inlineStr">
        <is>
          <t>Cardiology</t>
        </is>
      </c>
      <c r="S5272" s="70" t="n">
        <v>1961</v>
      </c>
      <c r="T5272" s="71" t="n">
        <v>300145</v>
      </c>
      <c r="U5272" t="inlineStr">
        <is>
          <t>High</t>
        </is>
      </c>
      <c r="V5272">
        <f>IF(AND(OR(Dashboard!$C$6="All",E5272=Dashboard!$C$6),OR(Dashboard!$F$6="All",G5272=Dashboard!$F$6),OR(Dashboard!$I$6="All",H5272=Dashboard!$I$6)),1,0)</f>
        <v/>
      </c>
    </row>
    <row r="5273">
      <c r="A5273" t="inlineStr">
        <is>
          <t>PF105264</t>
        </is>
      </c>
      <c r="B5273" s="68" t="n">
        <v>46292</v>
      </c>
      <c r="C5273" s="69" t="n">
        <v>2026</v>
      </c>
      <c r="D5273" t="inlineStr">
        <is>
          <t>Sep</t>
        </is>
      </c>
      <c r="E5273" t="inlineStr">
        <is>
          <t>Europe</t>
        </is>
      </c>
      <c r="F5273" t="inlineStr">
        <is>
          <t>Italy</t>
        </is>
      </c>
      <c r="G5273" t="inlineStr">
        <is>
          <t>Ibrance</t>
        </is>
      </c>
      <c r="H5273" t="inlineStr">
        <is>
          <t>Retail pharmacy</t>
        </is>
      </c>
      <c r="I5273" t="inlineStr">
        <is>
          <t>Public payer</t>
        </is>
      </c>
      <c r="J5273" t="inlineStr">
        <is>
          <t>Sophie Müller</t>
        </is>
      </c>
      <c r="K5273" s="70" t="n">
        <v>1320</v>
      </c>
      <c r="L5273" s="71" t="n">
        <v>2864.6</v>
      </c>
      <c r="M5273" s="71" t="n">
        <v>3781272</v>
      </c>
      <c r="N5273" s="71" t="n">
        <v>189063.6</v>
      </c>
      <c r="O5273" s="71" t="n">
        <v>3592208.4</v>
      </c>
      <c r="P5273" s="71" t="n">
        <v>574735.95</v>
      </c>
      <c r="Q5273" s="71" t="n">
        <v>3017472.45</v>
      </c>
      <c r="R5273" t="inlineStr">
        <is>
          <t>Oncology</t>
        </is>
      </c>
      <c r="S5273" s="70" t="n">
        <v>1211</v>
      </c>
      <c r="T5273" s="71" t="n">
        <v>683367.29</v>
      </c>
      <c r="U5273" t="inlineStr">
        <is>
          <t>High</t>
        </is>
      </c>
      <c r="V5273">
        <f>IF(AND(OR(Dashboard!$C$6="All",E5273=Dashboard!$C$6),OR(Dashboard!$F$6="All",G5273=Dashboard!$F$6),OR(Dashboard!$I$6="All",H5273=Dashboard!$I$6)),1,0)</f>
        <v/>
      </c>
    </row>
    <row r="5274">
      <c r="A5274" t="inlineStr">
        <is>
          <t>PF105265</t>
        </is>
      </c>
      <c r="B5274" s="68" t="n">
        <v>46292</v>
      </c>
      <c r="C5274" s="69" t="n">
        <v>2026</v>
      </c>
      <c r="D5274" t="inlineStr">
        <is>
          <t>Sep</t>
        </is>
      </c>
      <c r="E5274" t="inlineStr">
        <is>
          <t>United States</t>
        </is>
      </c>
      <c r="F5274" t="inlineStr">
        <is>
          <t>USA</t>
        </is>
      </c>
      <c r="G5274" t="inlineStr">
        <is>
          <t>Xeljanz</t>
        </is>
      </c>
      <c r="H5274" t="inlineStr">
        <is>
          <t>Hospital</t>
        </is>
      </c>
      <c r="I5274" t="inlineStr">
        <is>
          <t>Private insurer</t>
        </is>
      </c>
      <c r="J5274" t="inlineStr">
        <is>
          <t>Kofi Mensah</t>
        </is>
      </c>
      <c r="K5274" s="70" t="n">
        <v>463</v>
      </c>
      <c r="L5274" s="71" t="n">
        <v>2143.96</v>
      </c>
      <c r="M5274" s="71" t="n">
        <v>992653.48</v>
      </c>
      <c r="N5274" s="71" t="n">
        <v>297796.04</v>
      </c>
      <c r="O5274" s="71" t="n">
        <v>694857.4399999999</v>
      </c>
      <c r="P5274" s="71" t="n">
        <v>115347.02</v>
      </c>
      <c r="Q5274" s="71" t="n">
        <v>579510.42</v>
      </c>
      <c r="R5274" t="inlineStr">
        <is>
          <t>Inflammation</t>
        </is>
      </c>
      <c r="S5274" s="70" t="n">
        <v>428</v>
      </c>
      <c r="T5274" s="71" t="n">
        <v>167391.8</v>
      </c>
      <c r="U5274" t="inlineStr">
        <is>
          <t>High</t>
        </is>
      </c>
      <c r="V5274">
        <f>IF(AND(OR(Dashboard!$C$6="All",E5274=Dashboard!$C$6),OR(Dashboard!$F$6="All",G5274=Dashboard!$F$6),OR(Dashboard!$I$6="All",H5274=Dashboard!$I$6)),1,0)</f>
        <v/>
      </c>
    </row>
    <row r="5275">
      <c r="A5275" t="inlineStr">
        <is>
          <t>PF105266</t>
        </is>
      </c>
      <c r="B5275" s="68" t="n">
        <v>46292</v>
      </c>
      <c r="C5275" s="69" t="n">
        <v>2026</v>
      </c>
      <c r="D5275" t="inlineStr">
        <is>
          <t>Sep</t>
        </is>
      </c>
      <c r="E5275" t="inlineStr">
        <is>
          <t>United States</t>
        </is>
      </c>
      <c r="F5275" t="inlineStr">
        <is>
          <t>USA</t>
        </is>
      </c>
      <c r="G5275" t="inlineStr">
        <is>
          <t>Comirnaty</t>
        </is>
      </c>
      <c r="H5275" t="inlineStr">
        <is>
          <t>Government / tender</t>
        </is>
      </c>
      <c r="I5275" t="inlineStr">
        <is>
          <t>Public payer</t>
        </is>
      </c>
      <c r="J5275" t="inlineStr">
        <is>
          <t>Olivia Brown</t>
        </is>
      </c>
      <c r="K5275" s="70" t="n">
        <v>1937</v>
      </c>
      <c r="L5275" s="71" t="n">
        <v>129.41</v>
      </c>
      <c r="M5275" s="71" t="n">
        <v>250667.17</v>
      </c>
      <c r="N5275" s="71" t="n">
        <v>62666.79</v>
      </c>
      <c r="O5275" s="71" t="n">
        <v>188000.38</v>
      </c>
      <c r="P5275" s="71" t="n">
        <v>74026.11</v>
      </c>
      <c r="Q5275" s="71" t="n">
        <v>113974.27</v>
      </c>
      <c r="R5275" t="inlineStr">
        <is>
          <t>Vaccines</t>
        </is>
      </c>
      <c r="S5275" s="70" t="n">
        <v>1793</v>
      </c>
      <c r="T5275" s="71" t="n">
        <v>50273.91</v>
      </c>
      <c r="U5275" t="inlineStr">
        <is>
          <t>Low</t>
        </is>
      </c>
      <c r="V5275">
        <f>IF(AND(OR(Dashboard!$C$6="All",E5275=Dashboard!$C$6),OR(Dashboard!$F$6="All",G5275=Dashboard!$F$6),OR(Dashboard!$I$6="All",H5275=Dashboard!$I$6)),1,0)</f>
        <v/>
      </c>
    </row>
    <row r="5276">
      <c r="A5276" t="inlineStr">
        <is>
          <t>PF105267</t>
        </is>
      </c>
      <c r="B5276" s="68" t="n">
        <v>46292</v>
      </c>
      <c r="C5276" s="69" t="n">
        <v>2026</v>
      </c>
      <c r="D5276" t="inlineStr">
        <is>
          <t>Sep</t>
        </is>
      </c>
      <c r="E5276" t="inlineStr">
        <is>
          <t>Emerging markets</t>
        </is>
      </c>
      <c r="F5276" t="inlineStr">
        <is>
          <t>Mexico</t>
        </is>
      </c>
      <c r="G5276" t="inlineStr">
        <is>
          <t>Ibrance</t>
        </is>
      </c>
      <c r="H5276" t="inlineStr">
        <is>
          <t>Retail pharmacy</t>
        </is>
      </c>
      <c r="I5276" t="inlineStr">
        <is>
          <t>Private insurer</t>
        </is>
      </c>
      <c r="J5276" t="inlineStr">
        <is>
          <t>Priya Nair</t>
        </is>
      </c>
      <c r="K5276" s="70" t="n">
        <v>1450</v>
      </c>
      <c r="L5276" s="71" t="n">
        <v>3028.11</v>
      </c>
      <c r="M5276" s="71" t="n">
        <v>4390759.5</v>
      </c>
      <c r="N5276" s="71" t="n">
        <v>219537.98</v>
      </c>
      <c r="O5276" s="71" t="n">
        <v>4171221.52</v>
      </c>
      <c r="P5276" s="71" t="n">
        <v>638265.78</v>
      </c>
      <c r="Q5276" s="71" t="n">
        <v>3532955.74</v>
      </c>
      <c r="R5276" t="inlineStr">
        <is>
          <t>Oncology</t>
        </is>
      </c>
      <c r="S5276" s="70" t="n">
        <v>1109</v>
      </c>
      <c r="T5276" s="71" t="n">
        <v>582047.91</v>
      </c>
      <c r="U5276" t="inlineStr">
        <is>
          <t>High</t>
        </is>
      </c>
      <c r="V5276">
        <f>IF(AND(OR(Dashboard!$C$6="All",E5276=Dashboard!$C$6),OR(Dashboard!$F$6="All",G5276=Dashboard!$F$6),OR(Dashboard!$I$6="All",H5276=Dashboard!$I$6)),1,0)</f>
        <v/>
      </c>
    </row>
    <row r="5277">
      <c r="A5277" t="inlineStr">
        <is>
          <t>PF105268</t>
        </is>
      </c>
      <c r="B5277" s="68" t="n">
        <v>46292</v>
      </c>
      <c r="C5277" s="69" t="n">
        <v>2026</v>
      </c>
      <c r="D5277" t="inlineStr">
        <is>
          <t>Sep</t>
        </is>
      </c>
      <c r="E5277" t="inlineStr">
        <is>
          <t>United States</t>
        </is>
      </c>
      <c r="F5277" t="inlineStr">
        <is>
          <t>USA</t>
        </is>
      </c>
      <c r="G5277" t="inlineStr">
        <is>
          <t>Vyndaqel</t>
        </is>
      </c>
      <c r="H5277" t="inlineStr">
        <is>
          <t>Government / tender</t>
        </is>
      </c>
      <c r="I5277" t="inlineStr">
        <is>
          <t>Public payer</t>
        </is>
      </c>
      <c r="J5277" t="inlineStr">
        <is>
          <t>Shraddha Kulkarni</t>
        </is>
      </c>
      <c r="K5277" s="70" t="n">
        <v>2356</v>
      </c>
      <c r="L5277" s="71" t="n">
        <v>8598.860000000001</v>
      </c>
      <c r="M5277" s="71" t="n">
        <v>20258914.16</v>
      </c>
      <c r="N5277" s="71" t="n">
        <v>7090619.96</v>
      </c>
      <c r="O5277" s="71" t="n">
        <v>13168294.2</v>
      </c>
      <c r="P5277" s="71" t="n">
        <v>1490281.45</v>
      </c>
      <c r="Q5277" s="71" t="n">
        <v>11678012.75</v>
      </c>
      <c r="R5277" t="inlineStr">
        <is>
          <t>Rare disease</t>
        </is>
      </c>
      <c r="S5277" s="70" t="n">
        <v>1721</v>
      </c>
      <c r="T5277" s="71" t="n">
        <v>3263501.82</v>
      </c>
      <c r="U5277" t="inlineStr">
        <is>
          <t>Medium</t>
        </is>
      </c>
      <c r="V5277">
        <f>IF(AND(OR(Dashboard!$C$6="All",E5277=Dashboard!$C$6),OR(Dashboard!$F$6="All",G5277=Dashboard!$F$6),OR(Dashboard!$I$6="All",H5277=Dashboard!$I$6)),1,0)</f>
        <v/>
      </c>
    </row>
    <row r="5278">
      <c r="A5278" t="inlineStr">
        <is>
          <t>PF105269</t>
        </is>
      </c>
      <c r="B5278" s="68" t="n">
        <v>46292</v>
      </c>
      <c r="C5278" s="69" t="n">
        <v>2026</v>
      </c>
      <c r="D5278" t="inlineStr">
        <is>
          <t>Sep</t>
        </is>
      </c>
      <c r="E5278" t="inlineStr">
        <is>
          <t>Emerging markets</t>
        </is>
      </c>
      <c r="F5278" t="inlineStr">
        <is>
          <t>Brazil</t>
        </is>
      </c>
      <c r="G5278" t="inlineStr">
        <is>
          <t>Vyndaqel</t>
        </is>
      </c>
      <c r="H5278" t="inlineStr">
        <is>
          <t>Government / tender</t>
        </is>
      </c>
      <c r="I5278" t="inlineStr">
        <is>
          <t>Private insurer</t>
        </is>
      </c>
      <c r="J5278" t="inlineStr">
        <is>
          <t>Carlos Silva</t>
        </is>
      </c>
      <c r="K5278" s="70" t="n">
        <v>3169</v>
      </c>
      <c r="L5278" s="71" t="n">
        <v>6126.82</v>
      </c>
      <c r="M5278" s="71" t="n">
        <v>19415892.58</v>
      </c>
      <c r="N5278" s="71" t="n">
        <v>4853973.14</v>
      </c>
      <c r="O5278" s="71" t="n">
        <v>14561919.44</v>
      </c>
      <c r="P5278" s="71" t="n">
        <v>1948985.7</v>
      </c>
      <c r="Q5278" s="71" t="n">
        <v>12612933.74</v>
      </c>
      <c r="R5278" t="inlineStr">
        <is>
          <t>Rare disease</t>
        </is>
      </c>
      <c r="S5278" s="70" t="n">
        <v>3013</v>
      </c>
      <c r="T5278" s="71" t="n">
        <v>2930125.6</v>
      </c>
      <c r="U5278" t="inlineStr">
        <is>
          <t>Medium</t>
        </is>
      </c>
      <c r="V5278">
        <f>IF(AND(OR(Dashboard!$C$6="All",E5278=Dashboard!$C$6),OR(Dashboard!$F$6="All",G5278=Dashboard!$F$6),OR(Dashboard!$I$6="All",H5278=Dashboard!$I$6)),1,0)</f>
        <v/>
      </c>
    </row>
    <row r="5279">
      <c r="A5279" t="inlineStr">
        <is>
          <t>PF105270</t>
        </is>
      </c>
      <c r="B5279" s="68" t="n">
        <v>46293</v>
      </c>
      <c r="C5279" s="69" t="n">
        <v>2026</v>
      </c>
      <c r="D5279" t="inlineStr">
        <is>
          <t>Sep</t>
        </is>
      </c>
      <c r="E5279" t="inlineStr">
        <is>
          <t>United States</t>
        </is>
      </c>
      <c r="F5279" t="inlineStr">
        <is>
          <t>USA</t>
        </is>
      </c>
      <c r="G5279" t="inlineStr">
        <is>
          <t>Eliquis</t>
        </is>
      </c>
      <c r="H5279" t="inlineStr">
        <is>
          <t>Hospital</t>
        </is>
      </c>
      <c r="I5279" t="inlineStr">
        <is>
          <t>Private insurer</t>
        </is>
      </c>
      <c r="J5279" t="inlineStr">
        <is>
          <t>Lucas Martin</t>
        </is>
      </c>
      <c r="K5279" s="70" t="n">
        <v>2572</v>
      </c>
      <c r="L5279" s="71" t="n">
        <v>725.42</v>
      </c>
      <c r="M5279" s="71" t="n">
        <v>1865780.24</v>
      </c>
      <c r="N5279" s="71" t="n">
        <v>373156.05</v>
      </c>
      <c r="O5279" s="71" t="n">
        <v>1492624.19</v>
      </c>
      <c r="P5279" s="71" t="n">
        <v>197086.79</v>
      </c>
      <c r="Q5279" s="71" t="n">
        <v>1295537.4</v>
      </c>
      <c r="R5279" t="inlineStr">
        <is>
          <t>Cardiology</t>
        </is>
      </c>
      <c r="S5279" s="70" t="n">
        <v>2257</v>
      </c>
      <c r="T5279" s="71" t="n">
        <v>246397.67</v>
      </c>
      <c r="U5279" t="inlineStr">
        <is>
          <t>High</t>
        </is>
      </c>
      <c r="V5279">
        <f>IF(AND(OR(Dashboard!$C$6="All",E5279=Dashboard!$C$6),OR(Dashboard!$F$6="All",G5279=Dashboard!$F$6),OR(Dashboard!$I$6="All",H5279=Dashboard!$I$6)),1,0)</f>
        <v/>
      </c>
    </row>
    <row r="5280">
      <c r="A5280" t="inlineStr">
        <is>
          <t>PF105271</t>
        </is>
      </c>
      <c r="B5280" s="68" t="n">
        <v>46293</v>
      </c>
      <c r="C5280" s="69" t="n">
        <v>2026</v>
      </c>
      <c r="D5280" t="inlineStr">
        <is>
          <t>Sep</t>
        </is>
      </c>
      <c r="E5280" t="inlineStr">
        <is>
          <t>United States</t>
        </is>
      </c>
      <c r="F5280" t="inlineStr">
        <is>
          <t>USA</t>
        </is>
      </c>
      <c r="G5280" t="inlineStr">
        <is>
          <t>Paxlovid</t>
        </is>
      </c>
      <c r="H5280" t="inlineStr">
        <is>
          <t>Government / tender</t>
        </is>
      </c>
      <c r="I5280" t="inlineStr">
        <is>
          <t>Public payer</t>
        </is>
      </c>
      <c r="J5280" t="inlineStr">
        <is>
          <t>Lucas Martin</t>
        </is>
      </c>
      <c r="K5280" s="70" t="n">
        <v>2291</v>
      </c>
      <c r="L5280" s="71" t="n">
        <v>1415.34</v>
      </c>
      <c r="M5280" s="71" t="n">
        <v>3242543.94</v>
      </c>
      <c r="N5280" s="71" t="n">
        <v>486381.59</v>
      </c>
      <c r="O5280" s="71" t="n">
        <v>2756162.35</v>
      </c>
      <c r="P5280" s="71" t="n">
        <v>647428.95</v>
      </c>
      <c r="Q5280" s="71" t="n">
        <v>2108733.4</v>
      </c>
      <c r="R5280" t="inlineStr">
        <is>
          <t>Antiviral</t>
        </is>
      </c>
      <c r="S5280" s="70" t="n">
        <v>2251</v>
      </c>
      <c r="T5280" s="71" t="n">
        <v>722178.15</v>
      </c>
      <c r="U5280" t="inlineStr">
        <is>
          <t>Low</t>
        </is>
      </c>
      <c r="V5280">
        <f>IF(AND(OR(Dashboard!$C$6="All",E5280=Dashboard!$C$6),OR(Dashboard!$F$6="All",G5280=Dashboard!$F$6),OR(Dashboard!$I$6="All",H5280=Dashboard!$I$6)),1,0)</f>
        <v/>
      </c>
    </row>
    <row r="5281">
      <c r="A5281" t="inlineStr">
        <is>
          <t>PF105272</t>
        </is>
      </c>
      <c r="B5281" s="68" t="n">
        <v>46293</v>
      </c>
      <c r="C5281" s="69" t="n">
        <v>2026</v>
      </c>
      <c r="D5281" t="inlineStr">
        <is>
          <t>Sep</t>
        </is>
      </c>
      <c r="E5281" t="inlineStr">
        <is>
          <t>International developed</t>
        </is>
      </c>
      <c r="F5281" t="inlineStr">
        <is>
          <t>Canada</t>
        </is>
      </c>
      <c r="G5281" t="inlineStr">
        <is>
          <t>Ibrance</t>
        </is>
      </c>
      <c r="H5281" t="inlineStr">
        <is>
          <t>Hospital</t>
        </is>
      </c>
      <c r="I5281" t="inlineStr">
        <is>
          <t>Private insurer</t>
        </is>
      </c>
      <c r="J5281" t="inlineStr">
        <is>
          <t>Sophie Müller</t>
        </is>
      </c>
      <c r="K5281" s="70" t="n">
        <v>582</v>
      </c>
      <c r="L5281" s="71" t="n">
        <v>2587.18</v>
      </c>
      <c r="M5281" s="71" t="n">
        <v>1505738.76</v>
      </c>
      <c r="N5281" s="71" t="n">
        <v>150573.88</v>
      </c>
      <c r="O5281" s="71" t="n">
        <v>1355164.88</v>
      </c>
      <c r="P5281" s="71" t="n">
        <v>255575.78</v>
      </c>
      <c r="Q5281" s="71" t="n">
        <v>1099589.1</v>
      </c>
      <c r="R5281" t="inlineStr">
        <is>
          <t>Oncology</t>
        </is>
      </c>
      <c r="S5281" s="70" t="n">
        <v>387</v>
      </c>
      <c r="T5281" s="71" t="n">
        <v>194353.57</v>
      </c>
      <c r="U5281" t="inlineStr">
        <is>
          <t>High</t>
        </is>
      </c>
      <c r="V5281">
        <f>IF(AND(OR(Dashboard!$C$6="All",E5281=Dashboard!$C$6),OR(Dashboard!$F$6="All",G5281=Dashboard!$F$6),OR(Dashboard!$I$6="All",H5281=Dashboard!$I$6)),1,0)</f>
        <v/>
      </c>
    </row>
    <row r="5282">
      <c r="A5282" t="inlineStr">
        <is>
          <t>PF105273</t>
        </is>
      </c>
      <c r="B5282" s="68" t="n">
        <v>46293</v>
      </c>
      <c r="C5282" s="69" t="n">
        <v>2026</v>
      </c>
      <c r="D5282" t="inlineStr">
        <is>
          <t>Sep</t>
        </is>
      </c>
      <c r="E5282" t="inlineStr">
        <is>
          <t>Europe</t>
        </is>
      </c>
      <c r="F5282" t="inlineStr">
        <is>
          <t>Germany</t>
        </is>
      </c>
      <c r="G5282" t="inlineStr">
        <is>
          <t>Abrysvo</t>
        </is>
      </c>
      <c r="H5282" t="inlineStr">
        <is>
          <t>Retail pharmacy</t>
        </is>
      </c>
      <c r="I5282" t="inlineStr">
        <is>
          <t>Self-pay</t>
        </is>
      </c>
      <c r="J5282" t="inlineStr">
        <is>
          <t>Ana Costa</t>
        </is>
      </c>
      <c r="K5282" s="70" t="n">
        <v>483</v>
      </c>
      <c r="L5282" s="71" t="n">
        <v>298.86</v>
      </c>
      <c r="M5282" s="71" t="n">
        <v>144349.38</v>
      </c>
      <c r="N5282" s="71" t="n">
        <v>7217.47</v>
      </c>
      <c r="O5282" s="71" t="n">
        <v>137131.91</v>
      </c>
      <c r="P5282" s="71" t="n">
        <v>39242.89</v>
      </c>
      <c r="Q5282" s="71" t="n">
        <v>97889.02</v>
      </c>
      <c r="R5282" t="inlineStr">
        <is>
          <t>Vaccines</t>
        </is>
      </c>
      <c r="S5282" s="70" t="n">
        <v>442</v>
      </c>
      <c r="T5282" s="71" t="n">
        <v>16595.93</v>
      </c>
      <c r="U5282" t="inlineStr">
        <is>
          <t>Low</t>
        </is>
      </c>
      <c r="V5282">
        <f>IF(AND(OR(Dashboard!$C$6="All",E5282=Dashboard!$C$6),OR(Dashboard!$F$6="All",G5282=Dashboard!$F$6),OR(Dashboard!$I$6="All",H5282=Dashboard!$I$6)),1,0)</f>
        <v/>
      </c>
    </row>
    <row r="5283">
      <c r="A5283" t="inlineStr">
        <is>
          <t>PF105274</t>
        </is>
      </c>
      <c r="B5283" s="68" t="n">
        <v>46293</v>
      </c>
      <c r="C5283" s="69" t="n">
        <v>2026</v>
      </c>
      <c r="D5283" t="inlineStr">
        <is>
          <t>Sep</t>
        </is>
      </c>
      <c r="E5283" t="inlineStr">
        <is>
          <t>United States</t>
        </is>
      </c>
      <c r="F5283" t="inlineStr">
        <is>
          <t>USA</t>
        </is>
      </c>
      <c r="G5283" t="inlineStr">
        <is>
          <t>Abrysvo</t>
        </is>
      </c>
      <c r="H5283" t="inlineStr">
        <is>
          <t>Retail pharmacy</t>
        </is>
      </c>
      <c r="I5283" t="inlineStr">
        <is>
          <t>Public payer</t>
        </is>
      </c>
      <c r="J5283" t="inlineStr">
        <is>
          <t>Sara Rossi</t>
        </is>
      </c>
      <c r="K5283" s="70" t="n">
        <v>3421</v>
      </c>
      <c r="L5283" s="71" t="n">
        <v>472.07</v>
      </c>
      <c r="M5283" s="71" t="n">
        <v>1614951.47</v>
      </c>
      <c r="N5283" s="71" t="n">
        <v>403737.87</v>
      </c>
      <c r="O5283" s="71" t="n">
        <v>1211213.6</v>
      </c>
      <c r="P5283" s="71" t="n">
        <v>283637.08</v>
      </c>
      <c r="Q5283" s="71" t="n">
        <v>927576.52</v>
      </c>
      <c r="R5283" t="inlineStr">
        <is>
          <t>Vaccines</t>
        </is>
      </c>
      <c r="S5283" s="70" t="n">
        <v>2357</v>
      </c>
      <c r="T5283" s="71" t="n">
        <v>268121.79</v>
      </c>
      <c r="U5283" t="inlineStr">
        <is>
          <t>Low</t>
        </is>
      </c>
      <c r="V5283">
        <f>IF(AND(OR(Dashboard!$C$6="All",E5283=Dashboard!$C$6),OR(Dashboard!$F$6="All",G5283=Dashboard!$F$6),OR(Dashboard!$I$6="All",H5283=Dashboard!$I$6)),1,0)</f>
        <v/>
      </c>
    </row>
    <row r="5284">
      <c r="A5284" t="inlineStr">
        <is>
          <t>PF105275</t>
        </is>
      </c>
      <c r="B5284" s="68" t="n">
        <v>46293</v>
      </c>
      <c r="C5284" s="69" t="n">
        <v>2026</v>
      </c>
      <c r="D5284" t="inlineStr">
        <is>
          <t>Sep</t>
        </is>
      </c>
      <c r="E5284" t="inlineStr">
        <is>
          <t>Europe</t>
        </is>
      </c>
      <c r="F5284" t="inlineStr">
        <is>
          <t>Spain</t>
        </is>
      </c>
      <c r="G5284" t="inlineStr">
        <is>
          <t>Ibrance</t>
        </is>
      </c>
      <c r="H5284" t="inlineStr">
        <is>
          <t>Hospital</t>
        </is>
      </c>
      <c r="I5284" t="inlineStr">
        <is>
          <t>Private insurer</t>
        </is>
      </c>
      <c r="J5284" t="inlineStr">
        <is>
          <t>Mei Lin</t>
        </is>
      </c>
      <c r="K5284" s="70" t="n">
        <v>122</v>
      </c>
      <c r="L5284" s="71" t="n">
        <v>2853.54</v>
      </c>
      <c r="M5284" s="71" t="n">
        <v>348131.88</v>
      </c>
      <c r="N5284" s="71" t="n">
        <v>69626.38</v>
      </c>
      <c r="O5284" s="71" t="n">
        <v>278505.5</v>
      </c>
      <c r="P5284" s="71" t="n">
        <v>53189.39</v>
      </c>
      <c r="Q5284" s="71" t="n">
        <v>225316.11</v>
      </c>
      <c r="R5284" t="inlineStr">
        <is>
          <t>Oncology</t>
        </is>
      </c>
      <c r="S5284" s="70" t="n">
        <v>91</v>
      </c>
      <c r="T5284" s="71" t="n">
        <v>57353.66</v>
      </c>
      <c r="U5284" t="inlineStr">
        <is>
          <t>High</t>
        </is>
      </c>
      <c r="V5284">
        <f>IF(AND(OR(Dashboard!$C$6="All",E5284=Dashboard!$C$6),OR(Dashboard!$F$6="All",G5284=Dashboard!$F$6),OR(Dashboard!$I$6="All",H5284=Dashboard!$I$6)),1,0)</f>
        <v/>
      </c>
    </row>
    <row r="5285">
      <c r="A5285" t="inlineStr">
        <is>
          <t>PF105276</t>
        </is>
      </c>
      <c r="B5285" s="68" t="n">
        <v>46293</v>
      </c>
      <c r="C5285" s="69" t="n">
        <v>2026</v>
      </c>
      <c r="D5285" t="inlineStr">
        <is>
          <t>Sep</t>
        </is>
      </c>
      <c r="E5285" t="inlineStr">
        <is>
          <t>Emerging markets</t>
        </is>
      </c>
      <c r="F5285" t="inlineStr">
        <is>
          <t>China</t>
        </is>
      </c>
      <c r="G5285" t="inlineStr">
        <is>
          <t>Comirnaty</t>
        </is>
      </c>
      <c r="H5285" t="inlineStr">
        <is>
          <t>Hospital</t>
        </is>
      </c>
      <c r="I5285" t="inlineStr">
        <is>
          <t>Private insurer</t>
        </is>
      </c>
      <c r="J5285" t="inlineStr">
        <is>
          <t>Noah Smith</t>
        </is>
      </c>
      <c r="K5285" s="70" t="n">
        <v>1461</v>
      </c>
      <c r="L5285" s="71" t="n">
        <v>88.76000000000001</v>
      </c>
      <c r="M5285" s="71" t="n">
        <v>129678.36</v>
      </c>
      <c r="N5285" s="71" t="n">
        <v>19451.75</v>
      </c>
      <c r="O5285" s="71" t="n">
        <v>110226.61</v>
      </c>
      <c r="P5285" s="71" t="n">
        <v>57560.04</v>
      </c>
      <c r="Q5285" s="71" t="n">
        <v>52666.57</v>
      </c>
      <c r="R5285" t="inlineStr">
        <is>
          <t>Vaccines</t>
        </is>
      </c>
      <c r="S5285" s="70" t="n">
        <v>975</v>
      </c>
      <c r="T5285" s="71" t="n">
        <v>21806.53</v>
      </c>
      <c r="U5285" t="inlineStr">
        <is>
          <t>Low</t>
        </is>
      </c>
      <c r="V5285">
        <f>IF(AND(OR(Dashboard!$C$6="All",E5285=Dashboard!$C$6),OR(Dashboard!$F$6="All",G5285=Dashboard!$F$6),OR(Dashboard!$I$6="All",H5285=Dashboard!$I$6)),1,0)</f>
        <v/>
      </c>
    </row>
    <row r="5286">
      <c r="A5286" t="inlineStr">
        <is>
          <t>PF105277</t>
        </is>
      </c>
      <c r="B5286" s="68" t="n">
        <v>46293</v>
      </c>
      <c r="C5286" s="69" t="n">
        <v>2026</v>
      </c>
      <c r="D5286" t="inlineStr">
        <is>
          <t>Sep</t>
        </is>
      </c>
      <c r="E5286" t="inlineStr">
        <is>
          <t>Europe</t>
        </is>
      </c>
      <c r="F5286" t="inlineStr">
        <is>
          <t>Italy</t>
        </is>
      </c>
      <c r="G5286" t="inlineStr">
        <is>
          <t>Prevnar 20</t>
        </is>
      </c>
      <c r="H5286" t="inlineStr">
        <is>
          <t>Government / tender</t>
        </is>
      </c>
      <c r="I5286" t="inlineStr">
        <is>
          <t>Private insurer</t>
        </is>
      </c>
      <c r="J5286" t="inlineStr">
        <is>
          <t>Omar Haddad</t>
        </is>
      </c>
      <c r="K5286" s="70" t="n">
        <v>63</v>
      </c>
      <c r="L5286" s="71" t="n">
        <v>228.13</v>
      </c>
      <c r="M5286" s="71" t="n">
        <v>14372.19</v>
      </c>
      <c r="N5286" s="71" t="n">
        <v>2155.83</v>
      </c>
      <c r="O5286" s="71" t="n">
        <v>12216.36</v>
      </c>
      <c r="P5286" s="71" t="n">
        <v>4392.84</v>
      </c>
      <c r="Q5286" s="71" t="n">
        <v>7823.52</v>
      </c>
      <c r="R5286" t="inlineStr">
        <is>
          <t>Vaccines</t>
        </is>
      </c>
      <c r="S5286" s="70" t="n">
        <v>41</v>
      </c>
      <c r="T5286" s="71" t="n">
        <v>2373.36</v>
      </c>
      <c r="U5286" t="inlineStr">
        <is>
          <t>Low</t>
        </is>
      </c>
      <c r="V5286">
        <f>IF(AND(OR(Dashboard!$C$6="All",E5286=Dashboard!$C$6),OR(Dashboard!$F$6="All",G5286=Dashboard!$F$6),OR(Dashboard!$I$6="All",H5286=Dashboard!$I$6)),1,0)</f>
        <v/>
      </c>
    </row>
    <row r="5287">
      <c r="A5287" t="inlineStr">
        <is>
          <t>PF105278</t>
        </is>
      </c>
      <c r="B5287" s="68" t="n">
        <v>46293</v>
      </c>
      <c r="C5287" s="69" t="n">
        <v>2026</v>
      </c>
      <c r="D5287" t="inlineStr">
        <is>
          <t>Sep</t>
        </is>
      </c>
      <c r="E5287" t="inlineStr">
        <is>
          <t>United States</t>
        </is>
      </c>
      <c r="F5287" t="inlineStr">
        <is>
          <t>USA</t>
        </is>
      </c>
      <c r="G5287" t="inlineStr">
        <is>
          <t>Prevnar 20</t>
        </is>
      </c>
      <c r="H5287" t="inlineStr">
        <is>
          <t>Hospital</t>
        </is>
      </c>
      <c r="I5287" t="inlineStr">
        <is>
          <t>Private insurer</t>
        </is>
      </c>
      <c r="J5287" t="inlineStr">
        <is>
          <t>Arjun Mehta</t>
        </is>
      </c>
      <c r="K5287" s="70" t="n">
        <v>804</v>
      </c>
      <c r="L5287" s="71" t="n">
        <v>348.63</v>
      </c>
      <c r="M5287" s="71" t="n">
        <v>280298.52</v>
      </c>
      <c r="N5287" s="71" t="n">
        <v>42044.78</v>
      </c>
      <c r="O5287" s="71" t="n">
        <v>238253.74</v>
      </c>
      <c r="P5287" s="71" t="n">
        <v>57411.31</v>
      </c>
      <c r="Q5287" s="71" t="n">
        <v>180842.43</v>
      </c>
      <c r="R5287" t="inlineStr">
        <is>
          <t>Vaccines</t>
        </is>
      </c>
      <c r="S5287" s="70" t="n">
        <v>574</v>
      </c>
      <c r="T5287" s="71" t="n">
        <v>33721.07</v>
      </c>
      <c r="U5287" t="inlineStr">
        <is>
          <t>Low</t>
        </is>
      </c>
      <c r="V5287">
        <f>IF(AND(OR(Dashboard!$C$6="All",E5287=Dashboard!$C$6),OR(Dashboard!$F$6="All",G5287=Dashboard!$F$6),OR(Dashboard!$I$6="All",H5287=Dashboard!$I$6)),1,0)</f>
        <v/>
      </c>
    </row>
    <row r="5288">
      <c r="A5288" t="inlineStr">
        <is>
          <t>PF105279</t>
        </is>
      </c>
      <c r="B5288" s="68" t="n">
        <v>46293</v>
      </c>
      <c r="C5288" s="69" t="n">
        <v>2026</v>
      </c>
      <c r="D5288" t="inlineStr">
        <is>
          <t>Sep</t>
        </is>
      </c>
      <c r="E5288" t="inlineStr">
        <is>
          <t>International developed</t>
        </is>
      </c>
      <c r="F5288" t="inlineStr">
        <is>
          <t>Japan</t>
        </is>
      </c>
      <c r="G5288" t="inlineStr">
        <is>
          <t>Paxlovid</t>
        </is>
      </c>
      <c r="H5288" t="inlineStr">
        <is>
          <t>Hospital</t>
        </is>
      </c>
      <c r="I5288" t="inlineStr">
        <is>
          <t>Public payer</t>
        </is>
      </c>
      <c r="J5288" t="inlineStr">
        <is>
          <t>Mei Lin</t>
        </is>
      </c>
      <c r="K5288" s="70" t="n">
        <v>407</v>
      </c>
      <c r="L5288" s="71" t="n">
        <v>963.24</v>
      </c>
      <c r="M5288" s="71" t="n">
        <v>392038.68</v>
      </c>
      <c r="N5288" s="71" t="n">
        <v>19601.93</v>
      </c>
      <c r="O5288" s="71" t="n">
        <v>372436.75</v>
      </c>
      <c r="P5288" s="71" t="n">
        <v>109286.99</v>
      </c>
      <c r="Q5288" s="71" t="n">
        <v>263149.76</v>
      </c>
      <c r="R5288" t="inlineStr">
        <is>
          <t>Antiviral</t>
        </is>
      </c>
      <c r="S5288" s="70" t="n">
        <v>382</v>
      </c>
      <c r="T5288" s="71" t="n">
        <v>84717.69</v>
      </c>
      <c r="U5288" t="inlineStr">
        <is>
          <t>Low</t>
        </is>
      </c>
      <c r="V5288">
        <f>IF(AND(OR(Dashboard!$C$6="All",E5288=Dashboard!$C$6),OR(Dashboard!$F$6="All",G5288=Dashboard!$F$6),OR(Dashboard!$I$6="All",H5288=Dashboard!$I$6)),1,0)</f>
        <v/>
      </c>
    </row>
    <row r="5289">
      <c r="A5289" t="inlineStr">
        <is>
          <t>PF105280</t>
        </is>
      </c>
      <c r="B5289" s="68" t="n">
        <v>46293</v>
      </c>
      <c r="C5289" s="69" t="n">
        <v>2026</v>
      </c>
      <c r="D5289" t="inlineStr">
        <is>
          <t>Sep</t>
        </is>
      </c>
      <c r="E5289" t="inlineStr">
        <is>
          <t>United States</t>
        </is>
      </c>
      <c r="F5289" t="inlineStr">
        <is>
          <t>USA</t>
        </is>
      </c>
      <c r="G5289" t="inlineStr">
        <is>
          <t>Xeljanz</t>
        </is>
      </c>
      <c r="H5289" t="inlineStr">
        <is>
          <t>Hospital</t>
        </is>
      </c>
      <c r="I5289" t="inlineStr">
        <is>
          <t>Public payer</t>
        </is>
      </c>
      <c r="J5289" t="inlineStr">
        <is>
          <t>Shraddha Kulkarni</t>
        </is>
      </c>
      <c r="K5289" s="70" t="n">
        <v>597</v>
      </c>
      <c r="L5289" s="71" t="n">
        <v>2128.48</v>
      </c>
      <c r="M5289" s="71" t="n">
        <v>1270702.56</v>
      </c>
      <c r="N5289" s="71" t="n">
        <v>444745.9</v>
      </c>
      <c r="O5289" s="71" t="n">
        <v>825956.66</v>
      </c>
      <c r="P5289" s="71" t="n">
        <v>144476.41</v>
      </c>
      <c r="Q5289" s="71" t="n">
        <v>681480.25</v>
      </c>
      <c r="R5289" t="inlineStr">
        <is>
          <t>Inflammation</t>
        </is>
      </c>
      <c r="S5289" s="70" t="n">
        <v>570</v>
      </c>
      <c r="T5289" s="71" t="n">
        <v>277850.66</v>
      </c>
      <c r="U5289" t="inlineStr">
        <is>
          <t>High</t>
        </is>
      </c>
      <c r="V5289">
        <f>IF(AND(OR(Dashboard!$C$6="All",E5289=Dashboard!$C$6),OR(Dashboard!$F$6="All",G5289=Dashboard!$F$6),OR(Dashboard!$I$6="All",H5289=Dashboard!$I$6)),1,0)</f>
        <v/>
      </c>
    </row>
    <row r="5290">
      <c r="A5290" t="inlineStr">
        <is>
          <t>PF105281</t>
        </is>
      </c>
      <c r="B5290" s="68" t="n">
        <v>46296</v>
      </c>
      <c r="C5290" s="69" t="n">
        <v>2026</v>
      </c>
      <c r="D5290" t="inlineStr">
        <is>
          <t>Oct</t>
        </is>
      </c>
      <c r="E5290" t="inlineStr">
        <is>
          <t>Emerging markets</t>
        </is>
      </c>
      <c r="F5290" t="inlineStr">
        <is>
          <t>Mexico</t>
        </is>
      </c>
      <c r="G5290" t="inlineStr">
        <is>
          <t>Abrysvo</t>
        </is>
      </c>
      <c r="H5290" t="inlineStr">
        <is>
          <t>Government / tender</t>
        </is>
      </c>
      <c r="I5290" t="inlineStr">
        <is>
          <t>Public payer</t>
        </is>
      </c>
      <c r="J5290" t="inlineStr">
        <is>
          <t>Kofi Mensah</t>
        </is>
      </c>
      <c r="K5290" s="70" t="n">
        <v>904</v>
      </c>
      <c r="L5290" s="71" t="n">
        <v>330.29</v>
      </c>
      <c r="M5290" s="71" t="n">
        <v>298582.16</v>
      </c>
      <c r="N5290" s="71" t="n">
        <v>59716.43</v>
      </c>
      <c r="O5290" s="71" t="n">
        <v>238865.73</v>
      </c>
      <c r="P5290" s="71" t="n">
        <v>73473.67999999999</v>
      </c>
      <c r="Q5290" s="71" t="n">
        <v>165392.05</v>
      </c>
      <c r="R5290" t="inlineStr">
        <is>
          <t>Vaccines</t>
        </is>
      </c>
      <c r="S5290" s="70" t="n">
        <v>671</v>
      </c>
      <c r="T5290" s="71" t="n">
        <v>45600.3</v>
      </c>
      <c r="U5290" t="inlineStr">
        <is>
          <t>Low</t>
        </is>
      </c>
      <c r="V5290">
        <f>IF(AND(OR(Dashboard!$C$6="All",E5290=Dashboard!$C$6),OR(Dashboard!$F$6="All",G5290=Dashboard!$F$6),OR(Dashboard!$I$6="All",H5290=Dashboard!$I$6)),1,0)</f>
        <v/>
      </c>
    </row>
    <row r="5291">
      <c r="A5291" t="inlineStr">
        <is>
          <t>PF105282</t>
        </is>
      </c>
      <c r="B5291" s="68" t="n">
        <v>46296</v>
      </c>
      <c r="C5291" s="69" t="n">
        <v>2026</v>
      </c>
      <c r="D5291" t="inlineStr">
        <is>
          <t>Oct</t>
        </is>
      </c>
      <c r="E5291" t="inlineStr">
        <is>
          <t>Emerging markets</t>
        </is>
      </c>
      <c r="F5291" t="inlineStr">
        <is>
          <t>Brazil</t>
        </is>
      </c>
      <c r="G5291" t="inlineStr">
        <is>
          <t>Prevnar 20</t>
        </is>
      </c>
      <c r="H5291" t="inlineStr">
        <is>
          <t>Hospital</t>
        </is>
      </c>
      <c r="I5291" t="inlineStr">
        <is>
          <t>Private insurer</t>
        </is>
      </c>
      <c r="J5291" t="inlineStr">
        <is>
          <t>Ravindra Patil</t>
        </is>
      </c>
      <c r="K5291" s="70" t="n">
        <v>3179</v>
      </c>
      <c r="L5291" s="71" t="n">
        <v>244.68</v>
      </c>
      <c r="M5291" s="71" t="n">
        <v>777837.72</v>
      </c>
      <c r="N5291" s="71" t="n">
        <v>77783.77</v>
      </c>
      <c r="O5291" s="71" t="n">
        <v>700053.95</v>
      </c>
      <c r="P5291" s="71" t="n">
        <v>223897.65</v>
      </c>
      <c r="Q5291" s="71" t="n">
        <v>476156.3</v>
      </c>
      <c r="R5291" t="inlineStr">
        <is>
          <t>Vaccines</t>
        </is>
      </c>
      <c r="S5291" s="70" t="n">
        <v>1995</v>
      </c>
      <c r="T5291" s="71" t="n">
        <v>130649.31</v>
      </c>
      <c r="U5291" t="inlineStr">
        <is>
          <t>Low</t>
        </is>
      </c>
      <c r="V5291">
        <f>IF(AND(OR(Dashboard!$C$6="All",E5291=Dashboard!$C$6),OR(Dashboard!$F$6="All",G5291=Dashboard!$F$6),OR(Dashboard!$I$6="All",H5291=Dashboard!$I$6)),1,0)</f>
        <v/>
      </c>
    </row>
    <row r="5292">
      <c r="A5292" t="inlineStr">
        <is>
          <t>PF105283</t>
        </is>
      </c>
      <c r="B5292" s="68" t="n">
        <v>46296</v>
      </c>
      <c r="C5292" s="69" t="n">
        <v>2026</v>
      </c>
      <c r="D5292" t="inlineStr">
        <is>
          <t>Oct</t>
        </is>
      </c>
      <c r="E5292" t="inlineStr">
        <is>
          <t>International developed</t>
        </is>
      </c>
      <c r="F5292" t="inlineStr">
        <is>
          <t>Australia</t>
        </is>
      </c>
      <c r="G5292" t="inlineStr">
        <is>
          <t>Comirnaty</t>
        </is>
      </c>
      <c r="H5292" t="inlineStr">
        <is>
          <t>Hospital</t>
        </is>
      </c>
      <c r="I5292" t="inlineStr">
        <is>
          <t>Private insurer</t>
        </is>
      </c>
      <c r="J5292" t="inlineStr">
        <is>
          <t>Ravindra Patil</t>
        </is>
      </c>
      <c r="K5292" s="70" t="n">
        <v>1604</v>
      </c>
      <c r="L5292" s="71" t="n">
        <v>95.51000000000001</v>
      </c>
      <c r="M5292" s="71" t="n">
        <v>153198.04</v>
      </c>
      <c r="N5292" s="71" t="n">
        <v>7659.9</v>
      </c>
      <c r="O5292" s="71" t="n">
        <v>145538.14</v>
      </c>
      <c r="P5292" s="71" t="n">
        <v>63102.04</v>
      </c>
      <c r="Q5292" s="71" t="n">
        <v>82436.10000000001</v>
      </c>
      <c r="R5292" t="inlineStr">
        <is>
          <t>Vaccines</t>
        </is>
      </c>
      <c r="S5292" s="70" t="n">
        <v>1571</v>
      </c>
      <c r="T5292" s="71" t="n">
        <v>35221.11</v>
      </c>
      <c r="U5292" t="inlineStr">
        <is>
          <t>Low</t>
        </is>
      </c>
      <c r="V5292">
        <f>IF(AND(OR(Dashboard!$C$6="All",E5292=Dashboard!$C$6),OR(Dashboard!$F$6="All",G5292=Dashboard!$F$6),OR(Dashboard!$I$6="All",H5292=Dashboard!$I$6)),1,0)</f>
        <v/>
      </c>
    </row>
    <row r="5293">
      <c r="A5293" t="inlineStr">
        <is>
          <t>PF105284</t>
        </is>
      </c>
      <c r="B5293" s="68" t="n">
        <v>46296</v>
      </c>
      <c r="C5293" s="69" t="n">
        <v>2026</v>
      </c>
      <c r="D5293" t="inlineStr">
        <is>
          <t>Oct</t>
        </is>
      </c>
      <c r="E5293" t="inlineStr">
        <is>
          <t>International developed</t>
        </is>
      </c>
      <c r="F5293" t="inlineStr">
        <is>
          <t>Japan</t>
        </is>
      </c>
      <c r="G5293" t="inlineStr">
        <is>
          <t>Ibrance</t>
        </is>
      </c>
      <c r="H5293" t="inlineStr">
        <is>
          <t>Government / tender</t>
        </is>
      </c>
      <c r="I5293" t="inlineStr">
        <is>
          <t>Public payer</t>
        </is>
      </c>
      <c r="J5293" t="inlineStr">
        <is>
          <t>Shraddha Kulkarni</t>
        </is>
      </c>
      <c r="K5293" s="70" t="n">
        <v>2406</v>
      </c>
      <c r="L5293" s="71" t="n">
        <v>2560.9</v>
      </c>
      <c r="M5293" s="71" t="n">
        <v>6161525.4</v>
      </c>
      <c r="N5293" s="71" t="n">
        <v>924228.8100000001</v>
      </c>
      <c r="O5293" s="71" t="n">
        <v>5237296.59</v>
      </c>
      <c r="P5293" s="71" t="n">
        <v>1049256.93</v>
      </c>
      <c r="Q5293" s="71" t="n">
        <v>4188039.66</v>
      </c>
      <c r="R5293" t="inlineStr">
        <is>
          <t>Oncology</t>
        </is>
      </c>
      <c r="S5293" s="70" t="n">
        <v>1527</v>
      </c>
      <c r="T5293" s="71" t="n">
        <v>1118979.21</v>
      </c>
      <c r="U5293" t="inlineStr">
        <is>
          <t>High</t>
        </is>
      </c>
      <c r="V5293">
        <f>IF(AND(OR(Dashboard!$C$6="All",E5293=Dashboard!$C$6),OR(Dashboard!$F$6="All",G5293=Dashboard!$F$6),OR(Dashboard!$I$6="All",H5293=Dashboard!$I$6)),1,0)</f>
        <v/>
      </c>
    </row>
    <row r="5294">
      <c r="A5294" t="inlineStr">
        <is>
          <t>PF105285</t>
        </is>
      </c>
      <c r="B5294" s="68" t="n">
        <v>46296</v>
      </c>
      <c r="C5294" s="69" t="n">
        <v>2026</v>
      </c>
      <c r="D5294" t="inlineStr">
        <is>
          <t>Oct</t>
        </is>
      </c>
      <c r="E5294" t="inlineStr">
        <is>
          <t>United States</t>
        </is>
      </c>
      <c r="F5294" t="inlineStr">
        <is>
          <t>USA</t>
        </is>
      </c>
      <c r="G5294" t="inlineStr">
        <is>
          <t>Ibrance</t>
        </is>
      </c>
      <c r="H5294" t="inlineStr">
        <is>
          <t>Hospital</t>
        </is>
      </c>
      <c r="I5294" t="inlineStr">
        <is>
          <t>Private insurer</t>
        </is>
      </c>
      <c r="J5294" t="inlineStr">
        <is>
          <t>Sophie Müller</t>
        </is>
      </c>
      <c r="K5294" s="70" t="n">
        <v>394</v>
      </c>
      <c r="L5294" s="71" t="n">
        <v>4736.08</v>
      </c>
      <c r="M5294" s="71" t="n">
        <v>1866015.52</v>
      </c>
      <c r="N5294" s="71" t="n">
        <v>559804.66</v>
      </c>
      <c r="O5294" s="71" t="n">
        <v>1306210.86</v>
      </c>
      <c r="P5294" s="71" t="n">
        <v>165695.71</v>
      </c>
      <c r="Q5294" s="71" t="n">
        <v>1140515.15</v>
      </c>
      <c r="R5294" t="inlineStr">
        <is>
          <t>Oncology</t>
        </is>
      </c>
      <c r="S5294" s="70" t="n">
        <v>388</v>
      </c>
      <c r="T5294" s="71" t="n">
        <v>419564.46</v>
      </c>
      <c r="U5294" t="inlineStr">
        <is>
          <t>High</t>
        </is>
      </c>
      <c r="V5294">
        <f>IF(AND(OR(Dashboard!$C$6="All",E5294=Dashboard!$C$6),OR(Dashboard!$F$6="All",G5294=Dashboard!$F$6),OR(Dashboard!$I$6="All",H5294=Dashboard!$I$6)),1,0)</f>
        <v/>
      </c>
    </row>
    <row r="5295">
      <c r="A5295" t="inlineStr">
        <is>
          <t>PF105286</t>
        </is>
      </c>
      <c r="B5295" s="68" t="n">
        <v>46296</v>
      </c>
      <c r="C5295" s="69" t="n">
        <v>2026</v>
      </c>
      <c r="D5295" t="inlineStr">
        <is>
          <t>Oct</t>
        </is>
      </c>
      <c r="E5295" t="inlineStr">
        <is>
          <t>United States</t>
        </is>
      </c>
      <c r="F5295" t="inlineStr">
        <is>
          <t>USA</t>
        </is>
      </c>
      <c r="G5295" t="inlineStr">
        <is>
          <t>Eliquis</t>
        </is>
      </c>
      <c r="H5295" t="inlineStr">
        <is>
          <t>Retail pharmacy</t>
        </is>
      </c>
      <c r="I5295" t="inlineStr">
        <is>
          <t>Private insurer</t>
        </is>
      </c>
      <c r="J5295" t="inlineStr">
        <is>
          <t>Mei Lin</t>
        </is>
      </c>
      <c r="K5295" s="70" t="n">
        <v>1126</v>
      </c>
      <c r="L5295" s="71" t="n">
        <v>645.61</v>
      </c>
      <c r="M5295" s="71" t="n">
        <v>726956.86</v>
      </c>
      <c r="N5295" s="71" t="n">
        <v>254434.9</v>
      </c>
      <c r="O5295" s="71" t="n">
        <v>472521.96</v>
      </c>
      <c r="P5295" s="71" t="n">
        <v>86653.23</v>
      </c>
      <c r="Q5295" s="71" t="n">
        <v>385868.73</v>
      </c>
      <c r="R5295" t="inlineStr">
        <is>
          <t>Cardiology</t>
        </is>
      </c>
      <c r="S5295" s="70" t="n">
        <v>1091</v>
      </c>
      <c r="T5295" s="71" t="n">
        <v>138318.8</v>
      </c>
      <c r="U5295" t="inlineStr">
        <is>
          <t>High</t>
        </is>
      </c>
      <c r="V5295">
        <f>IF(AND(OR(Dashboard!$C$6="All",E5295=Dashboard!$C$6),OR(Dashboard!$F$6="All",G5295=Dashboard!$F$6),OR(Dashboard!$I$6="All",H5295=Dashboard!$I$6)),1,0)</f>
        <v/>
      </c>
    </row>
    <row r="5296">
      <c r="A5296" t="inlineStr">
        <is>
          <t>PF105287</t>
        </is>
      </c>
      <c r="B5296" s="68" t="n">
        <v>46296</v>
      </c>
      <c r="C5296" s="69" t="n">
        <v>2026</v>
      </c>
      <c r="D5296" t="inlineStr">
        <is>
          <t>Oct</t>
        </is>
      </c>
      <c r="E5296" t="inlineStr">
        <is>
          <t>Europe</t>
        </is>
      </c>
      <c r="F5296" t="inlineStr">
        <is>
          <t>Italy</t>
        </is>
      </c>
      <c r="G5296" t="inlineStr">
        <is>
          <t>Comirnaty</t>
        </is>
      </c>
      <c r="H5296" t="inlineStr">
        <is>
          <t>Government / tender</t>
        </is>
      </c>
      <c r="I5296" t="inlineStr">
        <is>
          <t>Public payer</t>
        </is>
      </c>
      <c r="J5296" t="inlineStr">
        <is>
          <t>Emma Clarke</t>
        </is>
      </c>
      <c r="K5296" s="70" t="n">
        <v>2055</v>
      </c>
      <c r="L5296" s="71" t="n">
        <v>81.90000000000001</v>
      </c>
      <c r="M5296" s="71" t="n">
        <v>168304.5</v>
      </c>
      <c r="N5296" s="71" t="n">
        <v>16830.45</v>
      </c>
      <c r="O5296" s="71" t="n">
        <v>151474.05</v>
      </c>
      <c r="P5296" s="71" t="n">
        <v>76053.41</v>
      </c>
      <c r="Q5296" s="71" t="n">
        <v>75420.64</v>
      </c>
      <c r="R5296" t="inlineStr">
        <is>
          <t>Vaccines</t>
        </is>
      </c>
      <c r="S5296" s="70" t="n">
        <v>1529</v>
      </c>
      <c r="T5296" s="71" t="n">
        <v>26850.89</v>
      </c>
      <c r="U5296" t="inlineStr">
        <is>
          <t>Low</t>
        </is>
      </c>
      <c r="V5296">
        <f>IF(AND(OR(Dashboard!$C$6="All",E5296=Dashboard!$C$6),OR(Dashboard!$F$6="All",G5296=Dashboard!$F$6),OR(Dashboard!$I$6="All",H5296=Dashboard!$I$6)),1,0)</f>
        <v/>
      </c>
    </row>
    <row r="5297">
      <c r="A5297" t="inlineStr">
        <is>
          <t>PF105288</t>
        </is>
      </c>
      <c r="B5297" s="68" t="n">
        <v>46296</v>
      </c>
      <c r="C5297" s="69" t="n">
        <v>2026</v>
      </c>
      <c r="D5297" t="inlineStr">
        <is>
          <t>Oct</t>
        </is>
      </c>
      <c r="E5297" t="inlineStr">
        <is>
          <t>Emerging markets</t>
        </is>
      </c>
      <c r="F5297" t="inlineStr">
        <is>
          <t>Brazil</t>
        </is>
      </c>
      <c r="G5297" t="inlineStr">
        <is>
          <t>Ibrance</t>
        </is>
      </c>
      <c r="H5297" t="inlineStr">
        <is>
          <t>Government / tender</t>
        </is>
      </c>
      <c r="I5297" t="inlineStr">
        <is>
          <t>Private insurer</t>
        </is>
      </c>
      <c r="J5297" t="inlineStr">
        <is>
          <t>Carlos Silva</t>
        </is>
      </c>
      <c r="K5297" s="70" t="n">
        <v>184</v>
      </c>
      <c r="L5297" s="71" t="n">
        <v>2590.14</v>
      </c>
      <c r="M5297" s="71" t="n">
        <v>476585.76</v>
      </c>
      <c r="N5297" s="71" t="n">
        <v>71487.86</v>
      </c>
      <c r="O5297" s="71" t="n">
        <v>405097.9</v>
      </c>
      <c r="P5297" s="71" t="n">
        <v>80234.60000000001</v>
      </c>
      <c r="Q5297" s="71" t="n">
        <v>324863.3</v>
      </c>
      <c r="R5297" t="inlineStr">
        <is>
          <t>Oncology</t>
        </is>
      </c>
      <c r="S5297" s="70" t="n">
        <v>116</v>
      </c>
      <c r="T5297" s="71" t="n">
        <v>62437.38</v>
      </c>
      <c r="U5297" t="inlineStr">
        <is>
          <t>High</t>
        </is>
      </c>
      <c r="V5297">
        <f>IF(AND(OR(Dashboard!$C$6="All",E5297=Dashboard!$C$6),OR(Dashboard!$F$6="All",G5297=Dashboard!$F$6),OR(Dashboard!$I$6="All",H5297=Dashboard!$I$6)),1,0)</f>
        <v/>
      </c>
    </row>
    <row r="5298">
      <c r="A5298" t="inlineStr">
        <is>
          <t>PF105289</t>
        </is>
      </c>
      <c r="B5298" s="68" t="n">
        <v>46296</v>
      </c>
      <c r="C5298" s="69" t="n">
        <v>2026</v>
      </c>
      <c r="D5298" t="inlineStr">
        <is>
          <t>Oct</t>
        </is>
      </c>
      <c r="E5298" t="inlineStr">
        <is>
          <t>Europe</t>
        </is>
      </c>
      <c r="F5298" t="inlineStr">
        <is>
          <t>UK</t>
        </is>
      </c>
      <c r="G5298" t="inlineStr">
        <is>
          <t>Prevnar 20</t>
        </is>
      </c>
      <c r="H5298" t="inlineStr">
        <is>
          <t>Retail pharmacy</t>
        </is>
      </c>
      <c r="I5298" t="inlineStr">
        <is>
          <t>Private insurer</t>
        </is>
      </c>
      <c r="J5298" t="inlineStr">
        <is>
          <t>Ravindra Patil</t>
        </is>
      </c>
      <c r="K5298" s="70" t="n">
        <v>316</v>
      </c>
      <c r="L5298" s="71" t="n">
        <v>219.27</v>
      </c>
      <c r="M5298" s="71" t="n">
        <v>69289.32000000001</v>
      </c>
      <c r="N5298" s="71" t="n">
        <v>10393.4</v>
      </c>
      <c r="O5298" s="71" t="n">
        <v>58895.92</v>
      </c>
      <c r="P5298" s="71" t="n">
        <v>21482.52</v>
      </c>
      <c r="Q5298" s="71" t="n">
        <v>37413.4</v>
      </c>
      <c r="R5298" t="inlineStr">
        <is>
          <t>Vaccines</t>
        </is>
      </c>
      <c r="S5298" s="70" t="n">
        <v>207</v>
      </c>
      <c r="T5298" s="71" t="n">
        <v>12020.71</v>
      </c>
      <c r="U5298" t="inlineStr">
        <is>
          <t>Low</t>
        </is>
      </c>
      <c r="V5298">
        <f>IF(AND(OR(Dashboard!$C$6="All",E5298=Dashboard!$C$6),OR(Dashboard!$F$6="All",G5298=Dashboard!$F$6),OR(Dashboard!$I$6="All",H5298=Dashboard!$I$6)),1,0)</f>
        <v/>
      </c>
    </row>
    <row r="5299">
      <c r="A5299" t="inlineStr">
        <is>
          <t>PF105290</t>
        </is>
      </c>
      <c r="B5299" s="68" t="n">
        <v>46297</v>
      </c>
      <c r="C5299" s="69" t="n">
        <v>2026</v>
      </c>
      <c r="D5299" t="inlineStr">
        <is>
          <t>Oct</t>
        </is>
      </c>
      <c r="E5299" t="inlineStr">
        <is>
          <t>United States</t>
        </is>
      </c>
      <c r="F5299" t="inlineStr">
        <is>
          <t>USA</t>
        </is>
      </c>
      <c r="G5299" t="inlineStr">
        <is>
          <t>Ibrance</t>
        </is>
      </c>
      <c r="H5299" t="inlineStr">
        <is>
          <t>Retail pharmacy</t>
        </is>
      </c>
      <c r="I5299" t="inlineStr">
        <is>
          <t>Private insurer</t>
        </is>
      </c>
      <c r="J5299" t="inlineStr">
        <is>
          <t>Liam O'Brien</t>
        </is>
      </c>
      <c r="K5299" s="70" t="n">
        <v>632</v>
      </c>
      <c r="L5299" s="71" t="n">
        <v>4828.97</v>
      </c>
      <c r="M5299" s="71" t="n">
        <v>3051909.04</v>
      </c>
      <c r="N5299" s="71" t="n">
        <v>762977.26</v>
      </c>
      <c r="O5299" s="71" t="n">
        <v>2288931.78</v>
      </c>
      <c r="P5299" s="71" t="n">
        <v>270072.42</v>
      </c>
      <c r="Q5299" s="71" t="n">
        <v>2018859.36</v>
      </c>
      <c r="R5299" t="inlineStr">
        <is>
          <t>Oncology</t>
        </is>
      </c>
      <c r="S5299" s="70" t="n">
        <v>468</v>
      </c>
      <c r="T5299" s="71" t="n">
        <v>590080.25</v>
      </c>
      <c r="U5299" t="inlineStr">
        <is>
          <t>High</t>
        </is>
      </c>
      <c r="V5299">
        <f>IF(AND(OR(Dashboard!$C$6="All",E5299=Dashboard!$C$6),OR(Dashboard!$F$6="All",G5299=Dashboard!$F$6),OR(Dashboard!$I$6="All",H5299=Dashboard!$I$6)),1,0)</f>
        <v/>
      </c>
    </row>
    <row r="5300">
      <c r="A5300" t="inlineStr">
        <is>
          <t>PF105291</t>
        </is>
      </c>
      <c r="B5300" s="68" t="n">
        <v>46297</v>
      </c>
      <c r="C5300" s="69" t="n">
        <v>2026</v>
      </c>
      <c r="D5300" t="inlineStr">
        <is>
          <t>Oct</t>
        </is>
      </c>
      <c r="E5300" t="inlineStr">
        <is>
          <t>Emerging markets</t>
        </is>
      </c>
      <c r="F5300" t="inlineStr">
        <is>
          <t>Mexico</t>
        </is>
      </c>
      <c r="G5300" t="inlineStr">
        <is>
          <t>Eliquis</t>
        </is>
      </c>
      <c r="H5300" t="inlineStr">
        <is>
          <t>Retail pharmacy</t>
        </is>
      </c>
      <c r="I5300" t="inlineStr">
        <is>
          <t>Private insurer</t>
        </is>
      </c>
      <c r="J5300" t="inlineStr">
        <is>
          <t>Kofi Mensah</t>
        </is>
      </c>
      <c r="K5300" s="70" t="n">
        <v>2578</v>
      </c>
      <c r="L5300" s="71" t="n">
        <v>443.11</v>
      </c>
      <c r="M5300" s="71" t="n">
        <v>1142337.58</v>
      </c>
      <c r="N5300" s="71" t="n">
        <v>57116.88</v>
      </c>
      <c r="O5300" s="71" t="n">
        <v>1085220.7</v>
      </c>
      <c r="P5300" s="71" t="n">
        <v>197242.65</v>
      </c>
      <c r="Q5300" s="71" t="n">
        <v>887978.05</v>
      </c>
      <c r="R5300" t="inlineStr">
        <is>
          <t>Cardiology</t>
        </is>
      </c>
      <c r="S5300" s="70" t="n">
        <v>2163</v>
      </c>
      <c r="T5300" s="71" t="n">
        <v>198088.66</v>
      </c>
      <c r="U5300" t="inlineStr">
        <is>
          <t>High</t>
        </is>
      </c>
      <c r="V5300">
        <f>IF(AND(OR(Dashboard!$C$6="All",E5300=Dashboard!$C$6),OR(Dashboard!$F$6="All",G5300=Dashboard!$F$6),OR(Dashboard!$I$6="All",H5300=Dashboard!$I$6)),1,0)</f>
        <v/>
      </c>
    </row>
    <row r="5301">
      <c r="A5301" t="inlineStr">
        <is>
          <t>PF105292</t>
        </is>
      </c>
      <c r="B5301" s="68" t="n">
        <v>46297</v>
      </c>
      <c r="C5301" s="69" t="n">
        <v>2026</v>
      </c>
      <c r="D5301" t="inlineStr">
        <is>
          <t>Oct</t>
        </is>
      </c>
      <c r="E5301" t="inlineStr">
        <is>
          <t>Europe</t>
        </is>
      </c>
      <c r="F5301" t="inlineStr">
        <is>
          <t>France</t>
        </is>
      </c>
      <c r="G5301" t="inlineStr">
        <is>
          <t>Ibrance</t>
        </is>
      </c>
      <c r="H5301" t="inlineStr">
        <is>
          <t>Retail pharmacy</t>
        </is>
      </c>
      <c r="I5301" t="inlineStr">
        <is>
          <t>Public payer</t>
        </is>
      </c>
      <c r="J5301" t="inlineStr">
        <is>
          <t>Omar Haddad</t>
        </is>
      </c>
      <c r="K5301" s="70" t="n">
        <v>2083</v>
      </c>
      <c r="L5301" s="71" t="n">
        <v>2686.62</v>
      </c>
      <c r="M5301" s="71" t="n">
        <v>5596229.46</v>
      </c>
      <c r="N5301" s="71" t="n">
        <v>559622.95</v>
      </c>
      <c r="O5301" s="71" t="n">
        <v>5036606.51</v>
      </c>
      <c r="P5301" s="71" t="n">
        <v>876549.3100000001</v>
      </c>
      <c r="Q5301" s="71" t="n">
        <v>4160057.2</v>
      </c>
      <c r="R5301" t="inlineStr">
        <is>
          <t>Oncology</t>
        </is>
      </c>
      <c r="S5301" s="70" t="n">
        <v>1854</v>
      </c>
      <c r="T5301" s="71" t="n">
        <v>1068234.13</v>
      </c>
      <c r="U5301" t="inlineStr">
        <is>
          <t>High</t>
        </is>
      </c>
      <c r="V5301">
        <f>IF(AND(OR(Dashboard!$C$6="All",E5301=Dashboard!$C$6),OR(Dashboard!$F$6="All",G5301=Dashboard!$F$6),OR(Dashboard!$I$6="All",H5301=Dashboard!$I$6)),1,0)</f>
        <v/>
      </c>
    </row>
    <row r="5302">
      <c r="A5302" t="inlineStr">
        <is>
          <t>PF105293</t>
        </is>
      </c>
      <c r="B5302" s="68" t="n">
        <v>46297</v>
      </c>
      <c r="C5302" s="69" t="n">
        <v>2026</v>
      </c>
      <c r="D5302" t="inlineStr">
        <is>
          <t>Oct</t>
        </is>
      </c>
      <c r="E5302" t="inlineStr">
        <is>
          <t>United States</t>
        </is>
      </c>
      <c r="F5302" t="inlineStr">
        <is>
          <t>USA</t>
        </is>
      </c>
      <c r="G5302" t="inlineStr">
        <is>
          <t>Xeljanz</t>
        </is>
      </c>
      <c r="H5302" t="inlineStr">
        <is>
          <t>Hospital</t>
        </is>
      </c>
      <c r="I5302" t="inlineStr">
        <is>
          <t>Public payer</t>
        </is>
      </c>
      <c r="J5302" t="inlineStr">
        <is>
          <t>Sara Rossi</t>
        </is>
      </c>
      <c r="K5302" s="70" t="n">
        <v>1341</v>
      </c>
      <c r="L5302" s="71" t="n">
        <v>2213.48</v>
      </c>
      <c r="M5302" s="71" t="n">
        <v>2968276.68</v>
      </c>
      <c r="N5302" s="71" t="n">
        <v>1038896.84</v>
      </c>
      <c r="O5302" s="71" t="n">
        <v>1929379.84</v>
      </c>
      <c r="P5302" s="71" t="n">
        <v>335310.87</v>
      </c>
      <c r="Q5302" s="71" t="n">
        <v>1594068.97</v>
      </c>
      <c r="R5302" t="inlineStr">
        <is>
          <t>Inflammation</t>
        </is>
      </c>
      <c r="S5302" s="70" t="n">
        <v>1334</v>
      </c>
      <c r="T5302" s="71" t="n">
        <v>394114.39</v>
      </c>
      <c r="U5302" t="inlineStr">
        <is>
          <t>High</t>
        </is>
      </c>
      <c r="V5302">
        <f>IF(AND(OR(Dashboard!$C$6="All",E5302=Dashboard!$C$6),OR(Dashboard!$F$6="All",G5302=Dashboard!$F$6),OR(Dashboard!$I$6="All",H5302=Dashboard!$I$6)),1,0)</f>
        <v/>
      </c>
    </row>
    <row r="5303">
      <c r="A5303" t="inlineStr">
        <is>
          <t>PF105294</t>
        </is>
      </c>
      <c r="B5303" s="68" t="n">
        <v>46297</v>
      </c>
      <c r="C5303" s="69" t="n">
        <v>2026</v>
      </c>
      <c r="D5303" t="inlineStr">
        <is>
          <t>Oct</t>
        </is>
      </c>
      <c r="E5303" t="inlineStr">
        <is>
          <t>International developed</t>
        </is>
      </c>
      <c r="F5303" t="inlineStr">
        <is>
          <t>Japan</t>
        </is>
      </c>
      <c r="G5303" t="inlineStr">
        <is>
          <t>Xeljanz</t>
        </is>
      </c>
      <c r="H5303" t="inlineStr">
        <is>
          <t>Government / tender</t>
        </is>
      </c>
      <c r="I5303" t="inlineStr">
        <is>
          <t>Private insurer</t>
        </is>
      </c>
      <c r="J5303" t="inlineStr">
        <is>
          <t>Omar Haddad</t>
        </is>
      </c>
      <c r="K5303" s="70" t="n">
        <v>2535</v>
      </c>
      <c r="L5303" s="71" t="n">
        <v>1276.97</v>
      </c>
      <c r="M5303" s="71" t="n">
        <v>3237118.95</v>
      </c>
      <c r="N5303" s="71" t="n">
        <v>647423.79</v>
      </c>
      <c r="O5303" s="71" t="n">
        <v>2589695.16</v>
      </c>
      <c r="P5303" s="71" t="n">
        <v>614841.12</v>
      </c>
      <c r="Q5303" s="71" t="n">
        <v>1974854.04</v>
      </c>
      <c r="R5303" t="inlineStr">
        <is>
          <t>Inflammation</t>
        </is>
      </c>
      <c r="S5303" s="70" t="n">
        <v>1767</v>
      </c>
      <c r="T5303" s="71" t="n">
        <v>608351.42</v>
      </c>
      <c r="U5303" t="inlineStr">
        <is>
          <t>High</t>
        </is>
      </c>
      <c r="V5303">
        <f>IF(AND(OR(Dashboard!$C$6="All",E5303=Dashboard!$C$6),OR(Dashboard!$F$6="All",G5303=Dashboard!$F$6),OR(Dashboard!$I$6="All",H5303=Dashboard!$I$6)),1,0)</f>
        <v/>
      </c>
    </row>
    <row r="5304">
      <c r="A5304" t="inlineStr">
        <is>
          <t>PF105295</t>
        </is>
      </c>
      <c r="B5304" s="68" t="n">
        <v>46297</v>
      </c>
      <c r="C5304" s="69" t="n">
        <v>2026</v>
      </c>
      <c r="D5304" t="inlineStr">
        <is>
          <t>Oct</t>
        </is>
      </c>
      <c r="E5304" t="inlineStr">
        <is>
          <t>United States</t>
        </is>
      </c>
      <c r="F5304" t="inlineStr">
        <is>
          <t>USA</t>
        </is>
      </c>
      <c r="G5304" t="inlineStr">
        <is>
          <t>Xeljanz</t>
        </is>
      </c>
      <c r="H5304" t="inlineStr">
        <is>
          <t>Retail pharmacy</t>
        </is>
      </c>
      <c r="I5304" t="inlineStr">
        <is>
          <t>Private insurer</t>
        </is>
      </c>
      <c r="J5304" t="inlineStr">
        <is>
          <t>Ruhi Shaikh</t>
        </is>
      </c>
      <c r="K5304" s="70" t="n">
        <v>249</v>
      </c>
      <c r="L5304" s="71" t="n">
        <v>1974.9</v>
      </c>
      <c r="M5304" s="71" t="n">
        <v>491750.1</v>
      </c>
      <c r="N5304" s="71" t="n">
        <v>73762.52</v>
      </c>
      <c r="O5304" s="71" t="n">
        <v>417987.58</v>
      </c>
      <c r="P5304" s="71" t="n">
        <v>62643</v>
      </c>
      <c r="Q5304" s="71" t="n">
        <v>355344.58</v>
      </c>
      <c r="R5304" t="inlineStr">
        <is>
          <t>Inflammation</t>
        </is>
      </c>
      <c r="S5304" s="70" t="n">
        <v>161</v>
      </c>
      <c r="T5304" s="71" t="n">
        <v>106162.24</v>
      </c>
      <c r="U5304" t="inlineStr">
        <is>
          <t>High</t>
        </is>
      </c>
      <c r="V5304">
        <f>IF(AND(OR(Dashboard!$C$6="All",E5304=Dashboard!$C$6),OR(Dashboard!$F$6="All",G5304=Dashboard!$F$6),OR(Dashboard!$I$6="All",H5304=Dashboard!$I$6)),1,0)</f>
        <v/>
      </c>
    </row>
    <row r="5305">
      <c r="A5305" t="inlineStr">
        <is>
          <t>PF105296</t>
        </is>
      </c>
      <c r="B5305" s="68" t="n">
        <v>46297</v>
      </c>
      <c r="C5305" s="69" t="n">
        <v>2026</v>
      </c>
      <c r="D5305" t="inlineStr">
        <is>
          <t>Oct</t>
        </is>
      </c>
      <c r="E5305" t="inlineStr">
        <is>
          <t>Emerging markets</t>
        </is>
      </c>
      <c r="F5305" t="inlineStr">
        <is>
          <t>Mexico</t>
        </is>
      </c>
      <c r="G5305" t="inlineStr">
        <is>
          <t>Ibrance</t>
        </is>
      </c>
      <c r="H5305" t="inlineStr">
        <is>
          <t>Hospital</t>
        </is>
      </c>
      <c r="I5305" t="inlineStr">
        <is>
          <t>Public payer</t>
        </is>
      </c>
      <c r="J5305" t="inlineStr">
        <is>
          <t>Sara Rossi</t>
        </is>
      </c>
      <c r="K5305" s="70" t="n">
        <v>2665</v>
      </c>
      <c r="L5305" s="71" t="n">
        <v>2603.65</v>
      </c>
      <c r="M5305" s="71" t="n">
        <v>6938727.25</v>
      </c>
      <c r="N5305" s="71" t="n">
        <v>1040809.09</v>
      </c>
      <c r="O5305" s="71" t="n">
        <v>5897918.16</v>
      </c>
      <c r="P5305" s="71" t="n">
        <v>1118237.85</v>
      </c>
      <c r="Q5305" s="71" t="n">
        <v>4779680.31</v>
      </c>
      <c r="R5305" t="inlineStr">
        <is>
          <t>Oncology</t>
        </is>
      </c>
      <c r="S5305" s="70" t="n">
        <v>2208</v>
      </c>
      <c r="T5305" s="71" t="n">
        <v>1475027.42</v>
      </c>
      <c r="U5305" t="inlineStr">
        <is>
          <t>High</t>
        </is>
      </c>
      <c r="V5305">
        <f>IF(AND(OR(Dashboard!$C$6="All",E5305=Dashboard!$C$6),OR(Dashboard!$F$6="All",G5305=Dashboard!$F$6),OR(Dashboard!$I$6="All",H5305=Dashboard!$I$6)),1,0)</f>
        <v/>
      </c>
    </row>
    <row r="5306">
      <c r="A5306" t="inlineStr">
        <is>
          <t>PF105297</t>
        </is>
      </c>
      <c r="B5306" s="68" t="n">
        <v>46297</v>
      </c>
      <c r="C5306" s="69" t="n">
        <v>2026</v>
      </c>
      <c r="D5306" t="inlineStr">
        <is>
          <t>Oct</t>
        </is>
      </c>
      <c r="E5306" t="inlineStr">
        <is>
          <t>International developed</t>
        </is>
      </c>
      <c r="F5306" t="inlineStr">
        <is>
          <t>Japan</t>
        </is>
      </c>
      <c r="G5306" t="inlineStr">
        <is>
          <t>Xeljanz</t>
        </is>
      </c>
      <c r="H5306" t="inlineStr">
        <is>
          <t>Retail pharmacy</t>
        </is>
      </c>
      <c r="I5306" t="inlineStr">
        <is>
          <t>Private insurer</t>
        </is>
      </c>
      <c r="J5306" t="inlineStr">
        <is>
          <t>Emma Clarke</t>
        </is>
      </c>
      <c r="K5306" s="70" t="n">
        <v>411</v>
      </c>
      <c r="L5306" s="71" t="n">
        <v>1307.44</v>
      </c>
      <c r="M5306" s="71" t="n">
        <v>537357.84</v>
      </c>
      <c r="N5306" s="71" t="n">
        <v>107471.57</v>
      </c>
      <c r="O5306" s="71" t="n">
        <v>429886.27</v>
      </c>
      <c r="P5306" s="71" t="n">
        <v>102105.04</v>
      </c>
      <c r="Q5306" s="71" t="n">
        <v>327781.23</v>
      </c>
      <c r="R5306" t="inlineStr">
        <is>
          <t>Inflammation</t>
        </is>
      </c>
      <c r="S5306" s="70" t="n">
        <v>409</v>
      </c>
      <c r="T5306" s="71" t="n">
        <v>101700.02</v>
      </c>
      <c r="U5306" t="inlineStr">
        <is>
          <t>High</t>
        </is>
      </c>
      <c r="V5306">
        <f>IF(AND(OR(Dashboard!$C$6="All",E5306=Dashboard!$C$6),OR(Dashboard!$F$6="All",G5306=Dashboard!$F$6),OR(Dashboard!$I$6="All",H5306=Dashboard!$I$6)),1,0)</f>
        <v/>
      </c>
    </row>
    <row r="5307">
      <c r="A5307" t="inlineStr">
        <is>
          <t>PF105298</t>
        </is>
      </c>
      <c r="B5307" s="68" t="n">
        <v>46297</v>
      </c>
      <c r="C5307" s="69" t="n">
        <v>2026</v>
      </c>
      <c r="D5307" t="inlineStr">
        <is>
          <t>Oct</t>
        </is>
      </c>
      <c r="E5307" t="inlineStr">
        <is>
          <t>International developed</t>
        </is>
      </c>
      <c r="F5307" t="inlineStr">
        <is>
          <t>Canada</t>
        </is>
      </c>
      <c r="G5307" t="inlineStr">
        <is>
          <t>Xeljanz</t>
        </is>
      </c>
      <c r="H5307" t="inlineStr">
        <is>
          <t>Government / tender</t>
        </is>
      </c>
      <c r="I5307" t="inlineStr">
        <is>
          <t>Public payer</t>
        </is>
      </c>
      <c r="J5307" t="inlineStr">
        <is>
          <t>Zoya Ahmed</t>
        </is>
      </c>
      <c r="K5307" s="70" t="n">
        <v>1960</v>
      </c>
      <c r="L5307" s="71" t="n">
        <v>1312.08</v>
      </c>
      <c r="M5307" s="71" t="n">
        <v>2571676.8</v>
      </c>
      <c r="N5307" s="71" t="n">
        <v>385751.52</v>
      </c>
      <c r="O5307" s="71" t="n">
        <v>2185925.28</v>
      </c>
      <c r="P5307" s="71" t="n">
        <v>499593</v>
      </c>
      <c r="Q5307" s="71" t="n">
        <v>1686332.28</v>
      </c>
      <c r="R5307" t="inlineStr">
        <is>
          <t>Inflammation</t>
        </is>
      </c>
      <c r="S5307" s="70" t="n">
        <v>1287</v>
      </c>
      <c r="T5307" s="71" t="n">
        <v>325260.6</v>
      </c>
      <c r="U5307" t="inlineStr">
        <is>
          <t>High</t>
        </is>
      </c>
      <c r="V5307">
        <f>IF(AND(OR(Dashboard!$C$6="All",E5307=Dashboard!$C$6),OR(Dashboard!$F$6="All",G5307=Dashboard!$F$6),OR(Dashboard!$I$6="All",H5307=Dashboard!$I$6)),1,0)</f>
        <v/>
      </c>
    </row>
    <row r="5308">
      <c r="A5308" t="inlineStr">
        <is>
          <t>PF105299</t>
        </is>
      </c>
      <c r="B5308" s="68" t="n">
        <v>46297</v>
      </c>
      <c r="C5308" s="69" t="n">
        <v>2026</v>
      </c>
      <c r="D5308" t="inlineStr">
        <is>
          <t>Oct</t>
        </is>
      </c>
      <c r="E5308" t="inlineStr">
        <is>
          <t>International developed</t>
        </is>
      </c>
      <c r="F5308" t="inlineStr">
        <is>
          <t>Australia</t>
        </is>
      </c>
      <c r="G5308" t="inlineStr">
        <is>
          <t>Vyndaqel</t>
        </is>
      </c>
      <c r="H5308" t="inlineStr">
        <is>
          <t>Hospital</t>
        </is>
      </c>
      <c r="I5308" t="inlineStr">
        <is>
          <t>Private insurer</t>
        </is>
      </c>
      <c r="J5308" t="inlineStr">
        <is>
          <t>Hiroshi Tanaka</t>
        </is>
      </c>
      <c r="K5308" s="70" t="n">
        <v>3018</v>
      </c>
      <c r="L5308" s="71" t="n">
        <v>5225.46</v>
      </c>
      <c r="M5308" s="71" t="n">
        <v>15770438.28</v>
      </c>
      <c r="N5308" s="71" t="n">
        <v>3942609.57</v>
      </c>
      <c r="O5308" s="71" t="n">
        <v>11827828.71</v>
      </c>
      <c r="P5308" s="71" t="n">
        <v>1933879.35</v>
      </c>
      <c r="Q5308" s="71" t="n">
        <v>9893949.359999999</v>
      </c>
      <c r="R5308" t="inlineStr">
        <is>
          <t>Rare disease</t>
        </is>
      </c>
      <c r="S5308" s="70" t="n">
        <v>2052</v>
      </c>
      <c r="T5308" s="71" t="n">
        <v>2879720.97</v>
      </c>
      <c r="U5308" t="inlineStr">
        <is>
          <t>Medium</t>
        </is>
      </c>
      <c r="V5308">
        <f>IF(AND(OR(Dashboard!$C$6="All",E5308=Dashboard!$C$6),OR(Dashboard!$F$6="All",G5308=Dashboard!$F$6),OR(Dashboard!$I$6="All",H5308=Dashboard!$I$6)),1,0)</f>
        <v/>
      </c>
    </row>
    <row r="5309">
      <c r="A5309" t="inlineStr">
        <is>
          <t>PF105300</t>
        </is>
      </c>
      <c r="B5309" s="68" t="n">
        <v>46297</v>
      </c>
      <c r="C5309" s="69" t="n">
        <v>2026</v>
      </c>
      <c r="D5309" t="inlineStr">
        <is>
          <t>Oct</t>
        </is>
      </c>
      <c r="E5309" t="inlineStr">
        <is>
          <t>United States</t>
        </is>
      </c>
      <c r="F5309" t="inlineStr">
        <is>
          <t>USA</t>
        </is>
      </c>
      <c r="G5309" t="inlineStr">
        <is>
          <t>Eliquis</t>
        </is>
      </c>
      <c r="H5309" t="inlineStr">
        <is>
          <t>Retail pharmacy</t>
        </is>
      </c>
      <c r="I5309" t="inlineStr">
        <is>
          <t>Public payer</t>
        </is>
      </c>
      <c r="J5309" t="inlineStr">
        <is>
          <t>Liam O'Brien</t>
        </is>
      </c>
      <c r="K5309" s="70" t="n">
        <v>439</v>
      </c>
      <c r="L5309" s="71" t="n">
        <v>652.77</v>
      </c>
      <c r="M5309" s="71" t="n">
        <v>286566.03</v>
      </c>
      <c r="N5309" s="71" t="n">
        <v>71641.50999999999</v>
      </c>
      <c r="O5309" s="71" t="n">
        <v>214924.52</v>
      </c>
      <c r="P5309" s="71" t="n">
        <v>33482.29</v>
      </c>
      <c r="Q5309" s="71" t="n">
        <v>181442.23</v>
      </c>
      <c r="R5309" t="inlineStr">
        <is>
          <t>Cardiology</t>
        </is>
      </c>
      <c r="S5309" s="70" t="n">
        <v>363</v>
      </c>
      <c r="T5309" s="71" t="n">
        <v>34318.72</v>
      </c>
      <c r="U5309" t="inlineStr">
        <is>
          <t>High</t>
        </is>
      </c>
      <c r="V5309">
        <f>IF(AND(OR(Dashboard!$C$6="All",E5309=Dashboard!$C$6),OR(Dashboard!$F$6="All",G5309=Dashboard!$F$6),OR(Dashboard!$I$6="All",H5309=Dashboard!$I$6)),1,0)</f>
        <v/>
      </c>
    </row>
    <row r="5310">
      <c r="A5310" t="inlineStr">
        <is>
          <t>PF105301</t>
        </is>
      </c>
      <c r="B5310" s="68" t="n">
        <v>46297</v>
      </c>
      <c r="C5310" s="69" t="n">
        <v>2026</v>
      </c>
      <c r="D5310" t="inlineStr">
        <is>
          <t>Oct</t>
        </is>
      </c>
      <c r="E5310" t="inlineStr">
        <is>
          <t>Emerging markets</t>
        </is>
      </c>
      <c r="F5310" t="inlineStr">
        <is>
          <t>Mexico</t>
        </is>
      </c>
      <c r="G5310" t="inlineStr">
        <is>
          <t>Prevnar 20</t>
        </is>
      </c>
      <c r="H5310" t="inlineStr">
        <is>
          <t>Government / tender</t>
        </is>
      </c>
      <c r="I5310" t="inlineStr">
        <is>
          <t>Public payer</t>
        </is>
      </c>
      <c r="J5310" t="inlineStr">
        <is>
          <t>Liam O'Brien</t>
        </is>
      </c>
      <c r="K5310" s="70" t="n">
        <v>2984</v>
      </c>
      <c r="L5310" s="71" t="n">
        <v>241.76</v>
      </c>
      <c r="M5310" s="71" t="n">
        <v>721411.84</v>
      </c>
      <c r="N5310" s="71" t="n">
        <v>36070.59</v>
      </c>
      <c r="O5310" s="71" t="n">
        <v>685341.25</v>
      </c>
      <c r="P5310" s="71" t="n">
        <v>206598.34</v>
      </c>
      <c r="Q5310" s="71" t="n">
        <v>478742.91</v>
      </c>
      <c r="R5310" t="inlineStr">
        <is>
          <t>Vaccines</t>
        </is>
      </c>
      <c r="S5310" s="70" t="n">
        <v>1900</v>
      </c>
      <c r="T5310" s="71" t="n">
        <v>142194.85</v>
      </c>
      <c r="U5310" t="inlineStr">
        <is>
          <t>Low</t>
        </is>
      </c>
      <c r="V5310">
        <f>IF(AND(OR(Dashboard!$C$6="All",E5310=Dashboard!$C$6),OR(Dashboard!$F$6="All",G5310=Dashboard!$F$6),OR(Dashboard!$I$6="All",H5310=Dashboard!$I$6)),1,0)</f>
        <v/>
      </c>
    </row>
    <row r="5311">
      <c r="A5311" t="inlineStr">
        <is>
          <t>PF105302</t>
        </is>
      </c>
      <c r="B5311" s="68" t="n">
        <v>46297</v>
      </c>
      <c r="C5311" s="69" t="n">
        <v>2026</v>
      </c>
      <c r="D5311" t="inlineStr">
        <is>
          <t>Oct</t>
        </is>
      </c>
      <c r="E5311" t="inlineStr">
        <is>
          <t>Emerging markets</t>
        </is>
      </c>
      <c r="F5311" t="inlineStr">
        <is>
          <t>Brazil</t>
        </is>
      </c>
      <c r="G5311" t="inlineStr">
        <is>
          <t>Eliquis</t>
        </is>
      </c>
      <c r="H5311" t="inlineStr">
        <is>
          <t>Hospital</t>
        </is>
      </c>
      <c r="I5311" t="inlineStr">
        <is>
          <t>Private insurer</t>
        </is>
      </c>
      <c r="J5311" t="inlineStr">
        <is>
          <t>Shraddha Kulkarni</t>
        </is>
      </c>
      <c r="K5311" s="70" t="n">
        <v>2473</v>
      </c>
      <c r="L5311" s="71" t="n">
        <v>456.81</v>
      </c>
      <c r="M5311" s="71" t="n">
        <v>1129691.13</v>
      </c>
      <c r="N5311" s="71" t="n">
        <v>112969.11</v>
      </c>
      <c r="O5311" s="71" t="n">
        <v>1016722.02</v>
      </c>
      <c r="P5311" s="71" t="n">
        <v>193499.63</v>
      </c>
      <c r="Q5311" s="71" t="n">
        <v>823222.39</v>
      </c>
      <c r="R5311" t="inlineStr">
        <is>
          <t>Cardiology</t>
        </is>
      </c>
      <c r="S5311" s="70" t="n">
        <v>2051</v>
      </c>
      <c r="T5311" s="71" t="n">
        <v>174567.45</v>
      </c>
      <c r="U5311" t="inlineStr">
        <is>
          <t>High</t>
        </is>
      </c>
      <c r="V5311">
        <f>IF(AND(OR(Dashboard!$C$6="All",E5311=Dashboard!$C$6),OR(Dashboard!$F$6="All",G5311=Dashboard!$F$6),OR(Dashboard!$I$6="All",H5311=Dashboard!$I$6)),1,0)</f>
        <v/>
      </c>
    </row>
    <row r="5312">
      <c r="A5312" t="inlineStr">
        <is>
          <t>PF105303</t>
        </is>
      </c>
      <c r="B5312" s="68" t="n">
        <v>46297</v>
      </c>
      <c r="C5312" s="69" t="n">
        <v>2026</v>
      </c>
      <c r="D5312" t="inlineStr">
        <is>
          <t>Oct</t>
        </is>
      </c>
      <c r="E5312" t="inlineStr">
        <is>
          <t>United States</t>
        </is>
      </c>
      <c r="F5312" t="inlineStr">
        <is>
          <t>USA</t>
        </is>
      </c>
      <c r="G5312" t="inlineStr">
        <is>
          <t>Eliquis</t>
        </is>
      </c>
      <c r="H5312" t="inlineStr">
        <is>
          <t>Government / tender</t>
        </is>
      </c>
      <c r="I5312" t="inlineStr">
        <is>
          <t>Self-pay</t>
        </is>
      </c>
      <c r="J5312" t="inlineStr">
        <is>
          <t>Lucas Martin</t>
        </is>
      </c>
      <c r="K5312" s="70" t="n">
        <v>3167</v>
      </c>
      <c r="L5312" s="71" t="n">
        <v>703.12</v>
      </c>
      <c r="M5312" s="71" t="n">
        <v>2226781.04</v>
      </c>
      <c r="N5312" s="71" t="n">
        <v>445356.21</v>
      </c>
      <c r="O5312" s="71" t="n">
        <v>1781424.83</v>
      </c>
      <c r="P5312" s="71" t="n">
        <v>235497.71</v>
      </c>
      <c r="Q5312" s="71" t="n">
        <v>1545927.12</v>
      </c>
      <c r="R5312" t="inlineStr">
        <is>
          <t>Cardiology</t>
        </is>
      </c>
      <c r="S5312" s="70" t="n">
        <v>2922</v>
      </c>
      <c r="T5312" s="71" t="n">
        <v>431134.94</v>
      </c>
      <c r="U5312" t="inlineStr">
        <is>
          <t>High</t>
        </is>
      </c>
      <c r="V5312">
        <f>IF(AND(OR(Dashboard!$C$6="All",E5312=Dashboard!$C$6),OR(Dashboard!$F$6="All",G5312=Dashboard!$F$6),OR(Dashboard!$I$6="All",H5312=Dashboard!$I$6)),1,0)</f>
        <v/>
      </c>
    </row>
    <row r="5313">
      <c r="A5313" t="inlineStr">
        <is>
          <t>PF105304</t>
        </is>
      </c>
      <c r="B5313" s="68" t="n">
        <v>46298</v>
      </c>
      <c r="C5313" s="69" t="n">
        <v>2026</v>
      </c>
      <c r="D5313" t="inlineStr">
        <is>
          <t>Oct</t>
        </is>
      </c>
      <c r="E5313" t="inlineStr">
        <is>
          <t>International developed</t>
        </is>
      </c>
      <c r="F5313" t="inlineStr">
        <is>
          <t>Japan</t>
        </is>
      </c>
      <c r="G5313" t="inlineStr">
        <is>
          <t>Vyndaqel</t>
        </is>
      </c>
      <c r="H5313" t="inlineStr">
        <is>
          <t>Retail pharmacy</t>
        </is>
      </c>
      <c r="I5313" t="inlineStr">
        <is>
          <t>Public payer</t>
        </is>
      </c>
      <c r="J5313" t="inlineStr">
        <is>
          <t>Lucas Martin</t>
        </is>
      </c>
      <c r="K5313" s="70" t="n">
        <v>1745</v>
      </c>
      <c r="L5313" s="71" t="n">
        <v>5597.34</v>
      </c>
      <c r="M5313" s="71" t="n">
        <v>9767358.300000001</v>
      </c>
      <c r="N5313" s="71" t="n">
        <v>2441839.58</v>
      </c>
      <c r="O5313" s="71" t="n">
        <v>7325518.72</v>
      </c>
      <c r="P5313" s="71" t="n">
        <v>1065805.29</v>
      </c>
      <c r="Q5313" s="71" t="n">
        <v>6259713.43</v>
      </c>
      <c r="R5313" t="inlineStr">
        <is>
          <t>Rare disease</t>
        </is>
      </c>
      <c r="S5313" s="70" t="n">
        <v>1129</v>
      </c>
      <c r="T5313" s="71" t="n">
        <v>1188008.92</v>
      </c>
      <c r="U5313" t="inlineStr">
        <is>
          <t>Medium</t>
        </is>
      </c>
      <c r="V5313">
        <f>IF(AND(OR(Dashboard!$C$6="All",E5313=Dashboard!$C$6),OR(Dashboard!$F$6="All",G5313=Dashboard!$F$6),OR(Dashboard!$I$6="All",H5313=Dashboard!$I$6)),1,0)</f>
        <v/>
      </c>
    </row>
    <row r="5314">
      <c r="A5314" t="inlineStr">
        <is>
          <t>PF105305</t>
        </is>
      </c>
      <c r="B5314" s="68" t="n">
        <v>46298</v>
      </c>
      <c r="C5314" s="69" t="n">
        <v>2026</v>
      </c>
      <c r="D5314" t="inlineStr">
        <is>
          <t>Oct</t>
        </is>
      </c>
      <c r="E5314" t="inlineStr">
        <is>
          <t>International developed</t>
        </is>
      </c>
      <c r="F5314" t="inlineStr">
        <is>
          <t>Australia</t>
        </is>
      </c>
      <c r="G5314" t="inlineStr">
        <is>
          <t>Abrysvo</t>
        </is>
      </c>
      <c r="H5314" t="inlineStr">
        <is>
          <t>Government / tender</t>
        </is>
      </c>
      <c r="I5314" t="inlineStr">
        <is>
          <t>Private insurer</t>
        </is>
      </c>
      <c r="J5314" t="inlineStr">
        <is>
          <t>Lucas Martin</t>
        </is>
      </c>
      <c r="K5314" s="70" t="n">
        <v>3525</v>
      </c>
      <c r="L5314" s="71" t="n">
        <v>319.33</v>
      </c>
      <c r="M5314" s="71" t="n">
        <v>1125638.25</v>
      </c>
      <c r="N5314" s="71" t="n">
        <v>225127.65</v>
      </c>
      <c r="O5314" s="71" t="n">
        <v>900510.6</v>
      </c>
      <c r="P5314" s="71" t="n">
        <v>301427.35</v>
      </c>
      <c r="Q5314" s="71" t="n">
        <v>599083.25</v>
      </c>
      <c r="R5314" t="inlineStr">
        <is>
          <t>Vaccines</t>
        </is>
      </c>
      <c r="S5314" s="70" t="n">
        <v>2312</v>
      </c>
      <c r="T5314" s="71" t="n">
        <v>130308.7</v>
      </c>
      <c r="U5314" t="inlineStr">
        <is>
          <t>Low</t>
        </is>
      </c>
      <c r="V5314">
        <f>IF(AND(OR(Dashboard!$C$6="All",E5314=Dashboard!$C$6),OR(Dashboard!$F$6="All",G5314=Dashboard!$F$6),OR(Dashboard!$I$6="All",H5314=Dashboard!$I$6)),1,0)</f>
        <v/>
      </c>
    </row>
    <row r="5315">
      <c r="A5315" t="inlineStr">
        <is>
          <t>PF105306</t>
        </is>
      </c>
      <c r="B5315" s="68" t="n">
        <v>46298</v>
      </c>
      <c r="C5315" s="69" t="n">
        <v>2026</v>
      </c>
      <c r="D5315" t="inlineStr">
        <is>
          <t>Oct</t>
        </is>
      </c>
      <c r="E5315" t="inlineStr">
        <is>
          <t>United States</t>
        </is>
      </c>
      <c r="F5315" t="inlineStr">
        <is>
          <t>USA</t>
        </is>
      </c>
      <c r="G5315" t="inlineStr">
        <is>
          <t>Xeljanz</t>
        </is>
      </c>
      <c r="H5315" t="inlineStr">
        <is>
          <t>Government / tender</t>
        </is>
      </c>
      <c r="I5315" t="inlineStr">
        <is>
          <t>Public payer</t>
        </is>
      </c>
      <c r="J5315" t="inlineStr">
        <is>
          <t>Yuki Sato</t>
        </is>
      </c>
      <c r="K5315" s="70" t="n">
        <v>2238</v>
      </c>
      <c r="L5315" s="71" t="n">
        <v>2356.97</v>
      </c>
      <c r="M5315" s="71" t="n">
        <v>5274898.86</v>
      </c>
      <c r="N5315" s="71" t="n">
        <v>1318724.72</v>
      </c>
      <c r="O5315" s="71" t="n">
        <v>3956174.14</v>
      </c>
      <c r="P5315" s="71" t="n">
        <v>562268.7</v>
      </c>
      <c r="Q5315" s="71" t="n">
        <v>3393905.44</v>
      </c>
      <c r="R5315" t="inlineStr">
        <is>
          <t>Inflammation</t>
        </is>
      </c>
      <c r="S5315" s="70" t="n">
        <v>2156</v>
      </c>
      <c r="T5315" s="71" t="n">
        <v>847053.39</v>
      </c>
      <c r="U5315" t="inlineStr">
        <is>
          <t>High</t>
        </is>
      </c>
      <c r="V5315">
        <f>IF(AND(OR(Dashboard!$C$6="All",E5315=Dashboard!$C$6),OR(Dashboard!$F$6="All",G5315=Dashboard!$F$6),OR(Dashboard!$I$6="All",H5315=Dashboard!$I$6)),1,0)</f>
        <v/>
      </c>
    </row>
    <row r="5316">
      <c r="A5316" t="inlineStr">
        <is>
          <t>PF105307</t>
        </is>
      </c>
      <c r="B5316" s="68" t="n">
        <v>46298</v>
      </c>
      <c r="C5316" s="69" t="n">
        <v>2026</v>
      </c>
      <c r="D5316" t="inlineStr">
        <is>
          <t>Oct</t>
        </is>
      </c>
      <c r="E5316" t="inlineStr">
        <is>
          <t>United States</t>
        </is>
      </c>
      <c r="F5316" t="inlineStr">
        <is>
          <t>USA</t>
        </is>
      </c>
      <c r="G5316" t="inlineStr">
        <is>
          <t>Ibrance</t>
        </is>
      </c>
      <c r="H5316" t="inlineStr">
        <is>
          <t>Retail pharmacy</t>
        </is>
      </c>
      <c r="I5316" t="inlineStr">
        <is>
          <t>Self-pay</t>
        </is>
      </c>
      <c r="J5316" t="inlineStr">
        <is>
          <t>Zoya Ahmed</t>
        </is>
      </c>
      <c r="K5316" s="70" t="n">
        <v>1213</v>
      </c>
      <c r="L5316" s="71" t="n">
        <v>4083.94</v>
      </c>
      <c r="M5316" s="71" t="n">
        <v>4953819.22</v>
      </c>
      <c r="N5316" s="71" t="n">
        <v>1238454.8</v>
      </c>
      <c r="O5316" s="71" t="n">
        <v>3715364.42</v>
      </c>
      <c r="P5316" s="71" t="n">
        <v>511071.37</v>
      </c>
      <c r="Q5316" s="71" t="n">
        <v>3204293.05</v>
      </c>
      <c r="R5316" t="inlineStr">
        <is>
          <t>Oncology</t>
        </is>
      </c>
      <c r="S5316" s="70" t="n">
        <v>864</v>
      </c>
      <c r="T5316" s="71" t="n">
        <v>1091233.91</v>
      </c>
      <c r="U5316" t="inlineStr">
        <is>
          <t>High</t>
        </is>
      </c>
      <c r="V5316">
        <f>IF(AND(OR(Dashboard!$C$6="All",E5316=Dashboard!$C$6),OR(Dashboard!$F$6="All",G5316=Dashboard!$F$6),OR(Dashboard!$I$6="All",H5316=Dashboard!$I$6)),1,0)</f>
        <v/>
      </c>
    </row>
    <row r="5317">
      <c r="A5317" t="inlineStr">
        <is>
          <t>PF105308</t>
        </is>
      </c>
      <c r="B5317" s="68" t="n">
        <v>46298</v>
      </c>
      <c r="C5317" s="69" t="n">
        <v>2026</v>
      </c>
      <c r="D5317" t="inlineStr">
        <is>
          <t>Oct</t>
        </is>
      </c>
      <c r="E5317" t="inlineStr">
        <is>
          <t>Emerging markets</t>
        </is>
      </c>
      <c r="F5317" t="inlineStr">
        <is>
          <t>Mexico</t>
        </is>
      </c>
      <c r="G5317" t="inlineStr">
        <is>
          <t>Prevnar 20</t>
        </is>
      </c>
      <c r="H5317" t="inlineStr">
        <is>
          <t>Retail pharmacy</t>
        </is>
      </c>
      <c r="I5317" t="inlineStr">
        <is>
          <t>Private insurer</t>
        </is>
      </c>
      <c r="J5317" t="inlineStr">
        <is>
          <t>Priya Nair</t>
        </is>
      </c>
      <c r="K5317" s="70" t="n">
        <v>244</v>
      </c>
      <c r="L5317" s="71" t="n">
        <v>247.84</v>
      </c>
      <c r="M5317" s="71" t="n">
        <v>60472.96</v>
      </c>
      <c r="N5317" s="71" t="n">
        <v>12094.59</v>
      </c>
      <c r="O5317" s="71" t="n">
        <v>48378.37</v>
      </c>
      <c r="P5317" s="71" t="n">
        <v>17360.22</v>
      </c>
      <c r="Q5317" s="71" t="n">
        <v>31018.15</v>
      </c>
      <c r="R5317" t="inlineStr">
        <is>
          <t>Vaccines</t>
        </is>
      </c>
      <c r="S5317" s="70" t="n">
        <v>156</v>
      </c>
      <c r="T5317" s="71" t="n">
        <v>9112.309999999999</v>
      </c>
      <c r="U5317" t="inlineStr">
        <is>
          <t>Low</t>
        </is>
      </c>
      <c r="V5317">
        <f>IF(AND(OR(Dashboard!$C$6="All",E5317=Dashboard!$C$6),OR(Dashboard!$F$6="All",G5317=Dashboard!$F$6),OR(Dashboard!$I$6="All",H5317=Dashboard!$I$6)),1,0)</f>
        <v/>
      </c>
    </row>
    <row r="5318">
      <c r="A5318" t="inlineStr">
        <is>
          <t>PF105309</t>
        </is>
      </c>
      <c r="B5318" s="68" t="n">
        <v>46298</v>
      </c>
      <c r="C5318" s="69" t="n">
        <v>2026</v>
      </c>
      <c r="D5318" t="inlineStr">
        <is>
          <t>Oct</t>
        </is>
      </c>
      <c r="E5318" t="inlineStr">
        <is>
          <t>International developed</t>
        </is>
      </c>
      <c r="F5318" t="inlineStr">
        <is>
          <t>Australia</t>
        </is>
      </c>
      <c r="G5318" t="inlineStr">
        <is>
          <t>Paxlovid</t>
        </is>
      </c>
      <c r="H5318" t="inlineStr">
        <is>
          <t>Hospital</t>
        </is>
      </c>
      <c r="I5318" t="inlineStr">
        <is>
          <t>Self-pay</t>
        </is>
      </c>
      <c r="J5318" t="inlineStr">
        <is>
          <t>Hiroshi Tanaka</t>
        </is>
      </c>
      <c r="K5318" s="70" t="n">
        <v>47</v>
      </c>
      <c r="L5318" s="71" t="n">
        <v>1002.02</v>
      </c>
      <c r="M5318" s="71" t="n">
        <v>47094.94</v>
      </c>
      <c r="N5318" s="71" t="n">
        <v>11773.74</v>
      </c>
      <c r="O5318" s="71" t="n">
        <v>35321.2</v>
      </c>
      <c r="P5318" s="71" t="n">
        <v>13263.5</v>
      </c>
      <c r="Q5318" s="71" t="n">
        <v>22057.7</v>
      </c>
      <c r="R5318" t="inlineStr">
        <is>
          <t>Antiviral</t>
        </is>
      </c>
      <c r="S5318" s="70" t="n">
        <v>37</v>
      </c>
      <c r="T5318" s="71" t="n">
        <v>11414.17</v>
      </c>
      <c r="U5318" t="inlineStr">
        <is>
          <t>Low</t>
        </is>
      </c>
      <c r="V5318">
        <f>IF(AND(OR(Dashboard!$C$6="All",E5318=Dashboard!$C$6),OR(Dashboard!$F$6="All",G5318=Dashboard!$F$6),OR(Dashboard!$I$6="All",H5318=Dashboard!$I$6)),1,0)</f>
        <v/>
      </c>
    </row>
    <row r="5319">
      <c r="A5319" t="inlineStr">
        <is>
          <t>PF105310</t>
        </is>
      </c>
      <c r="B5319" s="68" t="n">
        <v>46298</v>
      </c>
      <c r="C5319" s="69" t="n">
        <v>2026</v>
      </c>
      <c r="D5319" t="inlineStr">
        <is>
          <t>Oct</t>
        </is>
      </c>
      <c r="E5319" t="inlineStr">
        <is>
          <t>Emerging markets</t>
        </is>
      </c>
      <c r="F5319" t="inlineStr">
        <is>
          <t>India</t>
        </is>
      </c>
      <c r="G5319" t="inlineStr">
        <is>
          <t>Paxlovid</t>
        </is>
      </c>
      <c r="H5319" t="inlineStr">
        <is>
          <t>Retail pharmacy</t>
        </is>
      </c>
      <c r="I5319" t="inlineStr">
        <is>
          <t>Public payer</t>
        </is>
      </c>
      <c r="J5319" t="inlineStr">
        <is>
          <t>Wei Chen</t>
        </is>
      </c>
      <c r="K5319" s="70" t="n">
        <v>698</v>
      </c>
      <c r="L5319" s="71" t="n">
        <v>924.61</v>
      </c>
      <c r="M5319" s="71" t="n">
        <v>645377.78</v>
      </c>
      <c r="N5319" s="71" t="n">
        <v>161344.45</v>
      </c>
      <c r="O5319" s="71" t="n">
        <v>484033.33</v>
      </c>
      <c r="P5319" s="71" t="n">
        <v>191892.67</v>
      </c>
      <c r="Q5319" s="71" t="n">
        <v>292140.66</v>
      </c>
      <c r="R5319" t="inlineStr">
        <is>
          <t>Antiviral</t>
        </is>
      </c>
      <c r="S5319" s="70" t="n">
        <v>441</v>
      </c>
      <c r="T5319" s="71" t="n">
        <v>145660.69</v>
      </c>
      <c r="U5319" t="inlineStr">
        <is>
          <t>Low</t>
        </is>
      </c>
      <c r="V5319">
        <f>IF(AND(OR(Dashboard!$C$6="All",E5319=Dashboard!$C$6),OR(Dashboard!$F$6="All",G5319=Dashboard!$F$6),OR(Dashboard!$I$6="All",H5319=Dashboard!$I$6)),1,0)</f>
        <v/>
      </c>
    </row>
    <row r="5320">
      <c r="A5320" t="inlineStr">
        <is>
          <t>PF105311</t>
        </is>
      </c>
      <c r="B5320" s="68" t="n">
        <v>46299</v>
      </c>
      <c r="C5320" s="69" t="n">
        <v>2026</v>
      </c>
      <c r="D5320" t="inlineStr">
        <is>
          <t>Oct</t>
        </is>
      </c>
      <c r="E5320" t="inlineStr">
        <is>
          <t>Emerging markets</t>
        </is>
      </c>
      <c r="F5320" t="inlineStr">
        <is>
          <t>China</t>
        </is>
      </c>
      <c r="G5320" t="inlineStr">
        <is>
          <t>Eliquis</t>
        </is>
      </c>
      <c r="H5320" t="inlineStr">
        <is>
          <t>Hospital</t>
        </is>
      </c>
      <c r="I5320" t="inlineStr">
        <is>
          <t>Private insurer</t>
        </is>
      </c>
      <c r="J5320" t="inlineStr">
        <is>
          <t>Fatima Al-Saud</t>
        </is>
      </c>
      <c r="K5320" s="70" t="n">
        <v>1265</v>
      </c>
      <c r="L5320" s="71" t="n">
        <v>424.5</v>
      </c>
      <c r="M5320" s="71" t="n">
        <v>536992.5</v>
      </c>
      <c r="N5320" s="71" t="n">
        <v>107398.5</v>
      </c>
      <c r="O5320" s="71" t="n">
        <v>429594</v>
      </c>
      <c r="P5320" s="71" t="n">
        <v>96893.69</v>
      </c>
      <c r="Q5320" s="71" t="n">
        <v>332700.31</v>
      </c>
      <c r="R5320" t="inlineStr">
        <is>
          <t>Cardiology</t>
        </is>
      </c>
      <c r="S5320" s="70" t="n">
        <v>915</v>
      </c>
      <c r="T5320" s="71" t="n">
        <v>68142.73</v>
      </c>
      <c r="U5320" t="inlineStr">
        <is>
          <t>High</t>
        </is>
      </c>
      <c r="V5320">
        <f>IF(AND(OR(Dashboard!$C$6="All",E5320=Dashboard!$C$6),OR(Dashboard!$F$6="All",G5320=Dashboard!$F$6),OR(Dashboard!$I$6="All",H5320=Dashboard!$I$6)),1,0)</f>
        <v/>
      </c>
    </row>
    <row r="5321">
      <c r="A5321" t="inlineStr">
        <is>
          <t>PF105312</t>
        </is>
      </c>
      <c r="B5321" s="68" t="n">
        <v>46299</v>
      </c>
      <c r="C5321" s="69" t="n">
        <v>2026</v>
      </c>
      <c r="D5321" t="inlineStr">
        <is>
          <t>Oct</t>
        </is>
      </c>
      <c r="E5321" t="inlineStr">
        <is>
          <t>Emerging markets</t>
        </is>
      </c>
      <c r="F5321" t="inlineStr">
        <is>
          <t>India</t>
        </is>
      </c>
      <c r="G5321" t="inlineStr">
        <is>
          <t>Ibrance</t>
        </is>
      </c>
      <c r="H5321" t="inlineStr">
        <is>
          <t>Government / tender</t>
        </is>
      </c>
      <c r="I5321" t="inlineStr">
        <is>
          <t>Private insurer</t>
        </is>
      </c>
      <c r="J5321" t="inlineStr">
        <is>
          <t>Omar Haddad</t>
        </is>
      </c>
      <c r="K5321" s="70" t="n">
        <v>184</v>
      </c>
      <c r="L5321" s="71" t="n">
        <v>2551.81</v>
      </c>
      <c r="M5321" s="71" t="n">
        <v>469533.04</v>
      </c>
      <c r="N5321" s="71" t="n">
        <v>93906.61</v>
      </c>
      <c r="O5321" s="71" t="n">
        <v>375626.43</v>
      </c>
      <c r="P5321" s="71" t="n">
        <v>76977.14999999999</v>
      </c>
      <c r="Q5321" s="71" t="n">
        <v>298649.28</v>
      </c>
      <c r="R5321" t="inlineStr">
        <is>
          <t>Oncology</t>
        </is>
      </c>
      <c r="S5321" s="70" t="n">
        <v>174</v>
      </c>
      <c r="T5321" s="71" t="n">
        <v>95694.39999999999</v>
      </c>
      <c r="U5321" t="inlineStr">
        <is>
          <t>High</t>
        </is>
      </c>
      <c r="V5321">
        <f>IF(AND(OR(Dashboard!$C$6="All",E5321=Dashboard!$C$6),OR(Dashboard!$F$6="All",G5321=Dashboard!$F$6),OR(Dashboard!$I$6="All",H5321=Dashboard!$I$6)),1,0)</f>
        <v/>
      </c>
    </row>
    <row r="5322">
      <c r="A5322" t="inlineStr">
        <is>
          <t>PF105313</t>
        </is>
      </c>
      <c r="B5322" s="68" t="n">
        <v>46299</v>
      </c>
      <c r="C5322" s="69" t="n">
        <v>2026</v>
      </c>
      <c r="D5322" t="inlineStr">
        <is>
          <t>Oct</t>
        </is>
      </c>
      <c r="E5322" t="inlineStr">
        <is>
          <t>Emerging markets</t>
        </is>
      </c>
      <c r="F5322" t="inlineStr">
        <is>
          <t>Brazil</t>
        </is>
      </c>
      <c r="G5322" t="inlineStr">
        <is>
          <t>Eliquis</t>
        </is>
      </c>
      <c r="H5322" t="inlineStr">
        <is>
          <t>Retail pharmacy</t>
        </is>
      </c>
      <c r="I5322" t="inlineStr">
        <is>
          <t>Private insurer</t>
        </is>
      </c>
      <c r="J5322" t="inlineStr">
        <is>
          <t>Omar Haddad</t>
        </is>
      </c>
      <c r="K5322" s="70" t="n">
        <v>2313</v>
      </c>
      <c r="L5322" s="71" t="n">
        <v>447.93</v>
      </c>
      <c r="M5322" s="71" t="n">
        <v>1036062.09</v>
      </c>
      <c r="N5322" s="71" t="n">
        <v>207212.42</v>
      </c>
      <c r="O5322" s="71" t="n">
        <v>828849.67</v>
      </c>
      <c r="P5322" s="71" t="n">
        <v>175029.8</v>
      </c>
      <c r="Q5322" s="71" t="n">
        <v>653819.87</v>
      </c>
      <c r="R5322" t="inlineStr">
        <is>
          <t>Cardiology</t>
        </is>
      </c>
      <c r="S5322" s="70" t="n">
        <v>2108</v>
      </c>
      <c r="T5322" s="71" t="n">
        <v>145536.18</v>
      </c>
      <c r="U5322" t="inlineStr">
        <is>
          <t>High</t>
        </is>
      </c>
      <c r="V5322">
        <f>IF(AND(OR(Dashboard!$C$6="All",E5322=Dashboard!$C$6),OR(Dashboard!$F$6="All",G5322=Dashboard!$F$6),OR(Dashboard!$I$6="All",H5322=Dashboard!$I$6)),1,0)</f>
        <v/>
      </c>
    </row>
    <row r="5323">
      <c r="A5323" t="inlineStr">
        <is>
          <t>PF105314</t>
        </is>
      </c>
      <c r="B5323" s="68" t="n">
        <v>46299</v>
      </c>
      <c r="C5323" s="69" t="n">
        <v>2026</v>
      </c>
      <c r="D5323" t="inlineStr">
        <is>
          <t>Oct</t>
        </is>
      </c>
      <c r="E5323" t="inlineStr">
        <is>
          <t>United States</t>
        </is>
      </c>
      <c r="F5323" t="inlineStr">
        <is>
          <t>USA</t>
        </is>
      </c>
      <c r="G5323" t="inlineStr">
        <is>
          <t>Xeljanz</t>
        </is>
      </c>
      <c r="H5323" t="inlineStr">
        <is>
          <t>Retail pharmacy</t>
        </is>
      </c>
      <c r="I5323" t="inlineStr">
        <is>
          <t>Public payer</t>
        </is>
      </c>
      <c r="J5323" t="inlineStr">
        <is>
          <t>Yuki Sato</t>
        </is>
      </c>
      <c r="K5323" s="70" t="n">
        <v>620</v>
      </c>
      <c r="L5323" s="71" t="n">
        <v>2067.24</v>
      </c>
      <c r="M5323" s="71" t="n">
        <v>1281688.8</v>
      </c>
      <c r="N5323" s="71" t="n">
        <v>448591.08</v>
      </c>
      <c r="O5323" s="71" t="n">
        <v>833097.72</v>
      </c>
      <c r="P5323" s="71" t="n">
        <v>161789.36</v>
      </c>
      <c r="Q5323" s="71" t="n">
        <v>671308.36</v>
      </c>
      <c r="R5323" t="inlineStr">
        <is>
          <t>Inflammation</t>
        </is>
      </c>
      <c r="S5323" s="70" t="n">
        <v>605</v>
      </c>
      <c r="T5323" s="71" t="n">
        <v>180247.82</v>
      </c>
      <c r="U5323" t="inlineStr">
        <is>
          <t>High</t>
        </is>
      </c>
      <c r="V5323">
        <f>IF(AND(OR(Dashboard!$C$6="All",E5323=Dashboard!$C$6),OR(Dashboard!$F$6="All",G5323=Dashboard!$F$6),OR(Dashboard!$I$6="All",H5323=Dashboard!$I$6)),1,0)</f>
        <v/>
      </c>
    </row>
    <row r="5324">
      <c r="A5324" t="inlineStr">
        <is>
          <t>PF105315</t>
        </is>
      </c>
      <c r="B5324" s="68" t="n">
        <v>46299</v>
      </c>
      <c r="C5324" s="69" t="n">
        <v>2026</v>
      </c>
      <c r="D5324" t="inlineStr">
        <is>
          <t>Oct</t>
        </is>
      </c>
      <c r="E5324" t="inlineStr">
        <is>
          <t>United States</t>
        </is>
      </c>
      <c r="F5324" t="inlineStr">
        <is>
          <t>USA</t>
        </is>
      </c>
      <c r="G5324" t="inlineStr">
        <is>
          <t>Vyndaqel</t>
        </is>
      </c>
      <c r="H5324" t="inlineStr">
        <is>
          <t>Retail pharmacy</t>
        </is>
      </c>
      <c r="I5324" t="inlineStr">
        <is>
          <t>Public payer</t>
        </is>
      </c>
      <c r="J5324" t="inlineStr">
        <is>
          <t>Zoya Ahmed</t>
        </is>
      </c>
      <c r="K5324" s="70" t="n">
        <v>3252</v>
      </c>
      <c r="L5324" s="71" t="n">
        <v>9890.629999999999</v>
      </c>
      <c r="M5324" s="71" t="n">
        <v>32164328.76</v>
      </c>
      <c r="N5324" s="71" t="n">
        <v>4824649.31</v>
      </c>
      <c r="O5324" s="71" t="n">
        <v>27339679.45</v>
      </c>
      <c r="P5324" s="71" t="n">
        <v>2033933.54</v>
      </c>
      <c r="Q5324" s="71" t="n">
        <v>25305745.91</v>
      </c>
      <c r="R5324" t="inlineStr">
        <is>
          <t>Rare disease</t>
        </is>
      </c>
      <c r="S5324" s="70" t="n">
        <v>2083</v>
      </c>
      <c r="T5324" s="71" t="n">
        <v>5626707.06</v>
      </c>
      <c r="U5324" t="inlineStr">
        <is>
          <t>Medium</t>
        </is>
      </c>
      <c r="V5324">
        <f>IF(AND(OR(Dashboard!$C$6="All",E5324=Dashboard!$C$6),OR(Dashboard!$F$6="All",G5324=Dashboard!$F$6),OR(Dashboard!$I$6="All",H5324=Dashboard!$I$6)),1,0)</f>
        <v/>
      </c>
    </row>
    <row r="5325">
      <c r="A5325" t="inlineStr">
        <is>
          <t>PF105316</t>
        </is>
      </c>
      <c r="B5325" s="68" t="n">
        <v>46299</v>
      </c>
      <c r="C5325" s="69" t="n">
        <v>2026</v>
      </c>
      <c r="D5325" t="inlineStr">
        <is>
          <t>Oct</t>
        </is>
      </c>
      <c r="E5325" t="inlineStr">
        <is>
          <t>International developed</t>
        </is>
      </c>
      <c r="F5325" t="inlineStr">
        <is>
          <t>Canada</t>
        </is>
      </c>
      <c r="G5325" t="inlineStr">
        <is>
          <t>Eliquis</t>
        </is>
      </c>
      <c r="H5325" t="inlineStr">
        <is>
          <t>Government / tender</t>
        </is>
      </c>
      <c r="I5325" t="inlineStr">
        <is>
          <t>Self-pay</t>
        </is>
      </c>
      <c r="J5325" t="inlineStr">
        <is>
          <t>Sophie Müller</t>
        </is>
      </c>
      <c r="K5325" s="70" t="n">
        <v>2732</v>
      </c>
      <c r="L5325" s="71" t="n">
        <v>432.44</v>
      </c>
      <c r="M5325" s="71" t="n">
        <v>1181426.08</v>
      </c>
      <c r="N5325" s="71" t="n">
        <v>236285.22</v>
      </c>
      <c r="O5325" s="71" t="n">
        <v>945140.86</v>
      </c>
      <c r="P5325" s="71" t="n">
        <v>206444.92</v>
      </c>
      <c r="Q5325" s="71" t="n">
        <v>738695.9399999999</v>
      </c>
      <c r="R5325" t="inlineStr">
        <is>
          <t>Cardiology</t>
        </is>
      </c>
      <c r="S5325" s="70" t="n">
        <v>2226</v>
      </c>
      <c r="T5325" s="71" t="n">
        <v>147038.43</v>
      </c>
      <c r="U5325" t="inlineStr">
        <is>
          <t>High</t>
        </is>
      </c>
      <c r="V5325">
        <f>IF(AND(OR(Dashboard!$C$6="All",E5325=Dashboard!$C$6),OR(Dashboard!$F$6="All",G5325=Dashboard!$F$6),OR(Dashboard!$I$6="All",H5325=Dashboard!$I$6)),1,0)</f>
        <v/>
      </c>
    </row>
    <row r="5326">
      <c r="A5326" t="inlineStr">
        <is>
          <t>PF105317</t>
        </is>
      </c>
      <c r="B5326" s="68" t="n">
        <v>46299</v>
      </c>
      <c r="C5326" s="69" t="n">
        <v>2026</v>
      </c>
      <c r="D5326" t="inlineStr">
        <is>
          <t>Oct</t>
        </is>
      </c>
      <c r="E5326" t="inlineStr">
        <is>
          <t>Europe</t>
        </is>
      </c>
      <c r="F5326" t="inlineStr">
        <is>
          <t>Italy</t>
        </is>
      </c>
      <c r="G5326" t="inlineStr">
        <is>
          <t>Ibrance</t>
        </is>
      </c>
      <c r="H5326" t="inlineStr">
        <is>
          <t>Hospital</t>
        </is>
      </c>
      <c r="I5326" t="inlineStr">
        <is>
          <t>Public payer</t>
        </is>
      </c>
      <c r="J5326" t="inlineStr">
        <is>
          <t>Sara Rossi</t>
        </is>
      </c>
      <c r="K5326" s="70" t="n">
        <v>1150</v>
      </c>
      <c r="L5326" s="71" t="n">
        <v>2836.78</v>
      </c>
      <c r="M5326" s="71" t="n">
        <v>3262297</v>
      </c>
      <c r="N5326" s="71" t="n">
        <v>489344.55</v>
      </c>
      <c r="O5326" s="71" t="n">
        <v>2772952.45</v>
      </c>
      <c r="P5326" s="71" t="n">
        <v>513432.52</v>
      </c>
      <c r="Q5326" s="71" t="n">
        <v>2259519.93</v>
      </c>
      <c r="R5326" t="inlineStr">
        <is>
          <t>Oncology</t>
        </is>
      </c>
      <c r="S5326" s="70" t="n">
        <v>729</v>
      </c>
      <c r="T5326" s="71" t="n">
        <v>458163.29</v>
      </c>
      <c r="U5326" t="inlineStr">
        <is>
          <t>High</t>
        </is>
      </c>
      <c r="V5326">
        <f>IF(AND(OR(Dashboard!$C$6="All",E5326=Dashboard!$C$6),OR(Dashboard!$F$6="All",G5326=Dashboard!$F$6),OR(Dashboard!$I$6="All",H5326=Dashboard!$I$6)),1,0)</f>
        <v/>
      </c>
    </row>
    <row r="5327">
      <c r="A5327" t="inlineStr">
        <is>
          <t>PF105318</t>
        </is>
      </c>
      <c r="B5327" s="68" t="n">
        <v>46299</v>
      </c>
      <c r="C5327" s="69" t="n">
        <v>2026</v>
      </c>
      <c r="D5327" t="inlineStr">
        <is>
          <t>Oct</t>
        </is>
      </c>
      <c r="E5327" t="inlineStr">
        <is>
          <t>United States</t>
        </is>
      </c>
      <c r="F5327" t="inlineStr">
        <is>
          <t>USA</t>
        </is>
      </c>
      <c r="G5327" t="inlineStr">
        <is>
          <t>Prevnar 20</t>
        </is>
      </c>
      <c r="H5327" t="inlineStr">
        <is>
          <t>Hospital</t>
        </is>
      </c>
      <c r="I5327" t="inlineStr">
        <is>
          <t>Public payer</t>
        </is>
      </c>
      <c r="J5327" t="inlineStr">
        <is>
          <t>Liam O'Brien</t>
        </is>
      </c>
      <c r="K5327" s="70" t="n">
        <v>2465</v>
      </c>
      <c r="L5327" s="71" t="n">
        <v>388.73</v>
      </c>
      <c r="M5327" s="71" t="n">
        <v>958219.45</v>
      </c>
      <c r="N5327" s="71" t="n">
        <v>191643.89</v>
      </c>
      <c r="O5327" s="71" t="n">
        <v>766575.5600000001</v>
      </c>
      <c r="P5327" s="71" t="n">
        <v>164915.08</v>
      </c>
      <c r="Q5327" s="71" t="n">
        <v>601660.48</v>
      </c>
      <c r="R5327" t="inlineStr">
        <is>
          <t>Vaccines</t>
        </is>
      </c>
      <c r="S5327" s="70" t="n">
        <v>1874</v>
      </c>
      <c r="T5327" s="71" t="n">
        <v>152302.96</v>
      </c>
      <c r="U5327" t="inlineStr">
        <is>
          <t>Low</t>
        </is>
      </c>
      <c r="V5327">
        <f>IF(AND(OR(Dashboard!$C$6="All",E5327=Dashboard!$C$6),OR(Dashboard!$F$6="All",G5327=Dashboard!$F$6),OR(Dashboard!$I$6="All",H5327=Dashboard!$I$6)),1,0)</f>
        <v/>
      </c>
    </row>
    <row r="5328">
      <c r="A5328" t="inlineStr">
        <is>
          <t>PF105319</t>
        </is>
      </c>
      <c r="B5328" s="68" t="n">
        <v>46299</v>
      </c>
      <c r="C5328" s="69" t="n">
        <v>2026</v>
      </c>
      <c r="D5328" t="inlineStr">
        <is>
          <t>Oct</t>
        </is>
      </c>
      <c r="E5328" t="inlineStr">
        <is>
          <t>Emerging markets</t>
        </is>
      </c>
      <c r="F5328" t="inlineStr">
        <is>
          <t>India</t>
        </is>
      </c>
      <c r="G5328" t="inlineStr">
        <is>
          <t>Ibrance</t>
        </is>
      </c>
      <c r="H5328" t="inlineStr">
        <is>
          <t>Retail pharmacy</t>
        </is>
      </c>
      <c r="I5328" t="inlineStr">
        <is>
          <t>Private insurer</t>
        </is>
      </c>
      <c r="J5328" t="inlineStr">
        <is>
          <t>Shraddha Kulkarni</t>
        </is>
      </c>
      <c r="K5328" s="70" t="n">
        <v>2782</v>
      </c>
      <c r="L5328" s="71" t="n">
        <v>2960.87</v>
      </c>
      <c r="M5328" s="71" t="n">
        <v>8237140.34</v>
      </c>
      <c r="N5328" s="71" t="n">
        <v>1235571.05</v>
      </c>
      <c r="O5328" s="71" t="n">
        <v>7001569.29</v>
      </c>
      <c r="P5328" s="71" t="n">
        <v>1219336.8</v>
      </c>
      <c r="Q5328" s="71" t="n">
        <v>5782232.49</v>
      </c>
      <c r="R5328" t="inlineStr">
        <is>
          <t>Oncology</t>
        </is>
      </c>
      <c r="S5328" s="70" t="n">
        <v>1820</v>
      </c>
      <c r="T5328" s="71" t="n">
        <v>1274534.11</v>
      </c>
      <c r="U5328" t="inlineStr">
        <is>
          <t>High</t>
        </is>
      </c>
      <c r="V5328">
        <f>IF(AND(OR(Dashboard!$C$6="All",E5328=Dashboard!$C$6),OR(Dashboard!$F$6="All",G5328=Dashboard!$F$6),OR(Dashboard!$I$6="All",H5328=Dashboard!$I$6)),1,0)</f>
        <v/>
      </c>
    </row>
    <row r="5329">
      <c r="A5329" t="inlineStr">
        <is>
          <t>PF105320</t>
        </is>
      </c>
      <c r="B5329" s="68" t="n">
        <v>46299</v>
      </c>
      <c r="C5329" s="69" t="n">
        <v>2026</v>
      </c>
      <c r="D5329" t="inlineStr">
        <is>
          <t>Oct</t>
        </is>
      </c>
      <c r="E5329" t="inlineStr">
        <is>
          <t>Emerging markets</t>
        </is>
      </c>
      <c r="F5329" t="inlineStr">
        <is>
          <t>China</t>
        </is>
      </c>
      <c r="G5329" t="inlineStr">
        <is>
          <t>Comirnaty</t>
        </is>
      </c>
      <c r="H5329" t="inlineStr">
        <is>
          <t>Hospital</t>
        </is>
      </c>
      <c r="I5329" t="inlineStr">
        <is>
          <t>Private insurer</t>
        </is>
      </c>
      <c r="J5329" t="inlineStr">
        <is>
          <t>Noah Smith</t>
        </is>
      </c>
      <c r="K5329" s="70" t="n">
        <v>1266</v>
      </c>
      <c r="L5329" s="71" t="n">
        <v>89.23</v>
      </c>
      <c r="M5329" s="71" t="n">
        <v>112965.18</v>
      </c>
      <c r="N5329" s="71" t="n">
        <v>11296.52</v>
      </c>
      <c r="O5329" s="71" t="n">
        <v>101668.66</v>
      </c>
      <c r="P5329" s="71" t="n">
        <v>47798.84</v>
      </c>
      <c r="Q5329" s="71" t="n">
        <v>53869.82</v>
      </c>
      <c r="R5329" t="inlineStr">
        <is>
          <t>Vaccines</t>
        </is>
      </c>
      <c r="S5329" s="70" t="n">
        <v>825</v>
      </c>
      <c r="T5329" s="71" t="n">
        <v>18570.69</v>
      </c>
      <c r="U5329" t="inlineStr">
        <is>
          <t>Low</t>
        </is>
      </c>
      <c r="V5329">
        <f>IF(AND(OR(Dashboard!$C$6="All",E5329=Dashboard!$C$6),OR(Dashboard!$F$6="All",G5329=Dashboard!$F$6),OR(Dashboard!$I$6="All",H5329=Dashboard!$I$6)),1,0)</f>
        <v/>
      </c>
    </row>
    <row r="5330">
      <c r="A5330" t="inlineStr">
        <is>
          <t>PF105321</t>
        </is>
      </c>
      <c r="B5330" s="68" t="n">
        <v>46300</v>
      </c>
      <c r="C5330" s="69" t="n">
        <v>2026</v>
      </c>
      <c r="D5330" t="inlineStr">
        <is>
          <t>Oct</t>
        </is>
      </c>
      <c r="E5330" t="inlineStr">
        <is>
          <t>United States</t>
        </is>
      </c>
      <c r="F5330" t="inlineStr">
        <is>
          <t>USA</t>
        </is>
      </c>
      <c r="G5330" t="inlineStr">
        <is>
          <t>Vyndaqel</t>
        </is>
      </c>
      <c r="H5330" t="inlineStr">
        <is>
          <t>Hospital</t>
        </is>
      </c>
      <c r="I5330" t="inlineStr">
        <is>
          <t>Private insurer</t>
        </is>
      </c>
      <c r="J5330" t="inlineStr">
        <is>
          <t>Zoya Ahmed</t>
        </is>
      </c>
      <c r="K5330" s="70" t="n">
        <v>286</v>
      </c>
      <c r="L5330" s="71" t="n">
        <v>8526.290000000001</v>
      </c>
      <c r="M5330" s="71" t="n">
        <v>2438518.94</v>
      </c>
      <c r="N5330" s="71" t="n">
        <v>731555.6800000001</v>
      </c>
      <c r="O5330" s="71" t="n">
        <v>1706963.26</v>
      </c>
      <c r="P5330" s="71" t="n">
        <v>180841.6</v>
      </c>
      <c r="Q5330" s="71" t="n">
        <v>1526121.66</v>
      </c>
      <c r="R5330" t="inlineStr">
        <is>
          <t>Rare disease</t>
        </is>
      </c>
      <c r="S5330" s="70" t="n">
        <v>198</v>
      </c>
      <c r="T5330" s="71" t="n">
        <v>483008.3</v>
      </c>
      <c r="U5330" t="inlineStr">
        <is>
          <t>Medium</t>
        </is>
      </c>
      <c r="V5330">
        <f>IF(AND(OR(Dashboard!$C$6="All",E5330=Dashboard!$C$6),OR(Dashboard!$F$6="All",G5330=Dashboard!$F$6),OR(Dashboard!$I$6="All",H5330=Dashboard!$I$6)),1,0)</f>
        <v/>
      </c>
    </row>
    <row r="5331">
      <c r="A5331" t="inlineStr">
        <is>
          <t>PF105322</t>
        </is>
      </c>
      <c r="B5331" s="68" t="n">
        <v>46300</v>
      </c>
      <c r="C5331" s="69" t="n">
        <v>2026</v>
      </c>
      <c r="D5331" t="inlineStr">
        <is>
          <t>Oct</t>
        </is>
      </c>
      <c r="E5331" t="inlineStr">
        <is>
          <t>United States</t>
        </is>
      </c>
      <c r="F5331" t="inlineStr">
        <is>
          <t>USA</t>
        </is>
      </c>
      <c r="G5331" t="inlineStr">
        <is>
          <t>Ibrance</t>
        </is>
      </c>
      <c r="H5331" t="inlineStr">
        <is>
          <t>Government / tender</t>
        </is>
      </c>
      <c r="I5331" t="inlineStr">
        <is>
          <t>Private insurer</t>
        </is>
      </c>
      <c r="J5331" t="inlineStr">
        <is>
          <t>Priya Nair</t>
        </is>
      </c>
      <c r="K5331" s="70" t="n">
        <v>724</v>
      </c>
      <c r="L5331" s="71" t="n">
        <v>4970.43</v>
      </c>
      <c r="M5331" s="71" t="n">
        <v>3598591.32</v>
      </c>
      <c r="N5331" s="71" t="n">
        <v>1259506.96</v>
      </c>
      <c r="O5331" s="71" t="n">
        <v>2339084.36</v>
      </c>
      <c r="P5331" s="71" t="n">
        <v>308158.31</v>
      </c>
      <c r="Q5331" s="71" t="n">
        <v>2030926.05</v>
      </c>
      <c r="R5331" t="inlineStr">
        <is>
          <t>Oncology</t>
        </is>
      </c>
      <c r="S5331" s="70" t="n">
        <v>714</v>
      </c>
      <c r="T5331" s="71" t="n">
        <v>445901.47</v>
      </c>
      <c r="U5331" t="inlineStr">
        <is>
          <t>High</t>
        </is>
      </c>
      <c r="V5331">
        <f>IF(AND(OR(Dashboard!$C$6="All",E5331=Dashboard!$C$6),OR(Dashboard!$F$6="All",G5331=Dashboard!$F$6),OR(Dashboard!$I$6="All",H5331=Dashboard!$I$6)),1,0)</f>
        <v/>
      </c>
    </row>
    <row r="5332">
      <c r="A5332" t="inlineStr">
        <is>
          <t>PF105323</t>
        </is>
      </c>
      <c r="B5332" s="68" t="n">
        <v>46300</v>
      </c>
      <c r="C5332" s="69" t="n">
        <v>2026</v>
      </c>
      <c r="D5332" t="inlineStr">
        <is>
          <t>Oct</t>
        </is>
      </c>
      <c r="E5332" t="inlineStr">
        <is>
          <t>United States</t>
        </is>
      </c>
      <c r="F5332" t="inlineStr">
        <is>
          <t>USA</t>
        </is>
      </c>
      <c r="G5332" t="inlineStr">
        <is>
          <t>Comirnaty</t>
        </is>
      </c>
      <c r="H5332" t="inlineStr">
        <is>
          <t>Retail pharmacy</t>
        </is>
      </c>
      <c r="I5332" t="inlineStr">
        <is>
          <t>Public payer</t>
        </is>
      </c>
      <c r="J5332" t="inlineStr">
        <is>
          <t>Wei Chen</t>
        </is>
      </c>
      <c r="K5332" s="70" t="n">
        <v>659</v>
      </c>
      <c r="L5332" s="71" t="n">
        <v>134.62</v>
      </c>
      <c r="M5332" s="71" t="n">
        <v>88714.58</v>
      </c>
      <c r="N5332" s="71" t="n">
        <v>13307.19</v>
      </c>
      <c r="O5332" s="71" t="n">
        <v>75407.39</v>
      </c>
      <c r="P5332" s="71" t="n">
        <v>24429.8</v>
      </c>
      <c r="Q5332" s="71" t="n">
        <v>50977.59</v>
      </c>
      <c r="R5332" t="inlineStr">
        <is>
          <t>Vaccines</t>
        </is>
      </c>
      <c r="S5332" s="70" t="n">
        <v>412</v>
      </c>
      <c r="T5332" s="71" t="n">
        <v>20171.8</v>
      </c>
      <c r="U5332" t="inlineStr">
        <is>
          <t>Low</t>
        </is>
      </c>
      <c r="V5332">
        <f>IF(AND(OR(Dashboard!$C$6="All",E5332=Dashboard!$C$6),OR(Dashboard!$F$6="All",G5332=Dashboard!$F$6),OR(Dashboard!$I$6="All",H5332=Dashboard!$I$6)),1,0)</f>
        <v/>
      </c>
    </row>
    <row r="5333">
      <c r="A5333" t="inlineStr">
        <is>
          <t>PF105324</t>
        </is>
      </c>
      <c r="B5333" s="68" t="n">
        <v>46300</v>
      </c>
      <c r="C5333" s="69" t="n">
        <v>2026</v>
      </c>
      <c r="D5333" t="inlineStr">
        <is>
          <t>Oct</t>
        </is>
      </c>
      <c r="E5333" t="inlineStr">
        <is>
          <t>Emerging markets</t>
        </is>
      </c>
      <c r="F5333" t="inlineStr">
        <is>
          <t>Mexico</t>
        </is>
      </c>
      <c r="G5333" t="inlineStr">
        <is>
          <t>Abrysvo</t>
        </is>
      </c>
      <c r="H5333" t="inlineStr">
        <is>
          <t>Retail pharmacy</t>
        </is>
      </c>
      <c r="I5333" t="inlineStr">
        <is>
          <t>Private insurer</t>
        </is>
      </c>
      <c r="J5333" t="inlineStr">
        <is>
          <t>Wei Chen</t>
        </is>
      </c>
      <c r="K5333" s="70" t="n">
        <v>3141</v>
      </c>
      <c r="L5333" s="71" t="n">
        <v>288</v>
      </c>
      <c r="M5333" s="71" t="n">
        <v>904608</v>
      </c>
      <c r="N5333" s="71" t="n">
        <v>90460.8</v>
      </c>
      <c r="O5333" s="71" t="n">
        <v>814147.2</v>
      </c>
      <c r="P5333" s="71" t="n">
        <v>268841.11</v>
      </c>
      <c r="Q5333" s="71" t="n">
        <v>545306.09</v>
      </c>
      <c r="R5333" t="inlineStr">
        <is>
          <t>Vaccines</t>
        </is>
      </c>
      <c r="S5333" s="70" t="n">
        <v>2884</v>
      </c>
      <c r="T5333" s="71" t="n">
        <v>109170.57</v>
      </c>
      <c r="U5333" t="inlineStr">
        <is>
          <t>Low</t>
        </is>
      </c>
      <c r="V5333">
        <f>IF(AND(OR(Dashboard!$C$6="All",E5333=Dashboard!$C$6),OR(Dashboard!$F$6="All",G5333=Dashboard!$F$6),OR(Dashboard!$I$6="All",H5333=Dashboard!$I$6)),1,0)</f>
        <v/>
      </c>
    </row>
    <row r="5334">
      <c r="A5334" t="inlineStr">
        <is>
          <t>PF105325</t>
        </is>
      </c>
      <c r="B5334" s="68" t="n">
        <v>46300</v>
      </c>
      <c r="C5334" s="69" t="n">
        <v>2026</v>
      </c>
      <c r="D5334" t="inlineStr">
        <is>
          <t>Oct</t>
        </is>
      </c>
      <c r="E5334" t="inlineStr">
        <is>
          <t>Emerging markets</t>
        </is>
      </c>
      <c r="F5334" t="inlineStr">
        <is>
          <t>Mexico</t>
        </is>
      </c>
      <c r="G5334" t="inlineStr">
        <is>
          <t>Abrysvo</t>
        </is>
      </c>
      <c r="H5334" t="inlineStr">
        <is>
          <t>Retail pharmacy</t>
        </is>
      </c>
      <c r="I5334" t="inlineStr">
        <is>
          <t>Public payer</t>
        </is>
      </c>
      <c r="J5334" t="inlineStr">
        <is>
          <t>Mei Lin</t>
        </is>
      </c>
      <c r="K5334" s="70" t="n">
        <v>1125</v>
      </c>
      <c r="L5334" s="71" t="n">
        <v>324.97</v>
      </c>
      <c r="M5334" s="71" t="n">
        <v>365591.25</v>
      </c>
      <c r="N5334" s="71" t="n">
        <v>91397.81</v>
      </c>
      <c r="O5334" s="71" t="n">
        <v>274193.44</v>
      </c>
      <c r="P5334" s="71" t="n">
        <v>94790.46000000001</v>
      </c>
      <c r="Q5334" s="71" t="n">
        <v>179402.98</v>
      </c>
      <c r="R5334" t="inlineStr">
        <is>
          <t>Vaccines</t>
        </is>
      </c>
      <c r="S5334" s="70" t="n">
        <v>768</v>
      </c>
      <c r="T5334" s="71" t="n">
        <v>67662.17999999999</v>
      </c>
      <c r="U5334" t="inlineStr">
        <is>
          <t>Low</t>
        </is>
      </c>
      <c r="V5334">
        <f>IF(AND(OR(Dashboard!$C$6="All",E5334=Dashboard!$C$6),OR(Dashboard!$F$6="All",G5334=Dashboard!$F$6),OR(Dashboard!$I$6="All",H5334=Dashboard!$I$6)),1,0)</f>
        <v/>
      </c>
    </row>
    <row r="5335">
      <c r="A5335" t="inlineStr">
        <is>
          <t>PF105326</t>
        </is>
      </c>
      <c r="B5335" s="68" t="n">
        <v>46300</v>
      </c>
      <c r="C5335" s="69" t="n">
        <v>2026</v>
      </c>
      <c r="D5335" t="inlineStr">
        <is>
          <t>Oct</t>
        </is>
      </c>
      <c r="E5335" t="inlineStr">
        <is>
          <t>Emerging markets</t>
        </is>
      </c>
      <c r="F5335" t="inlineStr">
        <is>
          <t>India</t>
        </is>
      </c>
      <c r="G5335" t="inlineStr">
        <is>
          <t>Prevnar 20</t>
        </is>
      </c>
      <c r="H5335" t="inlineStr">
        <is>
          <t>Retail pharmacy</t>
        </is>
      </c>
      <c r="I5335" t="inlineStr">
        <is>
          <t>Public payer</t>
        </is>
      </c>
      <c r="J5335" t="inlineStr">
        <is>
          <t>Shraddha Kulkarni</t>
        </is>
      </c>
      <c r="K5335" s="70" t="n">
        <v>2588</v>
      </c>
      <c r="L5335" s="71" t="n">
        <v>227.55</v>
      </c>
      <c r="M5335" s="71" t="n">
        <v>588899.4</v>
      </c>
      <c r="N5335" s="71" t="n">
        <v>29444.97</v>
      </c>
      <c r="O5335" s="71" t="n">
        <v>559454.4300000001</v>
      </c>
      <c r="P5335" s="71" t="n">
        <v>175032.54</v>
      </c>
      <c r="Q5335" s="71" t="n">
        <v>384421.89</v>
      </c>
      <c r="R5335" t="inlineStr">
        <is>
          <t>Vaccines</t>
        </is>
      </c>
      <c r="S5335" s="70" t="n">
        <v>2041</v>
      </c>
      <c r="T5335" s="71" t="n">
        <v>75034.77</v>
      </c>
      <c r="U5335" t="inlineStr">
        <is>
          <t>Low</t>
        </is>
      </c>
      <c r="V5335">
        <f>IF(AND(OR(Dashboard!$C$6="All",E5335=Dashboard!$C$6),OR(Dashboard!$F$6="All",G5335=Dashboard!$F$6),OR(Dashboard!$I$6="All",H5335=Dashboard!$I$6)),1,0)</f>
        <v/>
      </c>
    </row>
    <row r="5336">
      <c r="A5336" t="inlineStr">
        <is>
          <t>PF105327</t>
        </is>
      </c>
      <c r="B5336" s="68" t="n">
        <v>46301</v>
      </c>
      <c r="C5336" s="69" t="n">
        <v>2026</v>
      </c>
      <c r="D5336" t="inlineStr">
        <is>
          <t>Oct</t>
        </is>
      </c>
      <c r="E5336" t="inlineStr">
        <is>
          <t>Europe</t>
        </is>
      </c>
      <c r="F5336" t="inlineStr">
        <is>
          <t>France</t>
        </is>
      </c>
      <c r="G5336" t="inlineStr">
        <is>
          <t>Eliquis</t>
        </is>
      </c>
      <c r="H5336" t="inlineStr">
        <is>
          <t>Retail pharmacy</t>
        </is>
      </c>
      <c r="I5336" t="inlineStr">
        <is>
          <t>Private insurer</t>
        </is>
      </c>
      <c r="J5336" t="inlineStr">
        <is>
          <t>Priya Nair</t>
        </is>
      </c>
      <c r="K5336" s="70" t="n">
        <v>2369</v>
      </c>
      <c r="L5336" s="71" t="n">
        <v>437.88</v>
      </c>
      <c r="M5336" s="71" t="n">
        <v>1037337.72</v>
      </c>
      <c r="N5336" s="71" t="n">
        <v>103733.77</v>
      </c>
      <c r="O5336" s="71" t="n">
        <v>933603.95</v>
      </c>
      <c r="P5336" s="71" t="n">
        <v>173755.95</v>
      </c>
      <c r="Q5336" s="71" t="n">
        <v>759848</v>
      </c>
      <c r="R5336" t="inlineStr">
        <is>
          <t>Cardiology</t>
        </is>
      </c>
      <c r="S5336" s="70" t="n">
        <v>1722</v>
      </c>
      <c r="T5336" s="71" t="n">
        <v>178838.25</v>
      </c>
      <c r="U5336" t="inlineStr">
        <is>
          <t>High</t>
        </is>
      </c>
      <c r="V5336">
        <f>IF(AND(OR(Dashboard!$C$6="All",E5336=Dashboard!$C$6),OR(Dashboard!$F$6="All",G5336=Dashboard!$F$6),OR(Dashboard!$I$6="All",H5336=Dashboard!$I$6)),1,0)</f>
        <v/>
      </c>
    </row>
    <row r="5337">
      <c r="A5337" t="inlineStr">
        <is>
          <t>PF105328</t>
        </is>
      </c>
      <c r="B5337" s="68" t="n">
        <v>46301</v>
      </c>
      <c r="C5337" s="69" t="n">
        <v>2026</v>
      </c>
      <c r="D5337" t="inlineStr">
        <is>
          <t>Oct</t>
        </is>
      </c>
      <c r="E5337" t="inlineStr">
        <is>
          <t>United States</t>
        </is>
      </c>
      <c r="F5337" t="inlineStr">
        <is>
          <t>USA</t>
        </is>
      </c>
      <c r="G5337" t="inlineStr">
        <is>
          <t>Vyndaqel</t>
        </is>
      </c>
      <c r="H5337" t="inlineStr">
        <is>
          <t>Hospital</t>
        </is>
      </c>
      <c r="I5337" t="inlineStr">
        <is>
          <t>Private insurer</t>
        </is>
      </c>
      <c r="J5337" t="inlineStr">
        <is>
          <t>Noah Smith</t>
        </is>
      </c>
      <c r="K5337" s="70" t="n">
        <v>2580</v>
      </c>
      <c r="L5337" s="71" t="n">
        <v>8467.08</v>
      </c>
      <c r="M5337" s="71" t="n">
        <v>21845066.4</v>
      </c>
      <c r="N5337" s="71" t="n">
        <v>7645773.24</v>
      </c>
      <c r="O5337" s="71" t="n">
        <v>14199293.16</v>
      </c>
      <c r="P5337" s="71" t="n">
        <v>1573928.11</v>
      </c>
      <c r="Q5337" s="71" t="n">
        <v>12625365.05</v>
      </c>
      <c r="R5337" t="inlineStr">
        <is>
          <t>Rare disease</t>
        </is>
      </c>
      <c r="S5337" s="70" t="n">
        <v>1877</v>
      </c>
      <c r="T5337" s="71" t="n">
        <v>4004644.07</v>
      </c>
      <c r="U5337" t="inlineStr">
        <is>
          <t>Medium</t>
        </is>
      </c>
      <c r="V5337">
        <f>IF(AND(OR(Dashboard!$C$6="All",E5337=Dashboard!$C$6),OR(Dashboard!$F$6="All",G5337=Dashboard!$F$6),OR(Dashboard!$I$6="All",H5337=Dashboard!$I$6)),1,0)</f>
        <v/>
      </c>
    </row>
    <row r="5338">
      <c r="A5338" t="inlineStr">
        <is>
          <t>PF105329</t>
        </is>
      </c>
      <c r="B5338" s="68" t="n">
        <v>46301</v>
      </c>
      <c r="C5338" s="69" t="n">
        <v>2026</v>
      </c>
      <c r="D5338" t="inlineStr">
        <is>
          <t>Oct</t>
        </is>
      </c>
      <c r="E5338" t="inlineStr">
        <is>
          <t>Europe</t>
        </is>
      </c>
      <c r="F5338" t="inlineStr">
        <is>
          <t>UK</t>
        </is>
      </c>
      <c r="G5338" t="inlineStr">
        <is>
          <t>Prevnar 20</t>
        </is>
      </c>
      <c r="H5338" t="inlineStr">
        <is>
          <t>Retail pharmacy</t>
        </is>
      </c>
      <c r="I5338" t="inlineStr">
        <is>
          <t>Private insurer</t>
        </is>
      </c>
      <c r="J5338" t="inlineStr">
        <is>
          <t>Mei Lin</t>
        </is>
      </c>
      <c r="K5338" s="70" t="n">
        <v>2773</v>
      </c>
      <c r="L5338" s="71" t="n">
        <v>239.91</v>
      </c>
      <c r="M5338" s="71" t="n">
        <v>665270.4300000001</v>
      </c>
      <c r="N5338" s="71" t="n">
        <v>166317.61</v>
      </c>
      <c r="O5338" s="71" t="n">
        <v>498952.82</v>
      </c>
      <c r="P5338" s="71" t="n">
        <v>186952.84</v>
      </c>
      <c r="Q5338" s="71" t="n">
        <v>311999.98</v>
      </c>
      <c r="R5338" t="inlineStr">
        <is>
          <t>Vaccines</t>
        </is>
      </c>
      <c r="S5338" s="70" t="n">
        <v>1899</v>
      </c>
      <c r="T5338" s="71" t="n">
        <v>134046.05</v>
      </c>
      <c r="U5338" t="inlineStr">
        <is>
          <t>Low</t>
        </is>
      </c>
      <c r="V5338">
        <f>IF(AND(OR(Dashboard!$C$6="All",E5338=Dashboard!$C$6),OR(Dashboard!$F$6="All",G5338=Dashboard!$F$6),OR(Dashboard!$I$6="All",H5338=Dashboard!$I$6)),1,0)</f>
        <v/>
      </c>
    </row>
    <row r="5339">
      <c r="A5339" t="inlineStr">
        <is>
          <t>PF105330</t>
        </is>
      </c>
      <c r="B5339" s="68" t="n">
        <v>46301</v>
      </c>
      <c r="C5339" s="69" t="n">
        <v>2026</v>
      </c>
      <c r="D5339" t="inlineStr">
        <is>
          <t>Oct</t>
        </is>
      </c>
      <c r="E5339" t="inlineStr">
        <is>
          <t>Europe</t>
        </is>
      </c>
      <c r="F5339" t="inlineStr">
        <is>
          <t>Italy</t>
        </is>
      </c>
      <c r="G5339" t="inlineStr">
        <is>
          <t>Eliquis</t>
        </is>
      </c>
      <c r="H5339" t="inlineStr">
        <is>
          <t>Hospital</t>
        </is>
      </c>
      <c r="I5339" t="inlineStr">
        <is>
          <t>Private insurer</t>
        </is>
      </c>
      <c r="J5339" t="inlineStr">
        <is>
          <t>Omar Haddad</t>
        </is>
      </c>
      <c r="K5339" s="70" t="n">
        <v>2733</v>
      </c>
      <c r="L5339" s="71" t="n">
        <v>391.05</v>
      </c>
      <c r="M5339" s="71" t="n">
        <v>1068739.65</v>
      </c>
      <c r="N5339" s="71" t="n">
        <v>53436.98</v>
      </c>
      <c r="O5339" s="71" t="n">
        <v>1015302.67</v>
      </c>
      <c r="P5339" s="71" t="n">
        <v>211162.38</v>
      </c>
      <c r="Q5339" s="71" t="n">
        <v>804140.29</v>
      </c>
      <c r="R5339" t="inlineStr">
        <is>
          <t>Cardiology</t>
        </is>
      </c>
      <c r="S5339" s="70" t="n">
        <v>1715</v>
      </c>
      <c r="T5339" s="71" t="n">
        <v>213007.89</v>
      </c>
      <c r="U5339" t="inlineStr">
        <is>
          <t>High</t>
        </is>
      </c>
      <c r="V5339">
        <f>IF(AND(OR(Dashboard!$C$6="All",E5339=Dashboard!$C$6),OR(Dashboard!$F$6="All",G5339=Dashboard!$F$6),OR(Dashboard!$I$6="All",H5339=Dashboard!$I$6)),1,0)</f>
        <v/>
      </c>
    </row>
    <row r="5340">
      <c r="A5340" t="inlineStr">
        <is>
          <t>PF105331</t>
        </is>
      </c>
      <c r="B5340" s="68" t="n">
        <v>46301</v>
      </c>
      <c r="C5340" s="69" t="n">
        <v>2026</v>
      </c>
      <c r="D5340" t="inlineStr">
        <is>
          <t>Oct</t>
        </is>
      </c>
      <c r="E5340" t="inlineStr">
        <is>
          <t>United States</t>
        </is>
      </c>
      <c r="F5340" t="inlineStr">
        <is>
          <t>USA</t>
        </is>
      </c>
      <c r="G5340" t="inlineStr">
        <is>
          <t>Eliquis</t>
        </is>
      </c>
      <c r="H5340" t="inlineStr">
        <is>
          <t>Retail pharmacy</t>
        </is>
      </c>
      <c r="I5340" t="inlineStr">
        <is>
          <t>Public payer</t>
        </is>
      </c>
      <c r="J5340" t="inlineStr">
        <is>
          <t>Aisha Bello</t>
        </is>
      </c>
      <c r="K5340" s="70" t="n">
        <v>3218</v>
      </c>
      <c r="L5340" s="71" t="n">
        <v>679.3200000000001</v>
      </c>
      <c r="M5340" s="71" t="n">
        <v>2186051.76</v>
      </c>
      <c r="N5340" s="71" t="n">
        <v>327907.76</v>
      </c>
      <c r="O5340" s="71" t="n">
        <v>1858144</v>
      </c>
      <c r="P5340" s="71" t="n">
        <v>243928.67</v>
      </c>
      <c r="Q5340" s="71" t="n">
        <v>1614215.33</v>
      </c>
      <c r="R5340" t="inlineStr">
        <is>
          <t>Cardiology</t>
        </is>
      </c>
      <c r="S5340" s="70" t="n">
        <v>2318</v>
      </c>
      <c r="T5340" s="71" t="n">
        <v>466203.83</v>
      </c>
      <c r="U5340" t="inlineStr">
        <is>
          <t>High</t>
        </is>
      </c>
      <c r="V5340">
        <f>IF(AND(OR(Dashboard!$C$6="All",E5340=Dashboard!$C$6),OR(Dashboard!$F$6="All",G5340=Dashboard!$F$6),OR(Dashboard!$I$6="All",H5340=Dashboard!$I$6)),1,0)</f>
        <v/>
      </c>
    </row>
    <row r="5341">
      <c r="A5341" t="inlineStr">
        <is>
          <t>PF105332</t>
        </is>
      </c>
      <c r="B5341" s="68" t="n">
        <v>46301</v>
      </c>
      <c r="C5341" s="69" t="n">
        <v>2026</v>
      </c>
      <c r="D5341" t="inlineStr">
        <is>
          <t>Oct</t>
        </is>
      </c>
      <c r="E5341" t="inlineStr">
        <is>
          <t>United States</t>
        </is>
      </c>
      <c r="F5341" t="inlineStr">
        <is>
          <t>USA</t>
        </is>
      </c>
      <c r="G5341" t="inlineStr">
        <is>
          <t>Comirnaty</t>
        </is>
      </c>
      <c r="H5341" t="inlineStr">
        <is>
          <t>Retail pharmacy</t>
        </is>
      </c>
      <c r="I5341" t="inlineStr">
        <is>
          <t>Public payer</t>
        </is>
      </c>
      <c r="J5341" t="inlineStr">
        <is>
          <t>Ana Costa</t>
        </is>
      </c>
      <c r="K5341" s="70" t="n">
        <v>2312</v>
      </c>
      <c r="L5341" s="71" t="n">
        <v>134.27</v>
      </c>
      <c r="M5341" s="71" t="n">
        <v>310432.24</v>
      </c>
      <c r="N5341" s="71" t="n">
        <v>93129.67</v>
      </c>
      <c r="O5341" s="71" t="n">
        <v>217302.57</v>
      </c>
      <c r="P5341" s="71" t="n">
        <v>90211.67</v>
      </c>
      <c r="Q5341" s="71" t="n">
        <v>127090.9</v>
      </c>
      <c r="R5341" t="inlineStr">
        <is>
          <t>Vaccines</t>
        </is>
      </c>
      <c r="S5341" s="70" t="n">
        <v>1504</v>
      </c>
      <c r="T5341" s="71" t="n">
        <v>69345.57000000001</v>
      </c>
      <c r="U5341" t="inlineStr">
        <is>
          <t>Low</t>
        </is>
      </c>
      <c r="V5341">
        <f>IF(AND(OR(Dashboard!$C$6="All",E5341=Dashboard!$C$6),OR(Dashboard!$F$6="All",G5341=Dashboard!$F$6),OR(Dashboard!$I$6="All",H5341=Dashboard!$I$6)),1,0)</f>
        <v/>
      </c>
    </row>
    <row r="5342">
      <c r="A5342" t="inlineStr">
        <is>
          <t>PF105333</t>
        </is>
      </c>
      <c r="B5342" s="68" t="n">
        <v>46302</v>
      </c>
      <c r="C5342" s="69" t="n">
        <v>2026</v>
      </c>
      <c r="D5342" t="inlineStr">
        <is>
          <t>Oct</t>
        </is>
      </c>
      <c r="E5342" t="inlineStr">
        <is>
          <t>Europe</t>
        </is>
      </c>
      <c r="F5342" t="inlineStr">
        <is>
          <t>UK</t>
        </is>
      </c>
      <c r="G5342" t="inlineStr">
        <is>
          <t>Abrysvo</t>
        </is>
      </c>
      <c r="H5342" t="inlineStr">
        <is>
          <t>Hospital</t>
        </is>
      </c>
      <c r="I5342" t="inlineStr">
        <is>
          <t>Private insurer</t>
        </is>
      </c>
      <c r="J5342" t="inlineStr">
        <is>
          <t>Hiroshi Tanaka</t>
        </is>
      </c>
      <c r="K5342" s="70" t="n">
        <v>685</v>
      </c>
      <c r="L5342" s="71" t="n">
        <v>346.61</v>
      </c>
      <c r="M5342" s="71" t="n">
        <v>237427.85</v>
      </c>
      <c r="N5342" s="71" t="n">
        <v>23742.79</v>
      </c>
      <c r="O5342" s="71" t="n">
        <v>213685.06</v>
      </c>
      <c r="P5342" s="71" t="n">
        <v>56629.82</v>
      </c>
      <c r="Q5342" s="71" t="n">
        <v>157055.24</v>
      </c>
      <c r="R5342" t="inlineStr">
        <is>
          <t>Vaccines</t>
        </is>
      </c>
      <c r="S5342" s="70" t="n">
        <v>472</v>
      </c>
      <c r="T5342" s="71" t="n">
        <v>34275.06</v>
      </c>
      <c r="U5342" t="inlineStr">
        <is>
          <t>Low</t>
        </is>
      </c>
      <c r="V5342">
        <f>IF(AND(OR(Dashboard!$C$6="All",E5342=Dashboard!$C$6),OR(Dashboard!$F$6="All",G5342=Dashboard!$F$6),OR(Dashboard!$I$6="All",H5342=Dashboard!$I$6)),1,0)</f>
        <v/>
      </c>
    </row>
    <row r="5343">
      <c r="A5343" t="inlineStr">
        <is>
          <t>PF105334</t>
        </is>
      </c>
      <c r="B5343" s="68" t="n">
        <v>46302</v>
      </c>
      <c r="C5343" s="69" t="n">
        <v>2026</v>
      </c>
      <c r="D5343" t="inlineStr">
        <is>
          <t>Oct</t>
        </is>
      </c>
      <c r="E5343" t="inlineStr">
        <is>
          <t>United States</t>
        </is>
      </c>
      <c r="F5343" t="inlineStr">
        <is>
          <t>USA</t>
        </is>
      </c>
      <c r="G5343" t="inlineStr">
        <is>
          <t>Vyndaqel</t>
        </is>
      </c>
      <c r="H5343" t="inlineStr">
        <is>
          <t>Hospital</t>
        </is>
      </c>
      <c r="I5343" t="inlineStr">
        <is>
          <t>Private insurer</t>
        </is>
      </c>
      <c r="J5343" t="inlineStr">
        <is>
          <t>Aisha Bello</t>
        </is>
      </c>
      <c r="K5343" s="70" t="n">
        <v>1262</v>
      </c>
      <c r="L5343" s="71" t="n">
        <v>8920.32</v>
      </c>
      <c r="M5343" s="71" t="n">
        <v>11257443.84</v>
      </c>
      <c r="N5343" s="71" t="n">
        <v>2251488.77</v>
      </c>
      <c r="O5343" s="71" t="n">
        <v>9005955.07</v>
      </c>
      <c r="P5343" s="71" t="n">
        <v>815007.2</v>
      </c>
      <c r="Q5343" s="71" t="n">
        <v>8190947.87</v>
      </c>
      <c r="R5343" t="inlineStr">
        <is>
          <t>Rare disease</t>
        </is>
      </c>
      <c r="S5343" s="70" t="n">
        <v>806</v>
      </c>
      <c r="T5343" s="71" t="n">
        <v>1365993.45</v>
      </c>
      <c r="U5343" t="inlineStr">
        <is>
          <t>Medium</t>
        </is>
      </c>
      <c r="V5343">
        <f>IF(AND(OR(Dashboard!$C$6="All",E5343=Dashboard!$C$6),OR(Dashboard!$F$6="All",G5343=Dashboard!$F$6),OR(Dashboard!$I$6="All",H5343=Dashboard!$I$6)),1,0)</f>
        <v/>
      </c>
    </row>
    <row r="5344">
      <c r="A5344" t="inlineStr">
        <is>
          <t>PF105335</t>
        </is>
      </c>
      <c r="B5344" s="68" t="n">
        <v>46302</v>
      </c>
      <c r="C5344" s="69" t="n">
        <v>2026</v>
      </c>
      <c r="D5344" t="inlineStr">
        <is>
          <t>Oct</t>
        </is>
      </c>
      <c r="E5344" t="inlineStr">
        <is>
          <t>Emerging markets</t>
        </is>
      </c>
      <c r="F5344" t="inlineStr">
        <is>
          <t>China</t>
        </is>
      </c>
      <c r="G5344" t="inlineStr">
        <is>
          <t>Eliquis</t>
        </is>
      </c>
      <c r="H5344" t="inlineStr">
        <is>
          <t>Government / tender</t>
        </is>
      </c>
      <c r="I5344" t="inlineStr">
        <is>
          <t>Private insurer</t>
        </is>
      </c>
      <c r="J5344" t="inlineStr">
        <is>
          <t>Kofi Mensah</t>
        </is>
      </c>
      <c r="K5344" s="70" t="n">
        <v>2560</v>
      </c>
      <c r="L5344" s="71" t="n">
        <v>395.06</v>
      </c>
      <c r="M5344" s="71" t="n">
        <v>1011353.6</v>
      </c>
      <c r="N5344" s="71" t="n">
        <v>252838.4</v>
      </c>
      <c r="O5344" s="71" t="n">
        <v>758515.2</v>
      </c>
      <c r="P5344" s="71" t="n">
        <v>198706.23</v>
      </c>
      <c r="Q5344" s="71" t="n">
        <v>559808.97</v>
      </c>
      <c r="R5344" t="inlineStr">
        <is>
          <t>Cardiology</t>
        </is>
      </c>
      <c r="S5344" s="70" t="n">
        <v>1865</v>
      </c>
      <c r="T5344" s="71" t="n">
        <v>211006.89</v>
      </c>
      <c r="U5344" t="inlineStr">
        <is>
          <t>High</t>
        </is>
      </c>
      <c r="V5344">
        <f>IF(AND(OR(Dashboard!$C$6="All",E5344=Dashboard!$C$6),OR(Dashboard!$F$6="All",G5344=Dashboard!$F$6),OR(Dashboard!$I$6="All",H5344=Dashboard!$I$6)),1,0)</f>
        <v/>
      </c>
    </row>
    <row r="5345">
      <c r="A5345" t="inlineStr">
        <is>
          <t>PF105336</t>
        </is>
      </c>
      <c r="B5345" s="68" t="n">
        <v>46302</v>
      </c>
      <c r="C5345" s="69" t="n">
        <v>2026</v>
      </c>
      <c r="D5345" t="inlineStr">
        <is>
          <t>Oct</t>
        </is>
      </c>
      <c r="E5345" t="inlineStr">
        <is>
          <t>United States</t>
        </is>
      </c>
      <c r="F5345" t="inlineStr">
        <is>
          <t>USA</t>
        </is>
      </c>
      <c r="G5345" t="inlineStr">
        <is>
          <t>Comirnaty</t>
        </is>
      </c>
      <c r="H5345" t="inlineStr">
        <is>
          <t>Hospital</t>
        </is>
      </c>
      <c r="I5345" t="inlineStr">
        <is>
          <t>Private insurer</t>
        </is>
      </c>
      <c r="J5345" t="inlineStr">
        <is>
          <t>Noah Smith</t>
        </is>
      </c>
      <c r="K5345" s="70" t="n">
        <v>2119</v>
      </c>
      <c r="L5345" s="71" t="n">
        <v>143.69</v>
      </c>
      <c r="M5345" s="71" t="n">
        <v>304479.11</v>
      </c>
      <c r="N5345" s="71" t="n">
        <v>76119.78</v>
      </c>
      <c r="O5345" s="71" t="n">
        <v>228359.33</v>
      </c>
      <c r="P5345" s="71" t="n">
        <v>82920.78999999999</v>
      </c>
      <c r="Q5345" s="71" t="n">
        <v>145438.54</v>
      </c>
      <c r="R5345" t="inlineStr">
        <is>
          <t>Vaccines</t>
        </is>
      </c>
      <c r="S5345" s="70" t="n">
        <v>1947</v>
      </c>
      <c r="T5345" s="71" t="n">
        <v>58162.55</v>
      </c>
      <c r="U5345" t="inlineStr">
        <is>
          <t>Low</t>
        </is>
      </c>
      <c r="V5345">
        <f>IF(AND(OR(Dashboard!$C$6="All",E5345=Dashboard!$C$6),OR(Dashboard!$F$6="All",G5345=Dashboard!$F$6),OR(Dashboard!$I$6="All",H5345=Dashboard!$I$6)),1,0)</f>
        <v/>
      </c>
    </row>
    <row r="5346">
      <c r="A5346" t="inlineStr">
        <is>
          <t>PF105337</t>
        </is>
      </c>
      <c r="B5346" s="68" t="n">
        <v>46302</v>
      </c>
      <c r="C5346" s="69" t="n">
        <v>2026</v>
      </c>
      <c r="D5346" t="inlineStr">
        <is>
          <t>Oct</t>
        </is>
      </c>
      <c r="E5346" t="inlineStr">
        <is>
          <t>United States</t>
        </is>
      </c>
      <c r="F5346" t="inlineStr">
        <is>
          <t>USA</t>
        </is>
      </c>
      <c r="G5346" t="inlineStr">
        <is>
          <t>Vyndaqel</t>
        </is>
      </c>
      <c r="H5346" t="inlineStr">
        <is>
          <t>Retail pharmacy</t>
        </is>
      </c>
      <c r="I5346" t="inlineStr">
        <is>
          <t>Self-pay</t>
        </is>
      </c>
      <c r="J5346" t="inlineStr">
        <is>
          <t>Ruhi Shaikh</t>
        </is>
      </c>
      <c r="K5346" s="70" t="n">
        <v>2527</v>
      </c>
      <c r="L5346" s="71" t="n">
        <v>10087.36</v>
      </c>
      <c r="M5346" s="71" t="n">
        <v>25490758.72</v>
      </c>
      <c r="N5346" s="71" t="n">
        <v>3823613.81</v>
      </c>
      <c r="O5346" s="71" t="n">
        <v>21667144.91</v>
      </c>
      <c r="P5346" s="71" t="n">
        <v>1585517.21</v>
      </c>
      <c r="Q5346" s="71" t="n">
        <v>20081627.7</v>
      </c>
      <c r="R5346" t="inlineStr">
        <is>
          <t>Rare disease</t>
        </is>
      </c>
      <c r="S5346" s="70" t="n">
        <v>2032</v>
      </c>
      <c r="T5346" s="71" t="n">
        <v>4347239</v>
      </c>
      <c r="U5346" t="inlineStr">
        <is>
          <t>Medium</t>
        </is>
      </c>
      <c r="V5346">
        <f>IF(AND(OR(Dashboard!$C$6="All",E5346=Dashboard!$C$6),OR(Dashboard!$F$6="All",G5346=Dashboard!$F$6),OR(Dashboard!$I$6="All",H5346=Dashboard!$I$6)),1,0)</f>
        <v/>
      </c>
    </row>
    <row r="5347">
      <c r="A5347" t="inlineStr">
        <is>
          <t>PF105338</t>
        </is>
      </c>
      <c r="B5347" s="68" t="n">
        <v>46302</v>
      </c>
      <c r="C5347" s="69" t="n">
        <v>2026</v>
      </c>
      <c r="D5347" t="inlineStr">
        <is>
          <t>Oct</t>
        </is>
      </c>
      <c r="E5347" t="inlineStr">
        <is>
          <t>United States</t>
        </is>
      </c>
      <c r="F5347" t="inlineStr">
        <is>
          <t>USA</t>
        </is>
      </c>
      <c r="G5347" t="inlineStr">
        <is>
          <t>Xeljanz</t>
        </is>
      </c>
      <c r="H5347" t="inlineStr">
        <is>
          <t>Government / tender</t>
        </is>
      </c>
      <c r="I5347" t="inlineStr">
        <is>
          <t>Public payer</t>
        </is>
      </c>
      <c r="J5347" t="inlineStr">
        <is>
          <t>Arjun Mehta</t>
        </is>
      </c>
      <c r="K5347" s="70" t="n">
        <v>1476</v>
      </c>
      <c r="L5347" s="71" t="n">
        <v>2265.8</v>
      </c>
      <c r="M5347" s="71" t="n">
        <v>3344320.8</v>
      </c>
      <c r="N5347" s="71" t="n">
        <v>501648.12</v>
      </c>
      <c r="O5347" s="71" t="n">
        <v>2842672.68</v>
      </c>
      <c r="P5347" s="71" t="n">
        <v>371072.98</v>
      </c>
      <c r="Q5347" s="71" t="n">
        <v>2471599.7</v>
      </c>
      <c r="R5347" t="inlineStr">
        <is>
          <t>Inflammation</t>
        </is>
      </c>
      <c r="S5347" s="70" t="n">
        <v>1079</v>
      </c>
      <c r="T5347" s="71" t="n">
        <v>454726.22</v>
      </c>
      <c r="U5347" t="inlineStr">
        <is>
          <t>High</t>
        </is>
      </c>
      <c r="V5347">
        <f>IF(AND(OR(Dashboard!$C$6="All",E5347=Dashboard!$C$6),OR(Dashboard!$F$6="All",G5347=Dashboard!$F$6),OR(Dashboard!$I$6="All",H5347=Dashboard!$I$6)),1,0)</f>
        <v/>
      </c>
    </row>
    <row r="5348">
      <c r="A5348" t="inlineStr">
        <is>
          <t>PF105339</t>
        </is>
      </c>
      <c r="B5348" s="68" t="n">
        <v>46302</v>
      </c>
      <c r="C5348" s="69" t="n">
        <v>2026</v>
      </c>
      <c r="D5348" t="inlineStr">
        <is>
          <t>Oct</t>
        </is>
      </c>
      <c r="E5348" t="inlineStr">
        <is>
          <t>Emerging markets</t>
        </is>
      </c>
      <c r="F5348" t="inlineStr">
        <is>
          <t>India</t>
        </is>
      </c>
      <c r="G5348" t="inlineStr">
        <is>
          <t>Ibrance</t>
        </is>
      </c>
      <c r="H5348" t="inlineStr">
        <is>
          <t>Retail pharmacy</t>
        </is>
      </c>
      <c r="I5348" t="inlineStr">
        <is>
          <t>Private insurer</t>
        </is>
      </c>
      <c r="J5348" t="inlineStr">
        <is>
          <t>Wei Chen</t>
        </is>
      </c>
      <c r="K5348" s="70" t="n">
        <v>1980</v>
      </c>
      <c r="L5348" s="71" t="n">
        <v>2915.72</v>
      </c>
      <c r="M5348" s="71" t="n">
        <v>5773125.6</v>
      </c>
      <c r="N5348" s="71" t="n">
        <v>865968.84</v>
      </c>
      <c r="O5348" s="71" t="n">
        <v>4907156.76</v>
      </c>
      <c r="P5348" s="71" t="n">
        <v>835184.97</v>
      </c>
      <c r="Q5348" s="71" t="n">
        <v>4071971.79</v>
      </c>
      <c r="R5348" t="inlineStr">
        <is>
          <t>Oncology</t>
        </is>
      </c>
      <c r="S5348" s="70" t="n">
        <v>1963</v>
      </c>
      <c r="T5348" s="71" t="n">
        <v>953484.74</v>
      </c>
      <c r="U5348" t="inlineStr">
        <is>
          <t>High</t>
        </is>
      </c>
      <c r="V5348">
        <f>IF(AND(OR(Dashboard!$C$6="All",E5348=Dashboard!$C$6),OR(Dashboard!$F$6="All",G5348=Dashboard!$F$6),OR(Dashboard!$I$6="All",H5348=Dashboard!$I$6)),1,0)</f>
        <v/>
      </c>
    </row>
    <row r="5349">
      <c r="A5349" t="inlineStr">
        <is>
          <t>PF105340</t>
        </is>
      </c>
      <c r="B5349" s="68" t="n">
        <v>46302</v>
      </c>
      <c r="C5349" s="69" t="n">
        <v>2026</v>
      </c>
      <c r="D5349" t="inlineStr">
        <is>
          <t>Oct</t>
        </is>
      </c>
      <c r="E5349" t="inlineStr">
        <is>
          <t>United States</t>
        </is>
      </c>
      <c r="F5349" t="inlineStr">
        <is>
          <t>USA</t>
        </is>
      </c>
      <c r="G5349" t="inlineStr">
        <is>
          <t>Eliquis</t>
        </is>
      </c>
      <c r="H5349" t="inlineStr">
        <is>
          <t>Government / tender</t>
        </is>
      </c>
      <c r="I5349" t="inlineStr">
        <is>
          <t>Private insurer</t>
        </is>
      </c>
      <c r="J5349" t="inlineStr">
        <is>
          <t>Amir Khan</t>
        </is>
      </c>
      <c r="K5349" s="70" t="n">
        <v>757</v>
      </c>
      <c r="L5349" s="71" t="n">
        <v>661.5</v>
      </c>
      <c r="M5349" s="71" t="n">
        <v>500755.5</v>
      </c>
      <c r="N5349" s="71" t="n">
        <v>75113.33</v>
      </c>
      <c r="O5349" s="71" t="n">
        <v>425642.17</v>
      </c>
      <c r="P5349" s="71" t="n">
        <v>57972.94</v>
      </c>
      <c r="Q5349" s="71" t="n">
        <v>367669.23</v>
      </c>
      <c r="R5349" t="inlineStr">
        <is>
          <t>Cardiology</t>
        </is>
      </c>
      <c r="S5349" s="70" t="n">
        <v>756</v>
      </c>
      <c r="T5349" s="71" t="n">
        <v>101366.1</v>
      </c>
      <c r="U5349" t="inlineStr">
        <is>
          <t>High</t>
        </is>
      </c>
      <c r="V5349">
        <f>IF(AND(OR(Dashboard!$C$6="All",E5349=Dashboard!$C$6),OR(Dashboard!$F$6="All",G5349=Dashboard!$F$6),OR(Dashboard!$I$6="All",H5349=Dashboard!$I$6)),1,0)</f>
        <v/>
      </c>
    </row>
    <row r="5350">
      <c r="A5350" t="inlineStr">
        <is>
          <t>PF105341</t>
        </is>
      </c>
      <c r="B5350" s="68" t="n">
        <v>46303</v>
      </c>
      <c r="C5350" s="69" t="n">
        <v>2026</v>
      </c>
      <c r="D5350" t="inlineStr">
        <is>
          <t>Oct</t>
        </is>
      </c>
      <c r="E5350" t="inlineStr">
        <is>
          <t>United States</t>
        </is>
      </c>
      <c r="F5350" t="inlineStr">
        <is>
          <t>USA</t>
        </is>
      </c>
      <c r="G5350" t="inlineStr">
        <is>
          <t>Prevnar 20</t>
        </is>
      </c>
      <c r="H5350" t="inlineStr">
        <is>
          <t>Hospital</t>
        </is>
      </c>
      <c r="I5350" t="inlineStr">
        <is>
          <t>Public payer</t>
        </is>
      </c>
      <c r="J5350" t="inlineStr">
        <is>
          <t>Lucas Martin</t>
        </is>
      </c>
      <c r="K5350" s="70" t="n">
        <v>366</v>
      </c>
      <c r="L5350" s="71" t="n">
        <v>344.67</v>
      </c>
      <c r="M5350" s="71" t="n">
        <v>126149.22</v>
      </c>
      <c r="N5350" s="71" t="n">
        <v>37844.77</v>
      </c>
      <c r="O5350" s="71" t="n">
        <v>88304.45</v>
      </c>
      <c r="P5350" s="71" t="n">
        <v>24426.12</v>
      </c>
      <c r="Q5350" s="71" t="n">
        <v>63878.33</v>
      </c>
      <c r="R5350" t="inlineStr">
        <is>
          <t>Vaccines</t>
        </is>
      </c>
      <c r="S5350" s="70" t="n">
        <v>289</v>
      </c>
      <c r="T5350" s="71" t="n">
        <v>19925.91</v>
      </c>
      <c r="U5350" t="inlineStr">
        <is>
          <t>Low</t>
        </is>
      </c>
      <c r="V5350">
        <f>IF(AND(OR(Dashboard!$C$6="All",E5350=Dashboard!$C$6),OR(Dashboard!$F$6="All",G5350=Dashboard!$F$6),OR(Dashboard!$I$6="All",H5350=Dashboard!$I$6)),1,0)</f>
        <v/>
      </c>
    </row>
    <row r="5351">
      <c r="A5351" t="inlineStr">
        <is>
          <t>PF105342</t>
        </is>
      </c>
      <c r="B5351" s="68" t="n">
        <v>46303</v>
      </c>
      <c r="C5351" s="69" t="n">
        <v>2026</v>
      </c>
      <c r="D5351" t="inlineStr">
        <is>
          <t>Oct</t>
        </is>
      </c>
      <c r="E5351" t="inlineStr">
        <is>
          <t>International developed</t>
        </is>
      </c>
      <c r="F5351" t="inlineStr">
        <is>
          <t>Canada</t>
        </is>
      </c>
      <c r="G5351" t="inlineStr">
        <is>
          <t>Eliquis</t>
        </is>
      </c>
      <c r="H5351" t="inlineStr">
        <is>
          <t>Retail pharmacy</t>
        </is>
      </c>
      <c r="I5351" t="inlineStr">
        <is>
          <t>Self-pay</t>
        </is>
      </c>
      <c r="J5351" t="inlineStr">
        <is>
          <t>Yuki Sato</t>
        </is>
      </c>
      <c r="K5351" s="70" t="n">
        <v>1883</v>
      </c>
      <c r="L5351" s="71" t="n">
        <v>463.94</v>
      </c>
      <c r="M5351" s="71" t="n">
        <v>873599.02</v>
      </c>
      <c r="N5351" s="71" t="n">
        <v>218399.76</v>
      </c>
      <c r="O5351" s="71" t="n">
        <v>655199.26</v>
      </c>
      <c r="P5351" s="71" t="n">
        <v>142687.28</v>
      </c>
      <c r="Q5351" s="71" t="n">
        <v>512511.98</v>
      </c>
      <c r="R5351" t="inlineStr">
        <is>
          <t>Cardiology</t>
        </is>
      </c>
      <c r="S5351" s="70" t="n">
        <v>1345</v>
      </c>
      <c r="T5351" s="71" t="n">
        <v>131501.4</v>
      </c>
      <c r="U5351" t="inlineStr">
        <is>
          <t>High</t>
        </is>
      </c>
      <c r="V5351">
        <f>IF(AND(OR(Dashboard!$C$6="All",E5351=Dashboard!$C$6),OR(Dashboard!$F$6="All",G5351=Dashboard!$F$6),OR(Dashboard!$I$6="All",H5351=Dashboard!$I$6)),1,0)</f>
        <v/>
      </c>
    </row>
    <row r="5352">
      <c r="A5352" t="inlineStr">
        <is>
          <t>PF105343</t>
        </is>
      </c>
      <c r="B5352" s="68" t="n">
        <v>46303</v>
      </c>
      <c r="C5352" s="69" t="n">
        <v>2026</v>
      </c>
      <c r="D5352" t="inlineStr">
        <is>
          <t>Oct</t>
        </is>
      </c>
      <c r="E5352" t="inlineStr">
        <is>
          <t>United States</t>
        </is>
      </c>
      <c r="F5352" t="inlineStr">
        <is>
          <t>USA</t>
        </is>
      </c>
      <c r="G5352" t="inlineStr">
        <is>
          <t>Prevnar 20</t>
        </is>
      </c>
      <c r="H5352" t="inlineStr">
        <is>
          <t>Hospital</t>
        </is>
      </c>
      <c r="I5352" t="inlineStr">
        <is>
          <t>Public payer</t>
        </is>
      </c>
      <c r="J5352" t="inlineStr">
        <is>
          <t>Ana Costa</t>
        </is>
      </c>
      <c r="K5352" s="70" t="n">
        <v>1843</v>
      </c>
      <c r="L5352" s="71" t="n">
        <v>361.85</v>
      </c>
      <c r="M5352" s="71" t="n">
        <v>666889.55</v>
      </c>
      <c r="N5352" s="71" t="n">
        <v>133377.91</v>
      </c>
      <c r="O5352" s="71" t="n">
        <v>533511.64</v>
      </c>
      <c r="P5352" s="71" t="n">
        <v>127828.43</v>
      </c>
      <c r="Q5352" s="71" t="n">
        <v>405683.21</v>
      </c>
      <c r="R5352" t="inlineStr">
        <is>
          <t>Vaccines</t>
        </is>
      </c>
      <c r="S5352" s="70" t="n">
        <v>1782</v>
      </c>
      <c r="T5352" s="71" t="n">
        <v>132710.79</v>
      </c>
      <c r="U5352" t="inlineStr">
        <is>
          <t>Low</t>
        </is>
      </c>
      <c r="V5352">
        <f>IF(AND(OR(Dashboard!$C$6="All",E5352=Dashboard!$C$6),OR(Dashboard!$F$6="All",G5352=Dashboard!$F$6),OR(Dashboard!$I$6="All",H5352=Dashboard!$I$6)),1,0)</f>
        <v/>
      </c>
    </row>
    <row r="5353">
      <c r="A5353" t="inlineStr">
        <is>
          <t>PF105344</t>
        </is>
      </c>
      <c r="B5353" s="68" t="n">
        <v>46303</v>
      </c>
      <c r="C5353" s="69" t="n">
        <v>2026</v>
      </c>
      <c r="D5353" t="inlineStr">
        <is>
          <t>Oct</t>
        </is>
      </c>
      <c r="E5353" t="inlineStr">
        <is>
          <t>International developed</t>
        </is>
      </c>
      <c r="F5353" t="inlineStr">
        <is>
          <t>Japan</t>
        </is>
      </c>
      <c r="G5353" t="inlineStr">
        <is>
          <t>Vyndaqel</t>
        </is>
      </c>
      <c r="H5353" t="inlineStr">
        <is>
          <t>Retail pharmacy</t>
        </is>
      </c>
      <c r="I5353" t="inlineStr">
        <is>
          <t>Public payer</t>
        </is>
      </c>
      <c r="J5353" t="inlineStr">
        <is>
          <t>Carlos Silva</t>
        </is>
      </c>
      <c r="K5353" s="70" t="n">
        <v>492</v>
      </c>
      <c r="L5353" s="71" t="n">
        <v>5537.68</v>
      </c>
      <c r="M5353" s="71" t="n">
        <v>2724538.56</v>
      </c>
      <c r="N5353" s="71" t="n">
        <v>544907.71</v>
      </c>
      <c r="O5353" s="71" t="n">
        <v>2179630.85</v>
      </c>
      <c r="P5353" s="71" t="n">
        <v>303544.3</v>
      </c>
      <c r="Q5353" s="71" t="n">
        <v>1876086.55</v>
      </c>
      <c r="R5353" t="inlineStr">
        <is>
          <t>Rare disease</t>
        </is>
      </c>
      <c r="S5353" s="70" t="n">
        <v>463</v>
      </c>
      <c r="T5353" s="71" t="n">
        <v>366487.16</v>
      </c>
      <c r="U5353" t="inlineStr">
        <is>
          <t>Medium</t>
        </is>
      </c>
      <c r="V5353">
        <f>IF(AND(OR(Dashboard!$C$6="All",E5353=Dashboard!$C$6),OR(Dashboard!$F$6="All",G5353=Dashboard!$F$6),OR(Dashboard!$I$6="All",H5353=Dashboard!$I$6)),1,0)</f>
        <v/>
      </c>
    </row>
    <row r="5354">
      <c r="A5354" t="inlineStr">
        <is>
          <t>PF105345</t>
        </is>
      </c>
      <c r="B5354" s="68" t="n">
        <v>46303</v>
      </c>
      <c r="C5354" s="69" t="n">
        <v>2026</v>
      </c>
      <c r="D5354" t="inlineStr">
        <is>
          <t>Oct</t>
        </is>
      </c>
      <c r="E5354" t="inlineStr">
        <is>
          <t>United States</t>
        </is>
      </c>
      <c r="F5354" t="inlineStr">
        <is>
          <t>USA</t>
        </is>
      </c>
      <c r="G5354" t="inlineStr">
        <is>
          <t>Xeljanz</t>
        </is>
      </c>
      <c r="H5354" t="inlineStr">
        <is>
          <t>Hospital</t>
        </is>
      </c>
      <c r="I5354" t="inlineStr">
        <is>
          <t>Private insurer</t>
        </is>
      </c>
      <c r="J5354" t="inlineStr">
        <is>
          <t>Kofi Mensah</t>
        </is>
      </c>
      <c r="K5354" s="70" t="n">
        <v>2408</v>
      </c>
      <c r="L5354" s="71" t="n">
        <v>2053.97</v>
      </c>
      <c r="M5354" s="71" t="n">
        <v>4945959.76</v>
      </c>
      <c r="N5354" s="71" t="n">
        <v>741893.96</v>
      </c>
      <c r="O5354" s="71" t="n">
        <v>4204065.8</v>
      </c>
      <c r="P5354" s="71" t="n">
        <v>611537.38</v>
      </c>
      <c r="Q5354" s="71" t="n">
        <v>3592528.42</v>
      </c>
      <c r="R5354" t="inlineStr">
        <is>
          <t>Inflammation</t>
        </is>
      </c>
      <c r="S5354" s="70" t="n">
        <v>2327</v>
      </c>
      <c r="T5354" s="71" t="n">
        <v>867242.49</v>
      </c>
      <c r="U5354" t="inlineStr">
        <is>
          <t>High</t>
        </is>
      </c>
      <c r="V5354">
        <f>IF(AND(OR(Dashboard!$C$6="All",E5354=Dashboard!$C$6),OR(Dashboard!$F$6="All",G5354=Dashboard!$F$6),OR(Dashboard!$I$6="All",H5354=Dashboard!$I$6)),1,0)</f>
        <v/>
      </c>
    </row>
    <row r="5355">
      <c r="A5355" t="inlineStr">
        <is>
          <t>PF105346</t>
        </is>
      </c>
      <c r="B5355" s="68" t="n">
        <v>46303</v>
      </c>
      <c r="C5355" s="69" t="n">
        <v>2026</v>
      </c>
      <c r="D5355" t="inlineStr">
        <is>
          <t>Oct</t>
        </is>
      </c>
      <c r="E5355" t="inlineStr">
        <is>
          <t>Europe</t>
        </is>
      </c>
      <c r="F5355" t="inlineStr">
        <is>
          <t>Germany</t>
        </is>
      </c>
      <c r="G5355" t="inlineStr">
        <is>
          <t>Eliquis</t>
        </is>
      </c>
      <c r="H5355" t="inlineStr">
        <is>
          <t>Retail pharmacy</t>
        </is>
      </c>
      <c r="I5355" t="inlineStr">
        <is>
          <t>Public payer</t>
        </is>
      </c>
      <c r="J5355" t="inlineStr">
        <is>
          <t>Priya Nair</t>
        </is>
      </c>
      <c r="K5355" s="70" t="n">
        <v>1321</v>
      </c>
      <c r="L5355" s="71" t="n">
        <v>475.53</v>
      </c>
      <c r="M5355" s="71" t="n">
        <v>628175.13</v>
      </c>
      <c r="N5355" s="71" t="n">
        <v>31408.76</v>
      </c>
      <c r="O5355" s="71" t="n">
        <v>596766.37</v>
      </c>
      <c r="P5355" s="71" t="n">
        <v>98848.62</v>
      </c>
      <c r="Q5355" s="71" t="n">
        <v>497917.75</v>
      </c>
      <c r="R5355" t="inlineStr">
        <is>
          <t>Cardiology</t>
        </is>
      </c>
      <c r="S5355" s="70" t="n">
        <v>1023</v>
      </c>
      <c r="T5355" s="71" t="n">
        <v>74262.12</v>
      </c>
      <c r="U5355" t="inlineStr">
        <is>
          <t>High</t>
        </is>
      </c>
      <c r="V5355">
        <f>IF(AND(OR(Dashboard!$C$6="All",E5355=Dashboard!$C$6),OR(Dashboard!$F$6="All",G5355=Dashboard!$F$6),OR(Dashboard!$I$6="All",H5355=Dashboard!$I$6)),1,0)</f>
        <v/>
      </c>
    </row>
    <row r="5356">
      <c r="A5356" t="inlineStr">
        <is>
          <t>PF105347</t>
        </is>
      </c>
      <c r="B5356" s="68" t="n">
        <v>46303</v>
      </c>
      <c r="C5356" s="69" t="n">
        <v>2026</v>
      </c>
      <c r="D5356" t="inlineStr">
        <is>
          <t>Oct</t>
        </is>
      </c>
      <c r="E5356" t="inlineStr">
        <is>
          <t>International developed</t>
        </is>
      </c>
      <c r="F5356" t="inlineStr">
        <is>
          <t>Australia</t>
        </is>
      </c>
      <c r="G5356" t="inlineStr">
        <is>
          <t>Prevnar 20</t>
        </is>
      </c>
      <c r="H5356" t="inlineStr">
        <is>
          <t>Retail pharmacy</t>
        </is>
      </c>
      <c r="I5356" t="inlineStr">
        <is>
          <t>Private insurer</t>
        </is>
      </c>
      <c r="J5356" t="inlineStr">
        <is>
          <t>Noah Smith</t>
        </is>
      </c>
      <c r="K5356" s="70" t="n">
        <v>2799</v>
      </c>
      <c r="L5356" s="71" t="n">
        <v>220.42</v>
      </c>
      <c r="M5356" s="71" t="n">
        <v>616955.58</v>
      </c>
      <c r="N5356" s="71" t="n">
        <v>154238.89</v>
      </c>
      <c r="O5356" s="71" t="n">
        <v>462716.69</v>
      </c>
      <c r="P5356" s="71" t="n">
        <v>188187.45</v>
      </c>
      <c r="Q5356" s="71" t="n">
        <v>274529.24</v>
      </c>
      <c r="R5356" t="inlineStr">
        <is>
          <t>Vaccines</t>
        </is>
      </c>
      <c r="S5356" s="70" t="n">
        <v>2490</v>
      </c>
      <c r="T5356" s="71" t="n">
        <v>109941.69</v>
      </c>
      <c r="U5356" t="inlineStr">
        <is>
          <t>Low</t>
        </is>
      </c>
      <c r="V5356">
        <f>IF(AND(OR(Dashboard!$C$6="All",E5356=Dashboard!$C$6),OR(Dashboard!$F$6="All",G5356=Dashboard!$F$6),OR(Dashboard!$I$6="All",H5356=Dashboard!$I$6)),1,0)</f>
        <v/>
      </c>
    </row>
    <row r="5357">
      <c r="A5357" t="inlineStr">
        <is>
          <t>PF105348</t>
        </is>
      </c>
      <c r="B5357" s="68" t="n">
        <v>46303</v>
      </c>
      <c r="C5357" s="69" t="n">
        <v>2026</v>
      </c>
      <c r="D5357" t="inlineStr">
        <is>
          <t>Oct</t>
        </is>
      </c>
      <c r="E5357" t="inlineStr">
        <is>
          <t>Europe</t>
        </is>
      </c>
      <c r="F5357" t="inlineStr">
        <is>
          <t>UK</t>
        </is>
      </c>
      <c r="G5357" t="inlineStr">
        <is>
          <t>Ibrance</t>
        </is>
      </c>
      <c r="H5357" t="inlineStr">
        <is>
          <t>Retail pharmacy</t>
        </is>
      </c>
      <c r="I5357" t="inlineStr">
        <is>
          <t>Private insurer</t>
        </is>
      </c>
      <c r="J5357" t="inlineStr">
        <is>
          <t>Liam O'Brien</t>
        </is>
      </c>
      <c r="K5357" s="70" t="n">
        <v>623</v>
      </c>
      <c r="L5357" s="71" t="n">
        <v>3081.43</v>
      </c>
      <c r="M5357" s="71" t="n">
        <v>1919730.89</v>
      </c>
      <c r="N5357" s="71" t="n">
        <v>383946.18</v>
      </c>
      <c r="O5357" s="71" t="n">
        <v>1535784.71</v>
      </c>
      <c r="P5357" s="71" t="n">
        <v>275776.27</v>
      </c>
      <c r="Q5357" s="71" t="n">
        <v>1260008.44</v>
      </c>
      <c r="R5357" t="inlineStr">
        <is>
          <t>Oncology</t>
        </is>
      </c>
      <c r="S5357" s="70" t="n">
        <v>421</v>
      </c>
      <c r="T5357" s="71" t="n">
        <v>385383.6</v>
      </c>
      <c r="U5357" t="inlineStr">
        <is>
          <t>High</t>
        </is>
      </c>
      <c r="V5357">
        <f>IF(AND(OR(Dashboard!$C$6="All",E5357=Dashboard!$C$6),OR(Dashboard!$F$6="All",G5357=Dashboard!$F$6),OR(Dashboard!$I$6="All",H5357=Dashboard!$I$6)),1,0)</f>
        <v/>
      </c>
    </row>
    <row r="5358">
      <c r="A5358" t="inlineStr">
        <is>
          <t>PF105349</t>
        </is>
      </c>
      <c r="B5358" s="68" t="n">
        <v>46303</v>
      </c>
      <c r="C5358" s="69" t="n">
        <v>2026</v>
      </c>
      <c r="D5358" t="inlineStr">
        <is>
          <t>Oct</t>
        </is>
      </c>
      <c r="E5358" t="inlineStr">
        <is>
          <t>Europe</t>
        </is>
      </c>
      <c r="F5358" t="inlineStr">
        <is>
          <t>Italy</t>
        </is>
      </c>
      <c r="G5358" t="inlineStr">
        <is>
          <t>Prevnar 20</t>
        </is>
      </c>
      <c r="H5358" t="inlineStr">
        <is>
          <t>Hospital</t>
        </is>
      </c>
      <c r="I5358" t="inlineStr">
        <is>
          <t>Public payer</t>
        </is>
      </c>
      <c r="J5358" t="inlineStr">
        <is>
          <t>Priya Nair</t>
        </is>
      </c>
      <c r="K5358" s="70" t="n">
        <v>2446</v>
      </c>
      <c r="L5358" s="71" t="n">
        <v>241.26</v>
      </c>
      <c r="M5358" s="71" t="n">
        <v>590121.96</v>
      </c>
      <c r="N5358" s="71" t="n">
        <v>147530.49</v>
      </c>
      <c r="O5358" s="71" t="n">
        <v>442591.47</v>
      </c>
      <c r="P5358" s="71" t="n">
        <v>171038.38</v>
      </c>
      <c r="Q5358" s="71" t="n">
        <v>271553.09</v>
      </c>
      <c r="R5358" t="inlineStr">
        <is>
          <t>Vaccines</t>
        </is>
      </c>
      <c r="S5358" s="70" t="n">
        <v>2111</v>
      </c>
      <c r="T5358" s="71" t="n">
        <v>118240.78</v>
      </c>
      <c r="U5358" t="inlineStr">
        <is>
          <t>Low</t>
        </is>
      </c>
      <c r="V5358">
        <f>IF(AND(OR(Dashboard!$C$6="All",E5358=Dashboard!$C$6),OR(Dashboard!$F$6="All",G5358=Dashboard!$F$6),OR(Dashboard!$I$6="All",H5358=Dashboard!$I$6)),1,0)</f>
        <v/>
      </c>
    </row>
    <row r="5359">
      <c r="A5359" t="inlineStr">
        <is>
          <t>PF105350</t>
        </is>
      </c>
      <c r="B5359" s="68" t="n">
        <v>46303</v>
      </c>
      <c r="C5359" s="69" t="n">
        <v>2026</v>
      </c>
      <c r="D5359" t="inlineStr">
        <is>
          <t>Oct</t>
        </is>
      </c>
      <c r="E5359" t="inlineStr">
        <is>
          <t>United States</t>
        </is>
      </c>
      <c r="F5359" t="inlineStr">
        <is>
          <t>USA</t>
        </is>
      </c>
      <c r="G5359" t="inlineStr">
        <is>
          <t>Comirnaty</t>
        </is>
      </c>
      <c r="H5359" t="inlineStr">
        <is>
          <t>Hospital</t>
        </is>
      </c>
      <c r="I5359" t="inlineStr">
        <is>
          <t>Private insurer</t>
        </is>
      </c>
      <c r="J5359" t="inlineStr">
        <is>
          <t>Wei Chen</t>
        </is>
      </c>
      <c r="K5359" s="70" t="n">
        <v>253</v>
      </c>
      <c r="L5359" s="71" t="n">
        <v>142.71</v>
      </c>
      <c r="M5359" s="71" t="n">
        <v>36105.63</v>
      </c>
      <c r="N5359" s="71" t="n">
        <v>7221.13</v>
      </c>
      <c r="O5359" s="71" t="n">
        <v>28884.5</v>
      </c>
      <c r="P5359" s="71" t="n">
        <v>9714.559999999999</v>
      </c>
      <c r="Q5359" s="71" t="n">
        <v>19169.94</v>
      </c>
      <c r="R5359" t="inlineStr">
        <is>
          <t>Vaccines</t>
        </is>
      </c>
      <c r="S5359" s="70" t="n">
        <v>239</v>
      </c>
      <c r="T5359" s="71" t="n">
        <v>9505.209999999999</v>
      </c>
      <c r="U5359" t="inlineStr">
        <is>
          <t>Low</t>
        </is>
      </c>
      <c r="V5359">
        <f>IF(AND(OR(Dashboard!$C$6="All",E5359=Dashboard!$C$6),OR(Dashboard!$F$6="All",G5359=Dashboard!$F$6),OR(Dashboard!$I$6="All",H5359=Dashboard!$I$6)),1,0)</f>
        <v/>
      </c>
    </row>
    <row r="5360">
      <c r="A5360" t="inlineStr">
        <is>
          <t>PF105351</t>
        </is>
      </c>
      <c r="B5360" s="68" t="n">
        <v>46304</v>
      </c>
      <c r="C5360" s="69" t="n">
        <v>2026</v>
      </c>
      <c r="D5360" t="inlineStr">
        <is>
          <t>Oct</t>
        </is>
      </c>
      <c r="E5360" t="inlineStr">
        <is>
          <t>Europe</t>
        </is>
      </c>
      <c r="F5360" t="inlineStr">
        <is>
          <t>Italy</t>
        </is>
      </c>
      <c r="G5360" t="inlineStr">
        <is>
          <t>Xeljanz</t>
        </is>
      </c>
      <c r="H5360" t="inlineStr">
        <is>
          <t>Retail pharmacy</t>
        </is>
      </c>
      <c r="I5360" t="inlineStr">
        <is>
          <t>Public payer</t>
        </is>
      </c>
      <c r="J5360" t="inlineStr">
        <is>
          <t>Wei Chen</t>
        </is>
      </c>
      <c r="K5360" s="70" t="n">
        <v>298</v>
      </c>
      <c r="L5360" s="71" t="n">
        <v>1427.98</v>
      </c>
      <c r="M5360" s="71" t="n">
        <v>425538.04</v>
      </c>
      <c r="N5360" s="71" t="n">
        <v>63830.71</v>
      </c>
      <c r="O5360" s="71" t="n">
        <v>361707.33</v>
      </c>
      <c r="P5360" s="71" t="n">
        <v>77358.78999999999</v>
      </c>
      <c r="Q5360" s="71" t="n">
        <v>284348.54</v>
      </c>
      <c r="R5360" t="inlineStr">
        <is>
          <t>Inflammation</t>
        </is>
      </c>
      <c r="S5360" s="70" t="n">
        <v>285</v>
      </c>
      <c r="T5360" s="71" t="n">
        <v>91242.89</v>
      </c>
      <c r="U5360" t="inlineStr">
        <is>
          <t>High</t>
        </is>
      </c>
      <c r="V5360">
        <f>IF(AND(OR(Dashboard!$C$6="All",E5360=Dashboard!$C$6),OR(Dashboard!$F$6="All",G5360=Dashboard!$F$6),OR(Dashboard!$I$6="All",H5360=Dashboard!$I$6)),1,0)</f>
        <v/>
      </c>
    </row>
    <row r="5361">
      <c r="A5361" t="inlineStr">
        <is>
          <t>PF105352</t>
        </is>
      </c>
      <c r="B5361" s="68" t="n">
        <v>46304</v>
      </c>
      <c r="C5361" s="69" t="n">
        <v>2026</v>
      </c>
      <c r="D5361" t="inlineStr">
        <is>
          <t>Oct</t>
        </is>
      </c>
      <c r="E5361" t="inlineStr">
        <is>
          <t>United States</t>
        </is>
      </c>
      <c r="F5361" t="inlineStr">
        <is>
          <t>USA</t>
        </is>
      </c>
      <c r="G5361" t="inlineStr">
        <is>
          <t>Comirnaty</t>
        </is>
      </c>
      <c r="H5361" t="inlineStr">
        <is>
          <t>Hospital</t>
        </is>
      </c>
      <c r="I5361" t="inlineStr">
        <is>
          <t>Private insurer</t>
        </is>
      </c>
      <c r="J5361" t="inlineStr">
        <is>
          <t>Emma Clarke</t>
        </is>
      </c>
      <c r="K5361" s="70" t="n">
        <v>973</v>
      </c>
      <c r="L5361" s="71" t="n">
        <v>150.45</v>
      </c>
      <c r="M5361" s="71" t="n">
        <v>146387.85</v>
      </c>
      <c r="N5361" s="71" t="n">
        <v>36596.96</v>
      </c>
      <c r="O5361" s="71" t="n">
        <v>109790.89</v>
      </c>
      <c r="P5361" s="71" t="n">
        <v>37970.12</v>
      </c>
      <c r="Q5361" s="71" t="n">
        <v>71820.77</v>
      </c>
      <c r="R5361" t="inlineStr">
        <is>
          <t>Vaccines</t>
        </is>
      </c>
      <c r="S5361" s="70" t="n">
        <v>775</v>
      </c>
      <c r="T5361" s="71" t="n">
        <v>30032.75</v>
      </c>
      <c r="U5361" t="inlineStr">
        <is>
          <t>Low</t>
        </is>
      </c>
      <c r="V5361">
        <f>IF(AND(OR(Dashboard!$C$6="All",E5361=Dashboard!$C$6),OR(Dashboard!$F$6="All",G5361=Dashboard!$F$6),OR(Dashboard!$I$6="All",H5361=Dashboard!$I$6)),1,0)</f>
        <v/>
      </c>
    </row>
    <row r="5362">
      <c r="A5362" t="inlineStr">
        <is>
          <t>PF105353</t>
        </is>
      </c>
      <c r="B5362" s="68" t="n">
        <v>46304</v>
      </c>
      <c r="C5362" s="69" t="n">
        <v>2026</v>
      </c>
      <c r="D5362" t="inlineStr">
        <is>
          <t>Oct</t>
        </is>
      </c>
      <c r="E5362" t="inlineStr">
        <is>
          <t>Europe</t>
        </is>
      </c>
      <c r="F5362" t="inlineStr">
        <is>
          <t>UK</t>
        </is>
      </c>
      <c r="G5362" t="inlineStr">
        <is>
          <t>Eliquis</t>
        </is>
      </c>
      <c r="H5362" t="inlineStr">
        <is>
          <t>Retail pharmacy</t>
        </is>
      </c>
      <c r="I5362" t="inlineStr">
        <is>
          <t>Public payer</t>
        </is>
      </c>
      <c r="J5362" t="inlineStr">
        <is>
          <t>Fatima Al-Saud</t>
        </is>
      </c>
      <c r="K5362" s="70" t="n">
        <v>2714</v>
      </c>
      <c r="L5362" s="71" t="n">
        <v>446.26</v>
      </c>
      <c r="M5362" s="71" t="n">
        <v>1211149.64</v>
      </c>
      <c r="N5362" s="71" t="n">
        <v>121114.96</v>
      </c>
      <c r="O5362" s="71" t="n">
        <v>1090034.68</v>
      </c>
      <c r="P5362" s="71" t="n">
        <v>205117.94</v>
      </c>
      <c r="Q5362" s="71" t="n">
        <v>884916.74</v>
      </c>
      <c r="R5362" t="inlineStr">
        <is>
          <t>Cardiology</t>
        </is>
      </c>
      <c r="S5362" s="70" t="n">
        <v>2513</v>
      </c>
      <c r="T5362" s="71" t="n">
        <v>243822.56</v>
      </c>
      <c r="U5362" t="inlineStr">
        <is>
          <t>High</t>
        </is>
      </c>
      <c r="V5362">
        <f>IF(AND(OR(Dashboard!$C$6="All",E5362=Dashboard!$C$6),OR(Dashboard!$F$6="All",G5362=Dashboard!$F$6),OR(Dashboard!$I$6="All",H5362=Dashboard!$I$6)),1,0)</f>
        <v/>
      </c>
    </row>
    <row r="5363">
      <c r="A5363" t="inlineStr">
        <is>
          <t>PF105354</t>
        </is>
      </c>
      <c r="B5363" s="68" t="n">
        <v>46304</v>
      </c>
      <c r="C5363" s="69" t="n">
        <v>2026</v>
      </c>
      <c r="D5363" t="inlineStr">
        <is>
          <t>Oct</t>
        </is>
      </c>
      <c r="E5363" t="inlineStr">
        <is>
          <t>United States</t>
        </is>
      </c>
      <c r="F5363" t="inlineStr">
        <is>
          <t>USA</t>
        </is>
      </c>
      <c r="G5363" t="inlineStr">
        <is>
          <t>Paxlovid</t>
        </is>
      </c>
      <c r="H5363" t="inlineStr">
        <is>
          <t>Retail pharmacy</t>
        </is>
      </c>
      <c r="I5363" t="inlineStr">
        <is>
          <t>Public payer</t>
        </is>
      </c>
      <c r="J5363" t="inlineStr">
        <is>
          <t>Yuki Sato</t>
        </is>
      </c>
      <c r="K5363" s="70" t="n">
        <v>1068</v>
      </c>
      <c r="L5363" s="71" t="n">
        <v>1438.43</v>
      </c>
      <c r="M5363" s="71" t="n">
        <v>1536243.24</v>
      </c>
      <c r="N5363" s="71" t="n">
        <v>384060.81</v>
      </c>
      <c r="O5363" s="71" t="n">
        <v>1152182.43</v>
      </c>
      <c r="P5363" s="71" t="n">
        <v>296507.55</v>
      </c>
      <c r="Q5363" s="71" t="n">
        <v>855674.88</v>
      </c>
      <c r="R5363" t="inlineStr">
        <is>
          <t>Antiviral</t>
        </is>
      </c>
      <c r="S5363" s="70" t="n">
        <v>853</v>
      </c>
      <c r="T5363" s="71" t="n">
        <v>230284.22</v>
      </c>
      <c r="U5363" t="inlineStr">
        <is>
          <t>Low</t>
        </is>
      </c>
      <c r="V5363">
        <f>IF(AND(OR(Dashboard!$C$6="All",E5363=Dashboard!$C$6),OR(Dashboard!$F$6="All",G5363=Dashboard!$F$6),OR(Dashboard!$I$6="All",H5363=Dashboard!$I$6)),1,0)</f>
        <v/>
      </c>
    </row>
    <row r="5364">
      <c r="A5364" t="inlineStr">
        <is>
          <t>PF105355</t>
        </is>
      </c>
      <c r="B5364" s="68" t="n">
        <v>46304</v>
      </c>
      <c r="C5364" s="69" t="n">
        <v>2026</v>
      </c>
      <c r="D5364" t="inlineStr">
        <is>
          <t>Oct</t>
        </is>
      </c>
      <c r="E5364" t="inlineStr">
        <is>
          <t>Europe</t>
        </is>
      </c>
      <c r="F5364" t="inlineStr">
        <is>
          <t>France</t>
        </is>
      </c>
      <c r="G5364" t="inlineStr">
        <is>
          <t>Xeljanz</t>
        </is>
      </c>
      <c r="H5364" t="inlineStr">
        <is>
          <t>Retail pharmacy</t>
        </is>
      </c>
      <c r="I5364" t="inlineStr">
        <is>
          <t>Public payer</t>
        </is>
      </c>
      <c r="J5364" t="inlineStr">
        <is>
          <t>Sophie Müller</t>
        </is>
      </c>
      <c r="K5364" s="70" t="n">
        <v>796</v>
      </c>
      <c r="L5364" s="71" t="n">
        <v>1402.63</v>
      </c>
      <c r="M5364" s="71" t="n">
        <v>1116493.48</v>
      </c>
      <c r="N5364" s="71" t="n">
        <v>55824.67</v>
      </c>
      <c r="O5364" s="71" t="n">
        <v>1060668.81</v>
      </c>
      <c r="P5364" s="71" t="n">
        <v>194170.26</v>
      </c>
      <c r="Q5364" s="71" t="n">
        <v>866498.55</v>
      </c>
      <c r="R5364" t="inlineStr">
        <is>
          <t>Inflammation</t>
        </is>
      </c>
      <c r="S5364" s="70" t="n">
        <v>616</v>
      </c>
      <c r="T5364" s="71" t="n">
        <v>253388.77</v>
      </c>
      <c r="U5364" t="inlineStr">
        <is>
          <t>High</t>
        </is>
      </c>
      <c r="V5364">
        <f>IF(AND(OR(Dashboard!$C$6="All",E5364=Dashboard!$C$6),OR(Dashboard!$F$6="All",G5364=Dashboard!$F$6),OR(Dashboard!$I$6="All",H5364=Dashboard!$I$6)),1,0)</f>
        <v/>
      </c>
    </row>
    <row r="5365">
      <c r="A5365" t="inlineStr">
        <is>
          <t>PF105356</t>
        </is>
      </c>
      <c r="B5365" s="68" t="n">
        <v>46304</v>
      </c>
      <c r="C5365" s="69" t="n">
        <v>2026</v>
      </c>
      <c r="D5365" t="inlineStr">
        <is>
          <t>Oct</t>
        </is>
      </c>
      <c r="E5365" t="inlineStr">
        <is>
          <t>United States</t>
        </is>
      </c>
      <c r="F5365" t="inlineStr">
        <is>
          <t>USA</t>
        </is>
      </c>
      <c r="G5365" t="inlineStr">
        <is>
          <t>Comirnaty</t>
        </is>
      </c>
      <c r="H5365" t="inlineStr">
        <is>
          <t>Retail pharmacy</t>
        </is>
      </c>
      <c r="I5365" t="inlineStr">
        <is>
          <t>Public payer</t>
        </is>
      </c>
      <c r="J5365" t="inlineStr">
        <is>
          <t>Noah Smith</t>
        </is>
      </c>
      <c r="K5365" s="70" t="n">
        <v>374</v>
      </c>
      <c r="L5365" s="71" t="n">
        <v>144.07</v>
      </c>
      <c r="M5365" s="71" t="n">
        <v>53882.18</v>
      </c>
      <c r="N5365" s="71" t="n">
        <v>18858.76</v>
      </c>
      <c r="O5365" s="71" t="n">
        <v>35023.42</v>
      </c>
      <c r="P5365" s="71" t="n">
        <v>14690.93</v>
      </c>
      <c r="Q5365" s="71" t="n">
        <v>20332.49</v>
      </c>
      <c r="R5365" t="inlineStr">
        <is>
          <t>Vaccines</t>
        </is>
      </c>
      <c r="S5365" s="70" t="n">
        <v>290</v>
      </c>
      <c r="T5365" s="71" t="n">
        <v>12792.77</v>
      </c>
      <c r="U5365" t="inlineStr">
        <is>
          <t>Low</t>
        </is>
      </c>
      <c r="V5365">
        <f>IF(AND(OR(Dashboard!$C$6="All",E5365=Dashboard!$C$6),OR(Dashboard!$F$6="All",G5365=Dashboard!$F$6),OR(Dashboard!$I$6="All",H5365=Dashboard!$I$6)),1,0)</f>
        <v/>
      </c>
    </row>
    <row r="5366">
      <c r="A5366" t="inlineStr">
        <is>
          <t>PF105357</t>
        </is>
      </c>
      <c r="B5366" s="68" t="n">
        <v>46304</v>
      </c>
      <c r="C5366" s="69" t="n">
        <v>2026</v>
      </c>
      <c r="D5366" t="inlineStr">
        <is>
          <t>Oct</t>
        </is>
      </c>
      <c r="E5366" t="inlineStr">
        <is>
          <t>United States</t>
        </is>
      </c>
      <c r="F5366" t="inlineStr">
        <is>
          <t>USA</t>
        </is>
      </c>
      <c r="G5366" t="inlineStr">
        <is>
          <t>Eliquis</t>
        </is>
      </c>
      <c r="H5366" t="inlineStr">
        <is>
          <t>Retail pharmacy</t>
        </is>
      </c>
      <c r="I5366" t="inlineStr">
        <is>
          <t>Public payer</t>
        </is>
      </c>
      <c r="J5366" t="inlineStr">
        <is>
          <t>Mei Lin</t>
        </is>
      </c>
      <c r="K5366" s="70" t="n">
        <v>1810</v>
      </c>
      <c r="L5366" s="71" t="n">
        <v>682.26</v>
      </c>
      <c r="M5366" s="71" t="n">
        <v>1234890.6</v>
      </c>
      <c r="N5366" s="71" t="n">
        <v>432211.71</v>
      </c>
      <c r="O5366" s="71" t="n">
        <v>802678.89</v>
      </c>
      <c r="P5366" s="71" t="n">
        <v>139123.95</v>
      </c>
      <c r="Q5366" s="71" t="n">
        <v>663554.9399999999</v>
      </c>
      <c r="R5366" t="inlineStr">
        <is>
          <t>Cardiology</t>
        </is>
      </c>
      <c r="S5366" s="70" t="n">
        <v>1232</v>
      </c>
      <c r="T5366" s="71" t="n">
        <v>200287.81</v>
      </c>
      <c r="U5366" t="inlineStr">
        <is>
          <t>High</t>
        </is>
      </c>
      <c r="V5366">
        <f>IF(AND(OR(Dashboard!$C$6="All",E5366=Dashboard!$C$6),OR(Dashboard!$F$6="All",G5366=Dashboard!$F$6),OR(Dashboard!$I$6="All",H5366=Dashboard!$I$6)),1,0)</f>
        <v/>
      </c>
    </row>
    <row r="5367">
      <c r="A5367" t="inlineStr">
        <is>
          <t>PF105358</t>
        </is>
      </c>
      <c r="B5367" s="68" t="n">
        <v>46304</v>
      </c>
      <c r="C5367" s="69" t="n">
        <v>2026</v>
      </c>
      <c r="D5367" t="inlineStr">
        <is>
          <t>Oct</t>
        </is>
      </c>
      <c r="E5367" t="inlineStr">
        <is>
          <t>Europe</t>
        </is>
      </c>
      <c r="F5367" t="inlineStr">
        <is>
          <t>UK</t>
        </is>
      </c>
      <c r="G5367" t="inlineStr">
        <is>
          <t>Eliquis</t>
        </is>
      </c>
      <c r="H5367" t="inlineStr">
        <is>
          <t>Government / tender</t>
        </is>
      </c>
      <c r="I5367" t="inlineStr">
        <is>
          <t>Public payer</t>
        </is>
      </c>
      <c r="J5367" t="inlineStr">
        <is>
          <t>Yuki Sato</t>
        </is>
      </c>
      <c r="K5367" s="70" t="n">
        <v>3180</v>
      </c>
      <c r="L5367" s="71" t="n">
        <v>389.46</v>
      </c>
      <c r="M5367" s="71" t="n">
        <v>1238482.8</v>
      </c>
      <c r="N5367" s="71" t="n">
        <v>247696.56</v>
      </c>
      <c r="O5367" s="71" t="n">
        <v>990786.24</v>
      </c>
      <c r="P5367" s="71" t="n">
        <v>241786.69</v>
      </c>
      <c r="Q5367" s="71" t="n">
        <v>748999.55</v>
      </c>
      <c r="R5367" t="inlineStr">
        <is>
          <t>Cardiology</t>
        </is>
      </c>
      <c r="S5367" s="70" t="n">
        <v>2101</v>
      </c>
      <c r="T5367" s="71" t="n">
        <v>163925.84</v>
      </c>
      <c r="U5367" t="inlineStr">
        <is>
          <t>High</t>
        </is>
      </c>
      <c r="V5367">
        <f>IF(AND(OR(Dashboard!$C$6="All",E5367=Dashboard!$C$6),OR(Dashboard!$F$6="All",G5367=Dashboard!$F$6),OR(Dashboard!$I$6="All",H5367=Dashboard!$I$6)),1,0)</f>
        <v/>
      </c>
    </row>
    <row r="5368">
      <c r="A5368" t="inlineStr">
        <is>
          <t>PF105359</t>
        </is>
      </c>
      <c r="B5368" s="68" t="n">
        <v>46304</v>
      </c>
      <c r="C5368" s="69" t="n">
        <v>2026</v>
      </c>
      <c r="D5368" t="inlineStr">
        <is>
          <t>Oct</t>
        </is>
      </c>
      <c r="E5368" t="inlineStr">
        <is>
          <t>United States</t>
        </is>
      </c>
      <c r="F5368" t="inlineStr">
        <is>
          <t>USA</t>
        </is>
      </c>
      <c r="G5368" t="inlineStr">
        <is>
          <t>Eliquis</t>
        </is>
      </c>
      <c r="H5368" t="inlineStr">
        <is>
          <t>Retail pharmacy</t>
        </is>
      </c>
      <c r="I5368" t="inlineStr">
        <is>
          <t>Private insurer</t>
        </is>
      </c>
      <c r="J5368" t="inlineStr">
        <is>
          <t>Emma Clarke</t>
        </is>
      </c>
      <c r="K5368" s="70" t="n">
        <v>2187</v>
      </c>
      <c r="L5368" s="71" t="n">
        <v>666.03</v>
      </c>
      <c r="M5368" s="71" t="n">
        <v>1456607.61</v>
      </c>
      <c r="N5368" s="71" t="n">
        <v>364151.9</v>
      </c>
      <c r="O5368" s="71" t="n">
        <v>1092455.71</v>
      </c>
      <c r="P5368" s="71" t="n">
        <v>164527.35</v>
      </c>
      <c r="Q5368" s="71" t="n">
        <v>927928.36</v>
      </c>
      <c r="R5368" t="inlineStr">
        <is>
          <t>Cardiology</t>
        </is>
      </c>
      <c r="S5368" s="70" t="n">
        <v>1390</v>
      </c>
      <c r="T5368" s="71" t="n">
        <v>295957.45</v>
      </c>
      <c r="U5368" t="inlineStr">
        <is>
          <t>High</t>
        </is>
      </c>
      <c r="V5368">
        <f>IF(AND(OR(Dashboard!$C$6="All",E5368=Dashboard!$C$6),OR(Dashboard!$F$6="All",G5368=Dashboard!$F$6),OR(Dashboard!$I$6="All",H5368=Dashboard!$I$6)),1,0)</f>
        <v/>
      </c>
    </row>
    <row r="5369">
      <c r="A5369" t="inlineStr">
        <is>
          <t>PF105360</t>
        </is>
      </c>
      <c r="B5369" s="68" t="n">
        <v>46304</v>
      </c>
      <c r="C5369" s="69" t="n">
        <v>2026</v>
      </c>
      <c r="D5369" t="inlineStr">
        <is>
          <t>Oct</t>
        </is>
      </c>
      <c r="E5369" t="inlineStr">
        <is>
          <t>Emerging markets</t>
        </is>
      </c>
      <c r="F5369" t="inlineStr">
        <is>
          <t>China</t>
        </is>
      </c>
      <c r="G5369" t="inlineStr">
        <is>
          <t>Comirnaty</t>
        </is>
      </c>
      <c r="H5369" t="inlineStr">
        <is>
          <t>Hospital</t>
        </is>
      </c>
      <c r="I5369" t="inlineStr">
        <is>
          <t>Public payer</t>
        </is>
      </c>
      <c r="J5369" t="inlineStr">
        <is>
          <t>Arjun Mehta</t>
        </is>
      </c>
      <c r="K5369" s="70" t="n">
        <v>1563</v>
      </c>
      <c r="L5369" s="71" t="n">
        <v>95.13</v>
      </c>
      <c r="M5369" s="71" t="n">
        <v>148688.19</v>
      </c>
      <c r="N5369" s="71" t="n">
        <v>29737.64</v>
      </c>
      <c r="O5369" s="71" t="n">
        <v>118950.55</v>
      </c>
      <c r="P5369" s="71" t="n">
        <v>60163.09</v>
      </c>
      <c r="Q5369" s="71" t="n">
        <v>58787.46</v>
      </c>
      <c r="R5369" t="inlineStr">
        <is>
          <t>Vaccines</t>
        </is>
      </c>
      <c r="S5369" s="70" t="n">
        <v>1052</v>
      </c>
      <c r="T5369" s="71" t="n">
        <v>31890.69</v>
      </c>
      <c r="U5369" t="inlineStr">
        <is>
          <t>Low</t>
        </is>
      </c>
      <c r="V5369">
        <f>IF(AND(OR(Dashboard!$C$6="All",E5369=Dashboard!$C$6),OR(Dashboard!$F$6="All",G5369=Dashboard!$F$6),OR(Dashboard!$I$6="All",H5369=Dashboard!$I$6)),1,0)</f>
        <v/>
      </c>
    </row>
    <row r="5370">
      <c r="A5370" t="inlineStr">
        <is>
          <t>PF105361</t>
        </is>
      </c>
      <c r="B5370" s="68" t="n">
        <v>46305</v>
      </c>
      <c r="C5370" s="69" t="n">
        <v>2026</v>
      </c>
      <c r="D5370" t="inlineStr">
        <is>
          <t>Oct</t>
        </is>
      </c>
      <c r="E5370" t="inlineStr">
        <is>
          <t>Europe</t>
        </is>
      </c>
      <c r="F5370" t="inlineStr">
        <is>
          <t>Spain</t>
        </is>
      </c>
      <c r="G5370" t="inlineStr">
        <is>
          <t>Abrysvo</t>
        </is>
      </c>
      <c r="H5370" t="inlineStr">
        <is>
          <t>Hospital</t>
        </is>
      </c>
      <c r="I5370" t="inlineStr">
        <is>
          <t>Public payer</t>
        </is>
      </c>
      <c r="J5370" t="inlineStr">
        <is>
          <t>Fatima Al-Saud</t>
        </is>
      </c>
      <c r="K5370" s="70" t="n">
        <v>2071</v>
      </c>
      <c r="L5370" s="71" t="n">
        <v>329.85</v>
      </c>
      <c r="M5370" s="71" t="n">
        <v>683119.35</v>
      </c>
      <c r="N5370" s="71" t="n">
        <v>34155.97</v>
      </c>
      <c r="O5370" s="71" t="n">
        <v>648963.38</v>
      </c>
      <c r="P5370" s="71" t="n">
        <v>167851.28</v>
      </c>
      <c r="Q5370" s="71" t="n">
        <v>481112.1</v>
      </c>
      <c r="R5370" t="inlineStr">
        <is>
          <t>Vaccines</t>
        </is>
      </c>
      <c r="S5370" s="70" t="n">
        <v>2014</v>
      </c>
      <c r="T5370" s="71" t="n">
        <v>119224.09</v>
      </c>
      <c r="U5370" t="inlineStr">
        <is>
          <t>Low</t>
        </is>
      </c>
      <c r="V5370">
        <f>IF(AND(OR(Dashboard!$C$6="All",E5370=Dashboard!$C$6),OR(Dashboard!$F$6="All",G5370=Dashboard!$F$6),OR(Dashboard!$I$6="All",H5370=Dashboard!$I$6)),1,0)</f>
        <v/>
      </c>
    </row>
    <row r="5371">
      <c r="A5371" t="inlineStr">
        <is>
          <t>PF105362</t>
        </is>
      </c>
      <c r="B5371" s="68" t="n">
        <v>46305</v>
      </c>
      <c r="C5371" s="69" t="n">
        <v>2026</v>
      </c>
      <c r="D5371" t="inlineStr">
        <is>
          <t>Oct</t>
        </is>
      </c>
      <c r="E5371" t="inlineStr">
        <is>
          <t>Europe</t>
        </is>
      </c>
      <c r="F5371" t="inlineStr">
        <is>
          <t>Germany</t>
        </is>
      </c>
      <c r="G5371" t="inlineStr">
        <is>
          <t>Comirnaty</t>
        </is>
      </c>
      <c r="H5371" t="inlineStr">
        <is>
          <t>Retail pharmacy</t>
        </is>
      </c>
      <c r="I5371" t="inlineStr">
        <is>
          <t>Private insurer</t>
        </is>
      </c>
      <c r="J5371" t="inlineStr">
        <is>
          <t>Arjun Mehta</t>
        </is>
      </c>
      <c r="K5371" s="70" t="n">
        <v>1633</v>
      </c>
      <c r="L5371" s="71" t="n">
        <v>94.33</v>
      </c>
      <c r="M5371" s="71" t="n">
        <v>154040.89</v>
      </c>
      <c r="N5371" s="71" t="n">
        <v>38510.22</v>
      </c>
      <c r="O5371" s="71" t="n">
        <v>115530.67</v>
      </c>
      <c r="P5371" s="71" t="n">
        <v>63316.28</v>
      </c>
      <c r="Q5371" s="71" t="n">
        <v>52214.39</v>
      </c>
      <c r="R5371" t="inlineStr">
        <is>
          <t>Vaccines</t>
        </is>
      </c>
      <c r="S5371" s="70" t="n">
        <v>1599</v>
      </c>
      <c r="T5371" s="71" t="n">
        <v>23837.35</v>
      </c>
      <c r="U5371" t="inlineStr">
        <is>
          <t>Low</t>
        </is>
      </c>
      <c r="V5371">
        <f>IF(AND(OR(Dashboard!$C$6="All",E5371=Dashboard!$C$6),OR(Dashboard!$F$6="All",G5371=Dashboard!$F$6),OR(Dashboard!$I$6="All",H5371=Dashboard!$I$6)),1,0)</f>
        <v/>
      </c>
    </row>
    <row r="5372">
      <c r="A5372" t="inlineStr">
        <is>
          <t>PF105363</t>
        </is>
      </c>
      <c r="B5372" s="68" t="n">
        <v>46305</v>
      </c>
      <c r="C5372" s="69" t="n">
        <v>2026</v>
      </c>
      <c r="D5372" t="inlineStr">
        <is>
          <t>Oct</t>
        </is>
      </c>
      <c r="E5372" t="inlineStr">
        <is>
          <t>Emerging markets</t>
        </is>
      </c>
      <c r="F5372" t="inlineStr">
        <is>
          <t>India</t>
        </is>
      </c>
      <c r="G5372" t="inlineStr">
        <is>
          <t>Abrysvo</t>
        </is>
      </c>
      <c r="H5372" t="inlineStr">
        <is>
          <t>Retail pharmacy</t>
        </is>
      </c>
      <c r="I5372" t="inlineStr">
        <is>
          <t>Private insurer</t>
        </is>
      </c>
      <c r="J5372" t="inlineStr">
        <is>
          <t>Arjun Mehta</t>
        </is>
      </c>
      <c r="K5372" s="70" t="n">
        <v>769</v>
      </c>
      <c r="L5372" s="71" t="n">
        <v>294.72</v>
      </c>
      <c r="M5372" s="71" t="n">
        <v>226639.68</v>
      </c>
      <c r="N5372" s="71" t="n">
        <v>56659.92</v>
      </c>
      <c r="O5372" s="71" t="n">
        <v>169979.76</v>
      </c>
      <c r="P5372" s="71" t="n">
        <v>65758.11</v>
      </c>
      <c r="Q5372" s="71" t="n">
        <v>104221.65</v>
      </c>
      <c r="R5372" t="inlineStr">
        <is>
          <t>Vaccines</t>
        </is>
      </c>
      <c r="S5372" s="70" t="n">
        <v>515</v>
      </c>
      <c r="T5372" s="71" t="n">
        <v>36001.77</v>
      </c>
      <c r="U5372" t="inlineStr">
        <is>
          <t>Low</t>
        </is>
      </c>
      <c r="V5372">
        <f>IF(AND(OR(Dashboard!$C$6="All",E5372=Dashboard!$C$6),OR(Dashboard!$F$6="All",G5372=Dashboard!$F$6),OR(Dashboard!$I$6="All",H5372=Dashboard!$I$6)),1,0)</f>
        <v/>
      </c>
    </row>
    <row r="5373">
      <c r="A5373" t="inlineStr">
        <is>
          <t>PF105364</t>
        </is>
      </c>
      <c r="B5373" s="68" t="n">
        <v>46305</v>
      </c>
      <c r="C5373" s="69" t="n">
        <v>2026</v>
      </c>
      <c r="D5373" t="inlineStr">
        <is>
          <t>Oct</t>
        </is>
      </c>
      <c r="E5373" t="inlineStr">
        <is>
          <t>United States</t>
        </is>
      </c>
      <c r="F5373" t="inlineStr">
        <is>
          <t>USA</t>
        </is>
      </c>
      <c r="G5373" t="inlineStr">
        <is>
          <t>Xeljanz</t>
        </is>
      </c>
      <c r="H5373" t="inlineStr">
        <is>
          <t>Retail pharmacy</t>
        </is>
      </c>
      <c r="I5373" t="inlineStr">
        <is>
          <t>Private insurer</t>
        </is>
      </c>
      <c r="J5373" t="inlineStr">
        <is>
          <t>Sara Rossi</t>
        </is>
      </c>
      <c r="K5373" s="70" t="n">
        <v>2244</v>
      </c>
      <c r="L5373" s="71" t="n">
        <v>2140.84</v>
      </c>
      <c r="M5373" s="71" t="n">
        <v>4804044.96</v>
      </c>
      <c r="N5373" s="71" t="n">
        <v>1681415.74</v>
      </c>
      <c r="O5373" s="71" t="n">
        <v>3122629.22</v>
      </c>
      <c r="P5373" s="71" t="n">
        <v>570679.12</v>
      </c>
      <c r="Q5373" s="71" t="n">
        <v>2551950.1</v>
      </c>
      <c r="R5373" t="inlineStr">
        <is>
          <t>Inflammation</t>
        </is>
      </c>
      <c r="S5373" s="70" t="n">
        <v>1579</v>
      </c>
      <c r="T5373" s="71" t="n">
        <v>888951.16</v>
      </c>
      <c r="U5373" t="inlineStr">
        <is>
          <t>High</t>
        </is>
      </c>
      <c r="V5373">
        <f>IF(AND(OR(Dashboard!$C$6="All",E5373=Dashboard!$C$6),OR(Dashboard!$F$6="All",G5373=Dashboard!$F$6),OR(Dashboard!$I$6="All",H5373=Dashboard!$I$6)),1,0)</f>
        <v/>
      </c>
    </row>
    <row r="5374">
      <c r="A5374" t="inlineStr">
        <is>
          <t>PF105365</t>
        </is>
      </c>
      <c r="B5374" s="68" t="n">
        <v>46305</v>
      </c>
      <c r="C5374" s="69" t="n">
        <v>2026</v>
      </c>
      <c r="D5374" t="inlineStr">
        <is>
          <t>Oct</t>
        </is>
      </c>
      <c r="E5374" t="inlineStr">
        <is>
          <t>Emerging markets</t>
        </is>
      </c>
      <c r="F5374" t="inlineStr">
        <is>
          <t>Mexico</t>
        </is>
      </c>
      <c r="G5374" t="inlineStr">
        <is>
          <t>Comirnaty</t>
        </is>
      </c>
      <c r="H5374" t="inlineStr">
        <is>
          <t>Retail pharmacy</t>
        </is>
      </c>
      <c r="I5374" t="inlineStr">
        <is>
          <t>Private insurer</t>
        </is>
      </c>
      <c r="J5374" t="inlineStr">
        <is>
          <t>Ruhi Shaikh</t>
        </is>
      </c>
      <c r="K5374" s="70" t="n">
        <v>1465</v>
      </c>
      <c r="L5374" s="71" t="n">
        <v>83.44</v>
      </c>
      <c r="M5374" s="71" t="n">
        <v>122239.6</v>
      </c>
      <c r="N5374" s="71" t="n">
        <v>24447.92</v>
      </c>
      <c r="O5374" s="71" t="n">
        <v>97791.67999999999</v>
      </c>
      <c r="P5374" s="71" t="n">
        <v>56246.21</v>
      </c>
      <c r="Q5374" s="71" t="n">
        <v>41545.47</v>
      </c>
      <c r="R5374" t="inlineStr">
        <is>
          <t>Vaccines</t>
        </is>
      </c>
      <c r="S5374" s="70" t="n">
        <v>1423</v>
      </c>
      <c r="T5374" s="71" t="n">
        <v>21142.46</v>
      </c>
      <c r="U5374" t="inlineStr">
        <is>
          <t>Low</t>
        </is>
      </c>
      <c r="V5374">
        <f>IF(AND(OR(Dashboard!$C$6="All",E5374=Dashboard!$C$6),OR(Dashboard!$F$6="All",G5374=Dashboard!$F$6),OR(Dashboard!$I$6="All",H5374=Dashboard!$I$6)),1,0)</f>
        <v/>
      </c>
    </row>
    <row r="5375">
      <c r="A5375" t="inlineStr">
        <is>
          <t>PF105366</t>
        </is>
      </c>
      <c r="B5375" s="68" t="n">
        <v>46305</v>
      </c>
      <c r="C5375" s="69" t="n">
        <v>2026</v>
      </c>
      <c r="D5375" t="inlineStr">
        <is>
          <t>Oct</t>
        </is>
      </c>
      <c r="E5375" t="inlineStr">
        <is>
          <t>Europe</t>
        </is>
      </c>
      <c r="F5375" t="inlineStr">
        <is>
          <t>France</t>
        </is>
      </c>
      <c r="G5375" t="inlineStr">
        <is>
          <t>Paxlovid</t>
        </is>
      </c>
      <c r="H5375" t="inlineStr">
        <is>
          <t>Retail pharmacy</t>
        </is>
      </c>
      <c r="I5375" t="inlineStr">
        <is>
          <t>Public payer</t>
        </is>
      </c>
      <c r="J5375" t="inlineStr">
        <is>
          <t>Zoya Ahmed</t>
        </is>
      </c>
      <c r="K5375" s="70" t="n">
        <v>1660</v>
      </c>
      <c r="L5375" s="71" t="n">
        <v>914.73</v>
      </c>
      <c r="M5375" s="71" t="n">
        <v>1518451.8</v>
      </c>
      <c r="N5375" s="71" t="n">
        <v>379612.95</v>
      </c>
      <c r="O5375" s="71" t="n">
        <v>1138838.85</v>
      </c>
      <c r="P5375" s="71" t="n">
        <v>445212.5</v>
      </c>
      <c r="Q5375" s="71" t="n">
        <v>693626.35</v>
      </c>
      <c r="R5375" t="inlineStr">
        <is>
          <t>Antiviral</t>
        </is>
      </c>
      <c r="S5375" s="70" t="n">
        <v>1632</v>
      </c>
      <c r="T5375" s="71" t="n">
        <v>229649.78</v>
      </c>
      <c r="U5375" t="inlineStr">
        <is>
          <t>Low</t>
        </is>
      </c>
      <c r="V5375">
        <f>IF(AND(OR(Dashboard!$C$6="All",E5375=Dashboard!$C$6),OR(Dashboard!$F$6="All",G5375=Dashboard!$F$6),OR(Dashboard!$I$6="All",H5375=Dashboard!$I$6)),1,0)</f>
        <v/>
      </c>
    </row>
    <row r="5376">
      <c r="A5376" t="inlineStr">
        <is>
          <t>PF105367</t>
        </is>
      </c>
      <c r="B5376" s="68" t="n">
        <v>46305</v>
      </c>
      <c r="C5376" s="69" t="n">
        <v>2026</v>
      </c>
      <c r="D5376" t="inlineStr">
        <is>
          <t>Oct</t>
        </is>
      </c>
      <c r="E5376" t="inlineStr">
        <is>
          <t>United States</t>
        </is>
      </c>
      <c r="F5376" t="inlineStr">
        <is>
          <t>USA</t>
        </is>
      </c>
      <c r="G5376" t="inlineStr">
        <is>
          <t>Eliquis</t>
        </is>
      </c>
      <c r="H5376" t="inlineStr">
        <is>
          <t>Retail pharmacy</t>
        </is>
      </c>
      <c r="I5376" t="inlineStr">
        <is>
          <t>Private insurer</t>
        </is>
      </c>
      <c r="J5376" t="inlineStr">
        <is>
          <t>Lucas Martin</t>
        </is>
      </c>
      <c r="K5376" s="70" t="n">
        <v>1285</v>
      </c>
      <c r="L5376" s="71" t="n">
        <v>679.12</v>
      </c>
      <c r="M5376" s="71" t="n">
        <v>872669.2</v>
      </c>
      <c r="N5376" s="71" t="n">
        <v>130900.38</v>
      </c>
      <c r="O5376" s="71" t="n">
        <v>741768.8199999999</v>
      </c>
      <c r="P5376" s="71" t="n">
        <v>98546.92</v>
      </c>
      <c r="Q5376" s="71" t="n">
        <v>643221.9</v>
      </c>
      <c r="R5376" t="inlineStr">
        <is>
          <t>Cardiology</t>
        </is>
      </c>
      <c r="S5376" s="70" t="n">
        <v>952</v>
      </c>
      <c r="T5376" s="71" t="n">
        <v>128352.12</v>
      </c>
      <c r="U5376" t="inlineStr">
        <is>
          <t>High</t>
        </is>
      </c>
      <c r="V5376">
        <f>IF(AND(OR(Dashboard!$C$6="All",E5376=Dashboard!$C$6),OR(Dashboard!$F$6="All",G5376=Dashboard!$F$6),OR(Dashboard!$I$6="All",H5376=Dashboard!$I$6)),1,0)</f>
        <v/>
      </c>
    </row>
    <row r="5377">
      <c r="A5377" t="inlineStr">
        <is>
          <t>PF105368</t>
        </is>
      </c>
      <c r="B5377" s="68" t="n">
        <v>46305</v>
      </c>
      <c r="C5377" s="69" t="n">
        <v>2026</v>
      </c>
      <c r="D5377" t="inlineStr">
        <is>
          <t>Oct</t>
        </is>
      </c>
      <c r="E5377" t="inlineStr">
        <is>
          <t>Emerging markets</t>
        </is>
      </c>
      <c r="F5377" t="inlineStr">
        <is>
          <t>India</t>
        </is>
      </c>
      <c r="G5377" t="inlineStr">
        <is>
          <t>Prevnar 20</t>
        </is>
      </c>
      <c r="H5377" t="inlineStr">
        <is>
          <t>Retail pharmacy</t>
        </is>
      </c>
      <c r="I5377" t="inlineStr">
        <is>
          <t>Public payer</t>
        </is>
      </c>
      <c r="J5377" t="inlineStr">
        <is>
          <t>Noah Smith</t>
        </is>
      </c>
      <c r="K5377" s="70" t="n">
        <v>2408</v>
      </c>
      <c r="L5377" s="71" t="n">
        <v>234.48</v>
      </c>
      <c r="M5377" s="71" t="n">
        <v>564627.84</v>
      </c>
      <c r="N5377" s="71" t="n">
        <v>112925.57</v>
      </c>
      <c r="O5377" s="71" t="n">
        <v>451702.27</v>
      </c>
      <c r="P5377" s="71" t="n">
        <v>166374.36</v>
      </c>
      <c r="Q5377" s="71" t="n">
        <v>285327.91</v>
      </c>
      <c r="R5377" t="inlineStr">
        <is>
          <t>Vaccines</t>
        </is>
      </c>
      <c r="S5377" s="70" t="n">
        <v>2311</v>
      </c>
      <c r="T5377" s="71" t="n">
        <v>81749.13</v>
      </c>
      <c r="U5377" t="inlineStr">
        <is>
          <t>Low</t>
        </is>
      </c>
      <c r="V5377">
        <f>IF(AND(OR(Dashboard!$C$6="All",E5377=Dashboard!$C$6),OR(Dashboard!$F$6="All",G5377=Dashboard!$F$6),OR(Dashboard!$I$6="All",H5377=Dashboard!$I$6)),1,0)</f>
        <v/>
      </c>
    </row>
    <row r="5378">
      <c r="A5378" t="inlineStr">
        <is>
          <t>PF105369</t>
        </is>
      </c>
      <c r="B5378" s="68" t="n">
        <v>46305</v>
      </c>
      <c r="C5378" s="69" t="n">
        <v>2026</v>
      </c>
      <c r="D5378" t="inlineStr">
        <is>
          <t>Oct</t>
        </is>
      </c>
      <c r="E5378" t="inlineStr">
        <is>
          <t>Emerging markets</t>
        </is>
      </c>
      <c r="F5378" t="inlineStr">
        <is>
          <t>China</t>
        </is>
      </c>
      <c r="G5378" t="inlineStr">
        <is>
          <t>Prevnar 20</t>
        </is>
      </c>
      <c r="H5378" t="inlineStr">
        <is>
          <t>Government / tender</t>
        </is>
      </c>
      <c r="I5378" t="inlineStr">
        <is>
          <t>Public payer</t>
        </is>
      </c>
      <c r="J5378" t="inlineStr">
        <is>
          <t>Zoya Ahmed</t>
        </is>
      </c>
      <c r="K5378" s="70" t="n">
        <v>1331</v>
      </c>
      <c r="L5378" s="71" t="n">
        <v>216.6</v>
      </c>
      <c r="M5378" s="71" t="n">
        <v>288294.6</v>
      </c>
      <c r="N5378" s="71" t="n">
        <v>72073.64999999999</v>
      </c>
      <c r="O5378" s="71" t="n">
        <v>216220.95</v>
      </c>
      <c r="P5378" s="71" t="n">
        <v>93663.50999999999</v>
      </c>
      <c r="Q5378" s="71" t="n">
        <v>122557.44</v>
      </c>
      <c r="R5378" t="inlineStr">
        <is>
          <t>Vaccines</t>
        </is>
      </c>
      <c r="S5378" s="70" t="n">
        <v>1192</v>
      </c>
      <c r="T5378" s="71" t="n">
        <v>57042.07</v>
      </c>
      <c r="U5378" t="inlineStr">
        <is>
          <t>Low</t>
        </is>
      </c>
      <c r="V5378">
        <f>IF(AND(OR(Dashboard!$C$6="All",E5378=Dashboard!$C$6),OR(Dashboard!$F$6="All",G5378=Dashboard!$F$6),OR(Dashboard!$I$6="All",H5378=Dashboard!$I$6)),1,0)</f>
        <v/>
      </c>
    </row>
    <row r="5379">
      <c r="A5379" t="inlineStr">
        <is>
          <t>PF105370</t>
        </is>
      </c>
      <c r="B5379" s="68" t="n">
        <v>46306</v>
      </c>
      <c r="C5379" s="69" t="n">
        <v>2026</v>
      </c>
      <c r="D5379" t="inlineStr">
        <is>
          <t>Oct</t>
        </is>
      </c>
      <c r="E5379" t="inlineStr">
        <is>
          <t>Emerging markets</t>
        </is>
      </c>
      <c r="F5379" t="inlineStr">
        <is>
          <t>India</t>
        </is>
      </c>
      <c r="G5379" t="inlineStr">
        <is>
          <t>Eliquis</t>
        </is>
      </c>
      <c r="H5379" t="inlineStr">
        <is>
          <t>Retail pharmacy</t>
        </is>
      </c>
      <c r="I5379" t="inlineStr">
        <is>
          <t>Private insurer</t>
        </is>
      </c>
      <c r="J5379" t="inlineStr">
        <is>
          <t>Amir Khan</t>
        </is>
      </c>
      <c r="K5379" s="70" t="n">
        <v>921</v>
      </c>
      <c r="L5379" s="71" t="n">
        <v>448.82</v>
      </c>
      <c r="M5379" s="71" t="n">
        <v>413363.22</v>
      </c>
      <c r="N5379" s="71" t="n">
        <v>41336.32</v>
      </c>
      <c r="O5379" s="71" t="n">
        <v>372026.9</v>
      </c>
      <c r="P5379" s="71" t="n">
        <v>68639.75</v>
      </c>
      <c r="Q5379" s="71" t="n">
        <v>303387.15</v>
      </c>
      <c r="R5379" t="inlineStr">
        <is>
          <t>Cardiology</t>
        </is>
      </c>
      <c r="S5379" s="70" t="n">
        <v>683</v>
      </c>
      <c r="T5379" s="71" t="n">
        <v>60666.06</v>
      </c>
      <c r="U5379" t="inlineStr">
        <is>
          <t>High</t>
        </is>
      </c>
      <c r="V5379">
        <f>IF(AND(OR(Dashboard!$C$6="All",E5379=Dashboard!$C$6),OR(Dashboard!$F$6="All",G5379=Dashboard!$F$6),OR(Dashboard!$I$6="All",H5379=Dashboard!$I$6)),1,0)</f>
        <v/>
      </c>
    </row>
    <row r="5380">
      <c r="A5380" t="inlineStr">
        <is>
          <t>PF105371</t>
        </is>
      </c>
      <c r="B5380" s="68" t="n">
        <v>46306</v>
      </c>
      <c r="C5380" s="69" t="n">
        <v>2026</v>
      </c>
      <c r="D5380" t="inlineStr">
        <is>
          <t>Oct</t>
        </is>
      </c>
      <c r="E5380" t="inlineStr">
        <is>
          <t>United States</t>
        </is>
      </c>
      <c r="F5380" t="inlineStr">
        <is>
          <t>USA</t>
        </is>
      </c>
      <c r="G5380" t="inlineStr">
        <is>
          <t>Abrysvo</t>
        </is>
      </c>
      <c r="H5380" t="inlineStr">
        <is>
          <t>Government / tender</t>
        </is>
      </c>
      <c r="I5380" t="inlineStr">
        <is>
          <t>Public payer</t>
        </is>
      </c>
      <c r="J5380" t="inlineStr">
        <is>
          <t>Priya Nair</t>
        </is>
      </c>
      <c r="K5380" s="70" t="n">
        <v>1525</v>
      </c>
      <c r="L5380" s="71" t="n">
        <v>513.11</v>
      </c>
      <c r="M5380" s="71" t="n">
        <v>782492.75</v>
      </c>
      <c r="N5380" s="71" t="n">
        <v>234747.83</v>
      </c>
      <c r="O5380" s="71" t="n">
        <v>547744.92</v>
      </c>
      <c r="P5380" s="71" t="n">
        <v>126470.05</v>
      </c>
      <c r="Q5380" s="71" t="n">
        <v>421274.87</v>
      </c>
      <c r="R5380" t="inlineStr">
        <is>
          <t>Vaccines</t>
        </is>
      </c>
      <c r="S5380" s="70" t="n">
        <v>976</v>
      </c>
      <c r="T5380" s="71" t="n">
        <v>91430.89999999999</v>
      </c>
      <c r="U5380" t="inlineStr">
        <is>
          <t>Low</t>
        </is>
      </c>
      <c r="V5380">
        <f>IF(AND(OR(Dashboard!$C$6="All",E5380=Dashboard!$C$6),OR(Dashboard!$F$6="All",G5380=Dashboard!$F$6),OR(Dashboard!$I$6="All",H5380=Dashboard!$I$6)),1,0)</f>
        <v/>
      </c>
    </row>
    <row r="5381">
      <c r="A5381" t="inlineStr">
        <is>
          <t>PF105372</t>
        </is>
      </c>
      <c r="B5381" s="68" t="n">
        <v>46306</v>
      </c>
      <c r="C5381" s="69" t="n">
        <v>2026</v>
      </c>
      <c r="D5381" t="inlineStr">
        <is>
          <t>Oct</t>
        </is>
      </c>
      <c r="E5381" t="inlineStr">
        <is>
          <t>Europe</t>
        </is>
      </c>
      <c r="F5381" t="inlineStr">
        <is>
          <t>France</t>
        </is>
      </c>
      <c r="G5381" t="inlineStr">
        <is>
          <t>Abrysvo</t>
        </is>
      </c>
      <c r="H5381" t="inlineStr">
        <is>
          <t>Government / tender</t>
        </is>
      </c>
      <c r="I5381" t="inlineStr">
        <is>
          <t>Self-pay</t>
        </is>
      </c>
      <c r="J5381" t="inlineStr">
        <is>
          <t>Aisha Bello</t>
        </is>
      </c>
      <c r="K5381" s="70" t="n">
        <v>1785</v>
      </c>
      <c r="L5381" s="71" t="n">
        <v>321.65</v>
      </c>
      <c r="M5381" s="71" t="n">
        <v>574145.25</v>
      </c>
      <c r="N5381" s="71" t="n">
        <v>114829.05</v>
      </c>
      <c r="O5381" s="71" t="n">
        <v>459316.2</v>
      </c>
      <c r="P5381" s="71" t="n">
        <v>151755.5</v>
      </c>
      <c r="Q5381" s="71" t="n">
        <v>307560.7</v>
      </c>
      <c r="R5381" t="inlineStr">
        <is>
          <t>Vaccines</t>
        </is>
      </c>
      <c r="S5381" s="70" t="n">
        <v>1449</v>
      </c>
      <c r="T5381" s="71" t="n">
        <v>66703.8</v>
      </c>
      <c r="U5381" t="inlineStr">
        <is>
          <t>Low</t>
        </is>
      </c>
      <c r="V5381">
        <f>IF(AND(OR(Dashboard!$C$6="All",E5381=Dashboard!$C$6),OR(Dashboard!$F$6="All",G5381=Dashboard!$F$6),OR(Dashboard!$I$6="All",H5381=Dashboard!$I$6)),1,0)</f>
        <v/>
      </c>
    </row>
    <row r="5382">
      <c r="A5382" t="inlineStr">
        <is>
          <t>PF105373</t>
        </is>
      </c>
      <c r="B5382" s="68" t="n">
        <v>46306</v>
      </c>
      <c r="C5382" s="69" t="n">
        <v>2026</v>
      </c>
      <c r="D5382" t="inlineStr">
        <is>
          <t>Oct</t>
        </is>
      </c>
      <c r="E5382" t="inlineStr">
        <is>
          <t>Europe</t>
        </is>
      </c>
      <c r="F5382" t="inlineStr">
        <is>
          <t>Germany</t>
        </is>
      </c>
      <c r="G5382" t="inlineStr">
        <is>
          <t>Eliquis</t>
        </is>
      </c>
      <c r="H5382" t="inlineStr">
        <is>
          <t>Government / tender</t>
        </is>
      </c>
      <c r="I5382" t="inlineStr">
        <is>
          <t>Public payer</t>
        </is>
      </c>
      <c r="J5382" t="inlineStr">
        <is>
          <t>Priya Nair</t>
        </is>
      </c>
      <c r="K5382" s="70" t="n">
        <v>859</v>
      </c>
      <c r="L5382" s="71" t="n">
        <v>432.09</v>
      </c>
      <c r="M5382" s="71" t="n">
        <v>371165.31</v>
      </c>
      <c r="N5382" s="71" t="n">
        <v>74233.06</v>
      </c>
      <c r="O5382" s="71" t="n">
        <v>296932.25</v>
      </c>
      <c r="P5382" s="71" t="n">
        <v>66512.02</v>
      </c>
      <c r="Q5382" s="71" t="n">
        <v>230420.23</v>
      </c>
      <c r="R5382" t="inlineStr">
        <is>
          <t>Cardiology</t>
        </is>
      </c>
      <c r="S5382" s="70" t="n">
        <v>640</v>
      </c>
      <c r="T5382" s="71" t="n">
        <v>54021.18</v>
      </c>
      <c r="U5382" t="inlineStr">
        <is>
          <t>High</t>
        </is>
      </c>
      <c r="V5382">
        <f>IF(AND(OR(Dashboard!$C$6="All",E5382=Dashboard!$C$6),OR(Dashboard!$F$6="All",G5382=Dashboard!$F$6),OR(Dashboard!$I$6="All",H5382=Dashboard!$I$6)),1,0)</f>
        <v/>
      </c>
    </row>
    <row r="5383">
      <c r="A5383" t="inlineStr">
        <is>
          <t>PF105374</t>
        </is>
      </c>
      <c r="B5383" s="68" t="n">
        <v>46306</v>
      </c>
      <c r="C5383" s="69" t="n">
        <v>2026</v>
      </c>
      <c r="D5383" t="inlineStr">
        <is>
          <t>Oct</t>
        </is>
      </c>
      <c r="E5383" t="inlineStr">
        <is>
          <t>Emerging markets</t>
        </is>
      </c>
      <c r="F5383" t="inlineStr">
        <is>
          <t>Brazil</t>
        </is>
      </c>
      <c r="G5383" t="inlineStr">
        <is>
          <t>Comirnaty</t>
        </is>
      </c>
      <c r="H5383" t="inlineStr">
        <is>
          <t>Retail pharmacy</t>
        </is>
      </c>
      <c r="I5383" t="inlineStr">
        <is>
          <t>Public payer</t>
        </is>
      </c>
      <c r="J5383" t="inlineStr">
        <is>
          <t>Lucas Martin</t>
        </is>
      </c>
      <c r="K5383" s="70" t="n">
        <v>1040</v>
      </c>
      <c r="L5383" s="71" t="n">
        <v>91.68000000000001</v>
      </c>
      <c r="M5383" s="71" t="n">
        <v>95347.2</v>
      </c>
      <c r="N5383" s="71" t="n">
        <v>14302.08</v>
      </c>
      <c r="O5383" s="71" t="n">
        <v>81045.12</v>
      </c>
      <c r="P5383" s="71" t="n">
        <v>40858.08</v>
      </c>
      <c r="Q5383" s="71" t="n">
        <v>40187.04</v>
      </c>
      <c r="R5383" t="inlineStr">
        <is>
          <t>Vaccines</t>
        </is>
      </c>
      <c r="S5383" s="70" t="n">
        <v>735</v>
      </c>
      <c r="T5383" s="71" t="n">
        <v>22727.55</v>
      </c>
      <c r="U5383" t="inlineStr">
        <is>
          <t>Low</t>
        </is>
      </c>
      <c r="V5383">
        <f>IF(AND(OR(Dashboard!$C$6="All",E5383=Dashboard!$C$6),OR(Dashboard!$F$6="All",G5383=Dashboard!$F$6),OR(Dashboard!$I$6="All",H5383=Dashboard!$I$6)),1,0)</f>
        <v/>
      </c>
    </row>
    <row r="5384">
      <c r="A5384" t="inlineStr">
        <is>
          <t>PF105375</t>
        </is>
      </c>
      <c r="B5384" s="68" t="n">
        <v>46306</v>
      </c>
      <c r="C5384" s="69" t="n">
        <v>2026</v>
      </c>
      <c r="D5384" t="inlineStr">
        <is>
          <t>Oct</t>
        </is>
      </c>
      <c r="E5384" t="inlineStr">
        <is>
          <t>Europe</t>
        </is>
      </c>
      <c r="F5384" t="inlineStr">
        <is>
          <t>Germany</t>
        </is>
      </c>
      <c r="G5384" t="inlineStr">
        <is>
          <t>Eliquis</t>
        </is>
      </c>
      <c r="H5384" t="inlineStr">
        <is>
          <t>Government / tender</t>
        </is>
      </c>
      <c r="I5384" t="inlineStr">
        <is>
          <t>Self-pay</t>
        </is>
      </c>
      <c r="J5384" t="inlineStr">
        <is>
          <t>Lucas Martin</t>
        </is>
      </c>
      <c r="K5384" s="70" t="n">
        <v>1278</v>
      </c>
      <c r="L5384" s="71" t="n">
        <v>462.12</v>
      </c>
      <c r="M5384" s="71" t="n">
        <v>590589.36</v>
      </c>
      <c r="N5384" s="71" t="n">
        <v>59058.94</v>
      </c>
      <c r="O5384" s="71" t="n">
        <v>531530.42</v>
      </c>
      <c r="P5384" s="71" t="n">
        <v>94088.96000000001</v>
      </c>
      <c r="Q5384" s="71" t="n">
        <v>437441.46</v>
      </c>
      <c r="R5384" t="inlineStr">
        <is>
          <t>Cardiology</t>
        </is>
      </c>
      <c r="S5384" s="70" t="n">
        <v>1083</v>
      </c>
      <c r="T5384" s="71" t="n">
        <v>121446.87</v>
      </c>
      <c r="U5384" t="inlineStr">
        <is>
          <t>High</t>
        </is>
      </c>
      <c r="V5384">
        <f>IF(AND(OR(Dashboard!$C$6="All",E5384=Dashboard!$C$6),OR(Dashboard!$F$6="All",G5384=Dashboard!$F$6),OR(Dashboard!$I$6="All",H5384=Dashboard!$I$6)),1,0)</f>
        <v/>
      </c>
    </row>
    <row r="5385">
      <c r="A5385" t="inlineStr">
        <is>
          <t>PF105376</t>
        </is>
      </c>
      <c r="B5385" s="68" t="n">
        <v>46306</v>
      </c>
      <c r="C5385" s="69" t="n">
        <v>2026</v>
      </c>
      <c r="D5385" t="inlineStr">
        <is>
          <t>Oct</t>
        </is>
      </c>
      <c r="E5385" t="inlineStr">
        <is>
          <t>Emerging markets</t>
        </is>
      </c>
      <c r="F5385" t="inlineStr">
        <is>
          <t>Mexico</t>
        </is>
      </c>
      <c r="G5385" t="inlineStr">
        <is>
          <t>Comirnaty</t>
        </is>
      </c>
      <c r="H5385" t="inlineStr">
        <is>
          <t>Retail pharmacy</t>
        </is>
      </c>
      <c r="I5385" t="inlineStr">
        <is>
          <t>Private insurer</t>
        </is>
      </c>
      <c r="J5385" t="inlineStr">
        <is>
          <t>Hiroshi Tanaka</t>
        </is>
      </c>
      <c r="K5385" s="70" t="n">
        <v>533</v>
      </c>
      <c r="L5385" s="71" t="n">
        <v>93.14</v>
      </c>
      <c r="M5385" s="71" t="n">
        <v>49643.62</v>
      </c>
      <c r="N5385" s="71" t="n">
        <v>2482.18</v>
      </c>
      <c r="O5385" s="71" t="n">
        <v>47161.44</v>
      </c>
      <c r="P5385" s="71" t="n">
        <v>21029.83</v>
      </c>
      <c r="Q5385" s="71" t="n">
        <v>26131.61</v>
      </c>
      <c r="R5385" t="inlineStr">
        <is>
          <t>Vaccines</t>
        </is>
      </c>
      <c r="S5385" s="70" t="n">
        <v>447</v>
      </c>
      <c r="T5385" s="71" t="n">
        <v>7828.93</v>
      </c>
      <c r="U5385" t="inlineStr">
        <is>
          <t>Low</t>
        </is>
      </c>
      <c r="V5385">
        <f>IF(AND(OR(Dashboard!$C$6="All",E5385=Dashboard!$C$6),OR(Dashboard!$F$6="All",G5385=Dashboard!$F$6),OR(Dashboard!$I$6="All",H5385=Dashboard!$I$6)),1,0)</f>
        <v/>
      </c>
    </row>
    <row r="5386">
      <c r="A5386" t="inlineStr">
        <is>
          <t>PF105377</t>
        </is>
      </c>
      <c r="B5386" s="68" t="n">
        <v>46306</v>
      </c>
      <c r="C5386" s="69" t="n">
        <v>2026</v>
      </c>
      <c r="D5386" t="inlineStr">
        <is>
          <t>Oct</t>
        </is>
      </c>
      <c r="E5386" t="inlineStr">
        <is>
          <t>United States</t>
        </is>
      </c>
      <c r="F5386" t="inlineStr">
        <is>
          <t>USA</t>
        </is>
      </c>
      <c r="G5386" t="inlineStr">
        <is>
          <t>Xeljanz</t>
        </is>
      </c>
      <c r="H5386" t="inlineStr">
        <is>
          <t>Retail pharmacy</t>
        </is>
      </c>
      <c r="I5386" t="inlineStr">
        <is>
          <t>Self-pay</t>
        </is>
      </c>
      <c r="J5386" t="inlineStr">
        <is>
          <t>Sara Rossi</t>
        </is>
      </c>
      <c r="K5386" s="70" t="n">
        <v>2393</v>
      </c>
      <c r="L5386" s="71" t="n">
        <v>2111.98</v>
      </c>
      <c r="M5386" s="71" t="n">
        <v>5053968.14</v>
      </c>
      <c r="N5386" s="71" t="n">
        <v>1263492.03</v>
      </c>
      <c r="O5386" s="71" t="n">
        <v>3790476.11</v>
      </c>
      <c r="P5386" s="71" t="n">
        <v>617943.71</v>
      </c>
      <c r="Q5386" s="71" t="n">
        <v>3172532.4</v>
      </c>
      <c r="R5386" t="inlineStr">
        <is>
          <t>Inflammation</t>
        </is>
      </c>
      <c r="S5386" s="70" t="n">
        <v>1721</v>
      </c>
      <c r="T5386" s="71" t="n">
        <v>1128712.21</v>
      </c>
      <c r="U5386" t="inlineStr">
        <is>
          <t>High</t>
        </is>
      </c>
      <c r="V5386">
        <f>IF(AND(OR(Dashboard!$C$6="All",E5386=Dashboard!$C$6),OR(Dashboard!$F$6="All",G5386=Dashboard!$F$6),OR(Dashboard!$I$6="All",H5386=Dashboard!$I$6)),1,0)</f>
        <v/>
      </c>
    </row>
    <row r="5387">
      <c r="A5387" t="inlineStr">
        <is>
          <t>PF105378</t>
        </is>
      </c>
      <c r="B5387" s="68" t="n">
        <v>46306</v>
      </c>
      <c r="C5387" s="69" t="n">
        <v>2026</v>
      </c>
      <c r="D5387" t="inlineStr">
        <is>
          <t>Oct</t>
        </is>
      </c>
      <c r="E5387" t="inlineStr">
        <is>
          <t>Emerging markets</t>
        </is>
      </c>
      <c r="F5387" t="inlineStr">
        <is>
          <t>India</t>
        </is>
      </c>
      <c r="G5387" t="inlineStr">
        <is>
          <t>Xeljanz</t>
        </is>
      </c>
      <c r="H5387" t="inlineStr">
        <is>
          <t>Retail pharmacy</t>
        </is>
      </c>
      <c r="I5387" t="inlineStr">
        <is>
          <t>Private insurer</t>
        </is>
      </c>
      <c r="J5387" t="inlineStr">
        <is>
          <t>Omar Haddad</t>
        </is>
      </c>
      <c r="K5387" s="70" t="n">
        <v>1788</v>
      </c>
      <c r="L5387" s="71" t="n">
        <v>1469.85</v>
      </c>
      <c r="M5387" s="71" t="n">
        <v>2628091.8</v>
      </c>
      <c r="N5387" s="71" t="n">
        <v>131404.59</v>
      </c>
      <c r="O5387" s="71" t="n">
        <v>2496687.21</v>
      </c>
      <c r="P5387" s="71" t="n">
        <v>462732.18</v>
      </c>
      <c r="Q5387" s="71" t="n">
        <v>2033955.03</v>
      </c>
      <c r="R5387" t="inlineStr">
        <is>
          <t>Inflammation</t>
        </is>
      </c>
      <c r="S5387" s="70" t="n">
        <v>1301</v>
      </c>
      <c r="T5387" s="71" t="n">
        <v>435941.75</v>
      </c>
      <c r="U5387" t="inlineStr">
        <is>
          <t>High</t>
        </is>
      </c>
      <c r="V5387">
        <f>IF(AND(OR(Dashboard!$C$6="All",E5387=Dashboard!$C$6),OR(Dashboard!$F$6="All",G5387=Dashboard!$F$6),OR(Dashboard!$I$6="All",H5387=Dashboard!$I$6)),1,0)</f>
        <v/>
      </c>
    </row>
    <row r="5388">
      <c r="A5388" t="inlineStr">
        <is>
          <t>PF105379</t>
        </is>
      </c>
      <c r="B5388" s="68" t="n">
        <v>46306</v>
      </c>
      <c r="C5388" s="69" t="n">
        <v>2026</v>
      </c>
      <c r="D5388" t="inlineStr">
        <is>
          <t>Oct</t>
        </is>
      </c>
      <c r="E5388" t="inlineStr">
        <is>
          <t>Europe</t>
        </is>
      </c>
      <c r="F5388" t="inlineStr">
        <is>
          <t>Germany</t>
        </is>
      </c>
      <c r="G5388" t="inlineStr">
        <is>
          <t>Prevnar 20</t>
        </is>
      </c>
      <c r="H5388" t="inlineStr">
        <is>
          <t>Retail pharmacy</t>
        </is>
      </c>
      <c r="I5388" t="inlineStr">
        <is>
          <t>Self-pay</t>
        </is>
      </c>
      <c r="J5388" t="inlineStr">
        <is>
          <t>Priya Nair</t>
        </is>
      </c>
      <c r="K5388" s="70" t="n">
        <v>1260</v>
      </c>
      <c r="L5388" s="71" t="n">
        <v>230.07</v>
      </c>
      <c r="M5388" s="71" t="n">
        <v>289888.2</v>
      </c>
      <c r="N5388" s="71" t="n">
        <v>57977.64</v>
      </c>
      <c r="O5388" s="71" t="n">
        <v>231910.56</v>
      </c>
      <c r="P5388" s="71" t="n">
        <v>86413.42999999999</v>
      </c>
      <c r="Q5388" s="71" t="n">
        <v>145497.13</v>
      </c>
      <c r="R5388" t="inlineStr">
        <is>
          <t>Vaccines</t>
        </is>
      </c>
      <c r="S5388" s="70" t="n">
        <v>1193</v>
      </c>
      <c r="T5388" s="71" t="n">
        <v>56669.59</v>
      </c>
      <c r="U5388" t="inlineStr">
        <is>
          <t>Low</t>
        </is>
      </c>
      <c r="V5388">
        <f>IF(AND(OR(Dashboard!$C$6="All",E5388=Dashboard!$C$6),OR(Dashboard!$F$6="All",G5388=Dashboard!$F$6),OR(Dashboard!$I$6="All",H5388=Dashboard!$I$6)),1,0)</f>
        <v/>
      </c>
    </row>
    <row r="5389">
      <c r="A5389" t="inlineStr">
        <is>
          <t>PF105380</t>
        </is>
      </c>
      <c r="B5389" s="68" t="n">
        <v>46306</v>
      </c>
      <c r="C5389" s="69" t="n">
        <v>2026</v>
      </c>
      <c r="D5389" t="inlineStr">
        <is>
          <t>Oct</t>
        </is>
      </c>
      <c r="E5389" t="inlineStr">
        <is>
          <t>International developed</t>
        </is>
      </c>
      <c r="F5389" t="inlineStr">
        <is>
          <t>Japan</t>
        </is>
      </c>
      <c r="G5389" t="inlineStr">
        <is>
          <t>Comirnaty</t>
        </is>
      </c>
      <c r="H5389" t="inlineStr">
        <is>
          <t>Government / tender</t>
        </is>
      </c>
      <c r="I5389" t="inlineStr">
        <is>
          <t>Public payer</t>
        </is>
      </c>
      <c r="J5389" t="inlineStr">
        <is>
          <t>Olivia Brown</t>
        </is>
      </c>
      <c r="K5389" s="70" t="n">
        <v>2484</v>
      </c>
      <c r="L5389" s="71" t="n">
        <v>90.93000000000001</v>
      </c>
      <c r="M5389" s="71" t="n">
        <v>225870.12</v>
      </c>
      <c r="N5389" s="71" t="n">
        <v>56467.53</v>
      </c>
      <c r="O5389" s="71" t="n">
        <v>169402.59</v>
      </c>
      <c r="P5389" s="71" t="n">
        <v>94993.97</v>
      </c>
      <c r="Q5389" s="71" t="n">
        <v>74408.62</v>
      </c>
      <c r="R5389" t="inlineStr">
        <is>
          <t>Vaccines</t>
        </is>
      </c>
      <c r="S5389" s="70" t="n">
        <v>1619</v>
      </c>
      <c r="T5389" s="71" t="n">
        <v>46240.08</v>
      </c>
      <c r="U5389" t="inlineStr">
        <is>
          <t>Low</t>
        </is>
      </c>
      <c r="V5389">
        <f>IF(AND(OR(Dashboard!$C$6="All",E5389=Dashboard!$C$6),OR(Dashboard!$F$6="All",G5389=Dashboard!$F$6),OR(Dashboard!$I$6="All",H5389=Dashboard!$I$6)),1,0)</f>
        <v/>
      </c>
    </row>
    <row r="5390">
      <c r="A5390" t="inlineStr">
        <is>
          <t>PF105381</t>
        </is>
      </c>
      <c r="B5390" s="68" t="n">
        <v>46307</v>
      </c>
      <c r="C5390" s="69" t="n">
        <v>2026</v>
      </c>
      <c r="D5390" t="inlineStr">
        <is>
          <t>Oct</t>
        </is>
      </c>
      <c r="E5390" t="inlineStr">
        <is>
          <t>Emerging markets</t>
        </is>
      </c>
      <c r="F5390" t="inlineStr">
        <is>
          <t>China</t>
        </is>
      </c>
      <c r="G5390" t="inlineStr">
        <is>
          <t>Eliquis</t>
        </is>
      </c>
      <c r="H5390" t="inlineStr">
        <is>
          <t>Hospital</t>
        </is>
      </c>
      <c r="I5390" t="inlineStr">
        <is>
          <t>Private insurer</t>
        </is>
      </c>
      <c r="J5390" t="inlineStr">
        <is>
          <t>Aisha Bello</t>
        </is>
      </c>
      <c r="K5390" s="70" t="n">
        <v>892</v>
      </c>
      <c r="L5390" s="71" t="n">
        <v>433</v>
      </c>
      <c r="M5390" s="71" t="n">
        <v>386236</v>
      </c>
      <c r="N5390" s="71" t="n">
        <v>19311.8</v>
      </c>
      <c r="O5390" s="71" t="n">
        <v>366924.2</v>
      </c>
      <c r="P5390" s="71" t="n">
        <v>67771.67999999999</v>
      </c>
      <c r="Q5390" s="71" t="n">
        <v>299152.52</v>
      </c>
      <c r="R5390" t="inlineStr">
        <is>
          <t>Cardiology</t>
        </is>
      </c>
      <c r="S5390" s="70" t="n">
        <v>850</v>
      </c>
      <c r="T5390" s="71" t="n">
        <v>69910.27</v>
      </c>
      <c r="U5390" t="inlineStr">
        <is>
          <t>High</t>
        </is>
      </c>
      <c r="V5390">
        <f>IF(AND(OR(Dashboard!$C$6="All",E5390=Dashboard!$C$6),OR(Dashboard!$F$6="All",G5390=Dashboard!$F$6),OR(Dashboard!$I$6="All",H5390=Dashboard!$I$6)),1,0)</f>
        <v/>
      </c>
    </row>
    <row r="5391">
      <c r="A5391" t="inlineStr">
        <is>
          <t>PF105382</t>
        </is>
      </c>
      <c r="B5391" s="68" t="n">
        <v>46307</v>
      </c>
      <c r="C5391" s="69" t="n">
        <v>2026</v>
      </c>
      <c r="D5391" t="inlineStr">
        <is>
          <t>Oct</t>
        </is>
      </c>
      <c r="E5391" t="inlineStr">
        <is>
          <t>International developed</t>
        </is>
      </c>
      <c r="F5391" t="inlineStr">
        <is>
          <t>Canada</t>
        </is>
      </c>
      <c r="G5391" t="inlineStr">
        <is>
          <t>Prevnar 20</t>
        </is>
      </c>
      <c r="H5391" t="inlineStr">
        <is>
          <t>Retail pharmacy</t>
        </is>
      </c>
      <c r="I5391" t="inlineStr">
        <is>
          <t>Public payer</t>
        </is>
      </c>
      <c r="J5391" t="inlineStr">
        <is>
          <t>Ana Costa</t>
        </is>
      </c>
      <c r="K5391" s="70" t="n">
        <v>2543</v>
      </c>
      <c r="L5391" s="71" t="n">
        <v>246.53</v>
      </c>
      <c r="M5391" s="71" t="n">
        <v>626925.79</v>
      </c>
      <c r="N5391" s="71" t="n">
        <v>125385.16</v>
      </c>
      <c r="O5391" s="71" t="n">
        <v>501540.63</v>
      </c>
      <c r="P5391" s="71" t="n">
        <v>178970.77</v>
      </c>
      <c r="Q5391" s="71" t="n">
        <v>322569.86</v>
      </c>
      <c r="R5391" t="inlineStr">
        <is>
          <t>Vaccines</t>
        </is>
      </c>
      <c r="S5391" s="70" t="n">
        <v>1671</v>
      </c>
      <c r="T5391" s="71" t="n">
        <v>115931.02</v>
      </c>
      <c r="U5391" t="inlineStr">
        <is>
          <t>Low</t>
        </is>
      </c>
      <c r="V5391">
        <f>IF(AND(OR(Dashboard!$C$6="All",E5391=Dashboard!$C$6),OR(Dashboard!$F$6="All",G5391=Dashboard!$F$6),OR(Dashboard!$I$6="All",H5391=Dashboard!$I$6)),1,0)</f>
        <v/>
      </c>
    </row>
    <row r="5392">
      <c r="A5392" t="inlineStr">
        <is>
          <t>PF105383</t>
        </is>
      </c>
      <c r="B5392" s="68" t="n">
        <v>46307</v>
      </c>
      <c r="C5392" s="69" t="n">
        <v>2026</v>
      </c>
      <c r="D5392" t="inlineStr">
        <is>
          <t>Oct</t>
        </is>
      </c>
      <c r="E5392" t="inlineStr">
        <is>
          <t>United States</t>
        </is>
      </c>
      <c r="F5392" t="inlineStr">
        <is>
          <t>USA</t>
        </is>
      </c>
      <c r="G5392" t="inlineStr">
        <is>
          <t>Vyndaqel</t>
        </is>
      </c>
      <c r="H5392" t="inlineStr">
        <is>
          <t>Retail pharmacy</t>
        </is>
      </c>
      <c r="I5392" t="inlineStr">
        <is>
          <t>Private insurer</t>
        </is>
      </c>
      <c r="J5392" t="inlineStr">
        <is>
          <t>Arjun Mehta</t>
        </is>
      </c>
      <c r="K5392" s="70" t="n">
        <v>3030</v>
      </c>
      <c r="L5392" s="71" t="n">
        <v>8414.620000000001</v>
      </c>
      <c r="M5392" s="71" t="n">
        <v>25496298.6</v>
      </c>
      <c r="N5392" s="71" t="n">
        <v>6374074.65</v>
      </c>
      <c r="O5392" s="71" t="n">
        <v>19122223.95</v>
      </c>
      <c r="P5392" s="71" t="n">
        <v>1890102.05</v>
      </c>
      <c r="Q5392" s="71" t="n">
        <v>17232121.9</v>
      </c>
      <c r="R5392" t="inlineStr">
        <is>
          <t>Rare disease</t>
        </is>
      </c>
      <c r="S5392" s="70" t="n">
        <v>2695</v>
      </c>
      <c r="T5392" s="71" t="n">
        <v>3290708.97</v>
      </c>
      <c r="U5392" t="inlineStr">
        <is>
          <t>Medium</t>
        </is>
      </c>
      <c r="V5392">
        <f>IF(AND(OR(Dashboard!$C$6="All",E5392=Dashboard!$C$6),OR(Dashboard!$F$6="All",G5392=Dashboard!$F$6),OR(Dashboard!$I$6="All",H5392=Dashboard!$I$6)),1,0)</f>
        <v/>
      </c>
    </row>
    <row r="5393">
      <c r="A5393" t="inlineStr">
        <is>
          <t>PF105384</t>
        </is>
      </c>
      <c r="B5393" s="68" t="n">
        <v>46307</v>
      </c>
      <c r="C5393" s="69" t="n">
        <v>2026</v>
      </c>
      <c r="D5393" t="inlineStr">
        <is>
          <t>Oct</t>
        </is>
      </c>
      <c r="E5393" t="inlineStr">
        <is>
          <t>United States</t>
        </is>
      </c>
      <c r="F5393" t="inlineStr">
        <is>
          <t>USA</t>
        </is>
      </c>
      <c r="G5393" t="inlineStr">
        <is>
          <t>Vyndaqel</t>
        </is>
      </c>
      <c r="H5393" t="inlineStr">
        <is>
          <t>Retail pharmacy</t>
        </is>
      </c>
      <c r="I5393" t="inlineStr">
        <is>
          <t>Public payer</t>
        </is>
      </c>
      <c r="J5393" t="inlineStr">
        <is>
          <t>Ana Costa</t>
        </is>
      </c>
      <c r="K5393" s="70" t="n">
        <v>3113</v>
      </c>
      <c r="L5393" s="71" t="n">
        <v>9731.49</v>
      </c>
      <c r="M5393" s="71" t="n">
        <v>30294128.37</v>
      </c>
      <c r="N5393" s="71" t="n">
        <v>9088238.51</v>
      </c>
      <c r="O5393" s="71" t="n">
        <v>21205889.86</v>
      </c>
      <c r="P5393" s="71" t="n">
        <v>1905884.16</v>
      </c>
      <c r="Q5393" s="71" t="n">
        <v>19300005.7</v>
      </c>
      <c r="R5393" t="inlineStr">
        <is>
          <t>Rare disease</t>
        </is>
      </c>
      <c r="S5393" s="70" t="n">
        <v>2367</v>
      </c>
      <c r="T5393" s="71" t="n">
        <v>4663002.97</v>
      </c>
      <c r="U5393" t="inlineStr">
        <is>
          <t>Medium</t>
        </is>
      </c>
      <c r="V5393">
        <f>IF(AND(OR(Dashboard!$C$6="All",E5393=Dashboard!$C$6),OR(Dashboard!$F$6="All",G5393=Dashboard!$F$6),OR(Dashboard!$I$6="All",H5393=Dashboard!$I$6)),1,0)</f>
        <v/>
      </c>
    </row>
    <row r="5394">
      <c r="A5394" t="inlineStr">
        <is>
          <t>PF105385</t>
        </is>
      </c>
      <c r="B5394" s="68" t="n">
        <v>46307</v>
      </c>
      <c r="C5394" s="69" t="n">
        <v>2026</v>
      </c>
      <c r="D5394" t="inlineStr">
        <is>
          <t>Oct</t>
        </is>
      </c>
      <c r="E5394" t="inlineStr">
        <is>
          <t>Emerging markets</t>
        </is>
      </c>
      <c r="F5394" t="inlineStr">
        <is>
          <t>China</t>
        </is>
      </c>
      <c r="G5394" t="inlineStr">
        <is>
          <t>Eliquis</t>
        </is>
      </c>
      <c r="H5394" t="inlineStr">
        <is>
          <t>Retail pharmacy</t>
        </is>
      </c>
      <c r="I5394" t="inlineStr">
        <is>
          <t>Public payer</t>
        </is>
      </c>
      <c r="J5394" t="inlineStr">
        <is>
          <t>Aisha Bello</t>
        </is>
      </c>
      <c r="K5394" s="70" t="n">
        <v>1642</v>
      </c>
      <c r="L5394" s="71" t="n">
        <v>447.45</v>
      </c>
      <c r="M5394" s="71" t="n">
        <v>734712.9</v>
      </c>
      <c r="N5394" s="71" t="n">
        <v>110206.93</v>
      </c>
      <c r="O5394" s="71" t="n">
        <v>624505.97</v>
      </c>
      <c r="P5394" s="71" t="n">
        <v>127414.21</v>
      </c>
      <c r="Q5394" s="71" t="n">
        <v>497091.76</v>
      </c>
      <c r="R5394" t="inlineStr">
        <is>
          <t>Cardiology</t>
        </is>
      </c>
      <c r="S5394" s="70" t="n">
        <v>1619</v>
      </c>
      <c r="T5394" s="71" t="n">
        <v>151326.59</v>
      </c>
      <c r="U5394" t="inlineStr">
        <is>
          <t>High</t>
        </is>
      </c>
      <c r="V5394">
        <f>IF(AND(OR(Dashboard!$C$6="All",E5394=Dashboard!$C$6),OR(Dashboard!$F$6="All",G5394=Dashboard!$F$6),OR(Dashboard!$I$6="All",H5394=Dashboard!$I$6)),1,0)</f>
        <v/>
      </c>
    </row>
    <row r="5395">
      <c r="A5395" t="inlineStr">
        <is>
          <t>PF105386</t>
        </is>
      </c>
      <c r="B5395" s="68" t="n">
        <v>46308</v>
      </c>
      <c r="C5395" s="69" t="n">
        <v>2026</v>
      </c>
      <c r="D5395" t="inlineStr">
        <is>
          <t>Oct</t>
        </is>
      </c>
      <c r="E5395" t="inlineStr">
        <is>
          <t>Europe</t>
        </is>
      </c>
      <c r="F5395" t="inlineStr">
        <is>
          <t>Italy</t>
        </is>
      </c>
      <c r="G5395" t="inlineStr">
        <is>
          <t>Xeljanz</t>
        </is>
      </c>
      <c r="H5395" t="inlineStr">
        <is>
          <t>Retail pharmacy</t>
        </is>
      </c>
      <c r="I5395" t="inlineStr">
        <is>
          <t>Public payer</t>
        </is>
      </c>
      <c r="J5395" t="inlineStr">
        <is>
          <t>Carlos Silva</t>
        </is>
      </c>
      <c r="K5395" s="70" t="n">
        <v>1172</v>
      </c>
      <c r="L5395" s="71" t="n">
        <v>1282.09</v>
      </c>
      <c r="M5395" s="71" t="n">
        <v>1502609.48</v>
      </c>
      <c r="N5395" s="71" t="n">
        <v>300521.9</v>
      </c>
      <c r="O5395" s="71" t="n">
        <v>1202087.58</v>
      </c>
      <c r="P5395" s="71" t="n">
        <v>306172.71</v>
      </c>
      <c r="Q5395" s="71" t="n">
        <v>895914.87</v>
      </c>
      <c r="R5395" t="inlineStr">
        <is>
          <t>Inflammation</t>
        </is>
      </c>
      <c r="S5395" s="70" t="n">
        <v>1166</v>
      </c>
      <c r="T5395" s="71" t="n">
        <v>201699.11</v>
      </c>
      <c r="U5395" t="inlineStr">
        <is>
          <t>High</t>
        </is>
      </c>
      <c r="V5395">
        <f>IF(AND(OR(Dashboard!$C$6="All",E5395=Dashboard!$C$6),OR(Dashboard!$F$6="All",G5395=Dashboard!$F$6),OR(Dashboard!$I$6="All",H5395=Dashboard!$I$6)),1,0)</f>
        <v/>
      </c>
    </row>
    <row r="5396">
      <c r="A5396" t="inlineStr">
        <is>
          <t>PF105387</t>
        </is>
      </c>
      <c r="B5396" s="68" t="n">
        <v>46308</v>
      </c>
      <c r="C5396" s="69" t="n">
        <v>2026</v>
      </c>
      <c r="D5396" t="inlineStr">
        <is>
          <t>Oct</t>
        </is>
      </c>
      <c r="E5396" t="inlineStr">
        <is>
          <t>Emerging markets</t>
        </is>
      </c>
      <c r="F5396" t="inlineStr">
        <is>
          <t>India</t>
        </is>
      </c>
      <c r="G5396" t="inlineStr">
        <is>
          <t>Ibrance</t>
        </is>
      </c>
      <c r="H5396" t="inlineStr">
        <is>
          <t>Retail pharmacy</t>
        </is>
      </c>
      <c r="I5396" t="inlineStr">
        <is>
          <t>Private insurer</t>
        </is>
      </c>
      <c r="J5396" t="inlineStr">
        <is>
          <t>Lucas Martin</t>
        </is>
      </c>
      <c r="K5396" s="70" t="n">
        <v>2209</v>
      </c>
      <c r="L5396" s="71" t="n">
        <v>3056.18</v>
      </c>
      <c r="M5396" s="71" t="n">
        <v>6751101.62</v>
      </c>
      <c r="N5396" s="71" t="n">
        <v>1687775.41</v>
      </c>
      <c r="O5396" s="71" t="n">
        <v>5063326.21</v>
      </c>
      <c r="P5396" s="71" t="n">
        <v>964949.33</v>
      </c>
      <c r="Q5396" s="71" t="n">
        <v>4098376.88</v>
      </c>
      <c r="R5396" t="inlineStr">
        <is>
          <t>Oncology</t>
        </is>
      </c>
      <c r="S5396" s="70" t="n">
        <v>2070</v>
      </c>
      <c r="T5396" s="71" t="n">
        <v>1032096</v>
      </c>
      <c r="U5396" t="inlineStr">
        <is>
          <t>High</t>
        </is>
      </c>
      <c r="V5396">
        <f>IF(AND(OR(Dashboard!$C$6="All",E5396=Dashboard!$C$6),OR(Dashboard!$F$6="All",G5396=Dashboard!$F$6),OR(Dashboard!$I$6="All",H5396=Dashboard!$I$6)),1,0)</f>
        <v/>
      </c>
    </row>
    <row r="5397">
      <c r="A5397" t="inlineStr">
        <is>
          <t>PF105388</t>
        </is>
      </c>
      <c r="B5397" s="68" t="n">
        <v>46308</v>
      </c>
      <c r="C5397" s="69" t="n">
        <v>2026</v>
      </c>
      <c r="D5397" t="inlineStr">
        <is>
          <t>Oct</t>
        </is>
      </c>
      <c r="E5397" t="inlineStr">
        <is>
          <t>United States</t>
        </is>
      </c>
      <c r="F5397" t="inlineStr">
        <is>
          <t>USA</t>
        </is>
      </c>
      <c r="G5397" t="inlineStr">
        <is>
          <t>Abrysvo</t>
        </is>
      </c>
      <c r="H5397" t="inlineStr">
        <is>
          <t>Retail pharmacy</t>
        </is>
      </c>
      <c r="I5397" t="inlineStr">
        <is>
          <t>Private insurer</t>
        </is>
      </c>
      <c r="J5397" t="inlineStr">
        <is>
          <t>Lucas Martin</t>
        </is>
      </c>
      <c r="K5397" s="70" t="n">
        <v>2059</v>
      </c>
      <c r="L5397" s="71" t="n">
        <v>502.43</v>
      </c>
      <c r="M5397" s="71" t="n">
        <v>1034503.37</v>
      </c>
      <c r="N5397" s="71" t="n">
        <v>362076.18</v>
      </c>
      <c r="O5397" s="71" t="n">
        <v>672427.1899999999</v>
      </c>
      <c r="P5397" s="71" t="n">
        <v>169439.9</v>
      </c>
      <c r="Q5397" s="71" t="n">
        <v>502987.29</v>
      </c>
      <c r="R5397" t="inlineStr">
        <is>
          <t>Vaccines</t>
        </is>
      </c>
      <c r="S5397" s="70" t="n">
        <v>1750</v>
      </c>
      <c r="T5397" s="71" t="n">
        <v>129624.58</v>
      </c>
      <c r="U5397" t="inlineStr">
        <is>
          <t>Low</t>
        </is>
      </c>
      <c r="V5397">
        <f>IF(AND(OR(Dashboard!$C$6="All",E5397=Dashboard!$C$6),OR(Dashboard!$F$6="All",G5397=Dashboard!$F$6),OR(Dashboard!$I$6="All",H5397=Dashboard!$I$6)),1,0)</f>
        <v/>
      </c>
    </row>
    <row r="5398">
      <c r="A5398" t="inlineStr">
        <is>
          <t>PF105389</t>
        </is>
      </c>
      <c r="B5398" s="68" t="n">
        <v>46308</v>
      </c>
      <c r="C5398" s="69" t="n">
        <v>2026</v>
      </c>
      <c r="D5398" t="inlineStr">
        <is>
          <t>Oct</t>
        </is>
      </c>
      <c r="E5398" t="inlineStr">
        <is>
          <t>United States</t>
        </is>
      </c>
      <c r="F5398" t="inlineStr">
        <is>
          <t>USA</t>
        </is>
      </c>
      <c r="G5398" t="inlineStr">
        <is>
          <t>Comirnaty</t>
        </is>
      </c>
      <c r="H5398" t="inlineStr">
        <is>
          <t>Hospital</t>
        </is>
      </c>
      <c r="I5398" t="inlineStr">
        <is>
          <t>Public payer</t>
        </is>
      </c>
      <c r="J5398" t="inlineStr">
        <is>
          <t>Fatima Al-Saud</t>
        </is>
      </c>
      <c r="K5398" s="70" t="n">
        <v>378</v>
      </c>
      <c r="L5398" s="71" t="n">
        <v>142.62</v>
      </c>
      <c r="M5398" s="71" t="n">
        <v>53910.36</v>
      </c>
      <c r="N5398" s="71" t="n">
        <v>18868.63</v>
      </c>
      <c r="O5398" s="71" t="n">
        <v>35041.73</v>
      </c>
      <c r="P5398" s="71" t="n">
        <v>14353.15</v>
      </c>
      <c r="Q5398" s="71" t="n">
        <v>20688.58</v>
      </c>
      <c r="R5398" t="inlineStr">
        <is>
          <t>Vaccines</t>
        </is>
      </c>
      <c r="S5398" s="70" t="n">
        <v>250</v>
      </c>
      <c r="T5398" s="71" t="n">
        <v>12576.24</v>
      </c>
      <c r="U5398" t="inlineStr">
        <is>
          <t>Low</t>
        </is>
      </c>
      <c r="V5398">
        <f>IF(AND(OR(Dashboard!$C$6="All",E5398=Dashboard!$C$6),OR(Dashboard!$F$6="All",G5398=Dashboard!$F$6),OR(Dashboard!$I$6="All",H5398=Dashboard!$I$6)),1,0)</f>
        <v/>
      </c>
    </row>
    <row r="5399">
      <c r="A5399" t="inlineStr">
        <is>
          <t>PF105390</t>
        </is>
      </c>
      <c r="B5399" s="68" t="n">
        <v>46308</v>
      </c>
      <c r="C5399" s="69" t="n">
        <v>2026</v>
      </c>
      <c r="D5399" t="inlineStr">
        <is>
          <t>Oct</t>
        </is>
      </c>
      <c r="E5399" t="inlineStr">
        <is>
          <t>United States</t>
        </is>
      </c>
      <c r="F5399" t="inlineStr">
        <is>
          <t>USA</t>
        </is>
      </c>
      <c r="G5399" t="inlineStr">
        <is>
          <t>Ibrance</t>
        </is>
      </c>
      <c r="H5399" t="inlineStr">
        <is>
          <t>Retail pharmacy</t>
        </is>
      </c>
      <c r="I5399" t="inlineStr">
        <is>
          <t>Public payer</t>
        </is>
      </c>
      <c r="J5399" t="inlineStr">
        <is>
          <t>Ruhi Shaikh</t>
        </is>
      </c>
      <c r="K5399" s="70" t="n">
        <v>1156</v>
      </c>
      <c r="L5399" s="71" t="n">
        <v>4706.86</v>
      </c>
      <c r="M5399" s="71" t="n">
        <v>5441130.16</v>
      </c>
      <c r="N5399" s="71" t="n">
        <v>1904395.56</v>
      </c>
      <c r="O5399" s="71" t="n">
        <v>3536734.6</v>
      </c>
      <c r="P5399" s="71" t="n">
        <v>484539.6</v>
      </c>
      <c r="Q5399" s="71" t="n">
        <v>3052195</v>
      </c>
      <c r="R5399" t="inlineStr">
        <is>
          <t>Oncology</t>
        </is>
      </c>
      <c r="S5399" s="70" t="n">
        <v>849</v>
      </c>
      <c r="T5399" s="71" t="n">
        <v>1221942.79</v>
      </c>
      <c r="U5399" t="inlineStr">
        <is>
          <t>High</t>
        </is>
      </c>
      <c r="V5399">
        <f>IF(AND(OR(Dashboard!$C$6="All",E5399=Dashboard!$C$6),OR(Dashboard!$F$6="All",G5399=Dashboard!$F$6),OR(Dashboard!$I$6="All",H5399=Dashboard!$I$6)),1,0)</f>
        <v/>
      </c>
    </row>
    <row r="5400">
      <c r="A5400" t="inlineStr">
        <is>
          <t>PF105391</t>
        </is>
      </c>
      <c r="B5400" s="68" t="n">
        <v>46308</v>
      </c>
      <c r="C5400" s="69" t="n">
        <v>2026</v>
      </c>
      <c r="D5400" t="inlineStr">
        <is>
          <t>Oct</t>
        </is>
      </c>
      <c r="E5400" t="inlineStr">
        <is>
          <t>Europe</t>
        </is>
      </c>
      <c r="F5400" t="inlineStr">
        <is>
          <t>UK</t>
        </is>
      </c>
      <c r="G5400" t="inlineStr">
        <is>
          <t>Prevnar 20</t>
        </is>
      </c>
      <c r="H5400" t="inlineStr">
        <is>
          <t>Government / tender</t>
        </is>
      </c>
      <c r="I5400" t="inlineStr">
        <is>
          <t>Private insurer</t>
        </is>
      </c>
      <c r="J5400" t="inlineStr">
        <is>
          <t>Carlos Silva</t>
        </is>
      </c>
      <c r="K5400" s="70" t="n">
        <v>3101</v>
      </c>
      <c r="L5400" s="71" t="n">
        <v>246.64</v>
      </c>
      <c r="M5400" s="71" t="n">
        <v>764830.64</v>
      </c>
      <c r="N5400" s="71" t="n">
        <v>114724.6</v>
      </c>
      <c r="O5400" s="71" t="n">
        <v>650106.04</v>
      </c>
      <c r="P5400" s="71" t="n">
        <v>220448.27</v>
      </c>
      <c r="Q5400" s="71" t="n">
        <v>429657.77</v>
      </c>
      <c r="R5400" t="inlineStr">
        <is>
          <t>Vaccines</t>
        </is>
      </c>
      <c r="S5400" s="70" t="n">
        <v>2681</v>
      </c>
      <c r="T5400" s="71" t="n">
        <v>160071.42</v>
      </c>
      <c r="U5400" t="inlineStr">
        <is>
          <t>Low</t>
        </is>
      </c>
      <c r="V5400">
        <f>IF(AND(OR(Dashboard!$C$6="All",E5400=Dashboard!$C$6),OR(Dashboard!$F$6="All",G5400=Dashboard!$F$6),OR(Dashboard!$I$6="All",H5400=Dashboard!$I$6)),1,0)</f>
        <v/>
      </c>
    </row>
    <row r="5401">
      <c r="A5401" t="inlineStr">
        <is>
          <t>PF105392</t>
        </is>
      </c>
      <c r="B5401" s="68" t="n">
        <v>46308</v>
      </c>
      <c r="C5401" s="69" t="n">
        <v>2026</v>
      </c>
      <c r="D5401" t="inlineStr">
        <is>
          <t>Oct</t>
        </is>
      </c>
      <c r="E5401" t="inlineStr">
        <is>
          <t>United States</t>
        </is>
      </c>
      <c r="F5401" t="inlineStr">
        <is>
          <t>USA</t>
        </is>
      </c>
      <c r="G5401" t="inlineStr">
        <is>
          <t>Xeljanz</t>
        </is>
      </c>
      <c r="H5401" t="inlineStr">
        <is>
          <t>Government / tender</t>
        </is>
      </c>
      <c r="I5401" t="inlineStr">
        <is>
          <t>Public payer</t>
        </is>
      </c>
      <c r="J5401" t="inlineStr">
        <is>
          <t>Shraddha Kulkarni</t>
        </is>
      </c>
      <c r="K5401" s="70" t="n">
        <v>1009</v>
      </c>
      <c r="L5401" s="71" t="n">
        <v>2335.78</v>
      </c>
      <c r="M5401" s="71" t="n">
        <v>2356802.02</v>
      </c>
      <c r="N5401" s="71" t="n">
        <v>824880.71</v>
      </c>
      <c r="O5401" s="71" t="n">
        <v>1531921.31</v>
      </c>
      <c r="P5401" s="71" t="n">
        <v>249150.96</v>
      </c>
      <c r="Q5401" s="71" t="n">
        <v>1282770.35</v>
      </c>
      <c r="R5401" t="inlineStr">
        <is>
          <t>Inflammation</t>
        </is>
      </c>
      <c r="S5401" s="70" t="n">
        <v>643</v>
      </c>
      <c r="T5401" s="71" t="n">
        <v>512202.42</v>
      </c>
      <c r="U5401" t="inlineStr">
        <is>
          <t>High</t>
        </is>
      </c>
      <c r="V5401">
        <f>IF(AND(OR(Dashboard!$C$6="All",E5401=Dashboard!$C$6),OR(Dashboard!$F$6="All",G5401=Dashboard!$F$6),OR(Dashboard!$I$6="All",H5401=Dashboard!$I$6)),1,0)</f>
        <v/>
      </c>
    </row>
    <row r="5402">
      <c r="A5402" t="inlineStr">
        <is>
          <t>PF105393</t>
        </is>
      </c>
      <c r="B5402" s="68" t="n">
        <v>46309</v>
      </c>
      <c r="C5402" s="69" t="n">
        <v>2026</v>
      </c>
      <c r="D5402" t="inlineStr">
        <is>
          <t>Oct</t>
        </is>
      </c>
      <c r="E5402" t="inlineStr">
        <is>
          <t>United States</t>
        </is>
      </c>
      <c r="F5402" t="inlineStr">
        <is>
          <t>USA</t>
        </is>
      </c>
      <c r="G5402" t="inlineStr">
        <is>
          <t>Comirnaty</t>
        </is>
      </c>
      <c r="H5402" t="inlineStr">
        <is>
          <t>Hospital</t>
        </is>
      </c>
      <c r="I5402" t="inlineStr">
        <is>
          <t>Public payer</t>
        </is>
      </c>
      <c r="J5402" t="inlineStr">
        <is>
          <t>Lucas Martin</t>
        </is>
      </c>
      <c r="K5402" s="70" t="n">
        <v>52</v>
      </c>
      <c r="L5402" s="71" t="n">
        <v>152.17</v>
      </c>
      <c r="M5402" s="71" t="n">
        <v>7912.84</v>
      </c>
      <c r="N5402" s="71" t="n">
        <v>1978.21</v>
      </c>
      <c r="O5402" s="71" t="n">
        <v>5934.63</v>
      </c>
      <c r="P5402" s="71" t="n">
        <v>1944.67</v>
      </c>
      <c r="Q5402" s="71" t="n">
        <v>3989.96</v>
      </c>
      <c r="R5402" t="inlineStr">
        <is>
          <t>Vaccines</t>
        </is>
      </c>
      <c r="S5402" s="70" t="n">
        <v>49</v>
      </c>
      <c r="T5402" s="71" t="n">
        <v>1792.09</v>
      </c>
      <c r="U5402" t="inlineStr">
        <is>
          <t>Low</t>
        </is>
      </c>
      <c r="V5402">
        <f>IF(AND(OR(Dashboard!$C$6="All",E5402=Dashboard!$C$6),OR(Dashboard!$F$6="All",G5402=Dashboard!$F$6),OR(Dashboard!$I$6="All",H5402=Dashboard!$I$6)),1,0)</f>
        <v/>
      </c>
    </row>
    <row r="5403">
      <c r="A5403" t="inlineStr">
        <is>
          <t>PF105394</t>
        </is>
      </c>
      <c r="B5403" s="68" t="n">
        <v>46309</v>
      </c>
      <c r="C5403" s="69" t="n">
        <v>2026</v>
      </c>
      <c r="D5403" t="inlineStr">
        <is>
          <t>Oct</t>
        </is>
      </c>
      <c r="E5403" t="inlineStr">
        <is>
          <t>Europe</t>
        </is>
      </c>
      <c r="F5403" t="inlineStr">
        <is>
          <t>Italy</t>
        </is>
      </c>
      <c r="G5403" t="inlineStr">
        <is>
          <t>Prevnar 20</t>
        </is>
      </c>
      <c r="H5403" t="inlineStr">
        <is>
          <t>Retail pharmacy</t>
        </is>
      </c>
      <c r="I5403" t="inlineStr">
        <is>
          <t>Self-pay</t>
        </is>
      </c>
      <c r="J5403" t="inlineStr">
        <is>
          <t>Fatima Al-Saud</t>
        </is>
      </c>
      <c r="K5403" s="70" t="n">
        <v>3025</v>
      </c>
      <c r="L5403" s="71" t="n">
        <v>224.77</v>
      </c>
      <c r="M5403" s="71" t="n">
        <v>679929.25</v>
      </c>
      <c r="N5403" s="71" t="n">
        <v>135985.85</v>
      </c>
      <c r="O5403" s="71" t="n">
        <v>543943.4</v>
      </c>
      <c r="P5403" s="71" t="n">
        <v>211168.4</v>
      </c>
      <c r="Q5403" s="71" t="n">
        <v>332775</v>
      </c>
      <c r="R5403" t="inlineStr">
        <is>
          <t>Vaccines</t>
        </is>
      </c>
      <c r="S5403" s="70" t="n">
        <v>2435</v>
      </c>
      <c r="T5403" s="71" t="n">
        <v>127120.76</v>
      </c>
      <c r="U5403" t="inlineStr">
        <is>
          <t>Low</t>
        </is>
      </c>
      <c r="V5403">
        <f>IF(AND(OR(Dashboard!$C$6="All",E5403=Dashboard!$C$6),OR(Dashboard!$F$6="All",G5403=Dashboard!$F$6),OR(Dashboard!$I$6="All",H5403=Dashboard!$I$6)),1,0)</f>
        <v/>
      </c>
    </row>
    <row r="5404">
      <c r="A5404" t="inlineStr">
        <is>
          <t>PF105395</t>
        </is>
      </c>
      <c r="B5404" s="68" t="n">
        <v>46309</v>
      </c>
      <c r="C5404" s="69" t="n">
        <v>2026</v>
      </c>
      <c r="D5404" t="inlineStr">
        <is>
          <t>Oct</t>
        </is>
      </c>
      <c r="E5404" t="inlineStr">
        <is>
          <t>United States</t>
        </is>
      </c>
      <c r="F5404" t="inlineStr">
        <is>
          <t>USA</t>
        </is>
      </c>
      <c r="G5404" t="inlineStr">
        <is>
          <t>Vyndaqel</t>
        </is>
      </c>
      <c r="H5404" t="inlineStr">
        <is>
          <t>Retail pharmacy</t>
        </is>
      </c>
      <c r="I5404" t="inlineStr">
        <is>
          <t>Private insurer</t>
        </is>
      </c>
      <c r="J5404" t="inlineStr">
        <is>
          <t>Sophie Müller</t>
        </is>
      </c>
      <c r="K5404" s="70" t="n">
        <v>1488</v>
      </c>
      <c r="L5404" s="71" t="n">
        <v>9269.5</v>
      </c>
      <c r="M5404" s="71" t="n">
        <v>13793016</v>
      </c>
      <c r="N5404" s="71" t="n">
        <v>4137904.8</v>
      </c>
      <c r="O5404" s="71" t="n">
        <v>9655111.199999999</v>
      </c>
      <c r="P5404" s="71" t="n">
        <v>920893.86</v>
      </c>
      <c r="Q5404" s="71" t="n">
        <v>8734217.34</v>
      </c>
      <c r="R5404" t="inlineStr">
        <is>
          <t>Rare disease</t>
        </is>
      </c>
      <c r="S5404" s="70" t="n">
        <v>1246</v>
      </c>
      <c r="T5404" s="71" t="n">
        <v>1880779.66</v>
      </c>
      <c r="U5404" t="inlineStr">
        <is>
          <t>Medium</t>
        </is>
      </c>
      <c r="V5404">
        <f>IF(AND(OR(Dashboard!$C$6="All",E5404=Dashboard!$C$6),OR(Dashboard!$F$6="All",G5404=Dashboard!$F$6),OR(Dashboard!$I$6="All",H5404=Dashboard!$I$6)),1,0)</f>
        <v/>
      </c>
    </row>
    <row r="5405">
      <c r="A5405" t="inlineStr">
        <is>
          <t>PF105396</t>
        </is>
      </c>
      <c r="B5405" s="68" t="n">
        <v>46309</v>
      </c>
      <c r="C5405" s="69" t="n">
        <v>2026</v>
      </c>
      <c r="D5405" t="inlineStr">
        <is>
          <t>Oct</t>
        </is>
      </c>
      <c r="E5405" t="inlineStr">
        <is>
          <t>International developed</t>
        </is>
      </c>
      <c r="F5405" t="inlineStr">
        <is>
          <t>Australia</t>
        </is>
      </c>
      <c r="G5405" t="inlineStr">
        <is>
          <t>Vyndaqel</t>
        </is>
      </c>
      <c r="H5405" t="inlineStr">
        <is>
          <t>Retail pharmacy</t>
        </is>
      </c>
      <c r="I5405" t="inlineStr">
        <is>
          <t>Public payer</t>
        </is>
      </c>
      <c r="J5405" t="inlineStr">
        <is>
          <t>Ravindra Patil</t>
        </is>
      </c>
      <c r="K5405" s="70" t="n">
        <v>732</v>
      </c>
      <c r="L5405" s="71" t="n">
        <v>5449.17</v>
      </c>
      <c r="M5405" s="71" t="n">
        <v>3988792.44</v>
      </c>
      <c r="N5405" s="71" t="n">
        <v>997198.11</v>
      </c>
      <c r="O5405" s="71" t="n">
        <v>2991594.33</v>
      </c>
      <c r="P5405" s="71" t="n">
        <v>447163.15</v>
      </c>
      <c r="Q5405" s="71" t="n">
        <v>2544431.18</v>
      </c>
      <c r="R5405" t="inlineStr">
        <is>
          <t>Rare disease</t>
        </is>
      </c>
      <c r="S5405" s="70" t="n">
        <v>501</v>
      </c>
      <c r="T5405" s="71" t="n">
        <v>494710.47</v>
      </c>
      <c r="U5405" t="inlineStr">
        <is>
          <t>Medium</t>
        </is>
      </c>
      <c r="V5405">
        <f>IF(AND(OR(Dashboard!$C$6="All",E5405=Dashboard!$C$6),OR(Dashboard!$F$6="All",G5405=Dashboard!$F$6),OR(Dashboard!$I$6="All",H5405=Dashboard!$I$6)),1,0)</f>
        <v/>
      </c>
    </row>
    <row r="5406">
      <c r="A5406" t="inlineStr">
        <is>
          <t>PF105397</t>
        </is>
      </c>
      <c r="B5406" s="68" t="n">
        <v>46309</v>
      </c>
      <c r="C5406" s="69" t="n">
        <v>2026</v>
      </c>
      <c r="D5406" t="inlineStr">
        <is>
          <t>Oct</t>
        </is>
      </c>
      <c r="E5406" t="inlineStr">
        <is>
          <t>Europe</t>
        </is>
      </c>
      <c r="F5406" t="inlineStr">
        <is>
          <t>France</t>
        </is>
      </c>
      <c r="G5406" t="inlineStr">
        <is>
          <t>Comirnaty</t>
        </is>
      </c>
      <c r="H5406" t="inlineStr">
        <is>
          <t>Retail pharmacy</t>
        </is>
      </c>
      <c r="I5406" t="inlineStr">
        <is>
          <t>Public payer</t>
        </is>
      </c>
      <c r="J5406" t="inlineStr">
        <is>
          <t>Hiroshi Tanaka</t>
        </is>
      </c>
      <c r="K5406" s="70" t="n">
        <v>1564</v>
      </c>
      <c r="L5406" s="71" t="n">
        <v>82.78</v>
      </c>
      <c r="M5406" s="71" t="n">
        <v>129467.92</v>
      </c>
      <c r="N5406" s="71" t="n">
        <v>32366.98</v>
      </c>
      <c r="O5406" s="71" t="n">
        <v>97100.94</v>
      </c>
      <c r="P5406" s="71" t="n">
        <v>59827.37</v>
      </c>
      <c r="Q5406" s="71" t="n">
        <v>37273.57</v>
      </c>
      <c r="R5406" t="inlineStr">
        <is>
          <t>Vaccines</t>
        </is>
      </c>
      <c r="S5406" s="70" t="n">
        <v>992</v>
      </c>
      <c r="T5406" s="71" t="n">
        <v>30362.76</v>
      </c>
      <c r="U5406" t="inlineStr">
        <is>
          <t>Low</t>
        </is>
      </c>
      <c r="V5406">
        <f>IF(AND(OR(Dashboard!$C$6="All",E5406=Dashboard!$C$6),OR(Dashboard!$F$6="All",G5406=Dashboard!$F$6),OR(Dashboard!$I$6="All",H5406=Dashboard!$I$6)),1,0)</f>
        <v/>
      </c>
    </row>
    <row r="5407">
      <c r="A5407" t="inlineStr">
        <is>
          <t>PF105398</t>
        </is>
      </c>
      <c r="B5407" s="68" t="n">
        <v>46309</v>
      </c>
      <c r="C5407" s="69" t="n">
        <v>2026</v>
      </c>
      <c r="D5407" t="inlineStr">
        <is>
          <t>Oct</t>
        </is>
      </c>
      <c r="E5407" t="inlineStr">
        <is>
          <t>United States</t>
        </is>
      </c>
      <c r="F5407" t="inlineStr">
        <is>
          <t>USA</t>
        </is>
      </c>
      <c r="G5407" t="inlineStr">
        <is>
          <t>Eliquis</t>
        </is>
      </c>
      <c r="H5407" t="inlineStr">
        <is>
          <t>Hospital</t>
        </is>
      </c>
      <c r="I5407" t="inlineStr">
        <is>
          <t>Public payer</t>
        </is>
      </c>
      <c r="J5407" t="inlineStr">
        <is>
          <t>Olivia Brown</t>
        </is>
      </c>
      <c r="K5407" s="70" t="n">
        <v>1988</v>
      </c>
      <c r="L5407" s="71" t="n">
        <v>693.15</v>
      </c>
      <c r="M5407" s="71" t="n">
        <v>1377982.2</v>
      </c>
      <c r="N5407" s="71" t="n">
        <v>275596.44</v>
      </c>
      <c r="O5407" s="71" t="n">
        <v>1102385.76</v>
      </c>
      <c r="P5407" s="71" t="n">
        <v>145270.68</v>
      </c>
      <c r="Q5407" s="71" t="n">
        <v>957115.08</v>
      </c>
      <c r="R5407" t="inlineStr">
        <is>
          <t>Cardiology</t>
        </is>
      </c>
      <c r="S5407" s="70" t="n">
        <v>1885</v>
      </c>
      <c r="T5407" s="71" t="n">
        <v>291720.95</v>
      </c>
      <c r="U5407" t="inlineStr">
        <is>
          <t>High</t>
        </is>
      </c>
      <c r="V5407">
        <f>IF(AND(OR(Dashboard!$C$6="All",E5407=Dashboard!$C$6),OR(Dashboard!$F$6="All",G5407=Dashboard!$F$6),OR(Dashboard!$I$6="All",H5407=Dashboard!$I$6)),1,0)</f>
        <v/>
      </c>
    </row>
    <row r="5408">
      <c r="A5408" t="inlineStr">
        <is>
          <t>PF105399</t>
        </is>
      </c>
      <c r="B5408" s="68" t="n">
        <v>46309</v>
      </c>
      <c r="C5408" s="69" t="n">
        <v>2026</v>
      </c>
      <c r="D5408" t="inlineStr">
        <is>
          <t>Oct</t>
        </is>
      </c>
      <c r="E5408" t="inlineStr">
        <is>
          <t>Emerging markets</t>
        </is>
      </c>
      <c r="F5408" t="inlineStr">
        <is>
          <t>India</t>
        </is>
      </c>
      <c r="G5408" t="inlineStr">
        <is>
          <t>Eliquis</t>
        </is>
      </c>
      <c r="H5408" t="inlineStr">
        <is>
          <t>Government / tender</t>
        </is>
      </c>
      <c r="I5408" t="inlineStr">
        <is>
          <t>Public payer</t>
        </is>
      </c>
      <c r="J5408" t="inlineStr">
        <is>
          <t>Lucas Martin</t>
        </is>
      </c>
      <c r="K5408" s="70" t="n">
        <v>713</v>
      </c>
      <c r="L5408" s="71" t="n">
        <v>444.8</v>
      </c>
      <c r="M5408" s="71" t="n">
        <v>317142.4</v>
      </c>
      <c r="N5408" s="71" t="n">
        <v>47571.36</v>
      </c>
      <c r="O5408" s="71" t="n">
        <v>269571.04</v>
      </c>
      <c r="P5408" s="71" t="n">
        <v>55887.53</v>
      </c>
      <c r="Q5408" s="71" t="n">
        <v>213683.51</v>
      </c>
      <c r="R5408" t="inlineStr">
        <is>
          <t>Cardiology</t>
        </is>
      </c>
      <c r="S5408" s="70" t="n">
        <v>640</v>
      </c>
      <c r="T5408" s="71" t="n">
        <v>67050.13</v>
      </c>
      <c r="U5408" t="inlineStr">
        <is>
          <t>High</t>
        </is>
      </c>
      <c r="V5408">
        <f>IF(AND(OR(Dashboard!$C$6="All",E5408=Dashboard!$C$6),OR(Dashboard!$F$6="All",G5408=Dashboard!$F$6),OR(Dashboard!$I$6="All",H5408=Dashboard!$I$6)),1,0)</f>
        <v/>
      </c>
    </row>
    <row r="5409">
      <c r="A5409" t="inlineStr">
        <is>
          <t>PF105400</t>
        </is>
      </c>
      <c r="B5409" s="68" t="n">
        <v>46309</v>
      </c>
      <c r="C5409" s="69" t="n">
        <v>2026</v>
      </c>
      <c r="D5409" t="inlineStr">
        <is>
          <t>Oct</t>
        </is>
      </c>
      <c r="E5409" t="inlineStr">
        <is>
          <t>Emerging markets</t>
        </is>
      </c>
      <c r="F5409" t="inlineStr">
        <is>
          <t>India</t>
        </is>
      </c>
      <c r="G5409" t="inlineStr">
        <is>
          <t>Eliquis</t>
        </is>
      </c>
      <c r="H5409" t="inlineStr">
        <is>
          <t>Government / tender</t>
        </is>
      </c>
      <c r="I5409" t="inlineStr">
        <is>
          <t>Private insurer</t>
        </is>
      </c>
      <c r="J5409" t="inlineStr">
        <is>
          <t>Zoya Ahmed</t>
        </is>
      </c>
      <c r="K5409" s="70" t="n">
        <v>1890</v>
      </c>
      <c r="L5409" s="71" t="n">
        <v>471.62</v>
      </c>
      <c r="M5409" s="71" t="n">
        <v>891361.8</v>
      </c>
      <c r="N5409" s="71" t="n">
        <v>89136.17999999999</v>
      </c>
      <c r="O5409" s="71" t="n">
        <v>802225.62</v>
      </c>
      <c r="P5409" s="71" t="n">
        <v>139531.3</v>
      </c>
      <c r="Q5409" s="71" t="n">
        <v>662694.3199999999</v>
      </c>
      <c r="R5409" t="inlineStr">
        <is>
          <t>Cardiology</t>
        </is>
      </c>
      <c r="S5409" s="70" t="n">
        <v>1301</v>
      </c>
      <c r="T5409" s="71" t="n">
        <v>176128.03</v>
      </c>
      <c r="U5409" t="inlineStr">
        <is>
          <t>High</t>
        </is>
      </c>
      <c r="V5409">
        <f>IF(AND(OR(Dashboard!$C$6="All",E5409=Dashboard!$C$6),OR(Dashboard!$F$6="All",G5409=Dashboard!$F$6),OR(Dashboard!$I$6="All",H5409=Dashboard!$I$6)),1,0)</f>
        <v/>
      </c>
    </row>
    <row r="5410">
      <c r="A5410" t="inlineStr">
        <is>
          <t>PF105401</t>
        </is>
      </c>
      <c r="B5410" s="68" t="n">
        <v>46309</v>
      </c>
      <c r="C5410" s="69" t="n">
        <v>2026</v>
      </c>
      <c r="D5410" t="inlineStr">
        <is>
          <t>Oct</t>
        </is>
      </c>
      <c r="E5410" t="inlineStr">
        <is>
          <t>United States</t>
        </is>
      </c>
      <c r="F5410" t="inlineStr">
        <is>
          <t>USA</t>
        </is>
      </c>
      <c r="G5410" t="inlineStr">
        <is>
          <t>Eliquis</t>
        </is>
      </c>
      <c r="H5410" t="inlineStr">
        <is>
          <t>Retail pharmacy</t>
        </is>
      </c>
      <c r="I5410" t="inlineStr">
        <is>
          <t>Private insurer</t>
        </is>
      </c>
      <c r="J5410" t="inlineStr">
        <is>
          <t>Priya Nair</t>
        </is>
      </c>
      <c r="K5410" s="70" t="n">
        <v>1964</v>
      </c>
      <c r="L5410" s="71" t="n">
        <v>630.09</v>
      </c>
      <c r="M5410" s="71" t="n">
        <v>1237496.76</v>
      </c>
      <c r="N5410" s="71" t="n">
        <v>371249.03</v>
      </c>
      <c r="O5410" s="71" t="n">
        <v>866247.73</v>
      </c>
      <c r="P5410" s="71" t="n">
        <v>144298.95</v>
      </c>
      <c r="Q5410" s="71" t="n">
        <v>721948.78</v>
      </c>
      <c r="R5410" t="inlineStr">
        <is>
          <t>Cardiology</t>
        </is>
      </c>
      <c r="S5410" s="70" t="n">
        <v>1596</v>
      </c>
      <c r="T5410" s="71" t="n">
        <v>181627.59</v>
      </c>
      <c r="U5410" t="inlineStr">
        <is>
          <t>High</t>
        </is>
      </c>
      <c r="V5410">
        <f>IF(AND(OR(Dashboard!$C$6="All",E5410=Dashboard!$C$6),OR(Dashboard!$F$6="All",G5410=Dashboard!$F$6),OR(Dashboard!$I$6="All",H5410=Dashboard!$I$6)),1,0)</f>
        <v/>
      </c>
    </row>
    <row r="5411">
      <c r="A5411" t="inlineStr">
        <is>
          <t>PF105402</t>
        </is>
      </c>
      <c r="B5411" s="68" t="n">
        <v>46310</v>
      </c>
      <c r="C5411" s="69" t="n">
        <v>2026</v>
      </c>
      <c r="D5411" t="inlineStr">
        <is>
          <t>Oct</t>
        </is>
      </c>
      <c r="E5411" t="inlineStr">
        <is>
          <t>Emerging markets</t>
        </is>
      </c>
      <c r="F5411" t="inlineStr">
        <is>
          <t>China</t>
        </is>
      </c>
      <c r="G5411" t="inlineStr">
        <is>
          <t>Comirnaty</t>
        </is>
      </c>
      <c r="H5411" t="inlineStr">
        <is>
          <t>Retail pharmacy</t>
        </is>
      </c>
      <c r="I5411" t="inlineStr">
        <is>
          <t>Public payer</t>
        </is>
      </c>
      <c r="J5411" t="inlineStr">
        <is>
          <t>Sophie Müller</t>
        </is>
      </c>
      <c r="K5411" s="70" t="n">
        <v>747</v>
      </c>
      <c r="L5411" s="71" t="n">
        <v>91.33</v>
      </c>
      <c r="M5411" s="71" t="n">
        <v>68223.50999999999</v>
      </c>
      <c r="N5411" s="71" t="n">
        <v>6822.35</v>
      </c>
      <c r="O5411" s="71" t="n">
        <v>61401.16</v>
      </c>
      <c r="P5411" s="71" t="n">
        <v>28650.2</v>
      </c>
      <c r="Q5411" s="71" t="n">
        <v>32750.96</v>
      </c>
      <c r="R5411" t="inlineStr">
        <is>
          <t>Vaccines</t>
        </is>
      </c>
      <c r="S5411" s="70" t="n">
        <v>662</v>
      </c>
      <c r="T5411" s="71" t="n">
        <v>17203.66</v>
      </c>
      <c r="U5411" t="inlineStr">
        <is>
          <t>Low</t>
        </is>
      </c>
      <c r="V5411">
        <f>IF(AND(OR(Dashboard!$C$6="All",E5411=Dashboard!$C$6),OR(Dashboard!$F$6="All",G5411=Dashboard!$F$6),OR(Dashboard!$I$6="All",H5411=Dashboard!$I$6)),1,0)</f>
        <v/>
      </c>
    </row>
    <row r="5412">
      <c r="A5412" t="inlineStr">
        <is>
          <t>PF105403</t>
        </is>
      </c>
      <c r="B5412" s="68" t="n">
        <v>46310</v>
      </c>
      <c r="C5412" s="69" t="n">
        <v>2026</v>
      </c>
      <c r="D5412" t="inlineStr">
        <is>
          <t>Oct</t>
        </is>
      </c>
      <c r="E5412" t="inlineStr">
        <is>
          <t>International developed</t>
        </is>
      </c>
      <c r="F5412" t="inlineStr">
        <is>
          <t>Canada</t>
        </is>
      </c>
      <c r="G5412" t="inlineStr">
        <is>
          <t>Paxlovid</t>
        </is>
      </c>
      <c r="H5412" t="inlineStr">
        <is>
          <t>Government / tender</t>
        </is>
      </c>
      <c r="I5412" t="inlineStr">
        <is>
          <t>Public payer</t>
        </is>
      </c>
      <c r="J5412" t="inlineStr">
        <is>
          <t>Sara Rossi</t>
        </is>
      </c>
      <c r="K5412" s="70" t="n">
        <v>2437</v>
      </c>
      <c r="L5412" s="71" t="n">
        <v>950.76</v>
      </c>
      <c r="M5412" s="71" t="n">
        <v>2317002.12</v>
      </c>
      <c r="N5412" s="71" t="n">
        <v>115850.11</v>
      </c>
      <c r="O5412" s="71" t="n">
        <v>2201152.01</v>
      </c>
      <c r="P5412" s="71" t="n">
        <v>687465.83</v>
      </c>
      <c r="Q5412" s="71" t="n">
        <v>1513686.18</v>
      </c>
      <c r="R5412" t="inlineStr">
        <is>
          <t>Antiviral</t>
        </is>
      </c>
      <c r="S5412" s="70" t="n">
        <v>2282</v>
      </c>
      <c r="T5412" s="71" t="n">
        <v>552341.05</v>
      </c>
      <c r="U5412" t="inlineStr">
        <is>
          <t>Low</t>
        </is>
      </c>
      <c r="V5412">
        <f>IF(AND(OR(Dashboard!$C$6="All",E5412=Dashboard!$C$6),OR(Dashboard!$F$6="All",G5412=Dashboard!$F$6),OR(Dashboard!$I$6="All",H5412=Dashboard!$I$6)),1,0)</f>
        <v/>
      </c>
    </row>
    <row r="5413">
      <c r="A5413" t="inlineStr">
        <is>
          <t>PF105404</t>
        </is>
      </c>
      <c r="B5413" s="68" t="n">
        <v>46310</v>
      </c>
      <c r="C5413" s="69" t="n">
        <v>2026</v>
      </c>
      <c r="D5413" t="inlineStr">
        <is>
          <t>Oct</t>
        </is>
      </c>
      <c r="E5413" t="inlineStr">
        <is>
          <t>United States</t>
        </is>
      </c>
      <c r="F5413" t="inlineStr">
        <is>
          <t>USA</t>
        </is>
      </c>
      <c r="G5413" t="inlineStr">
        <is>
          <t>Eliquis</t>
        </is>
      </c>
      <c r="H5413" t="inlineStr">
        <is>
          <t>Hospital</t>
        </is>
      </c>
      <c r="I5413" t="inlineStr">
        <is>
          <t>Public payer</t>
        </is>
      </c>
      <c r="J5413" t="inlineStr">
        <is>
          <t>Noah Smith</t>
        </is>
      </c>
      <c r="K5413" s="70" t="n">
        <v>1788</v>
      </c>
      <c r="L5413" s="71" t="n">
        <v>645.5599999999999</v>
      </c>
      <c r="M5413" s="71" t="n">
        <v>1154261.28</v>
      </c>
      <c r="N5413" s="71" t="n">
        <v>403991.45</v>
      </c>
      <c r="O5413" s="71" t="n">
        <v>750269.83</v>
      </c>
      <c r="P5413" s="71" t="n">
        <v>133030.48</v>
      </c>
      <c r="Q5413" s="71" t="n">
        <v>617239.35</v>
      </c>
      <c r="R5413" t="inlineStr">
        <is>
          <t>Cardiology</t>
        </is>
      </c>
      <c r="S5413" s="70" t="n">
        <v>1588</v>
      </c>
      <c r="T5413" s="71" t="n">
        <v>183057.14</v>
      </c>
      <c r="U5413" t="inlineStr">
        <is>
          <t>High</t>
        </is>
      </c>
      <c r="V5413">
        <f>IF(AND(OR(Dashboard!$C$6="All",E5413=Dashboard!$C$6),OR(Dashboard!$F$6="All",G5413=Dashboard!$F$6),OR(Dashboard!$I$6="All",H5413=Dashboard!$I$6)),1,0)</f>
        <v/>
      </c>
    </row>
    <row r="5414">
      <c r="A5414" t="inlineStr">
        <is>
          <t>PF105405</t>
        </is>
      </c>
      <c r="B5414" s="68" t="n">
        <v>46310</v>
      </c>
      <c r="C5414" s="69" t="n">
        <v>2026</v>
      </c>
      <c r="D5414" t="inlineStr">
        <is>
          <t>Oct</t>
        </is>
      </c>
      <c r="E5414" t="inlineStr">
        <is>
          <t>Emerging markets</t>
        </is>
      </c>
      <c r="F5414" t="inlineStr">
        <is>
          <t>Mexico</t>
        </is>
      </c>
      <c r="G5414" t="inlineStr">
        <is>
          <t>Vyndaqel</t>
        </is>
      </c>
      <c r="H5414" t="inlineStr">
        <is>
          <t>Retail pharmacy</t>
        </is>
      </c>
      <c r="I5414" t="inlineStr">
        <is>
          <t>Private insurer</t>
        </is>
      </c>
      <c r="J5414" t="inlineStr">
        <is>
          <t>Ravindra Patil</t>
        </is>
      </c>
      <c r="K5414" s="70" t="n">
        <v>135</v>
      </c>
      <c r="L5414" s="71" t="n">
        <v>5934.63</v>
      </c>
      <c r="M5414" s="71" t="n">
        <v>801175.05</v>
      </c>
      <c r="N5414" s="71" t="n">
        <v>160235.01</v>
      </c>
      <c r="O5414" s="71" t="n">
        <v>640940.04</v>
      </c>
      <c r="P5414" s="71" t="n">
        <v>84570.42999999999</v>
      </c>
      <c r="Q5414" s="71" t="n">
        <v>556369.61</v>
      </c>
      <c r="R5414" t="inlineStr">
        <is>
          <t>Rare disease</t>
        </is>
      </c>
      <c r="S5414" s="70" t="n">
        <v>120</v>
      </c>
      <c r="T5414" s="71" t="n">
        <v>99300.32000000001</v>
      </c>
      <c r="U5414" t="inlineStr">
        <is>
          <t>Medium</t>
        </is>
      </c>
      <c r="V5414">
        <f>IF(AND(OR(Dashboard!$C$6="All",E5414=Dashboard!$C$6),OR(Dashboard!$F$6="All",G5414=Dashboard!$F$6),OR(Dashboard!$I$6="All",H5414=Dashboard!$I$6)),1,0)</f>
        <v/>
      </c>
    </row>
    <row r="5415">
      <c r="A5415" t="inlineStr">
        <is>
          <t>PF105406</t>
        </is>
      </c>
      <c r="B5415" s="68" t="n">
        <v>46310</v>
      </c>
      <c r="C5415" s="69" t="n">
        <v>2026</v>
      </c>
      <c r="D5415" t="inlineStr">
        <is>
          <t>Oct</t>
        </is>
      </c>
      <c r="E5415" t="inlineStr">
        <is>
          <t>United States</t>
        </is>
      </c>
      <c r="F5415" t="inlineStr">
        <is>
          <t>USA</t>
        </is>
      </c>
      <c r="G5415" t="inlineStr">
        <is>
          <t>Comirnaty</t>
        </is>
      </c>
      <c r="H5415" t="inlineStr">
        <is>
          <t>Retail pharmacy</t>
        </is>
      </c>
      <c r="I5415" t="inlineStr">
        <is>
          <t>Public payer</t>
        </is>
      </c>
      <c r="J5415" t="inlineStr">
        <is>
          <t>Emma Clarke</t>
        </is>
      </c>
      <c r="K5415" s="70" t="n">
        <v>1448</v>
      </c>
      <c r="L5415" s="71" t="n">
        <v>149.81</v>
      </c>
      <c r="M5415" s="71" t="n">
        <v>216924.88</v>
      </c>
      <c r="N5415" s="71" t="n">
        <v>54231.22</v>
      </c>
      <c r="O5415" s="71" t="n">
        <v>162693.66</v>
      </c>
      <c r="P5415" s="71" t="n">
        <v>53980.29</v>
      </c>
      <c r="Q5415" s="71" t="n">
        <v>108713.37</v>
      </c>
      <c r="R5415" t="inlineStr">
        <is>
          <t>Vaccines</t>
        </is>
      </c>
      <c r="S5415" s="70" t="n">
        <v>1228</v>
      </c>
      <c r="T5415" s="71" t="n">
        <v>51604.52</v>
      </c>
      <c r="U5415" t="inlineStr">
        <is>
          <t>Low</t>
        </is>
      </c>
      <c r="V5415">
        <f>IF(AND(OR(Dashboard!$C$6="All",E5415=Dashboard!$C$6),OR(Dashboard!$F$6="All",G5415=Dashboard!$F$6),OR(Dashboard!$I$6="All",H5415=Dashboard!$I$6)),1,0)</f>
        <v/>
      </c>
    </row>
    <row r="5416">
      <c r="A5416" t="inlineStr">
        <is>
          <t>PF105407</t>
        </is>
      </c>
      <c r="B5416" s="68" t="n">
        <v>46310</v>
      </c>
      <c r="C5416" s="69" t="n">
        <v>2026</v>
      </c>
      <c r="D5416" t="inlineStr">
        <is>
          <t>Oct</t>
        </is>
      </c>
      <c r="E5416" t="inlineStr">
        <is>
          <t>Europe</t>
        </is>
      </c>
      <c r="F5416" t="inlineStr">
        <is>
          <t>Germany</t>
        </is>
      </c>
      <c r="G5416" t="inlineStr">
        <is>
          <t>Prevnar 20</t>
        </is>
      </c>
      <c r="H5416" t="inlineStr">
        <is>
          <t>Retail pharmacy</t>
        </is>
      </c>
      <c r="I5416" t="inlineStr">
        <is>
          <t>Public payer</t>
        </is>
      </c>
      <c r="J5416" t="inlineStr">
        <is>
          <t>Arjun Mehta</t>
        </is>
      </c>
      <c r="K5416" s="70" t="n">
        <v>854</v>
      </c>
      <c r="L5416" s="71" t="n">
        <v>219.98</v>
      </c>
      <c r="M5416" s="71" t="n">
        <v>187862.92</v>
      </c>
      <c r="N5416" s="71" t="n">
        <v>18786.29</v>
      </c>
      <c r="O5416" s="71" t="n">
        <v>169076.63</v>
      </c>
      <c r="P5416" s="71" t="n">
        <v>59791.39</v>
      </c>
      <c r="Q5416" s="71" t="n">
        <v>109285.24</v>
      </c>
      <c r="R5416" t="inlineStr">
        <is>
          <t>Vaccines</t>
        </is>
      </c>
      <c r="S5416" s="70" t="n">
        <v>639</v>
      </c>
      <c r="T5416" s="71" t="n">
        <v>35669.87</v>
      </c>
      <c r="U5416" t="inlineStr">
        <is>
          <t>Low</t>
        </is>
      </c>
      <c r="V5416">
        <f>IF(AND(OR(Dashboard!$C$6="All",E5416=Dashboard!$C$6),OR(Dashboard!$F$6="All",G5416=Dashboard!$F$6),OR(Dashboard!$I$6="All",H5416=Dashboard!$I$6)),1,0)</f>
        <v/>
      </c>
    </row>
    <row r="5417">
      <c r="A5417" t="inlineStr">
        <is>
          <t>PF105408</t>
        </is>
      </c>
      <c r="B5417" s="68" t="n">
        <v>46310</v>
      </c>
      <c r="C5417" s="69" t="n">
        <v>2026</v>
      </c>
      <c r="D5417" t="inlineStr">
        <is>
          <t>Oct</t>
        </is>
      </c>
      <c r="E5417" t="inlineStr">
        <is>
          <t>United States</t>
        </is>
      </c>
      <c r="F5417" t="inlineStr">
        <is>
          <t>USA</t>
        </is>
      </c>
      <c r="G5417" t="inlineStr">
        <is>
          <t>Eliquis</t>
        </is>
      </c>
      <c r="H5417" t="inlineStr">
        <is>
          <t>Hospital</t>
        </is>
      </c>
      <c r="I5417" t="inlineStr">
        <is>
          <t>Private insurer</t>
        </is>
      </c>
      <c r="J5417" t="inlineStr">
        <is>
          <t>Arjun Mehta</t>
        </is>
      </c>
      <c r="K5417" s="70" t="n">
        <v>2268</v>
      </c>
      <c r="L5417" s="71" t="n">
        <v>637.16</v>
      </c>
      <c r="M5417" s="71" t="n">
        <v>1445078.88</v>
      </c>
      <c r="N5417" s="71" t="n">
        <v>505777.61</v>
      </c>
      <c r="O5417" s="71" t="n">
        <v>939301.27</v>
      </c>
      <c r="P5417" s="71" t="n">
        <v>174119.67</v>
      </c>
      <c r="Q5417" s="71" t="n">
        <v>765181.6</v>
      </c>
      <c r="R5417" t="inlineStr">
        <is>
          <t>Cardiology</t>
        </is>
      </c>
      <c r="S5417" s="70" t="n">
        <v>1930</v>
      </c>
      <c r="T5417" s="71" t="n">
        <v>207511.12</v>
      </c>
      <c r="U5417" t="inlineStr">
        <is>
          <t>High</t>
        </is>
      </c>
      <c r="V5417">
        <f>IF(AND(OR(Dashboard!$C$6="All",E5417=Dashboard!$C$6),OR(Dashboard!$F$6="All",G5417=Dashboard!$F$6),OR(Dashboard!$I$6="All",H5417=Dashboard!$I$6)),1,0)</f>
        <v/>
      </c>
    </row>
    <row r="5418">
      <c r="A5418" t="inlineStr">
        <is>
          <t>PF105409</t>
        </is>
      </c>
      <c r="B5418" s="68" t="n">
        <v>46310</v>
      </c>
      <c r="C5418" s="69" t="n">
        <v>2026</v>
      </c>
      <c r="D5418" t="inlineStr">
        <is>
          <t>Oct</t>
        </is>
      </c>
      <c r="E5418" t="inlineStr">
        <is>
          <t>Europe</t>
        </is>
      </c>
      <c r="F5418" t="inlineStr">
        <is>
          <t>France</t>
        </is>
      </c>
      <c r="G5418" t="inlineStr">
        <is>
          <t>Eliquis</t>
        </is>
      </c>
      <c r="H5418" t="inlineStr">
        <is>
          <t>Government / tender</t>
        </is>
      </c>
      <c r="I5418" t="inlineStr">
        <is>
          <t>Private insurer</t>
        </is>
      </c>
      <c r="J5418" t="inlineStr">
        <is>
          <t>Arjun Mehta</t>
        </is>
      </c>
      <c r="K5418" s="70" t="n">
        <v>1021</v>
      </c>
      <c r="L5418" s="71" t="n">
        <v>433.23</v>
      </c>
      <c r="M5418" s="71" t="n">
        <v>442327.83</v>
      </c>
      <c r="N5418" s="71" t="n">
        <v>88465.57000000001</v>
      </c>
      <c r="O5418" s="71" t="n">
        <v>353862.26</v>
      </c>
      <c r="P5418" s="71" t="n">
        <v>77797.25</v>
      </c>
      <c r="Q5418" s="71" t="n">
        <v>276065.01</v>
      </c>
      <c r="R5418" t="inlineStr">
        <is>
          <t>Cardiology</t>
        </is>
      </c>
      <c r="S5418" s="70" t="n">
        <v>856</v>
      </c>
      <c r="T5418" s="71" t="n">
        <v>60640.64</v>
      </c>
      <c r="U5418" t="inlineStr">
        <is>
          <t>High</t>
        </is>
      </c>
      <c r="V5418">
        <f>IF(AND(OR(Dashboard!$C$6="All",E5418=Dashboard!$C$6),OR(Dashboard!$F$6="All",G5418=Dashboard!$F$6),OR(Dashboard!$I$6="All",H5418=Dashboard!$I$6)),1,0)</f>
        <v/>
      </c>
    </row>
    <row r="5419">
      <c r="A5419" t="inlineStr">
        <is>
          <t>PF105410</t>
        </is>
      </c>
      <c r="B5419" s="68" t="n">
        <v>46310</v>
      </c>
      <c r="C5419" s="69" t="n">
        <v>2026</v>
      </c>
      <c r="D5419" t="inlineStr">
        <is>
          <t>Oct</t>
        </is>
      </c>
      <c r="E5419" t="inlineStr">
        <is>
          <t>Emerging markets</t>
        </is>
      </c>
      <c r="F5419" t="inlineStr">
        <is>
          <t>Mexico</t>
        </is>
      </c>
      <c r="G5419" t="inlineStr">
        <is>
          <t>Ibrance</t>
        </is>
      </c>
      <c r="H5419" t="inlineStr">
        <is>
          <t>Hospital</t>
        </is>
      </c>
      <c r="I5419" t="inlineStr">
        <is>
          <t>Private insurer</t>
        </is>
      </c>
      <c r="J5419" t="inlineStr">
        <is>
          <t>Fatima Al-Saud</t>
        </is>
      </c>
      <c r="K5419" s="70" t="n">
        <v>2529</v>
      </c>
      <c r="L5419" s="71" t="n">
        <v>3023.56</v>
      </c>
      <c r="M5419" s="71" t="n">
        <v>7646583.24</v>
      </c>
      <c r="N5419" s="71" t="n">
        <v>764658.3199999999</v>
      </c>
      <c r="O5419" s="71" t="n">
        <v>6881924.92</v>
      </c>
      <c r="P5419" s="71" t="n">
        <v>1108272.55</v>
      </c>
      <c r="Q5419" s="71" t="n">
        <v>5773652.37</v>
      </c>
      <c r="R5419" t="inlineStr">
        <is>
          <t>Oncology</t>
        </is>
      </c>
      <c r="S5419" s="70" t="n">
        <v>1992</v>
      </c>
      <c r="T5419" s="71" t="n">
        <v>1338636.89</v>
      </c>
      <c r="U5419" t="inlineStr">
        <is>
          <t>High</t>
        </is>
      </c>
      <c r="V5419">
        <f>IF(AND(OR(Dashboard!$C$6="All",E5419=Dashboard!$C$6),OR(Dashboard!$F$6="All",G5419=Dashboard!$F$6),OR(Dashboard!$I$6="All",H5419=Dashboard!$I$6)),1,0)</f>
        <v/>
      </c>
    </row>
    <row r="5420">
      <c r="A5420" t="inlineStr">
        <is>
          <t>PF105411</t>
        </is>
      </c>
      <c r="B5420" s="68" t="n">
        <v>46310</v>
      </c>
      <c r="C5420" s="69" t="n">
        <v>2026</v>
      </c>
      <c r="D5420" t="inlineStr">
        <is>
          <t>Oct</t>
        </is>
      </c>
      <c r="E5420" t="inlineStr">
        <is>
          <t>Europe</t>
        </is>
      </c>
      <c r="F5420" t="inlineStr">
        <is>
          <t>Spain</t>
        </is>
      </c>
      <c r="G5420" t="inlineStr">
        <is>
          <t>Eliquis</t>
        </is>
      </c>
      <c r="H5420" t="inlineStr">
        <is>
          <t>Government / tender</t>
        </is>
      </c>
      <c r="I5420" t="inlineStr">
        <is>
          <t>Self-pay</t>
        </is>
      </c>
      <c r="J5420" t="inlineStr">
        <is>
          <t>Kofi Mensah</t>
        </is>
      </c>
      <c r="K5420" s="70" t="n">
        <v>453</v>
      </c>
      <c r="L5420" s="71" t="n">
        <v>416.22</v>
      </c>
      <c r="M5420" s="71" t="n">
        <v>188547.66</v>
      </c>
      <c r="N5420" s="71" t="n">
        <v>9427.379999999999</v>
      </c>
      <c r="O5420" s="71" t="n">
        <v>179120.28</v>
      </c>
      <c r="P5420" s="71" t="n">
        <v>33649</v>
      </c>
      <c r="Q5420" s="71" t="n">
        <v>145471.28</v>
      </c>
      <c r="R5420" t="inlineStr">
        <is>
          <t>Cardiology</t>
        </is>
      </c>
      <c r="S5420" s="70" t="n">
        <v>449</v>
      </c>
      <c r="T5420" s="71" t="n">
        <v>40243.16</v>
      </c>
      <c r="U5420" t="inlineStr">
        <is>
          <t>High</t>
        </is>
      </c>
      <c r="V5420">
        <f>IF(AND(OR(Dashboard!$C$6="All",E5420=Dashboard!$C$6),OR(Dashboard!$F$6="All",G5420=Dashboard!$F$6),OR(Dashboard!$I$6="All",H5420=Dashboard!$I$6)),1,0)</f>
        <v/>
      </c>
    </row>
    <row r="5421">
      <c r="A5421" t="inlineStr">
        <is>
          <t>PF105412</t>
        </is>
      </c>
      <c r="B5421" s="68" t="n">
        <v>46310</v>
      </c>
      <c r="C5421" s="69" t="n">
        <v>2026</v>
      </c>
      <c r="D5421" t="inlineStr">
        <is>
          <t>Oct</t>
        </is>
      </c>
      <c r="E5421" t="inlineStr">
        <is>
          <t>Europe</t>
        </is>
      </c>
      <c r="F5421" t="inlineStr">
        <is>
          <t>France</t>
        </is>
      </c>
      <c r="G5421" t="inlineStr">
        <is>
          <t>Eliquis</t>
        </is>
      </c>
      <c r="H5421" t="inlineStr">
        <is>
          <t>Hospital</t>
        </is>
      </c>
      <c r="I5421" t="inlineStr">
        <is>
          <t>Public payer</t>
        </is>
      </c>
      <c r="J5421" t="inlineStr">
        <is>
          <t>Omar Haddad</t>
        </is>
      </c>
      <c r="K5421" s="70" t="n">
        <v>2266</v>
      </c>
      <c r="L5421" s="71" t="n">
        <v>436.01</v>
      </c>
      <c r="M5421" s="71" t="n">
        <v>987998.66</v>
      </c>
      <c r="N5421" s="71" t="n">
        <v>148199.8</v>
      </c>
      <c r="O5421" s="71" t="n">
        <v>839798.86</v>
      </c>
      <c r="P5421" s="71" t="n">
        <v>168688.94</v>
      </c>
      <c r="Q5421" s="71" t="n">
        <v>671109.92</v>
      </c>
      <c r="R5421" t="inlineStr">
        <is>
          <t>Cardiology</t>
        </is>
      </c>
      <c r="S5421" s="70" t="n">
        <v>1952</v>
      </c>
      <c r="T5421" s="71" t="n">
        <v>156255.93</v>
      </c>
      <c r="U5421" t="inlineStr">
        <is>
          <t>High</t>
        </is>
      </c>
      <c r="V5421">
        <f>IF(AND(OR(Dashboard!$C$6="All",E5421=Dashboard!$C$6),OR(Dashboard!$F$6="All",G5421=Dashboard!$F$6),OR(Dashboard!$I$6="All",H5421=Dashboard!$I$6)),1,0)</f>
        <v/>
      </c>
    </row>
    <row r="5422">
      <c r="A5422" t="inlineStr">
        <is>
          <t>PF105413</t>
        </is>
      </c>
      <c r="B5422" s="68" t="n">
        <v>46310</v>
      </c>
      <c r="C5422" s="69" t="n">
        <v>2026</v>
      </c>
      <c r="D5422" t="inlineStr">
        <is>
          <t>Oct</t>
        </is>
      </c>
      <c r="E5422" t="inlineStr">
        <is>
          <t>Europe</t>
        </is>
      </c>
      <c r="F5422" t="inlineStr">
        <is>
          <t>Germany</t>
        </is>
      </c>
      <c r="G5422" t="inlineStr">
        <is>
          <t>Abrysvo</t>
        </is>
      </c>
      <c r="H5422" t="inlineStr">
        <is>
          <t>Government / tender</t>
        </is>
      </c>
      <c r="I5422" t="inlineStr">
        <is>
          <t>Public payer</t>
        </is>
      </c>
      <c r="J5422" t="inlineStr">
        <is>
          <t>Ravindra Patil</t>
        </is>
      </c>
      <c r="K5422" s="70" t="n">
        <v>1009</v>
      </c>
      <c r="L5422" s="71" t="n">
        <v>302.32</v>
      </c>
      <c r="M5422" s="71" t="n">
        <v>305040.88</v>
      </c>
      <c r="N5422" s="71" t="n">
        <v>61008.18</v>
      </c>
      <c r="O5422" s="71" t="n">
        <v>244032.7</v>
      </c>
      <c r="P5422" s="71" t="n">
        <v>85653.94</v>
      </c>
      <c r="Q5422" s="71" t="n">
        <v>158378.76</v>
      </c>
      <c r="R5422" t="inlineStr">
        <is>
          <t>Vaccines</t>
        </is>
      </c>
      <c r="S5422" s="70" t="n">
        <v>679</v>
      </c>
      <c r="T5422" s="71" t="n">
        <v>43652.3</v>
      </c>
      <c r="U5422" t="inlineStr">
        <is>
          <t>Low</t>
        </is>
      </c>
      <c r="V5422">
        <f>IF(AND(OR(Dashboard!$C$6="All",E5422=Dashboard!$C$6),OR(Dashboard!$F$6="All",G5422=Dashboard!$F$6),OR(Dashboard!$I$6="All",H5422=Dashboard!$I$6)),1,0)</f>
        <v/>
      </c>
    </row>
    <row r="5423">
      <c r="A5423" t="inlineStr">
        <is>
          <t>PF105414</t>
        </is>
      </c>
      <c r="B5423" s="68" t="n">
        <v>46310</v>
      </c>
      <c r="C5423" s="69" t="n">
        <v>2026</v>
      </c>
      <c r="D5423" t="inlineStr">
        <is>
          <t>Oct</t>
        </is>
      </c>
      <c r="E5423" t="inlineStr">
        <is>
          <t>United States</t>
        </is>
      </c>
      <c r="F5423" t="inlineStr">
        <is>
          <t>USA</t>
        </is>
      </c>
      <c r="G5423" t="inlineStr">
        <is>
          <t>Ibrance</t>
        </is>
      </c>
      <c r="H5423" t="inlineStr">
        <is>
          <t>Retail pharmacy</t>
        </is>
      </c>
      <c r="I5423" t="inlineStr">
        <is>
          <t>Private insurer</t>
        </is>
      </c>
      <c r="J5423" t="inlineStr">
        <is>
          <t>Ruhi Shaikh</t>
        </is>
      </c>
      <c r="K5423" s="70" t="n">
        <v>489</v>
      </c>
      <c r="L5423" s="71" t="n">
        <v>4316.29</v>
      </c>
      <c r="M5423" s="71" t="n">
        <v>2110665.81</v>
      </c>
      <c r="N5423" s="71" t="n">
        <v>422133.16</v>
      </c>
      <c r="O5423" s="71" t="n">
        <v>1688532.65</v>
      </c>
      <c r="P5423" s="71" t="n">
        <v>218597.21</v>
      </c>
      <c r="Q5423" s="71" t="n">
        <v>1469935.44</v>
      </c>
      <c r="R5423" t="inlineStr">
        <is>
          <t>Oncology</t>
        </is>
      </c>
      <c r="S5423" s="70" t="n">
        <v>332</v>
      </c>
      <c r="T5423" s="71" t="n">
        <v>368565.36</v>
      </c>
      <c r="U5423" t="inlineStr">
        <is>
          <t>High</t>
        </is>
      </c>
      <c r="V5423">
        <f>IF(AND(OR(Dashboard!$C$6="All",E5423=Dashboard!$C$6),OR(Dashboard!$F$6="All",G5423=Dashboard!$F$6),OR(Dashboard!$I$6="All",H5423=Dashboard!$I$6)),1,0)</f>
        <v/>
      </c>
    </row>
    <row r="5424">
      <c r="A5424" t="inlineStr">
        <is>
          <t>PF105415</t>
        </is>
      </c>
      <c r="B5424" s="68" t="n">
        <v>46310</v>
      </c>
      <c r="C5424" s="69" t="n">
        <v>2026</v>
      </c>
      <c r="D5424" t="inlineStr">
        <is>
          <t>Oct</t>
        </is>
      </c>
      <c r="E5424" t="inlineStr">
        <is>
          <t>Emerging markets</t>
        </is>
      </c>
      <c r="F5424" t="inlineStr">
        <is>
          <t>Brazil</t>
        </is>
      </c>
      <c r="G5424" t="inlineStr">
        <is>
          <t>Paxlovid</t>
        </is>
      </c>
      <c r="H5424" t="inlineStr">
        <is>
          <t>Hospital</t>
        </is>
      </c>
      <c r="I5424" t="inlineStr">
        <is>
          <t>Public payer</t>
        </is>
      </c>
      <c r="J5424" t="inlineStr">
        <is>
          <t>Aisha Bello</t>
        </is>
      </c>
      <c r="K5424" s="70" t="n">
        <v>510</v>
      </c>
      <c r="L5424" s="71" t="n">
        <v>898.84</v>
      </c>
      <c r="M5424" s="71" t="n">
        <v>458408.4</v>
      </c>
      <c r="N5424" s="71" t="n">
        <v>68761.25999999999</v>
      </c>
      <c r="O5424" s="71" t="n">
        <v>389647.14</v>
      </c>
      <c r="P5424" s="71" t="n">
        <v>136177.06</v>
      </c>
      <c r="Q5424" s="71" t="n">
        <v>253470.08</v>
      </c>
      <c r="R5424" t="inlineStr">
        <is>
          <t>Antiviral</t>
        </is>
      </c>
      <c r="S5424" s="70" t="n">
        <v>368</v>
      </c>
      <c r="T5424" s="71" t="n">
        <v>97137.7</v>
      </c>
      <c r="U5424" t="inlineStr">
        <is>
          <t>Low</t>
        </is>
      </c>
      <c r="V5424">
        <f>IF(AND(OR(Dashboard!$C$6="All",E5424=Dashboard!$C$6),OR(Dashboard!$F$6="All",G5424=Dashboard!$F$6),OR(Dashboard!$I$6="All",H5424=Dashboard!$I$6)),1,0)</f>
        <v/>
      </c>
    </row>
    <row r="5425">
      <c r="A5425" t="inlineStr">
        <is>
          <t>PF105416</t>
        </is>
      </c>
      <c r="B5425" s="68" t="n">
        <v>46311</v>
      </c>
      <c r="C5425" s="69" t="n">
        <v>2026</v>
      </c>
      <c r="D5425" t="inlineStr">
        <is>
          <t>Oct</t>
        </is>
      </c>
      <c r="E5425" t="inlineStr">
        <is>
          <t>United States</t>
        </is>
      </c>
      <c r="F5425" t="inlineStr">
        <is>
          <t>USA</t>
        </is>
      </c>
      <c r="G5425" t="inlineStr">
        <is>
          <t>Prevnar 20</t>
        </is>
      </c>
      <c r="H5425" t="inlineStr">
        <is>
          <t>Hospital</t>
        </is>
      </c>
      <c r="I5425" t="inlineStr">
        <is>
          <t>Private insurer</t>
        </is>
      </c>
      <c r="J5425" t="inlineStr">
        <is>
          <t>Olivia Brown</t>
        </is>
      </c>
      <c r="K5425" s="70" t="n">
        <v>171</v>
      </c>
      <c r="L5425" s="71" t="n">
        <v>382.37</v>
      </c>
      <c r="M5425" s="71" t="n">
        <v>65385.27</v>
      </c>
      <c r="N5425" s="71" t="n">
        <v>13077.05</v>
      </c>
      <c r="O5425" s="71" t="n">
        <v>52308.22</v>
      </c>
      <c r="P5425" s="71" t="n">
        <v>12055.1</v>
      </c>
      <c r="Q5425" s="71" t="n">
        <v>40253.12</v>
      </c>
      <c r="R5425" t="inlineStr">
        <is>
          <t>Vaccines</t>
        </is>
      </c>
      <c r="S5425" s="70" t="n">
        <v>119</v>
      </c>
      <c r="T5425" s="71" t="n">
        <v>8258.950000000001</v>
      </c>
      <c r="U5425" t="inlineStr">
        <is>
          <t>Low</t>
        </is>
      </c>
      <c r="V5425">
        <f>IF(AND(OR(Dashboard!$C$6="All",E5425=Dashboard!$C$6),OR(Dashboard!$F$6="All",G5425=Dashboard!$F$6),OR(Dashboard!$I$6="All",H5425=Dashboard!$I$6)),1,0)</f>
        <v/>
      </c>
    </row>
    <row r="5426">
      <c r="A5426" t="inlineStr">
        <is>
          <t>PF105417</t>
        </is>
      </c>
      <c r="B5426" s="68" t="n">
        <v>46311</v>
      </c>
      <c r="C5426" s="69" t="n">
        <v>2026</v>
      </c>
      <c r="D5426" t="inlineStr">
        <is>
          <t>Oct</t>
        </is>
      </c>
      <c r="E5426" t="inlineStr">
        <is>
          <t>Europe</t>
        </is>
      </c>
      <c r="F5426" t="inlineStr">
        <is>
          <t>Germany</t>
        </is>
      </c>
      <c r="G5426" t="inlineStr">
        <is>
          <t>Prevnar 20</t>
        </is>
      </c>
      <c r="H5426" t="inlineStr">
        <is>
          <t>Government / tender</t>
        </is>
      </c>
      <c r="I5426" t="inlineStr">
        <is>
          <t>Private insurer</t>
        </is>
      </c>
      <c r="J5426" t="inlineStr">
        <is>
          <t>Wei Chen</t>
        </is>
      </c>
      <c r="K5426" s="70" t="n">
        <v>2312</v>
      </c>
      <c r="L5426" s="71" t="n">
        <v>241.15</v>
      </c>
      <c r="M5426" s="71" t="n">
        <v>557538.8</v>
      </c>
      <c r="N5426" s="71" t="n">
        <v>27876.94</v>
      </c>
      <c r="O5426" s="71" t="n">
        <v>529661.86</v>
      </c>
      <c r="P5426" s="71" t="n">
        <v>160242.47</v>
      </c>
      <c r="Q5426" s="71" t="n">
        <v>369419.39</v>
      </c>
      <c r="R5426" t="inlineStr">
        <is>
          <t>Vaccines</t>
        </is>
      </c>
      <c r="S5426" s="70" t="n">
        <v>1578</v>
      </c>
      <c r="T5426" s="71" t="n">
        <v>68526.87</v>
      </c>
      <c r="U5426" t="inlineStr">
        <is>
          <t>Low</t>
        </is>
      </c>
      <c r="V5426">
        <f>IF(AND(OR(Dashboard!$C$6="All",E5426=Dashboard!$C$6),OR(Dashboard!$F$6="All",G5426=Dashboard!$F$6),OR(Dashboard!$I$6="All",H5426=Dashboard!$I$6)),1,0)</f>
        <v/>
      </c>
    </row>
    <row r="5427">
      <c r="A5427" t="inlineStr">
        <is>
          <t>PF105418</t>
        </is>
      </c>
      <c r="B5427" s="68" t="n">
        <v>46311</v>
      </c>
      <c r="C5427" s="69" t="n">
        <v>2026</v>
      </c>
      <c r="D5427" t="inlineStr">
        <is>
          <t>Oct</t>
        </is>
      </c>
      <c r="E5427" t="inlineStr">
        <is>
          <t>United States</t>
        </is>
      </c>
      <c r="F5427" t="inlineStr">
        <is>
          <t>USA</t>
        </is>
      </c>
      <c r="G5427" t="inlineStr">
        <is>
          <t>Xeljanz</t>
        </is>
      </c>
      <c r="H5427" t="inlineStr">
        <is>
          <t>Hospital</t>
        </is>
      </c>
      <c r="I5427" t="inlineStr">
        <is>
          <t>Self-pay</t>
        </is>
      </c>
      <c r="J5427" t="inlineStr">
        <is>
          <t>Arjun Mehta</t>
        </is>
      </c>
      <c r="K5427" s="70" t="n">
        <v>2351</v>
      </c>
      <c r="L5427" s="71" t="n">
        <v>2005.18</v>
      </c>
      <c r="M5427" s="71" t="n">
        <v>4714178.18</v>
      </c>
      <c r="N5427" s="71" t="n">
        <v>1649962.36</v>
      </c>
      <c r="O5427" s="71" t="n">
        <v>3064215.82</v>
      </c>
      <c r="P5427" s="71" t="n">
        <v>579337.9399999999</v>
      </c>
      <c r="Q5427" s="71" t="n">
        <v>2484877.88</v>
      </c>
      <c r="R5427" t="inlineStr">
        <is>
          <t>Inflammation</t>
        </is>
      </c>
      <c r="S5427" s="70" t="n">
        <v>1893</v>
      </c>
      <c r="T5427" s="71" t="n">
        <v>686656.33</v>
      </c>
      <c r="U5427" t="inlineStr">
        <is>
          <t>High</t>
        </is>
      </c>
      <c r="V5427">
        <f>IF(AND(OR(Dashboard!$C$6="All",E5427=Dashboard!$C$6),OR(Dashboard!$F$6="All",G5427=Dashboard!$F$6),OR(Dashboard!$I$6="All",H5427=Dashboard!$I$6)),1,0)</f>
        <v/>
      </c>
    </row>
    <row r="5428">
      <c r="A5428" t="inlineStr">
        <is>
          <t>PF105419</t>
        </is>
      </c>
      <c r="B5428" s="68" t="n">
        <v>46311</v>
      </c>
      <c r="C5428" s="69" t="n">
        <v>2026</v>
      </c>
      <c r="D5428" t="inlineStr">
        <is>
          <t>Oct</t>
        </is>
      </c>
      <c r="E5428" t="inlineStr">
        <is>
          <t>United States</t>
        </is>
      </c>
      <c r="F5428" t="inlineStr">
        <is>
          <t>USA</t>
        </is>
      </c>
      <c r="G5428" t="inlineStr">
        <is>
          <t>Xeljanz</t>
        </is>
      </c>
      <c r="H5428" t="inlineStr">
        <is>
          <t>Retail pharmacy</t>
        </is>
      </c>
      <c r="I5428" t="inlineStr">
        <is>
          <t>Public payer</t>
        </is>
      </c>
      <c r="J5428" t="inlineStr">
        <is>
          <t>Amir Khan</t>
        </is>
      </c>
      <c r="K5428" s="70" t="n">
        <v>746</v>
      </c>
      <c r="L5428" s="71" t="n">
        <v>2360.35</v>
      </c>
      <c r="M5428" s="71" t="n">
        <v>1760821.1</v>
      </c>
      <c r="N5428" s="71" t="n">
        <v>440205.28</v>
      </c>
      <c r="O5428" s="71" t="n">
        <v>1320615.82</v>
      </c>
      <c r="P5428" s="71" t="n">
        <v>183849.92</v>
      </c>
      <c r="Q5428" s="71" t="n">
        <v>1136765.9</v>
      </c>
      <c r="R5428" t="inlineStr">
        <is>
          <t>Inflammation</t>
        </is>
      </c>
      <c r="S5428" s="70" t="n">
        <v>601</v>
      </c>
      <c r="T5428" s="71" t="n">
        <v>236689.03</v>
      </c>
      <c r="U5428" t="inlineStr">
        <is>
          <t>High</t>
        </is>
      </c>
      <c r="V5428">
        <f>IF(AND(OR(Dashboard!$C$6="All",E5428=Dashboard!$C$6),OR(Dashboard!$F$6="All",G5428=Dashboard!$F$6),OR(Dashboard!$I$6="All",H5428=Dashboard!$I$6)),1,0)</f>
        <v/>
      </c>
    </row>
    <row r="5429">
      <c r="A5429" t="inlineStr">
        <is>
          <t>PF105420</t>
        </is>
      </c>
      <c r="B5429" s="68" t="n">
        <v>46311</v>
      </c>
      <c r="C5429" s="69" t="n">
        <v>2026</v>
      </c>
      <c r="D5429" t="inlineStr">
        <is>
          <t>Oct</t>
        </is>
      </c>
      <c r="E5429" t="inlineStr">
        <is>
          <t>United States</t>
        </is>
      </c>
      <c r="F5429" t="inlineStr">
        <is>
          <t>USA</t>
        </is>
      </c>
      <c r="G5429" t="inlineStr">
        <is>
          <t>Eliquis</t>
        </is>
      </c>
      <c r="H5429" t="inlineStr">
        <is>
          <t>Retail pharmacy</t>
        </is>
      </c>
      <c r="I5429" t="inlineStr">
        <is>
          <t>Private insurer</t>
        </is>
      </c>
      <c r="J5429" t="inlineStr">
        <is>
          <t>Noah Smith</t>
        </is>
      </c>
      <c r="K5429" s="70" t="n">
        <v>1436</v>
      </c>
      <c r="L5429" s="71" t="n">
        <v>706.51</v>
      </c>
      <c r="M5429" s="71" t="n">
        <v>1014548.36</v>
      </c>
      <c r="N5429" s="71" t="n">
        <v>304364.51</v>
      </c>
      <c r="O5429" s="71" t="n">
        <v>710183.85</v>
      </c>
      <c r="P5429" s="71" t="n">
        <v>111807.84</v>
      </c>
      <c r="Q5429" s="71" t="n">
        <v>598376.01</v>
      </c>
      <c r="R5429" t="inlineStr">
        <is>
          <t>Cardiology</t>
        </is>
      </c>
      <c r="S5429" s="70" t="n">
        <v>1031</v>
      </c>
      <c r="T5429" s="71" t="n">
        <v>173802.85</v>
      </c>
      <c r="U5429" t="inlineStr">
        <is>
          <t>High</t>
        </is>
      </c>
      <c r="V5429">
        <f>IF(AND(OR(Dashboard!$C$6="All",E5429=Dashboard!$C$6),OR(Dashboard!$F$6="All",G5429=Dashboard!$F$6),OR(Dashboard!$I$6="All",H5429=Dashboard!$I$6)),1,0)</f>
        <v/>
      </c>
    </row>
    <row r="5430">
      <c r="A5430" t="inlineStr">
        <is>
          <t>PF105421</t>
        </is>
      </c>
      <c r="B5430" s="68" t="n">
        <v>46311</v>
      </c>
      <c r="C5430" s="69" t="n">
        <v>2026</v>
      </c>
      <c r="D5430" t="inlineStr">
        <is>
          <t>Oct</t>
        </is>
      </c>
      <c r="E5430" t="inlineStr">
        <is>
          <t>Emerging markets</t>
        </is>
      </c>
      <c r="F5430" t="inlineStr">
        <is>
          <t>Mexico</t>
        </is>
      </c>
      <c r="G5430" t="inlineStr">
        <is>
          <t>Prevnar 20</t>
        </is>
      </c>
      <c r="H5430" t="inlineStr">
        <is>
          <t>Hospital</t>
        </is>
      </c>
      <c r="I5430" t="inlineStr">
        <is>
          <t>Private insurer</t>
        </is>
      </c>
      <c r="J5430" t="inlineStr">
        <is>
          <t>Noah Smith</t>
        </is>
      </c>
      <c r="K5430" s="70" t="n">
        <v>1932</v>
      </c>
      <c r="L5430" s="71" t="n">
        <v>256.17</v>
      </c>
      <c r="M5430" s="71" t="n">
        <v>494920.44</v>
      </c>
      <c r="N5430" s="71" t="n">
        <v>74238.07000000001</v>
      </c>
      <c r="O5430" s="71" t="n">
        <v>420682.37</v>
      </c>
      <c r="P5430" s="71" t="n">
        <v>135740.39</v>
      </c>
      <c r="Q5430" s="71" t="n">
        <v>284941.98</v>
      </c>
      <c r="R5430" t="inlineStr">
        <is>
          <t>Vaccines</t>
        </is>
      </c>
      <c r="S5430" s="70" t="n">
        <v>1571</v>
      </c>
      <c r="T5430" s="71" t="n">
        <v>69601.99000000001</v>
      </c>
      <c r="U5430" t="inlineStr">
        <is>
          <t>Low</t>
        </is>
      </c>
      <c r="V5430">
        <f>IF(AND(OR(Dashboard!$C$6="All",E5430=Dashboard!$C$6),OR(Dashboard!$F$6="All",G5430=Dashboard!$F$6),OR(Dashboard!$I$6="All",H5430=Dashboard!$I$6)),1,0)</f>
        <v/>
      </c>
    </row>
    <row r="5431">
      <c r="A5431" t="inlineStr">
        <is>
          <t>PF105422</t>
        </is>
      </c>
      <c r="B5431" s="68" t="n">
        <v>46311</v>
      </c>
      <c r="C5431" s="69" t="n">
        <v>2026</v>
      </c>
      <c r="D5431" t="inlineStr">
        <is>
          <t>Oct</t>
        </is>
      </c>
      <c r="E5431" t="inlineStr">
        <is>
          <t>Europe</t>
        </is>
      </c>
      <c r="F5431" t="inlineStr">
        <is>
          <t>Italy</t>
        </is>
      </c>
      <c r="G5431" t="inlineStr">
        <is>
          <t>Comirnaty</t>
        </is>
      </c>
      <c r="H5431" t="inlineStr">
        <is>
          <t>Government / tender</t>
        </is>
      </c>
      <c r="I5431" t="inlineStr">
        <is>
          <t>Public payer</t>
        </is>
      </c>
      <c r="J5431" t="inlineStr">
        <is>
          <t>Ana Costa</t>
        </is>
      </c>
      <c r="K5431" s="70" t="n">
        <v>1471</v>
      </c>
      <c r="L5431" s="71" t="n">
        <v>87.06</v>
      </c>
      <c r="M5431" s="71" t="n">
        <v>128065.26</v>
      </c>
      <c r="N5431" s="71" t="n">
        <v>19209.79</v>
      </c>
      <c r="O5431" s="71" t="n">
        <v>108855.47</v>
      </c>
      <c r="P5431" s="71" t="n">
        <v>54604.13</v>
      </c>
      <c r="Q5431" s="71" t="n">
        <v>54251.34</v>
      </c>
      <c r="R5431" t="inlineStr">
        <is>
          <t>Vaccines</t>
        </is>
      </c>
      <c r="S5431" s="70" t="n">
        <v>1172</v>
      </c>
      <c r="T5431" s="71" t="n">
        <v>30474.47</v>
      </c>
      <c r="U5431" t="inlineStr">
        <is>
          <t>Low</t>
        </is>
      </c>
      <c r="V5431">
        <f>IF(AND(OR(Dashboard!$C$6="All",E5431=Dashboard!$C$6),OR(Dashboard!$F$6="All",G5431=Dashboard!$F$6),OR(Dashboard!$I$6="All",H5431=Dashboard!$I$6)),1,0)</f>
        <v/>
      </c>
    </row>
    <row r="5432">
      <c r="A5432" t="inlineStr">
        <is>
          <t>PF105423</t>
        </is>
      </c>
      <c r="B5432" s="68" t="n">
        <v>46311</v>
      </c>
      <c r="C5432" s="69" t="n">
        <v>2026</v>
      </c>
      <c r="D5432" t="inlineStr">
        <is>
          <t>Oct</t>
        </is>
      </c>
      <c r="E5432" t="inlineStr">
        <is>
          <t>Europe</t>
        </is>
      </c>
      <c r="F5432" t="inlineStr">
        <is>
          <t>Germany</t>
        </is>
      </c>
      <c r="G5432" t="inlineStr">
        <is>
          <t>Comirnaty</t>
        </is>
      </c>
      <c r="H5432" t="inlineStr">
        <is>
          <t>Retail pharmacy</t>
        </is>
      </c>
      <c r="I5432" t="inlineStr">
        <is>
          <t>Public payer</t>
        </is>
      </c>
      <c r="J5432" t="inlineStr">
        <is>
          <t>Yuki Sato</t>
        </is>
      </c>
      <c r="K5432" s="70" t="n">
        <v>1446</v>
      </c>
      <c r="L5432" s="71" t="n">
        <v>93.08</v>
      </c>
      <c r="M5432" s="71" t="n">
        <v>134593.68</v>
      </c>
      <c r="N5432" s="71" t="n">
        <v>26918.74</v>
      </c>
      <c r="O5432" s="71" t="n">
        <v>107674.94</v>
      </c>
      <c r="P5432" s="71" t="n">
        <v>57389.12</v>
      </c>
      <c r="Q5432" s="71" t="n">
        <v>50285.82</v>
      </c>
      <c r="R5432" t="inlineStr">
        <is>
          <t>Vaccines</t>
        </is>
      </c>
      <c r="S5432" s="70" t="n">
        <v>924</v>
      </c>
      <c r="T5432" s="71" t="n">
        <v>32606.94</v>
      </c>
      <c r="U5432" t="inlineStr">
        <is>
          <t>Low</t>
        </is>
      </c>
      <c r="V5432">
        <f>IF(AND(OR(Dashboard!$C$6="All",E5432=Dashboard!$C$6),OR(Dashboard!$F$6="All",G5432=Dashboard!$F$6),OR(Dashboard!$I$6="All",H5432=Dashboard!$I$6)),1,0)</f>
        <v/>
      </c>
    </row>
    <row r="5433">
      <c r="A5433" t="inlineStr">
        <is>
          <t>PF105424</t>
        </is>
      </c>
      <c r="B5433" s="68" t="n">
        <v>46311</v>
      </c>
      <c r="C5433" s="69" t="n">
        <v>2026</v>
      </c>
      <c r="D5433" t="inlineStr">
        <is>
          <t>Oct</t>
        </is>
      </c>
      <c r="E5433" t="inlineStr">
        <is>
          <t>United States</t>
        </is>
      </c>
      <c r="F5433" t="inlineStr">
        <is>
          <t>USA</t>
        </is>
      </c>
      <c r="G5433" t="inlineStr">
        <is>
          <t>Comirnaty</t>
        </is>
      </c>
      <c r="H5433" t="inlineStr">
        <is>
          <t>Government / tender</t>
        </is>
      </c>
      <c r="I5433" t="inlineStr">
        <is>
          <t>Private insurer</t>
        </is>
      </c>
      <c r="J5433" t="inlineStr">
        <is>
          <t>Shraddha Kulkarni</t>
        </is>
      </c>
      <c r="K5433" s="70" t="n">
        <v>2063</v>
      </c>
      <c r="L5433" s="71" t="n">
        <v>128.13</v>
      </c>
      <c r="M5433" s="71" t="n">
        <v>264332.19</v>
      </c>
      <c r="N5433" s="71" t="n">
        <v>66083.05</v>
      </c>
      <c r="O5433" s="71" t="n">
        <v>198249.14</v>
      </c>
      <c r="P5433" s="71" t="n">
        <v>81593</v>
      </c>
      <c r="Q5433" s="71" t="n">
        <v>116656.14</v>
      </c>
      <c r="R5433" t="inlineStr">
        <is>
          <t>Vaccines</t>
        </is>
      </c>
      <c r="S5433" s="70" t="n">
        <v>1609</v>
      </c>
      <c r="T5433" s="71" t="n">
        <v>45944.83</v>
      </c>
      <c r="U5433" t="inlineStr">
        <is>
          <t>Low</t>
        </is>
      </c>
      <c r="V5433">
        <f>IF(AND(OR(Dashboard!$C$6="All",E5433=Dashboard!$C$6),OR(Dashboard!$F$6="All",G5433=Dashboard!$F$6),OR(Dashboard!$I$6="All",H5433=Dashboard!$I$6)),1,0)</f>
        <v/>
      </c>
    </row>
    <row r="5434">
      <c r="A5434" t="inlineStr">
        <is>
          <t>PF105425</t>
        </is>
      </c>
      <c r="B5434" s="68" t="n">
        <v>46311</v>
      </c>
      <c r="C5434" s="69" t="n">
        <v>2026</v>
      </c>
      <c r="D5434" t="inlineStr">
        <is>
          <t>Oct</t>
        </is>
      </c>
      <c r="E5434" t="inlineStr">
        <is>
          <t>International developed</t>
        </is>
      </c>
      <c r="F5434" t="inlineStr">
        <is>
          <t>Australia</t>
        </is>
      </c>
      <c r="G5434" t="inlineStr">
        <is>
          <t>Ibrance</t>
        </is>
      </c>
      <c r="H5434" t="inlineStr">
        <is>
          <t>Retail pharmacy</t>
        </is>
      </c>
      <c r="I5434" t="inlineStr">
        <is>
          <t>Private insurer</t>
        </is>
      </c>
      <c r="J5434" t="inlineStr">
        <is>
          <t>Yuki Sato</t>
        </is>
      </c>
      <c r="K5434" s="70" t="n">
        <v>110</v>
      </c>
      <c r="L5434" s="71" t="n">
        <v>2964.05</v>
      </c>
      <c r="M5434" s="71" t="n">
        <v>326045.5</v>
      </c>
      <c r="N5434" s="71" t="n">
        <v>16302.28</v>
      </c>
      <c r="O5434" s="71" t="n">
        <v>309743.22</v>
      </c>
      <c r="P5434" s="71" t="n">
        <v>46817.22</v>
      </c>
      <c r="Q5434" s="71" t="n">
        <v>262926</v>
      </c>
      <c r="R5434" t="inlineStr">
        <is>
          <t>Oncology</t>
        </is>
      </c>
      <c r="S5434" s="70" t="n">
        <v>89</v>
      </c>
      <c r="T5434" s="71" t="n">
        <v>62420.5</v>
      </c>
      <c r="U5434" t="inlineStr">
        <is>
          <t>High</t>
        </is>
      </c>
      <c r="V5434">
        <f>IF(AND(OR(Dashboard!$C$6="All",E5434=Dashboard!$C$6),OR(Dashboard!$F$6="All",G5434=Dashboard!$F$6),OR(Dashboard!$I$6="All",H5434=Dashboard!$I$6)),1,0)</f>
        <v/>
      </c>
    </row>
    <row r="5435">
      <c r="A5435" t="inlineStr">
        <is>
          <t>PF105426</t>
        </is>
      </c>
      <c r="B5435" s="68" t="n">
        <v>46311</v>
      </c>
      <c r="C5435" s="69" t="n">
        <v>2026</v>
      </c>
      <c r="D5435" t="inlineStr">
        <is>
          <t>Oct</t>
        </is>
      </c>
      <c r="E5435" t="inlineStr">
        <is>
          <t>Europe</t>
        </is>
      </c>
      <c r="F5435" t="inlineStr">
        <is>
          <t>UK</t>
        </is>
      </c>
      <c r="G5435" t="inlineStr">
        <is>
          <t>Eliquis</t>
        </is>
      </c>
      <c r="H5435" t="inlineStr">
        <is>
          <t>Hospital</t>
        </is>
      </c>
      <c r="I5435" t="inlineStr">
        <is>
          <t>Public payer</t>
        </is>
      </c>
      <c r="J5435" t="inlineStr">
        <is>
          <t>Carlos Silva</t>
        </is>
      </c>
      <c r="K5435" s="70" t="n">
        <v>1555</v>
      </c>
      <c r="L5435" s="71" t="n">
        <v>464.82</v>
      </c>
      <c r="M5435" s="71" t="n">
        <v>722795.1</v>
      </c>
      <c r="N5435" s="71" t="n">
        <v>144559.02</v>
      </c>
      <c r="O5435" s="71" t="n">
        <v>578236.08</v>
      </c>
      <c r="P5435" s="71" t="n">
        <v>121324.44</v>
      </c>
      <c r="Q5435" s="71" t="n">
        <v>456911.64</v>
      </c>
      <c r="R5435" t="inlineStr">
        <is>
          <t>Cardiology</t>
        </is>
      </c>
      <c r="S5435" s="70" t="n">
        <v>1151</v>
      </c>
      <c r="T5435" s="71" t="n">
        <v>99309.5</v>
      </c>
      <c r="U5435" t="inlineStr">
        <is>
          <t>High</t>
        </is>
      </c>
      <c r="V5435">
        <f>IF(AND(OR(Dashboard!$C$6="All",E5435=Dashboard!$C$6),OR(Dashboard!$F$6="All",G5435=Dashboard!$F$6),OR(Dashboard!$I$6="All",H5435=Dashboard!$I$6)),1,0)</f>
        <v/>
      </c>
    </row>
    <row r="5436">
      <c r="A5436" t="inlineStr">
        <is>
          <t>PF105427</t>
        </is>
      </c>
      <c r="B5436" s="68" t="n">
        <v>46311</v>
      </c>
      <c r="C5436" s="69" t="n">
        <v>2026</v>
      </c>
      <c r="D5436" t="inlineStr">
        <is>
          <t>Oct</t>
        </is>
      </c>
      <c r="E5436" t="inlineStr">
        <is>
          <t>International developed</t>
        </is>
      </c>
      <c r="F5436" t="inlineStr">
        <is>
          <t>Japan</t>
        </is>
      </c>
      <c r="G5436" t="inlineStr">
        <is>
          <t>Eliquis</t>
        </is>
      </c>
      <c r="H5436" t="inlineStr">
        <is>
          <t>Government / tender</t>
        </is>
      </c>
      <c r="I5436" t="inlineStr">
        <is>
          <t>Public payer</t>
        </is>
      </c>
      <c r="J5436" t="inlineStr">
        <is>
          <t>Amir Khan</t>
        </is>
      </c>
      <c r="K5436" s="70" t="n">
        <v>705</v>
      </c>
      <c r="L5436" s="71" t="n">
        <v>412.04</v>
      </c>
      <c r="M5436" s="71" t="n">
        <v>290488.2</v>
      </c>
      <c r="N5436" s="71" t="n">
        <v>29048.82</v>
      </c>
      <c r="O5436" s="71" t="n">
        <v>261439.38</v>
      </c>
      <c r="P5436" s="71" t="n">
        <v>51958.18</v>
      </c>
      <c r="Q5436" s="71" t="n">
        <v>209481.2</v>
      </c>
      <c r="R5436" t="inlineStr">
        <is>
          <t>Cardiology</t>
        </is>
      </c>
      <c r="S5436" s="70" t="n">
        <v>637</v>
      </c>
      <c r="T5436" s="71" t="n">
        <v>43641.46</v>
      </c>
      <c r="U5436" t="inlineStr">
        <is>
          <t>High</t>
        </is>
      </c>
      <c r="V5436">
        <f>IF(AND(OR(Dashboard!$C$6="All",E5436=Dashboard!$C$6),OR(Dashboard!$F$6="All",G5436=Dashboard!$F$6),OR(Dashboard!$I$6="All",H5436=Dashboard!$I$6)),1,0)</f>
        <v/>
      </c>
    </row>
    <row r="5437">
      <c r="A5437" t="inlineStr">
        <is>
          <t>PF105428</t>
        </is>
      </c>
      <c r="B5437" s="68" t="n">
        <v>46311</v>
      </c>
      <c r="C5437" s="69" t="n">
        <v>2026</v>
      </c>
      <c r="D5437" t="inlineStr">
        <is>
          <t>Oct</t>
        </is>
      </c>
      <c r="E5437" t="inlineStr">
        <is>
          <t>United States</t>
        </is>
      </c>
      <c r="F5437" t="inlineStr">
        <is>
          <t>USA</t>
        </is>
      </c>
      <c r="G5437" t="inlineStr">
        <is>
          <t>Xeljanz</t>
        </is>
      </c>
      <c r="H5437" t="inlineStr">
        <is>
          <t>Retail pharmacy</t>
        </is>
      </c>
      <c r="I5437" t="inlineStr">
        <is>
          <t>Private insurer</t>
        </is>
      </c>
      <c r="J5437" t="inlineStr">
        <is>
          <t>Wei Chen</t>
        </is>
      </c>
      <c r="K5437" s="70" t="n">
        <v>2679</v>
      </c>
      <c r="L5437" s="71" t="n">
        <v>2108.37</v>
      </c>
      <c r="M5437" s="71" t="n">
        <v>5648323.23</v>
      </c>
      <c r="N5437" s="71" t="n">
        <v>1129664.65</v>
      </c>
      <c r="O5437" s="71" t="n">
        <v>4518658.58</v>
      </c>
      <c r="P5437" s="71" t="n">
        <v>700698.1899999999</v>
      </c>
      <c r="Q5437" s="71" t="n">
        <v>3817960.39</v>
      </c>
      <c r="R5437" t="inlineStr">
        <is>
          <t>Inflammation</t>
        </is>
      </c>
      <c r="S5437" s="70" t="n">
        <v>1801</v>
      </c>
      <c r="T5437" s="71" t="n">
        <v>764586.41</v>
      </c>
      <c r="U5437" t="inlineStr">
        <is>
          <t>High</t>
        </is>
      </c>
      <c r="V5437">
        <f>IF(AND(OR(Dashboard!$C$6="All",E5437=Dashboard!$C$6),OR(Dashboard!$F$6="All",G5437=Dashboard!$F$6),OR(Dashboard!$I$6="All",H5437=Dashboard!$I$6)),1,0)</f>
        <v/>
      </c>
    </row>
    <row r="5438">
      <c r="A5438" t="inlineStr">
        <is>
          <t>PF105429</t>
        </is>
      </c>
      <c r="B5438" s="68" t="n">
        <v>46311</v>
      </c>
      <c r="C5438" s="69" t="n">
        <v>2026</v>
      </c>
      <c r="D5438" t="inlineStr">
        <is>
          <t>Oct</t>
        </is>
      </c>
      <c r="E5438" t="inlineStr">
        <is>
          <t>Europe</t>
        </is>
      </c>
      <c r="F5438" t="inlineStr">
        <is>
          <t>Germany</t>
        </is>
      </c>
      <c r="G5438" t="inlineStr">
        <is>
          <t>Eliquis</t>
        </is>
      </c>
      <c r="H5438" t="inlineStr">
        <is>
          <t>Retail pharmacy</t>
        </is>
      </c>
      <c r="I5438" t="inlineStr">
        <is>
          <t>Self-pay</t>
        </is>
      </c>
      <c r="J5438" t="inlineStr">
        <is>
          <t>Aisha Bello</t>
        </is>
      </c>
      <c r="K5438" s="70" t="n">
        <v>2170</v>
      </c>
      <c r="L5438" s="71" t="n">
        <v>462.42</v>
      </c>
      <c r="M5438" s="71" t="n">
        <v>1003451.4</v>
      </c>
      <c r="N5438" s="71" t="n">
        <v>150517.71</v>
      </c>
      <c r="O5438" s="71" t="n">
        <v>852933.6899999999</v>
      </c>
      <c r="P5438" s="71" t="n">
        <v>160189.74</v>
      </c>
      <c r="Q5438" s="71" t="n">
        <v>692743.95</v>
      </c>
      <c r="R5438" t="inlineStr">
        <is>
          <t>Cardiology</t>
        </is>
      </c>
      <c r="S5438" s="70" t="n">
        <v>2124</v>
      </c>
      <c r="T5438" s="71" t="n">
        <v>144930.45</v>
      </c>
      <c r="U5438" t="inlineStr">
        <is>
          <t>High</t>
        </is>
      </c>
      <c r="V5438">
        <f>IF(AND(OR(Dashboard!$C$6="All",E5438=Dashboard!$C$6),OR(Dashboard!$F$6="All",G5438=Dashboard!$F$6),OR(Dashboard!$I$6="All",H5438=Dashboard!$I$6)),1,0)</f>
        <v/>
      </c>
    </row>
    <row r="5439">
      <c r="A5439" t="inlineStr">
        <is>
          <t>PF105430</t>
        </is>
      </c>
      <c r="B5439" s="68" t="n">
        <v>46311</v>
      </c>
      <c r="C5439" s="69" t="n">
        <v>2026</v>
      </c>
      <c r="D5439" t="inlineStr">
        <is>
          <t>Oct</t>
        </is>
      </c>
      <c r="E5439" t="inlineStr">
        <is>
          <t>Europe</t>
        </is>
      </c>
      <c r="F5439" t="inlineStr">
        <is>
          <t>Italy</t>
        </is>
      </c>
      <c r="G5439" t="inlineStr">
        <is>
          <t>Comirnaty</t>
        </is>
      </c>
      <c r="H5439" t="inlineStr">
        <is>
          <t>Government / tender</t>
        </is>
      </c>
      <c r="I5439" t="inlineStr">
        <is>
          <t>Private insurer</t>
        </is>
      </c>
      <c r="J5439" t="inlineStr">
        <is>
          <t>Priya Nair</t>
        </is>
      </c>
      <c r="K5439" s="70" t="n">
        <v>1043</v>
      </c>
      <c r="L5439" s="71" t="n">
        <v>86.34999999999999</v>
      </c>
      <c r="M5439" s="71" t="n">
        <v>90063.05</v>
      </c>
      <c r="N5439" s="71" t="n">
        <v>9006.309999999999</v>
      </c>
      <c r="O5439" s="71" t="n">
        <v>81056.74000000001</v>
      </c>
      <c r="P5439" s="71" t="n">
        <v>40212.16</v>
      </c>
      <c r="Q5439" s="71" t="n">
        <v>40844.58</v>
      </c>
      <c r="R5439" t="inlineStr">
        <is>
          <t>Vaccines</t>
        </is>
      </c>
      <c r="S5439" s="70" t="n">
        <v>920</v>
      </c>
      <c r="T5439" s="71" t="n">
        <v>21357.94</v>
      </c>
      <c r="U5439" t="inlineStr">
        <is>
          <t>Low</t>
        </is>
      </c>
      <c r="V5439">
        <f>IF(AND(OR(Dashboard!$C$6="All",E5439=Dashboard!$C$6),OR(Dashboard!$F$6="All",G5439=Dashboard!$F$6),OR(Dashboard!$I$6="All",H5439=Dashboard!$I$6)),1,0)</f>
        <v/>
      </c>
    </row>
    <row r="5440">
      <c r="A5440" t="inlineStr">
        <is>
          <t>PF105431</t>
        </is>
      </c>
      <c r="B5440" s="68" t="n">
        <v>46312</v>
      </c>
      <c r="C5440" s="69" t="n">
        <v>2026</v>
      </c>
      <c r="D5440" t="inlineStr">
        <is>
          <t>Oct</t>
        </is>
      </c>
      <c r="E5440" t="inlineStr">
        <is>
          <t>International developed</t>
        </is>
      </c>
      <c r="F5440" t="inlineStr">
        <is>
          <t>Canada</t>
        </is>
      </c>
      <c r="G5440" t="inlineStr">
        <is>
          <t>Abrysvo</t>
        </is>
      </c>
      <c r="H5440" t="inlineStr">
        <is>
          <t>Hospital</t>
        </is>
      </c>
      <c r="I5440" t="inlineStr">
        <is>
          <t>Private insurer</t>
        </is>
      </c>
      <c r="J5440" t="inlineStr">
        <is>
          <t>Fatima Al-Saud</t>
        </is>
      </c>
      <c r="K5440" s="70" t="n">
        <v>2800</v>
      </c>
      <c r="L5440" s="71" t="n">
        <v>340.23</v>
      </c>
      <c r="M5440" s="71" t="n">
        <v>952644</v>
      </c>
      <c r="N5440" s="71" t="n">
        <v>95264.39999999999</v>
      </c>
      <c r="O5440" s="71" t="n">
        <v>857379.6</v>
      </c>
      <c r="P5440" s="71" t="n">
        <v>237455.99</v>
      </c>
      <c r="Q5440" s="71" t="n">
        <v>619923.61</v>
      </c>
      <c r="R5440" t="inlineStr">
        <is>
          <t>Vaccines</t>
        </is>
      </c>
      <c r="S5440" s="70" t="n">
        <v>2282</v>
      </c>
      <c r="T5440" s="71" t="n">
        <v>159391.05</v>
      </c>
      <c r="U5440" t="inlineStr">
        <is>
          <t>Low</t>
        </is>
      </c>
      <c r="V5440">
        <f>IF(AND(OR(Dashboard!$C$6="All",E5440=Dashboard!$C$6),OR(Dashboard!$F$6="All",G5440=Dashboard!$F$6),OR(Dashboard!$I$6="All",H5440=Dashboard!$I$6)),1,0)</f>
        <v/>
      </c>
    </row>
    <row r="5441">
      <c r="A5441" t="inlineStr">
        <is>
          <t>PF105432</t>
        </is>
      </c>
      <c r="B5441" s="68" t="n">
        <v>46312</v>
      </c>
      <c r="C5441" s="69" t="n">
        <v>2026</v>
      </c>
      <c r="D5441" t="inlineStr">
        <is>
          <t>Oct</t>
        </is>
      </c>
      <c r="E5441" t="inlineStr">
        <is>
          <t>Europe</t>
        </is>
      </c>
      <c r="F5441" t="inlineStr">
        <is>
          <t>Spain</t>
        </is>
      </c>
      <c r="G5441" t="inlineStr">
        <is>
          <t>Prevnar 20</t>
        </is>
      </c>
      <c r="H5441" t="inlineStr">
        <is>
          <t>Retail pharmacy</t>
        </is>
      </c>
      <c r="I5441" t="inlineStr">
        <is>
          <t>Private insurer</t>
        </is>
      </c>
      <c r="J5441" t="inlineStr">
        <is>
          <t>Shraddha Kulkarni</t>
        </is>
      </c>
      <c r="K5441" s="70" t="n">
        <v>2890</v>
      </c>
      <c r="L5441" s="71" t="n">
        <v>237.82</v>
      </c>
      <c r="M5441" s="71" t="n">
        <v>687299.8</v>
      </c>
      <c r="N5441" s="71" t="n">
        <v>34364.99</v>
      </c>
      <c r="O5441" s="71" t="n">
        <v>652934.8100000001</v>
      </c>
      <c r="P5441" s="71" t="n">
        <v>196929.05</v>
      </c>
      <c r="Q5441" s="71" t="n">
        <v>456005.76</v>
      </c>
      <c r="R5441" t="inlineStr">
        <is>
          <t>Vaccines</t>
        </is>
      </c>
      <c r="S5441" s="70" t="n">
        <v>1905</v>
      </c>
      <c r="T5441" s="71" t="n">
        <v>119465.05</v>
      </c>
      <c r="U5441" t="inlineStr">
        <is>
          <t>Low</t>
        </is>
      </c>
      <c r="V5441">
        <f>IF(AND(OR(Dashboard!$C$6="All",E5441=Dashboard!$C$6),OR(Dashboard!$F$6="All",G5441=Dashboard!$F$6),OR(Dashboard!$I$6="All",H5441=Dashboard!$I$6)),1,0)</f>
        <v/>
      </c>
    </row>
    <row r="5442">
      <c r="A5442" t="inlineStr">
        <is>
          <t>PF105433</t>
        </is>
      </c>
      <c r="B5442" s="68" t="n">
        <v>46312</v>
      </c>
      <c r="C5442" s="69" t="n">
        <v>2026</v>
      </c>
      <c r="D5442" t="inlineStr">
        <is>
          <t>Oct</t>
        </is>
      </c>
      <c r="E5442" t="inlineStr">
        <is>
          <t>United States</t>
        </is>
      </c>
      <c r="F5442" t="inlineStr">
        <is>
          <t>USA</t>
        </is>
      </c>
      <c r="G5442" t="inlineStr">
        <is>
          <t>Prevnar 20</t>
        </is>
      </c>
      <c r="H5442" t="inlineStr">
        <is>
          <t>Retail pharmacy</t>
        </is>
      </c>
      <c r="I5442" t="inlineStr">
        <is>
          <t>Private insurer</t>
        </is>
      </c>
      <c r="J5442" t="inlineStr">
        <is>
          <t>Aisha Bello</t>
        </is>
      </c>
      <c r="K5442" s="70" t="n">
        <v>1827</v>
      </c>
      <c r="L5442" s="71" t="n">
        <v>349.92</v>
      </c>
      <c r="M5442" s="71" t="n">
        <v>639303.84</v>
      </c>
      <c r="N5442" s="71" t="n">
        <v>95895.58</v>
      </c>
      <c r="O5442" s="71" t="n">
        <v>543408.26</v>
      </c>
      <c r="P5442" s="71" t="n">
        <v>127351.2</v>
      </c>
      <c r="Q5442" s="71" t="n">
        <v>416057.06</v>
      </c>
      <c r="R5442" t="inlineStr">
        <is>
          <t>Vaccines</t>
        </is>
      </c>
      <c r="S5442" s="70" t="n">
        <v>1555</v>
      </c>
      <c r="T5442" s="71" t="n">
        <v>131736.85</v>
      </c>
      <c r="U5442" t="inlineStr">
        <is>
          <t>Low</t>
        </is>
      </c>
      <c r="V5442">
        <f>IF(AND(OR(Dashboard!$C$6="All",E5442=Dashboard!$C$6),OR(Dashboard!$F$6="All",G5442=Dashboard!$F$6),OR(Dashboard!$I$6="All",H5442=Dashboard!$I$6)),1,0)</f>
        <v/>
      </c>
    </row>
    <row r="5443">
      <c r="A5443" t="inlineStr">
        <is>
          <t>PF105434</t>
        </is>
      </c>
      <c r="B5443" s="68" t="n">
        <v>46312</v>
      </c>
      <c r="C5443" s="69" t="n">
        <v>2026</v>
      </c>
      <c r="D5443" t="inlineStr">
        <is>
          <t>Oct</t>
        </is>
      </c>
      <c r="E5443" t="inlineStr">
        <is>
          <t>Europe</t>
        </is>
      </c>
      <c r="F5443" t="inlineStr">
        <is>
          <t>Spain</t>
        </is>
      </c>
      <c r="G5443" t="inlineStr">
        <is>
          <t>Abrysvo</t>
        </is>
      </c>
      <c r="H5443" t="inlineStr">
        <is>
          <t>Retail pharmacy</t>
        </is>
      </c>
      <c r="I5443" t="inlineStr">
        <is>
          <t>Private insurer</t>
        </is>
      </c>
      <c r="J5443" t="inlineStr">
        <is>
          <t>Aisha Bello</t>
        </is>
      </c>
      <c r="K5443" s="70" t="n">
        <v>1898</v>
      </c>
      <c r="L5443" s="71" t="n">
        <v>308.61</v>
      </c>
      <c r="M5443" s="71" t="n">
        <v>585741.78</v>
      </c>
      <c r="N5443" s="71" t="n">
        <v>117148.36</v>
      </c>
      <c r="O5443" s="71" t="n">
        <v>468593.42</v>
      </c>
      <c r="P5443" s="71" t="n">
        <v>162370.86</v>
      </c>
      <c r="Q5443" s="71" t="n">
        <v>306222.56</v>
      </c>
      <c r="R5443" t="inlineStr">
        <is>
          <t>Vaccines</t>
        </is>
      </c>
      <c r="S5443" s="70" t="n">
        <v>1376</v>
      </c>
      <c r="T5443" s="71" t="n">
        <v>112936.24</v>
      </c>
      <c r="U5443" t="inlineStr">
        <is>
          <t>Low</t>
        </is>
      </c>
      <c r="V5443">
        <f>IF(AND(OR(Dashboard!$C$6="All",E5443=Dashboard!$C$6),OR(Dashboard!$F$6="All",G5443=Dashboard!$F$6),OR(Dashboard!$I$6="All",H5443=Dashboard!$I$6)),1,0)</f>
        <v/>
      </c>
    </row>
    <row r="5444">
      <c r="A5444" t="inlineStr">
        <is>
          <t>PF105435</t>
        </is>
      </c>
      <c r="B5444" s="68" t="n">
        <v>46312</v>
      </c>
      <c r="C5444" s="69" t="n">
        <v>2026</v>
      </c>
      <c r="D5444" t="inlineStr">
        <is>
          <t>Oct</t>
        </is>
      </c>
      <c r="E5444" t="inlineStr">
        <is>
          <t>Emerging markets</t>
        </is>
      </c>
      <c r="F5444" t="inlineStr">
        <is>
          <t>China</t>
        </is>
      </c>
      <c r="G5444" t="inlineStr">
        <is>
          <t>Paxlovid</t>
        </is>
      </c>
      <c r="H5444" t="inlineStr">
        <is>
          <t>Hospital</t>
        </is>
      </c>
      <c r="I5444" t="inlineStr">
        <is>
          <t>Public payer</t>
        </is>
      </c>
      <c r="J5444" t="inlineStr">
        <is>
          <t>Kofi Mensah</t>
        </is>
      </c>
      <c r="K5444" s="70" t="n">
        <v>2252</v>
      </c>
      <c r="L5444" s="71" t="n">
        <v>925.3</v>
      </c>
      <c r="M5444" s="71" t="n">
        <v>2083775.6</v>
      </c>
      <c r="N5444" s="71" t="n">
        <v>312566.34</v>
      </c>
      <c r="O5444" s="71" t="n">
        <v>1771209.26</v>
      </c>
      <c r="P5444" s="71" t="n">
        <v>632696.04</v>
      </c>
      <c r="Q5444" s="71" t="n">
        <v>1138513.22</v>
      </c>
      <c r="R5444" t="inlineStr">
        <is>
          <t>Antiviral</t>
        </is>
      </c>
      <c r="S5444" s="70" t="n">
        <v>1854</v>
      </c>
      <c r="T5444" s="71" t="n">
        <v>470343.97</v>
      </c>
      <c r="U5444" t="inlineStr">
        <is>
          <t>Low</t>
        </is>
      </c>
      <c r="V5444">
        <f>IF(AND(OR(Dashboard!$C$6="All",E5444=Dashboard!$C$6),OR(Dashboard!$F$6="All",G5444=Dashboard!$F$6),OR(Dashboard!$I$6="All",H5444=Dashboard!$I$6)),1,0)</f>
        <v/>
      </c>
    </row>
    <row r="5445">
      <c r="A5445" t="inlineStr">
        <is>
          <t>PF105436</t>
        </is>
      </c>
      <c r="B5445" s="68" t="n">
        <v>46312</v>
      </c>
      <c r="C5445" s="69" t="n">
        <v>2026</v>
      </c>
      <c r="D5445" t="inlineStr">
        <is>
          <t>Oct</t>
        </is>
      </c>
      <c r="E5445" t="inlineStr">
        <is>
          <t>Europe</t>
        </is>
      </c>
      <c r="F5445" t="inlineStr">
        <is>
          <t>UK</t>
        </is>
      </c>
      <c r="G5445" t="inlineStr">
        <is>
          <t>Comirnaty</t>
        </is>
      </c>
      <c r="H5445" t="inlineStr">
        <is>
          <t>Hospital</t>
        </is>
      </c>
      <c r="I5445" t="inlineStr">
        <is>
          <t>Public payer</t>
        </is>
      </c>
      <c r="J5445" t="inlineStr">
        <is>
          <t>Hiroshi Tanaka</t>
        </is>
      </c>
      <c r="K5445" s="70" t="n">
        <v>1283</v>
      </c>
      <c r="L5445" s="71" t="n">
        <v>81.78</v>
      </c>
      <c r="M5445" s="71" t="n">
        <v>104923.74</v>
      </c>
      <c r="N5445" s="71" t="n">
        <v>15738.56</v>
      </c>
      <c r="O5445" s="71" t="n">
        <v>89185.17999999999</v>
      </c>
      <c r="P5445" s="71" t="n">
        <v>47678.39</v>
      </c>
      <c r="Q5445" s="71" t="n">
        <v>41506.79</v>
      </c>
      <c r="R5445" t="inlineStr">
        <is>
          <t>Vaccines</t>
        </is>
      </c>
      <c r="S5445" s="70" t="n">
        <v>1188</v>
      </c>
      <c r="T5445" s="71" t="n">
        <v>28510.72</v>
      </c>
      <c r="U5445" t="inlineStr">
        <is>
          <t>Low</t>
        </is>
      </c>
      <c r="V5445">
        <f>IF(AND(OR(Dashboard!$C$6="All",E5445=Dashboard!$C$6),OR(Dashboard!$F$6="All",G5445=Dashboard!$F$6),OR(Dashboard!$I$6="All",H5445=Dashboard!$I$6)),1,0)</f>
        <v/>
      </c>
    </row>
    <row r="5446">
      <c r="A5446" t="inlineStr">
        <is>
          <t>PF105437</t>
        </is>
      </c>
      <c r="B5446" s="68" t="n">
        <v>46312</v>
      </c>
      <c r="C5446" s="69" t="n">
        <v>2026</v>
      </c>
      <c r="D5446" t="inlineStr">
        <is>
          <t>Oct</t>
        </is>
      </c>
      <c r="E5446" t="inlineStr">
        <is>
          <t>Europe</t>
        </is>
      </c>
      <c r="F5446" t="inlineStr">
        <is>
          <t>UK</t>
        </is>
      </c>
      <c r="G5446" t="inlineStr">
        <is>
          <t>Comirnaty</t>
        </is>
      </c>
      <c r="H5446" t="inlineStr">
        <is>
          <t>Retail pharmacy</t>
        </is>
      </c>
      <c r="I5446" t="inlineStr">
        <is>
          <t>Private insurer</t>
        </is>
      </c>
      <c r="J5446" t="inlineStr">
        <is>
          <t>Noah Smith</t>
        </is>
      </c>
      <c r="K5446" s="70" t="n">
        <v>1163</v>
      </c>
      <c r="L5446" s="71" t="n">
        <v>93.01000000000001</v>
      </c>
      <c r="M5446" s="71" t="n">
        <v>108170.63</v>
      </c>
      <c r="N5446" s="71" t="n">
        <v>27042.66</v>
      </c>
      <c r="O5446" s="71" t="n">
        <v>81127.97</v>
      </c>
      <c r="P5446" s="71" t="n">
        <v>43583.96</v>
      </c>
      <c r="Q5446" s="71" t="n">
        <v>37544.01</v>
      </c>
      <c r="R5446" t="inlineStr">
        <is>
          <t>Vaccines</t>
        </is>
      </c>
      <c r="S5446" s="70" t="n">
        <v>852</v>
      </c>
      <c r="T5446" s="71" t="n">
        <v>18666.34</v>
      </c>
      <c r="U5446" t="inlineStr">
        <is>
          <t>Low</t>
        </is>
      </c>
      <c r="V5446">
        <f>IF(AND(OR(Dashboard!$C$6="All",E5446=Dashboard!$C$6),OR(Dashboard!$F$6="All",G5446=Dashboard!$F$6),OR(Dashboard!$I$6="All",H5446=Dashboard!$I$6)),1,0)</f>
        <v/>
      </c>
    </row>
    <row r="5447">
      <c r="A5447" t="inlineStr">
        <is>
          <t>PF105438</t>
        </is>
      </c>
      <c r="B5447" s="68" t="n">
        <v>46313</v>
      </c>
      <c r="C5447" s="69" t="n">
        <v>2026</v>
      </c>
      <c r="D5447" t="inlineStr">
        <is>
          <t>Oct</t>
        </is>
      </c>
      <c r="E5447" t="inlineStr">
        <is>
          <t>United States</t>
        </is>
      </c>
      <c r="F5447" t="inlineStr">
        <is>
          <t>USA</t>
        </is>
      </c>
      <c r="G5447" t="inlineStr">
        <is>
          <t>Xeljanz</t>
        </is>
      </c>
      <c r="H5447" t="inlineStr">
        <is>
          <t>Retail pharmacy</t>
        </is>
      </c>
      <c r="I5447" t="inlineStr">
        <is>
          <t>Private insurer</t>
        </is>
      </c>
      <c r="J5447" t="inlineStr">
        <is>
          <t>Sara Rossi</t>
        </is>
      </c>
      <c r="K5447" s="70" t="n">
        <v>1611</v>
      </c>
      <c r="L5447" s="71" t="n">
        <v>2022.49</v>
      </c>
      <c r="M5447" s="71" t="n">
        <v>3258231.39</v>
      </c>
      <c r="N5447" s="71" t="n">
        <v>651646.28</v>
      </c>
      <c r="O5447" s="71" t="n">
        <v>2606585.11</v>
      </c>
      <c r="P5447" s="71" t="n">
        <v>400740.29</v>
      </c>
      <c r="Q5447" s="71" t="n">
        <v>2205844.82</v>
      </c>
      <c r="R5447" t="inlineStr">
        <is>
          <t>Inflammation</t>
        </is>
      </c>
      <c r="S5447" s="70" t="n">
        <v>1016</v>
      </c>
      <c r="T5447" s="71" t="n">
        <v>409380.43</v>
      </c>
      <c r="U5447" t="inlineStr">
        <is>
          <t>High</t>
        </is>
      </c>
      <c r="V5447">
        <f>IF(AND(OR(Dashboard!$C$6="All",E5447=Dashboard!$C$6),OR(Dashboard!$F$6="All",G5447=Dashboard!$F$6),OR(Dashboard!$I$6="All",H5447=Dashboard!$I$6)),1,0)</f>
        <v/>
      </c>
    </row>
    <row r="5448">
      <c r="A5448" t="inlineStr">
        <is>
          <t>PF105439</t>
        </is>
      </c>
      <c r="B5448" s="68" t="n">
        <v>46313</v>
      </c>
      <c r="C5448" s="69" t="n">
        <v>2026</v>
      </c>
      <c r="D5448" t="inlineStr">
        <is>
          <t>Oct</t>
        </is>
      </c>
      <c r="E5448" t="inlineStr">
        <is>
          <t>United States</t>
        </is>
      </c>
      <c r="F5448" t="inlineStr">
        <is>
          <t>USA</t>
        </is>
      </c>
      <c r="G5448" t="inlineStr">
        <is>
          <t>Vyndaqel</t>
        </is>
      </c>
      <c r="H5448" t="inlineStr">
        <is>
          <t>Hospital</t>
        </is>
      </c>
      <c r="I5448" t="inlineStr">
        <is>
          <t>Private insurer</t>
        </is>
      </c>
      <c r="J5448" t="inlineStr">
        <is>
          <t>Arjun Mehta</t>
        </is>
      </c>
      <c r="K5448" s="70" t="n">
        <v>2403</v>
      </c>
      <c r="L5448" s="71" t="n">
        <v>9162.77</v>
      </c>
      <c r="M5448" s="71" t="n">
        <v>22018136.31</v>
      </c>
      <c r="N5448" s="71" t="n">
        <v>3302720.45</v>
      </c>
      <c r="O5448" s="71" t="n">
        <v>18715415.86</v>
      </c>
      <c r="P5448" s="71" t="n">
        <v>1508793.48</v>
      </c>
      <c r="Q5448" s="71" t="n">
        <v>17206622.38</v>
      </c>
      <c r="R5448" t="inlineStr">
        <is>
          <t>Rare disease</t>
        </is>
      </c>
      <c r="S5448" s="70" t="n">
        <v>1662</v>
      </c>
      <c r="T5448" s="71" t="n">
        <v>3106726.26</v>
      </c>
      <c r="U5448" t="inlineStr">
        <is>
          <t>Medium</t>
        </is>
      </c>
      <c r="V5448">
        <f>IF(AND(OR(Dashboard!$C$6="All",E5448=Dashboard!$C$6),OR(Dashboard!$F$6="All",G5448=Dashboard!$F$6),OR(Dashboard!$I$6="All",H5448=Dashboard!$I$6)),1,0)</f>
        <v/>
      </c>
    </row>
    <row r="5449">
      <c r="A5449" t="inlineStr">
        <is>
          <t>PF105440</t>
        </is>
      </c>
      <c r="B5449" s="68" t="n">
        <v>46313</v>
      </c>
      <c r="C5449" s="69" t="n">
        <v>2026</v>
      </c>
      <c r="D5449" t="inlineStr">
        <is>
          <t>Oct</t>
        </is>
      </c>
      <c r="E5449" t="inlineStr">
        <is>
          <t>Emerging markets</t>
        </is>
      </c>
      <c r="F5449" t="inlineStr">
        <is>
          <t>China</t>
        </is>
      </c>
      <c r="G5449" t="inlineStr">
        <is>
          <t>Comirnaty</t>
        </is>
      </c>
      <c r="H5449" t="inlineStr">
        <is>
          <t>Government / tender</t>
        </is>
      </c>
      <c r="I5449" t="inlineStr">
        <is>
          <t>Public payer</t>
        </is>
      </c>
      <c r="J5449" t="inlineStr">
        <is>
          <t>Noah Smith</t>
        </is>
      </c>
      <c r="K5449" s="70" t="n">
        <v>2097</v>
      </c>
      <c r="L5449" s="71" t="n">
        <v>97.01000000000001</v>
      </c>
      <c r="M5449" s="71" t="n">
        <v>203429.97</v>
      </c>
      <c r="N5449" s="71" t="n">
        <v>20343</v>
      </c>
      <c r="O5449" s="71" t="n">
        <v>183086.97</v>
      </c>
      <c r="P5449" s="71" t="n">
        <v>80090.31</v>
      </c>
      <c r="Q5449" s="71" t="n">
        <v>102996.66</v>
      </c>
      <c r="R5449" t="inlineStr">
        <is>
          <t>Vaccines</t>
        </is>
      </c>
      <c r="S5449" s="70" t="n">
        <v>2056</v>
      </c>
      <c r="T5449" s="71" t="n">
        <v>52161.82</v>
      </c>
      <c r="U5449" t="inlineStr">
        <is>
          <t>Low</t>
        </is>
      </c>
      <c r="V5449">
        <f>IF(AND(OR(Dashboard!$C$6="All",E5449=Dashboard!$C$6),OR(Dashboard!$F$6="All",G5449=Dashboard!$F$6),OR(Dashboard!$I$6="All",H5449=Dashboard!$I$6)),1,0)</f>
        <v/>
      </c>
    </row>
    <row r="5450">
      <c r="A5450" t="inlineStr">
        <is>
          <t>PF105441</t>
        </is>
      </c>
      <c r="B5450" s="68" t="n">
        <v>46313</v>
      </c>
      <c r="C5450" s="69" t="n">
        <v>2026</v>
      </c>
      <c r="D5450" t="inlineStr">
        <is>
          <t>Oct</t>
        </is>
      </c>
      <c r="E5450" t="inlineStr">
        <is>
          <t>International developed</t>
        </is>
      </c>
      <c r="F5450" t="inlineStr">
        <is>
          <t>Australia</t>
        </is>
      </c>
      <c r="G5450" t="inlineStr">
        <is>
          <t>Xeljanz</t>
        </is>
      </c>
      <c r="H5450" t="inlineStr">
        <is>
          <t>Hospital</t>
        </is>
      </c>
      <c r="I5450" t="inlineStr">
        <is>
          <t>Private insurer</t>
        </is>
      </c>
      <c r="J5450" t="inlineStr">
        <is>
          <t>Sophie Müller</t>
        </is>
      </c>
      <c r="K5450" s="70" t="n">
        <v>395</v>
      </c>
      <c r="L5450" s="71" t="n">
        <v>1362.18</v>
      </c>
      <c r="M5450" s="71" t="n">
        <v>538061.1</v>
      </c>
      <c r="N5450" s="71" t="n">
        <v>107612.22</v>
      </c>
      <c r="O5450" s="71" t="n">
        <v>430448.88</v>
      </c>
      <c r="P5450" s="71" t="n">
        <v>100931.86</v>
      </c>
      <c r="Q5450" s="71" t="n">
        <v>329517.02</v>
      </c>
      <c r="R5450" t="inlineStr">
        <is>
          <t>Inflammation</t>
        </is>
      </c>
      <c r="S5450" s="70" t="n">
        <v>307</v>
      </c>
      <c r="T5450" s="71" t="n">
        <v>73512.97</v>
      </c>
      <c r="U5450" t="inlineStr">
        <is>
          <t>High</t>
        </is>
      </c>
      <c r="V5450">
        <f>IF(AND(OR(Dashboard!$C$6="All",E5450=Dashboard!$C$6),OR(Dashboard!$F$6="All",G5450=Dashboard!$F$6),OR(Dashboard!$I$6="All",H5450=Dashboard!$I$6)),1,0)</f>
        <v/>
      </c>
    </row>
    <row r="5451">
      <c r="A5451" t="inlineStr">
        <is>
          <t>PF105442</t>
        </is>
      </c>
      <c r="B5451" s="68" t="n">
        <v>46313</v>
      </c>
      <c r="C5451" s="69" t="n">
        <v>2026</v>
      </c>
      <c r="D5451" t="inlineStr">
        <is>
          <t>Oct</t>
        </is>
      </c>
      <c r="E5451" t="inlineStr">
        <is>
          <t>United States</t>
        </is>
      </c>
      <c r="F5451" t="inlineStr">
        <is>
          <t>USA</t>
        </is>
      </c>
      <c r="G5451" t="inlineStr">
        <is>
          <t>Abrysvo</t>
        </is>
      </c>
      <c r="H5451" t="inlineStr">
        <is>
          <t>Hospital</t>
        </is>
      </c>
      <c r="I5451" t="inlineStr">
        <is>
          <t>Private insurer</t>
        </is>
      </c>
      <c r="J5451" t="inlineStr">
        <is>
          <t>Hiroshi Tanaka</t>
        </is>
      </c>
      <c r="K5451" s="70" t="n">
        <v>2597</v>
      </c>
      <c r="L5451" s="71" t="n">
        <v>468.2</v>
      </c>
      <c r="M5451" s="71" t="n">
        <v>1215915.4</v>
      </c>
      <c r="N5451" s="71" t="n">
        <v>425570.39</v>
      </c>
      <c r="O5451" s="71" t="n">
        <v>790345.01</v>
      </c>
      <c r="P5451" s="71" t="n">
        <v>224798.05</v>
      </c>
      <c r="Q5451" s="71" t="n">
        <v>565546.96</v>
      </c>
      <c r="R5451" t="inlineStr">
        <is>
          <t>Vaccines</t>
        </is>
      </c>
      <c r="S5451" s="70" t="n">
        <v>2031</v>
      </c>
      <c r="T5451" s="71" t="n">
        <v>179764.5</v>
      </c>
      <c r="U5451" t="inlineStr">
        <is>
          <t>Low</t>
        </is>
      </c>
      <c r="V5451">
        <f>IF(AND(OR(Dashboard!$C$6="All",E5451=Dashboard!$C$6),OR(Dashboard!$F$6="All",G5451=Dashboard!$F$6),OR(Dashboard!$I$6="All",H5451=Dashboard!$I$6)),1,0)</f>
        <v/>
      </c>
    </row>
    <row r="5452">
      <c r="A5452" t="inlineStr">
        <is>
          <t>PF105443</t>
        </is>
      </c>
      <c r="B5452" s="68" t="n">
        <v>46313</v>
      </c>
      <c r="C5452" s="69" t="n">
        <v>2026</v>
      </c>
      <c r="D5452" t="inlineStr">
        <is>
          <t>Oct</t>
        </is>
      </c>
      <c r="E5452" t="inlineStr">
        <is>
          <t>United States</t>
        </is>
      </c>
      <c r="F5452" t="inlineStr">
        <is>
          <t>USA</t>
        </is>
      </c>
      <c r="G5452" t="inlineStr">
        <is>
          <t>Abrysvo</t>
        </is>
      </c>
      <c r="H5452" t="inlineStr">
        <is>
          <t>Government / tender</t>
        </is>
      </c>
      <c r="I5452" t="inlineStr">
        <is>
          <t>Private insurer</t>
        </is>
      </c>
      <c r="J5452" t="inlineStr">
        <is>
          <t>Aisha Bello</t>
        </is>
      </c>
      <c r="K5452" s="70" t="n">
        <v>342</v>
      </c>
      <c r="L5452" s="71" t="n">
        <v>554.36</v>
      </c>
      <c r="M5452" s="71" t="n">
        <v>189591.12</v>
      </c>
      <c r="N5452" s="71" t="n">
        <v>66356.89</v>
      </c>
      <c r="O5452" s="71" t="n">
        <v>123234.23</v>
      </c>
      <c r="P5452" s="71" t="n">
        <v>29112.63</v>
      </c>
      <c r="Q5452" s="71" t="n">
        <v>94121.60000000001</v>
      </c>
      <c r="R5452" t="inlineStr">
        <is>
          <t>Vaccines</t>
        </is>
      </c>
      <c r="S5452" s="70" t="n">
        <v>312</v>
      </c>
      <c r="T5452" s="71" t="n">
        <v>34990.08</v>
      </c>
      <c r="U5452" t="inlineStr">
        <is>
          <t>Low</t>
        </is>
      </c>
      <c r="V5452">
        <f>IF(AND(OR(Dashboard!$C$6="All",E5452=Dashboard!$C$6),OR(Dashboard!$F$6="All",G5452=Dashboard!$F$6),OR(Dashboard!$I$6="All",H5452=Dashboard!$I$6)),1,0)</f>
        <v/>
      </c>
    </row>
    <row r="5453">
      <c r="A5453" t="inlineStr">
        <is>
          <t>PF105444</t>
        </is>
      </c>
      <c r="B5453" s="68" t="n">
        <v>46313</v>
      </c>
      <c r="C5453" s="69" t="n">
        <v>2026</v>
      </c>
      <c r="D5453" t="inlineStr">
        <is>
          <t>Oct</t>
        </is>
      </c>
      <c r="E5453" t="inlineStr">
        <is>
          <t>United States</t>
        </is>
      </c>
      <c r="F5453" t="inlineStr">
        <is>
          <t>USA</t>
        </is>
      </c>
      <c r="G5453" t="inlineStr">
        <is>
          <t>Prevnar 20</t>
        </is>
      </c>
      <c r="H5453" t="inlineStr">
        <is>
          <t>Retail pharmacy</t>
        </is>
      </c>
      <c r="I5453" t="inlineStr">
        <is>
          <t>Private insurer</t>
        </is>
      </c>
      <c r="J5453" t="inlineStr">
        <is>
          <t>Arjun Mehta</t>
        </is>
      </c>
      <c r="K5453" s="70" t="n">
        <v>726</v>
      </c>
      <c r="L5453" s="71" t="n">
        <v>354.83</v>
      </c>
      <c r="M5453" s="71" t="n">
        <v>257606.58</v>
      </c>
      <c r="N5453" s="71" t="n">
        <v>90162.3</v>
      </c>
      <c r="O5453" s="71" t="n">
        <v>167444.28</v>
      </c>
      <c r="P5453" s="71" t="n">
        <v>50936.6</v>
      </c>
      <c r="Q5453" s="71" t="n">
        <v>116507.68</v>
      </c>
      <c r="R5453" t="inlineStr">
        <is>
          <t>Vaccines</t>
        </is>
      </c>
      <c r="S5453" s="70" t="n">
        <v>498</v>
      </c>
      <c r="T5453" s="71" t="n">
        <v>47013.36</v>
      </c>
      <c r="U5453" t="inlineStr">
        <is>
          <t>Low</t>
        </is>
      </c>
      <c r="V5453">
        <f>IF(AND(OR(Dashboard!$C$6="All",E5453=Dashboard!$C$6),OR(Dashboard!$F$6="All",G5453=Dashboard!$F$6),OR(Dashboard!$I$6="All",H5453=Dashboard!$I$6)),1,0)</f>
        <v/>
      </c>
    </row>
    <row r="5454">
      <c r="A5454" t="inlineStr">
        <is>
          <t>PF105445</t>
        </is>
      </c>
      <c r="B5454" s="68" t="n">
        <v>46313</v>
      </c>
      <c r="C5454" s="69" t="n">
        <v>2026</v>
      </c>
      <c r="D5454" t="inlineStr">
        <is>
          <t>Oct</t>
        </is>
      </c>
      <c r="E5454" t="inlineStr">
        <is>
          <t>United States</t>
        </is>
      </c>
      <c r="F5454" t="inlineStr">
        <is>
          <t>USA</t>
        </is>
      </c>
      <c r="G5454" t="inlineStr">
        <is>
          <t>Eliquis</t>
        </is>
      </c>
      <c r="H5454" t="inlineStr">
        <is>
          <t>Government / tender</t>
        </is>
      </c>
      <c r="I5454" t="inlineStr">
        <is>
          <t>Public payer</t>
        </is>
      </c>
      <c r="J5454" t="inlineStr">
        <is>
          <t>Sara Rossi</t>
        </is>
      </c>
      <c r="K5454" s="70" t="n">
        <v>1736</v>
      </c>
      <c r="L5454" s="71" t="n">
        <v>674.21</v>
      </c>
      <c r="M5454" s="71" t="n">
        <v>1170428.56</v>
      </c>
      <c r="N5454" s="71" t="n">
        <v>351128.57</v>
      </c>
      <c r="O5454" s="71" t="n">
        <v>819299.99</v>
      </c>
      <c r="P5454" s="71" t="n">
        <v>134183.95</v>
      </c>
      <c r="Q5454" s="71" t="n">
        <v>685116.04</v>
      </c>
      <c r="R5454" t="inlineStr">
        <is>
          <t>Cardiology</t>
        </is>
      </c>
      <c r="S5454" s="70" t="n">
        <v>1715</v>
      </c>
      <c r="T5454" s="71" t="n">
        <v>137694.17</v>
      </c>
      <c r="U5454" t="inlineStr">
        <is>
          <t>High</t>
        </is>
      </c>
      <c r="V5454">
        <f>IF(AND(OR(Dashboard!$C$6="All",E5454=Dashboard!$C$6),OR(Dashboard!$F$6="All",G5454=Dashboard!$F$6),OR(Dashboard!$I$6="All",H5454=Dashboard!$I$6)),1,0)</f>
        <v/>
      </c>
    </row>
    <row r="5455">
      <c r="A5455" t="inlineStr">
        <is>
          <t>PF105446</t>
        </is>
      </c>
      <c r="B5455" s="68" t="n">
        <v>46313</v>
      </c>
      <c r="C5455" s="69" t="n">
        <v>2026</v>
      </c>
      <c r="D5455" t="inlineStr">
        <is>
          <t>Oct</t>
        </is>
      </c>
      <c r="E5455" t="inlineStr">
        <is>
          <t>Europe</t>
        </is>
      </c>
      <c r="F5455" t="inlineStr">
        <is>
          <t>Italy</t>
        </is>
      </c>
      <c r="G5455" t="inlineStr">
        <is>
          <t>Eliquis</t>
        </is>
      </c>
      <c r="H5455" t="inlineStr">
        <is>
          <t>Government / tender</t>
        </is>
      </c>
      <c r="I5455" t="inlineStr">
        <is>
          <t>Private insurer</t>
        </is>
      </c>
      <c r="J5455" t="inlineStr">
        <is>
          <t>Liam O'Brien</t>
        </is>
      </c>
      <c r="K5455" s="70" t="n">
        <v>2578</v>
      </c>
      <c r="L5455" s="71" t="n">
        <v>454.54</v>
      </c>
      <c r="M5455" s="71" t="n">
        <v>1171804.12</v>
      </c>
      <c r="N5455" s="71" t="n">
        <v>234360.82</v>
      </c>
      <c r="O5455" s="71" t="n">
        <v>937443.3</v>
      </c>
      <c r="P5455" s="71" t="n">
        <v>190858.18</v>
      </c>
      <c r="Q5455" s="71" t="n">
        <v>746585.12</v>
      </c>
      <c r="R5455" t="inlineStr">
        <is>
          <t>Cardiology</t>
        </is>
      </c>
      <c r="S5455" s="70" t="n">
        <v>2409</v>
      </c>
      <c r="T5455" s="71" t="n">
        <v>142316.43</v>
      </c>
      <c r="U5455" t="inlineStr">
        <is>
          <t>High</t>
        </is>
      </c>
      <c r="V5455">
        <f>IF(AND(OR(Dashboard!$C$6="All",E5455=Dashboard!$C$6),OR(Dashboard!$F$6="All",G5455=Dashboard!$F$6),OR(Dashboard!$I$6="All",H5455=Dashboard!$I$6)),1,0)</f>
        <v/>
      </c>
    </row>
    <row r="5456">
      <c r="A5456" t="inlineStr">
        <is>
          <t>PF105447</t>
        </is>
      </c>
      <c r="B5456" s="68" t="n">
        <v>46313</v>
      </c>
      <c r="C5456" s="69" t="n">
        <v>2026</v>
      </c>
      <c r="D5456" t="inlineStr">
        <is>
          <t>Oct</t>
        </is>
      </c>
      <c r="E5456" t="inlineStr">
        <is>
          <t>United States</t>
        </is>
      </c>
      <c r="F5456" t="inlineStr">
        <is>
          <t>USA</t>
        </is>
      </c>
      <c r="G5456" t="inlineStr">
        <is>
          <t>Eliquis</t>
        </is>
      </c>
      <c r="H5456" t="inlineStr">
        <is>
          <t>Retail pharmacy</t>
        </is>
      </c>
      <c r="I5456" t="inlineStr">
        <is>
          <t>Self-pay</t>
        </is>
      </c>
      <c r="J5456" t="inlineStr">
        <is>
          <t>Priya Nair</t>
        </is>
      </c>
      <c r="K5456" s="70" t="n">
        <v>3164</v>
      </c>
      <c r="L5456" s="71" t="n">
        <v>711.66</v>
      </c>
      <c r="M5456" s="71" t="n">
        <v>2251692.24</v>
      </c>
      <c r="N5456" s="71" t="n">
        <v>675507.67</v>
      </c>
      <c r="O5456" s="71" t="n">
        <v>1576184.57</v>
      </c>
      <c r="P5456" s="71" t="n">
        <v>245410.82</v>
      </c>
      <c r="Q5456" s="71" t="n">
        <v>1330773.75</v>
      </c>
      <c r="R5456" t="inlineStr">
        <is>
          <t>Cardiology</t>
        </is>
      </c>
      <c r="S5456" s="70" t="n">
        <v>2818</v>
      </c>
      <c r="T5456" s="71" t="n">
        <v>385310.75</v>
      </c>
      <c r="U5456" t="inlineStr">
        <is>
          <t>High</t>
        </is>
      </c>
      <c r="V5456">
        <f>IF(AND(OR(Dashboard!$C$6="All",E5456=Dashboard!$C$6),OR(Dashboard!$F$6="All",G5456=Dashboard!$F$6),OR(Dashboard!$I$6="All",H5456=Dashboard!$I$6)),1,0)</f>
        <v/>
      </c>
    </row>
    <row r="5457">
      <c r="A5457" t="inlineStr">
        <is>
          <t>PF105448</t>
        </is>
      </c>
      <c r="B5457" s="68" t="n">
        <v>46313</v>
      </c>
      <c r="C5457" s="69" t="n">
        <v>2026</v>
      </c>
      <c r="D5457" t="inlineStr">
        <is>
          <t>Oct</t>
        </is>
      </c>
      <c r="E5457" t="inlineStr">
        <is>
          <t>Europe</t>
        </is>
      </c>
      <c r="F5457" t="inlineStr">
        <is>
          <t>Germany</t>
        </is>
      </c>
      <c r="G5457" t="inlineStr">
        <is>
          <t>Eliquis</t>
        </is>
      </c>
      <c r="H5457" t="inlineStr">
        <is>
          <t>Hospital</t>
        </is>
      </c>
      <c r="I5457" t="inlineStr">
        <is>
          <t>Public payer</t>
        </is>
      </c>
      <c r="J5457" t="inlineStr">
        <is>
          <t>Shraddha Kulkarni</t>
        </is>
      </c>
      <c r="K5457" s="70" t="n">
        <v>2636</v>
      </c>
      <c r="L5457" s="71" t="n">
        <v>391.76</v>
      </c>
      <c r="M5457" s="71" t="n">
        <v>1032679.36</v>
      </c>
      <c r="N5457" s="71" t="n">
        <v>154901.9</v>
      </c>
      <c r="O5457" s="71" t="n">
        <v>877777.46</v>
      </c>
      <c r="P5457" s="71" t="n">
        <v>196370.85</v>
      </c>
      <c r="Q5457" s="71" t="n">
        <v>681406.61</v>
      </c>
      <c r="R5457" t="inlineStr">
        <is>
          <t>Cardiology</t>
        </is>
      </c>
      <c r="S5457" s="70" t="n">
        <v>1742</v>
      </c>
      <c r="T5457" s="71" t="n">
        <v>151961.93</v>
      </c>
      <c r="U5457" t="inlineStr">
        <is>
          <t>High</t>
        </is>
      </c>
      <c r="V5457">
        <f>IF(AND(OR(Dashboard!$C$6="All",E5457=Dashboard!$C$6),OR(Dashboard!$F$6="All",G5457=Dashboard!$F$6),OR(Dashboard!$I$6="All",H5457=Dashboard!$I$6)),1,0)</f>
        <v/>
      </c>
    </row>
    <row r="5458">
      <c r="A5458" t="inlineStr">
        <is>
          <t>PF105449</t>
        </is>
      </c>
      <c r="B5458" s="68" t="n">
        <v>46314</v>
      </c>
      <c r="C5458" s="69" t="n">
        <v>2026</v>
      </c>
      <c r="D5458" t="inlineStr">
        <is>
          <t>Oct</t>
        </is>
      </c>
      <c r="E5458" t="inlineStr">
        <is>
          <t>United States</t>
        </is>
      </c>
      <c r="F5458" t="inlineStr">
        <is>
          <t>USA</t>
        </is>
      </c>
      <c r="G5458" t="inlineStr">
        <is>
          <t>Eliquis</t>
        </is>
      </c>
      <c r="H5458" t="inlineStr">
        <is>
          <t>Hospital</t>
        </is>
      </c>
      <c r="I5458" t="inlineStr">
        <is>
          <t>Public payer</t>
        </is>
      </c>
      <c r="J5458" t="inlineStr">
        <is>
          <t>Fatima Al-Saud</t>
        </is>
      </c>
      <c r="K5458" s="70" t="n">
        <v>456</v>
      </c>
      <c r="L5458" s="71" t="n">
        <v>662.51</v>
      </c>
      <c r="M5458" s="71" t="n">
        <v>302104.56</v>
      </c>
      <c r="N5458" s="71" t="n">
        <v>75526.14</v>
      </c>
      <c r="O5458" s="71" t="n">
        <v>226578.42</v>
      </c>
      <c r="P5458" s="71" t="n">
        <v>34213.98</v>
      </c>
      <c r="Q5458" s="71" t="n">
        <v>192364.44</v>
      </c>
      <c r="R5458" t="inlineStr">
        <is>
          <t>Cardiology</t>
        </is>
      </c>
      <c r="S5458" s="70" t="n">
        <v>313</v>
      </c>
      <c r="T5458" s="71" t="n">
        <v>55935.28</v>
      </c>
      <c r="U5458" t="inlineStr">
        <is>
          <t>High</t>
        </is>
      </c>
      <c r="V5458">
        <f>IF(AND(OR(Dashboard!$C$6="All",E5458=Dashboard!$C$6),OR(Dashboard!$F$6="All",G5458=Dashboard!$F$6),OR(Dashboard!$I$6="All",H5458=Dashboard!$I$6)),1,0)</f>
        <v/>
      </c>
    </row>
    <row r="5459">
      <c r="A5459" t="inlineStr">
        <is>
          <t>PF105450</t>
        </is>
      </c>
      <c r="B5459" s="68" t="n">
        <v>46314</v>
      </c>
      <c r="C5459" s="69" t="n">
        <v>2026</v>
      </c>
      <c r="D5459" t="inlineStr">
        <is>
          <t>Oct</t>
        </is>
      </c>
      <c r="E5459" t="inlineStr">
        <is>
          <t>United States</t>
        </is>
      </c>
      <c r="F5459" t="inlineStr">
        <is>
          <t>USA</t>
        </is>
      </c>
      <c r="G5459" t="inlineStr">
        <is>
          <t>Comirnaty</t>
        </is>
      </c>
      <c r="H5459" t="inlineStr">
        <is>
          <t>Government / tender</t>
        </is>
      </c>
      <c r="I5459" t="inlineStr">
        <is>
          <t>Public payer</t>
        </is>
      </c>
      <c r="J5459" t="inlineStr">
        <is>
          <t>Hiroshi Tanaka</t>
        </is>
      </c>
      <c r="K5459" s="70" t="n">
        <v>598</v>
      </c>
      <c r="L5459" s="71" t="n">
        <v>149.96</v>
      </c>
      <c r="M5459" s="71" t="n">
        <v>89676.08</v>
      </c>
      <c r="N5459" s="71" t="n">
        <v>26902.82</v>
      </c>
      <c r="O5459" s="71" t="n">
        <v>62773.26</v>
      </c>
      <c r="P5459" s="71" t="n">
        <v>23847.64</v>
      </c>
      <c r="Q5459" s="71" t="n">
        <v>38925.62</v>
      </c>
      <c r="R5459" t="inlineStr">
        <is>
          <t>Vaccines</t>
        </is>
      </c>
      <c r="S5459" s="70" t="n">
        <v>426</v>
      </c>
      <c r="T5459" s="71" t="n">
        <v>19609.98</v>
      </c>
      <c r="U5459" t="inlineStr">
        <is>
          <t>Low</t>
        </is>
      </c>
      <c r="V5459">
        <f>IF(AND(OR(Dashboard!$C$6="All",E5459=Dashboard!$C$6),OR(Dashboard!$F$6="All",G5459=Dashboard!$F$6),OR(Dashboard!$I$6="All",H5459=Dashboard!$I$6)),1,0)</f>
        <v/>
      </c>
    </row>
    <row r="5460">
      <c r="A5460" t="inlineStr">
        <is>
          <t>PF105451</t>
        </is>
      </c>
      <c r="B5460" s="68" t="n">
        <v>46314</v>
      </c>
      <c r="C5460" s="69" t="n">
        <v>2026</v>
      </c>
      <c r="D5460" t="inlineStr">
        <is>
          <t>Oct</t>
        </is>
      </c>
      <c r="E5460" t="inlineStr">
        <is>
          <t>International developed</t>
        </is>
      </c>
      <c r="F5460" t="inlineStr">
        <is>
          <t>Australia</t>
        </is>
      </c>
      <c r="G5460" t="inlineStr">
        <is>
          <t>Vyndaqel</t>
        </is>
      </c>
      <c r="H5460" t="inlineStr">
        <is>
          <t>Hospital</t>
        </is>
      </c>
      <c r="I5460" t="inlineStr">
        <is>
          <t>Private insurer</t>
        </is>
      </c>
      <c r="J5460" t="inlineStr">
        <is>
          <t>Liam O'Brien</t>
        </is>
      </c>
      <c r="K5460" s="70" t="n">
        <v>1457</v>
      </c>
      <c r="L5460" s="71" t="n">
        <v>5670.31</v>
      </c>
      <c r="M5460" s="71" t="n">
        <v>8261641.67</v>
      </c>
      <c r="N5460" s="71" t="n">
        <v>1652328.33</v>
      </c>
      <c r="O5460" s="71" t="n">
        <v>6609313.34</v>
      </c>
      <c r="P5460" s="71" t="n">
        <v>875705.4399999999</v>
      </c>
      <c r="Q5460" s="71" t="n">
        <v>5733607.9</v>
      </c>
      <c r="R5460" t="inlineStr">
        <is>
          <t>Rare disease</t>
        </is>
      </c>
      <c r="S5460" s="70" t="n">
        <v>1383</v>
      </c>
      <c r="T5460" s="71" t="n">
        <v>1268473</v>
      </c>
      <c r="U5460" t="inlineStr">
        <is>
          <t>Medium</t>
        </is>
      </c>
      <c r="V5460">
        <f>IF(AND(OR(Dashboard!$C$6="All",E5460=Dashboard!$C$6),OR(Dashboard!$F$6="All",G5460=Dashboard!$F$6),OR(Dashboard!$I$6="All",H5460=Dashboard!$I$6)),1,0)</f>
        <v/>
      </c>
    </row>
    <row r="5461">
      <c r="A5461" t="inlineStr">
        <is>
          <t>PF105452</t>
        </is>
      </c>
      <c r="B5461" s="68" t="n">
        <v>46314</v>
      </c>
      <c r="C5461" s="69" t="n">
        <v>2026</v>
      </c>
      <c r="D5461" t="inlineStr">
        <is>
          <t>Oct</t>
        </is>
      </c>
      <c r="E5461" t="inlineStr">
        <is>
          <t>United States</t>
        </is>
      </c>
      <c r="F5461" t="inlineStr">
        <is>
          <t>USA</t>
        </is>
      </c>
      <c r="G5461" t="inlineStr">
        <is>
          <t>Vyndaqel</t>
        </is>
      </c>
      <c r="H5461" t="inlineStr">
        <is>
          <t>Hospital</t>
        </is>
      </c>
      <c r="I5461" t="inlineStr">
        <is>
          <t>Self-pay</t>
        </is>
      </c>
      <c r="J5461" t="inlineStr">
        <is>
          <t>Mei Lin</t>
        </is>
      </c>
      <c r="K5461" s="70" t="n">
        <v>2155</v>
      </c>
      <c r="L5461" s="71" t="n">
        <v>8411.379999999999</v>
      </c>
      <c r="M5461" s="71" t="n">
        <v>18126523.9</v>
      </c>
      <c r="N5461" s="71" t="n">
        <v>6344283.36</v>
      </c>
      <c r="O5461" s="71" t="n">
        <v>11782240.54</v>
      </c>
      <c r="P5461" s="71" t="n">
        <v>1388107.11</v>
      </c>
      <c r="Q5461" s="71" t="n">
        <v>10394133.43</v>
      </c>
      <c r="R5461" t="inlineStr">
        <is>
          <t>Rare disease</t>
        </is>
      </c>
      <c r="S5461" s="70" t="n">
        <v>1699</v>
      </c>
      <c r="T5461" s="71" t="n">
        <v>2741131.84</v>
      </c>
      <c r="U5461" t="inlineStr">
        <is>
          <t>Medium</t>
        </is>
      </c>
      <c r="V5461">
        <f>IF(AND(OR(Dashboard!$C$6="All",E5461=Dashboard!$C$6),OR(Dashboard!$F$6="All",G5461=Dashboard!$F$6),OR(Dashboard!$I$6="All",H5461=Dashboard!$I$6)),1,0)</f>
        <v/>
      </c>
    </row>
    <row r="5462">
      <c r="A5462" t="inlineStr">
        <is>
          <t>PF105453</t>
        </is>
      </c>
      <c r="B5462" s="68" t="n">
        <v>46314</v>
      </c>
      <c r="C5462" s="69" t="n">
        <v>2026</v>
      </c>
      <c r="D5462" t="inlineStr">
        <is>
          <t>Oct</t>
        </is>
      </c>
      <c r="E5462" t="inlineStr">
        <is>
          <t>United States</t>
        </is>
      </c>
      <c r="F5462" t="inlineStr">
        <is>
          <t>USA</t>
        </is>
      </c>
      <c r="G5462" t="inlineStr">
        <is>
          <t>Eliquis</t>
        </is>
      </c>
      <c r="H5462" t="inlineStr">
        <is>
          <t>Retail pharmacy</t>
        </is>
      </c>
      <c r="I5462" t="inlineStr">
        <is>
          <t>Public payer</t>
        </is>
      </c>
      <c r="J5462" t="inlineStr">
        <is>
          <t>Shraddha Kulkarni</t>
        </is>
      </c>
      <c r="K5462" s="70" t="n">
        <v>2123</v>
      </c>
      <c r="L5462" s="71" t="n">
        <v>678</v>
      </c>
      <c r="M5462" s="71" t="n">
        <v>1439394</v>
      </c>
      <c r="N5462" s="71" t="n">
        <v>503787.9</v>
      </c>
      <c r="O5462" s="71" t="n">
        <v>935606.1</v>
      </c>
      <c r="P5462" s="71" t="n">
        <v>155410.27</v>
      </c>
      <c r="Q5462" s="71" t="n">
        <v>780195.83</v>
      </c>
      <c r="R5462" t="inlineStr">
        <is>
          <t>Cardiology</t>
        </is>
      </c>
      <c r="S5462" s="70" t="n">
        <v>1746</v>
      </c>
      <c r="T5462" s="71" t="n">
        <v>257703.64</v>
      </c>
      <c r="U5462" t="inlineStr">
        <is>
          <t>High</t>
        </is>
      </c>
      <c r="V5462">
        <f>IF(AND(OR(Dashboard!$C$6="All",E5462=Dashboard!$C$6),OR(Dashboard!$F$6="All",G5462=Dashboard!$F$6),OR(Dashboard!$I$6="All",H5462=Dashboard!$I$6)),1,0)</f>
        <v/>
      </c>
    </row>
    <row r="5463">
      <c r="A5463" t="inlineStr">
        <is>
          <t>PF105454</t>
        </is>
      </c>
      <c r="B5463" s="68" t="n">
        <v>46314</v>
      </c>
      <c r="C5463" s="69" t="n">
        <v>2026</v>
      </c>
      <c r="D5463" t="inlineStr">
        <is>
          <t>Oct</t>
        </is>
      </c>
      <c r="E5463" t="inlineStr">
        <is>
          <t>Emerging markets</t>
        </is>
      </c>
      <c r="F5463" t="inlineStr">
        <is>
          <t>Mexico</t>
        </is>
      </c>
      <c r="G5463" t="inlineStr">
        <is>
          <t>Eliquis</t>
        </is>
      </c>
      <c r="H5463" t="inlineStr">
        <is>
          <t>Retail pharmacy</t>
        </is>
      </c>
      <c r="I5463" t="inlineStr">
        <is>
          <t>Self-pay</t>
        </is>
      </c>
      <c r="J5463" t="inlineStr">
        <is>
          <t>Sophie Müller</t>
        </is>
      </c>
      <c r="K5463" s="70" t="n">
        <v>1102</v>
      </c>
      <c r="L5463" s="71" t="n">
        <v>437.57</v>
      </c>
      <c r="M5463" s="71" t="n">
        <v>482202.14</v>
      </c>
      <c r="N5463" s="71" t="n">
        <v>48220.21</v>
      </c>
      <c r="O5463" s="71" t="n">
        <v>433981.93</v>
      </c>
      <c r="P5463" s="71" t="n">
        <v>86103.07000000001</v>
      </c>
      <c r="Q5463" s="71" t="n">
        <v>347878.86</v>
      </c>
      <c r="R5463" t="inlineStr">
        <is>
          <t>Cardiology</t>
        </is>
      </c>
      <c r="S5463" s="70" t="n">
        <v>741</v>
      </c>
      <c r="T5463" s="71" t="n">
        <v>63545.94</v>
      </c>
      <c r="U5463" t="inlineStr">
        <is>
          <t>High</t>
        </is>
      </c>
      <c r="V5463">
        <f>IF(AND(OR(Dashboard!$C$6="All",E5463=Dashboard!$C$6),OR(Dashboard!$F$6="All",G5463=Dashboard!$F$6),OR(Dashboard!$I$6="All",H5463=Dashboard!$I$6)),1,0)</f>
        <v/>
      </c>
    </row>
    <row r="5464">
      <c r="A5464" t="inlineStr">
        <is>
          <t>PF105455</t>
        </is>
      </c>
      <c r="B5464" s="68" t="n">
        <v>46314</v>
      </c>
      <c r="C5464" s="69" t="n">
        <v>2026</v>
      </c>
      <c r="D5464" t="inlineStr">
        <is>
          <t>Oct</t>
        </is>
      </c>
      <c r="E5464" t="inlineStr">
        <is>
          <t>United States</t>
        </is>
      </c>
      <c r="F5464" t="inlineStr">
        <is>
          <t>USA</t>
        </is>
      </c>
      <c r="G5464" t="inlineStr">
        <is>
          <t>Prevnar 20</t>
        </is>
      </c>
      <c r="H5464" t="inlineStr">
        <is>
          <t>Retail pharmacy</t>
        </is>
      </c>
      <c r="I5464" t="inlineStr">
        <is>
          <t>Public payer</t>
        </is>
      </c>
      <c r="J5464" t="inlineStr">
        <is>
          <t>Carlos Silva</t>
        </is>
      </c>
      <c r="K5464" s="70" t="n">
        <v>2485</v>
      </c>
      <c r="L5464" s="71" t="n">
        <v>354.29</v>
      </c>
      <c r="M5464" s="71" t="n">
        <v>880410.65</v>
      </c>
      <c r="N5464" s="71" t="n">
        <v>176082.13</v>
      </c>
      <c r="O5464" s="71" t="n">
        <v>704328.52</v>
      </c>
      <c r="P5464" s="71" t="n">
        <v>176792.15</v>
      </c>
      <c r="Q5464" s="71" t="n">
        <v>527536.37</v>
      </c>
      <c r="R5464" t="inlineStr">
        <is>
          <t>Vaccines</t>
        </is>
      </c>
      <c r="S5464" s="70" t="n">
        <v>1958</v>
      </c>
      <c r="T5464" s="71" t="n">
        <v>109477.79</v>
      </c>
      <c r="U5464" t="inlineStr">
        <is>
          <t>Low</t>
        </is>
      </c>
      <c r="V5464">
        <f>IF(AND(OR(Dashboard!$C$6="All",E5464=Dashboard!$C$6),OR(Dashboard!$F$6="All",G5464=Dashboard!$F$6),OR(Dashboard!$I$6="All",H5464=Dashboard!$I$6)),1,0)</f>
        <v/>
      </c>
    </row>
    <row r="5465">
      <c r="A5465" t="inlineStr">
        <is>
          <t>PF105456</t>
        </is>
      </c>
      <c r="B5465" s="68" t="n">
        <v>46314</v>
      </c>
      <c r="C5465" s="69" t="n">
        <v>2026</v>
      </c>
      <c r="D5465" t="inlineStr">
        <is>
          <t>Oct</t>
        </is>
      </c>
      <c r="E5465" t="inlineStr">
        <is>
          <t>United States</t>
        </is>
      </c>
      <c r="F5465" t="inlineStr">
        <is>
          <t>USA</t>
        </is>
      </c>
      <c r="G5465" t="inlineStr">
        <is>
          <t>Comirnaty</t>
        </is>
      </c>
      <c r="H5465" t="inlineStr">
        <is>
          <t>Retail pharmacy</t>
        </is>
      </c>
      <c r="I5465" t="inlineStr">
        <is>
          <t>Public payer</t>
        </is>
      </c>
      <c r="J5465" t="inlineStr">
        <is>
          <t>Olivia Brown</t>
        </is>
      </c>
      <c r="K5465" s="70" t="n">
        <v>2043</v>
      </c>
      <c r="L5465" s="71" t="n">
        <v>148.43</v>
      </c>
      <c r="M5465" s="71" t="n">
        <v>303242.49</v>
      </c>
      <c r="N5465" s="71" t="n">
        <v>90972.75</v>
      </c>
      <c r="O5465" s="71" t="n">
        <v>212269.74</v>
      </c>
      <c r="P5465" s="71" t="n">
        <v>80533.39999999999</v>
      </c>
      <c r="Q5465" s="71" t="n">
        <v>131736.34</v>
      </c>
      <c r="R5465" t="inlineStr">
        <is>
          <t>Vaccines</t>
        </is>
      </c>
      <c r="S5465" s="70" t="n">
        <v>1584</v>
      </c>
      <c r="T5465" s="71" t="n">
        <v>63708.07</v>
      </c>
      <c r="U5465" t="inlineStr">
        <is>
          <t>Low</t>
        </is>
      </c>
      <c r="V5465">
        <f>IF(AND(OR(Dashboard!$C$6="All",E5465=Dashboard!$C$6),OR(Dashboard!$F$6="All",G5465=Dashboard!$F$6),OR(Dashboard!$I$6="All",H5465=Dashboard!$I$6)),1,0)</f>
        <v/>
      </c>
    </row>
    <row r="5466">
      <c r="A5466" t="inlineStr">
        <is>
          <t>PF105457</t>
        </is>
      </c>
      <c r="B5466" s="68" t="n">
        <v>46314</v>
      </c>
      <c r="C5466" s="69" t="n">
        <v>2026</v>
      </c>
      <c r="D5466" t="inlineStr">
        <is>
          <t>Oct</t>
        </is>
      </c>
      <c r="E5466" t="inlineStr">
        <is>
          <t>United States</t>
        </is>
      </c>
      <c r="F5466" t="inlineStr">
        <is>
          <t>USA</t>
        </is>
      </c>
      <c r="G5466" t="inlineStr">
        <is>
          <t>Paxlovid</t>
        </is>
      </c>
      <c r="H5466" t="inlineStr">
        <is>
          <t>Hospital</t>
        </is>
      </c>
      <c r="I5466" t="inlineStr">
        <is>
          <t>Private insurer</t>
        </is>
      </c>
      <c r="J5466" t="inlineStr">
        <is>
          <t>Hiroshi Tanaka</t>
        </is>
      </c>
      <c r="K5466" s="70" t="n">
        <v>2151</v>
      </c>
      <c r="L5466" s="71" t="n">
        <v>1472.28</v>
      </c>
      <c r="M5466" s="71" t="n">
        <v>3166874.28</v>
      </c>
      <c r="N5466" s="71" t="n">
        <v>633374.86</v>
      </c>
      <c r="O5466" s="71" t="n">
        <v>2533499.42</v>
      </c>
      <c r="P5466" s="71" t="n">
        <v>575362.3199999999</v>
      </c>
      <c r="Q5466" s="71" t="n">
        <v>1958137.1</v>
      </c>
      <c r="R5466" t="inlineStr">
        <is>
          <t>Antiviral</t>
        </is>
      </c>
      <c r="S5466" s="70" t="n">
        <v>1820</v>
      </c>
      <c r="T5466" s="71" t="n">
        <v>526196.22</v>
      </c>
      <c r="U5466" t="inlineStr">
        <is>
          <t>Low</t>
        </is>
      </c>
      <c r="V5466">
        <f>IF(AND(OR(Dashboard!$C$6="All",E5466=Dashboard!$C$6),OR(Dashboard!$F$6="All",G5466=Dashboard!$F$6),OR(Dashboard!$I$6="All",H5466=Dashboard!$I$6)),1,0)</f>
        <v/>
      </c>
    </row>
    <row r="5467">
      <c r="A5467" t="inlineStr">
        <is>
          <t>PF105458</t>
        </is>
      </c>
      <c r="B5467" s="68" t="n">
        <v>46315</v>
      </c>
      <c r="C5467" s="69" t="n">
        <v>2026</v>
      </c>
      <c r="D5467" t="inlineStr">
        <is>
          <t>Oct</t>
        </is>
      </c>
      <c r="E5467" t="inlineStr">
        <is>
          <t>United States</t>
        </is>
      </c>
      <c r="F5467" t="inlineStr">
        <is>
          <t>USA</t>
        </is>
      </c>
      <c r="G5467" t="inlineStr">
        <is>
          <t>Eliquis</t>
        </is>
      </c>
      <c r="H5467" t="inlineStr">
        <is>
          <t>Retail pharmacy</t>
        </is>
      </c>
      <c r="I5467" t="inlineStr">
        <is>
          <t>Private insurer</t>
        </is>
      </c>
      <c r="J5467" t="inlineStr">
        <is>
          <t>Ravindra Patil</t>
        </is>
      </c>
      <c r="K5467" s="70" t="n">
        <v>2506</v>
      </c>
      <c r="L5467" s="71" t="n">
        <v>686.23</v>
      </c>
      <c r="M5467" s="71" t="n">
        <v>1719692.38</v>
      </c>
      <c r="N5467" s="71" t="n">
        <v>257953.86</v>
      </c>
      <c r="O5467" s="71" t="n">
        <v>1461738.52</v>
      </c>
      <c r="P5467" s="71" t="n">
        <v>192515.93</v>
      </c>
      <c r="Q5467" s="71" t="n">
        <v>1269222.59</v>
      </c>
      <c r="R5467" t="inlineStr">
        <is>
          <t>Cardiology</t>
        </is>
      </c>
      <c r="S5467" s="70" t="n">
        <v>1722</v>
      </c>
      <c r="T5467" s="71" t="n">
        <v>234000.61</v>
      </c>
      <c r="U5467" t="inlineStr">
        <is>
          <t>High</t>
        </is>
      </c>
      <c r="V5467">
        <f>IF(AND(OR(Dashboard!$C$6="All",E5467=Dashboard!$C$6),OR(Dashboard!$F$6="All",G5467=Dashboard!$F$6),OR(Dashboard!$I$6="All",H5467=Dashboard!$I$6)),1,0)</f>
        <v/>
      </c>
    </row>
    <row r="5468">
      <c r="A5468" t="inlineStr">
        <is>
          <t>PF105459</t>
        </is>
      </c>
      <c r="B5468" s="68" t="n">
        <v>46315</v>
      </c>
      <c r="C5468" s="69" t="n">
        <v>2026</v>
      </c>
      <c r="D5468" t="inlineStr">
        <is>
          <t>Oct</t>
        </is>
      </c>
      <c r="E5468" t="inlineStr">
        <is>
          <t>International developed</t>
        </is>
      </c>
      <c r="F5468" t="inlineStr">
        <is>
          <t>Japan</t>
        </is>
      </c>
      <c r="G5468" t="inlineStr">
        <is>
          <t>Eliquis</t>
        </is>
      </c>
      <c r="H5468" t="inlineStr">
        <is>
          <t>Hospital</t>
        </is>
      </c>
      <c r="I5468" t="inlineStr">
        <is>
          <t>Public payer</t>
        </is>
      </c>
      <c r="J5468" t="inlineStr">
        <is>
          <t>Ravindra Patil</t>
        </is>
      </c>
      <c r="K5468" s="70" t="n">
        <v>1506</v>
      </c>
      <c r="L5468" s="71" t="n">
        <v>424.18</v>
      </c>
      <c r="M5468" s="71" t="n">
        <v>638815.08</v>
      </c>
      <c r="N5468" s="71" t="n">
        <v>159703.77</v>
      </c>
      <c r="O5468" s="71" t="n">
        <v>479111.31</v>
      </c>
      <c r="P5468" s="71" t="n">
        <v>110934.87</v>
      </c>
      <c r="Q5468" s="71" t="n">
        <v>368176.44</v>
      </c>
      <c r="R5468" t="inlineStr">
        <is>
          <t>Cardiology</t>
        </is>
      </c>
      <c r="S5468" s="70" t="n">
        <v>1449</v>
      </c>
      <c r="T5468" s="71" t="n">
        <v>123419.34</v>
      </c>
      <c r="U5468" t="inlineStr">
        <is>
          <t>High</t>
        </is>
      </c>
      <c r="V5468">
        <f>IF(AND(OR(Dashboard!$C$6="All",E5468=Dashboard!$C$6),OR(Dashboard!$F$6="All",G5468=Dashboard!$F$6),OR(Dashboard!$I$6="All",H5468=Dashboard!$I$6)),1,0)</f>
        <v/>
      </c>
    </row>
    <row r="5469">
      <c r="A5469" t="inlineStr">
        <is>
          <t>PF105460</t>
        </is>
      </c>
      <c r="B5469" s="68" t="n">
        <v>46315</v>
      </c>
      <c r="C5469" s="69" t="n">
        <v>2026</v>
      </c>
      <c r="D5469" t="inlineStr">
        <is>
          <t>Oct</t>
        </is>
      </c>
      <c r="E5469" t="inlineStr">
        <is>
          <t>United States</t>
        </is>
      </c>
      <c r="F5469" t="inlineStr">
        <is>
          <t>USA</t>
        </is>
      </c>
      <c r="G5469" t="inlineStr">
        <is>
          <t>Abrysvo</t>
        </is>
      </c>
      <c r="H5469" t="inlineStr">
        <is>
          <t>Government / tender</t>
        </is>
      </c>
      <c r="I5469" t="inlineStr">
        <is>
          <t>Private insurer</t>
        </is>
      </c>
      <c r="J5469" t="inlineStr">
        <is>
          <t>Liam O'Brien</t>
        </is>
      </c>
      <c r="K5469" s="70" t="n">
        <v>1902</v>
      </c>
      <c r="L5469" s="71" t="n">
        <v>530.74</v>
      </c>
      <c r="M5469" s="71" t="n">
        <v>1009467.48</v>
      </c>
      <c r="N5469" s="71" t="n">
        <v>353313.62</v>
      </c>
      <c r="O5469" s="71" t="n">
        <v>656153.86</v>
      </c>
      <c r="P5469" s="71" t="n">
        <v>160937.77</v>
      </c>
      <c r="Q5469" s="71" t="n">
        <v>495216.09</v>
      </c>
      <c r="R5469" t="inlineStr">
        <is>
          <t>Vaccines</t>
        </is>
      </c>
      <c r="S5469" s="70" t="n">
        <v>1864</v>
      </c>
      <c r="T5469" s="71" t="n">
        <v>136796.68</v>
      </c>
      <c r="U5469" t="inlineStr">
        <is>
          <t>Low</t>
        </is>
      </c>
      <c r="V5469">
        <f>IF(AND(OR(Dashboard!$C$6="All",E5469=Dashboard!$C$6),OR(Dashboard!$F$6="All",G5469=Dashboard!$F$6),OR(Dashboard!$I$6="All",H5469=Dashboard!$I$6)),1,0)</f>
        <v/>
      </c>
    </row>
    <row r="5470">
      <c r="A5470" t="inlineStr">
        <is>
          <t>PF105461</t>
        </is>
      </c>
      <c r="B5470" s="68" t="n">
        <v>46315</v>
      </c>
      <c r="C5470" s="69" t="n">
        <v>2026</v>
      </c>
      <c r="D5470" t="inlineStr">
        <is>
          <t>Oct</t>
        </is>
      </c>
      <c r="E5470" t="inlineStr">
        <is>
          <t>United States</t>
        </is>
      </c>
      <c r="F5470" t="inlineStr">
        <is>
          <t>USA</t>
        </is>
      </c>
      <c r="G5470" t="inlineStr">
        <is>
          <t>Comirnaty</t>
        </is>
      </c>
      <c r="H5470" t="inlineStr">
        <is>
          <t>Hospital</t>
        </is>
      </c>
      <c r="I5470" t="inlineStr">
        <is>
          <t>Private insurer</t>
        </is>
      </c>
      <c r="J5470" t="inlineStr">
        <is>
          <t>Mei Lin</t>
        </is>
      </c>
      <c r="K5470" s="70" t="n">
        <v>1577</v>
      </c>
      <c r="L5470" s="71" t="n">
        <v>128.09</v>
      </c>
      <c r="M5470" s="71" t="n">
        <v>201997.93</v>
      </c>
      <c r="N5470" s="71" t="n">
        <v>70699.28</v>
      </c>
      <c r="O5470" s="71" t="n">
        <v>131298.65</v>
      </c>
      <c r="P5470" s="71" t="n">
        <v>61968.35</v>
      </c>
      <c r="Q5470" s="71" t="n">
        <v>69330.3</v>
      </c>
      <c r="R5470" t="inlineStr">
        <is>
          <t>Vaccines</t>
        </is>
      </c>
      <c r="S5470" s="70" t="n">
        <v>1310</v>
      </c>
      <c r="T5470" s="71" t="n">
        <v>33062.18</v>
      </c>
      <c r="U5470" t="inlineStr">
        <is>
          <t>Low</t>
        </is>
      </c>
      <c r="V5470">
        <f>IF(AND(OR(Dashboard!$C$6="All",E5470=Dashboard!$C$6),OR(Dashboard!$F$6="All",G5470=Dashboard!$F$6),OR(Dashboard!$I$6="All",H5470=Dashboard!$I$6)),1,0)</f>
        <v/>
      </c>
    </row>
    <row r="5471">
      <c r="A5471" t="inlineStr">
        <is>
          <t>PF105462</t>
        </is>
      </c>
      <c r="B5471" s="68" t="n">
        <v>46315</v>
      </c>
      <c r="C5471" s="69" t="n">
        <v>2026</v>
      </c>
      <c r="D5471" t="inlineStr">
        <is>
          <t>Oct</t>
        </is>
      </c>
      <c r="E5471" t="inlineStr">
        <is>
          <t>International developed</t>
        </is>
      </c>
      <c r="F5471" t="inlineStr">
        <is>
          <t>Canada</t>
        </is>
      </c>
      <c r="G5471" t="inlineStr">
        <is>
          <t>Xeljanz</t>
        </is>
      </c>
      <c r="H5471" t="inlineStr">
        <is>
          <t>Retail pharmacy</t>
        </is>
      </c>
      <c r="I5471" t="inlineStr">
        <is>
          <t>Private insurer</t>
        </is>
      </c>
      <c r="J5471" t="inlineStr">
        <is>
          <t>Amir Khan</t>
        </is>
      </c>
      <c r="K5471" s="70" t="n">
        <v>2085</v>
      </c>
      <c r="L5471" s="71" t="n">
        <v>1346.69</v>
      </c>
      <c r="M5471" s="71" t="n">
        <v>2807848.65</v>
      </c>
      <c r="N5471" s="71" t="n">
        <v>561569.73</v>
      </c>
      <c r="O5471" s="71" t="n">
        <v>2246278.92</v>
      </c>
      <c r="P5471" s="71" t="n">
        <v>537427.46</v>
      </c>
      <c r="Q5471" s="71" t="n">
        <v>1708851.46</v>
      </c>
      <c r="R5471" t="inlineStr">
        <is>
          <t>Inflammation</t>
        </is>
      </c>
      <c r="S5471" s="70" t="n">
        <v>1468</v>
      </c>
      <c r="T5471" s="71" t="n">
        <v>491814.73</v>
      </c>
      <c r="U5471" t="inlineStr">
        <is>
          <t>High</t>
        </is>
      </c>
      <c r="V5471">
        <f>IF(AND(OR(Dashboard!$C$6="All",E5471=Dashboard!$C$6),OR(Dashboard!$F$6="All",G5471=Dashboard!$F$6),OR(Dashboard!$I$6="All",H5471=Dashboard!$I$6)),1,0)</f>
        <v/>
      </c>
    </row>
    <row r="5472">
      <c r="A5472" t="inlineStr">
        <is>
          <t>PF105463</t>
        </is>
      </c>
      <c r="B5472" s="68" t="n">
        <v>46315</v>
      </c>
      <c r="C5472" s="69" t="n">
        <v>2026</v>
      </c>
      <c r="D5472" t="inlineStr">
        <is>
          <t>Oct</t>
        </is>
      </c>
      <c r="E5472" t="inlineStr">
        <is>
          <t>United States</t>
        </is>
      </c>
      <c r="F5472" t="inlineStr">
        <is>
          <t>USA</t>
        </is>
      </c>
      <c r="G5472" t="inlineStr">
        <is>
          <t>Comirnaty</t>
        </is>
      </c>
      <c r="H5472" t="inlineStr">
        <is>
          <t>Hospital</t>
        </is>
      </c>
      <c r="I5472" t="inlineStr">
        <is>
          <t>Self-pay</t>
        </is>
      </c>
      <c r="J5472" t="inlineStr">
        <is>
          <t>Aisha Bello</t>
        </is>
      </c>
      <c r="K5472" s="70" t="n">
        <v>1851</v>
      </c>
      <c r="L5472" s="71" t="n">
        <v>143.96</v>
      </c>
      <c r="M5472" s="71" t="n">
        <v>266469.96</v>
      </c>
      <c r="N5472" s="71" t="n">
        <v>66617.49000000001</v>
      </c>
      <c r="O5472" s="71" t="n">
        <v>199852.47</v>
      </c>
      <c r="P5472" s="71" t="n">
        <v>70157.99000000001</v>
      </c>
      <c r="Q5472" s="71" t="n">
        <v>129694.48</v>
      </c>
      <c r="R5472" t="inlineStr">
        <is>
          <t>Vaccines</t>
        </is>
      </c>
      <c r="S5472" s="70" t="n">
        <v>1529</v>
      </c>
      <c r="T5472" s="71" t="n">
        <v>40039.48</v>
      </c>
      <c r="U5472" t="inlineStr">
        <is>
          <t>Low</t>
        </is>
      </c>
      <c r="V5472">
        <f>IF(AND(OR(Dashboard!$C$6="All",E5472=Dashboard!$C$6),OR(Dashboard!$F$6="All",G5472=Dashboard!$F$6),OR(Dashboard!$I$6="All",H5472=Dashboard!$I$6)),1,0)</f>
        <v/>
      </c>
    </row>
    <row r="5473">
      <c r="A5473" t="inlineStr">
        <is>
          <t>PF105464</t>
        </is>
      </c>
      <c r="B5473" s="68" t="n">
        <v>46315</v>
      </c>
      <c r="C5473" s="69" t="n">
        <v>2026</v>
      </c>
      <c r="D5473" t="inlineStr">
        <is>
          <t>Oct</t>
        </is>
      </c>
      <c r="E5473" t="inlineStr">
        <is>
          <t>United States</t>
        </is>
      </c>
      <c r="F5473" t="inlineStr">
        <is>
          <t>USA</t>
        </is>
      </c>
      <c r="G5473" t="inlineStr">
        <is>
          <t>Eliquis</t>
        </is>
      </c>
      <c r="H5473" t="inlineStr">
        <is>
          <t>Retail pharmacy</t>
        </is>
      </c>
      <c r="I5473" t="inlineStr">
        <is>
          <t>Private insurer</t>
        </is>
      </c>
      <c r="J5473" t="inlineStr">
        <is>
          <t>Fatima Al-Saud</t>
        </is>
      </c>
      <c r="K5473" s="70" t="n">
        <v>2201</v>
      </c>
      <c r="L5473" s="71" t="n">
        <v>628.59</v>
      </c>
      <c r="M5473" s="71" t="n">
        <v>1383526.59</v>
      </c>
      <c r="N5473" s="71" t="n">
        <v>484234.31</v>
      </c>
      <c r="O5473" s="71" t="n">
        <v>899292.28</v>
      </c>
      <c r="P5473" s="71" t="n">
        <v>171387.99</v>
      </c>
      <c r="Q5473" s="71" t="n">
        <v>727904.29</v>
      </c>
      <c r="R5473" t="inlineStr">
        <is>
          <t>Cardiology</t>
        </is>
      </c>
      <c r="S5473" s="70" t="n">
        <v>2025</v>
      </c>
      <c r="T5473" s="71" t="n">
        <v>279989.47</v>
      </c>
      <c r="U5473" t="inlineStr">
        <is>
          <t>High</t>
        </is>
      </c>
      <c r="V5473">
        <f>IF(AND(OR(Dashboard!$C$6="All",E5473=Dashboard!$C$6),OR(Dashboard!$F$6="All",G5473=Dashboard!$F$6),OR(Dashboard!$I$6="All",H5473=Dashboard!$I$6)),1,0)</f>
        <v/>
      </c>
    </row>
    <row r="5474">
      <c r="A5474" t="inlineStr">
        <is>
          <t>PF105465</t>
        </is>
      </c>
      <c r="B5474" s="68" t="n">
        <v>46315</v>
      </c>
      <c r="C5474" s="69" t="n">
        <v>2026</v>
      </c>
      <c r="D5474" t="inlineStr">
        <is>
          <t>Oct</t>
        </is>
      </c>
      <c r="E5474" t="inlineStr">
        <is>
          <t>International developed</t>
        </is>
      </c>
      <c r="F5474" t="inlineStr">
        <is>
          <t>Australia</t>
        </is>
      </c>
      <c r="G5474" t="inlineStr">
        <is>
          <t>Paxlovid</t>
        </is>
      </c>
      <c r="H5474" t="inlineStr">
        <is>
          <t>Retail pharmacy</t>
        </is>
      </c>
      <c r="I5474" t="inlineStr">
        <is>
          <t>Private insurer</t>
        </is>
      </c>
      <c r="J5474" t="inlineStr">
        <is>
          <t>Shraddha Kulkarni</t>
        </is>
      </c>
      <c r="K5474" s="70" t="n">
        <v>1473</v>
      </c>
      <c r="L5474" s="71" t="n">
        <v>896.87</v>
      </c>
      <c r="M5474" s="71" t="n">
        <v>1321089.51</v>
      </c>
      <c r="N5474" s="71" t="n">
        <v>330272.38</v>
      </c>
      <c r="O5474" s="71" t="n">
        <v>990817.13</v>
      </c>
      <c r="P5474" s="71" t="n">
        <v>405491.1</v>
      </c>
      <c r="Q5474" s="71" t="n">
        <v>585326.03</v>
      </c>
      <c r="R5474" t="inlineStr">
        <is>
          <t>Antiviral</t>
        </is>
      </c>
      <c r="S5474" s="70" t="n">
        <v>1468</v>
      </c>
      <c r="T5474" s="71" t="n">
        <v>265713.7</v>
      </c>
      <c r="U5474" t="inlineStr">
        <is>
          <t>Low</t>
        </is>
      </c>
      <c r="V5474">
        <f>IF(AND(OR(Dashboard!$C$6="All",E5474=Dashboard!$C$6),OR(Dashboard!$F$6="All",G5474=Dashboard!$F$6),OR(Dashboard!$I$6="All",H5474=Dashboard!$I$6)),1,0)</f>
        <v/>
      </c>
    </row>
    <row r="5475">
      <c r="A5475" t="inlineStr">
        <is>
          <t>PF105466</t>
        </is>
      </c>
      <c r="B5475" s="68" t="n">
        <v>46315</v>
      </c>
      <c r="C5475" s="69" t="n">
        <v>2026</v>
      </c>
      <c r="D5475" t="inlineStr">
        <is>
          <t>Oct</t>
        </is>
      </c>
      <c r="E5475" t="inlineStr">
        <is>
          <t>United States</t>
        </is>
      </c>
      <c r="F5475" t="inlineStr">
        <is>
          <t>USA</t>
        </is>
      </c>
      <c r="G5475" t="inlineStr">
        <is>
          <t>Ibrance</t>
        </is>
      </c>
      <c r="H5475" t="inlineStr">
        <is>
          <t>Retail pharmacy</t>
        </is>
      </c>
      <c r="I5475" t="inlineStr">
        <is>
          <t>Private insurer</t>
        </is>
      </c>
      <c r="J5475" t="inlineStr">
        <is>
          <t>Amir Khan</t>
        </is>
      </c>
      <c r="K5475" s="70" t="n">
        <v>1000</v>
      </c>
      <c r="L5475" s="71" t="n">
        <v>4301.5</v>
      </c>
      <c r="M5475" s="71" t="n">
        <v>4301500</v>
      </c>
      <c r="N5475" s="71" t="n">
        <v>645225</v>
      </c>
      <c r="O5475" s="71" t="n">
        <v>3656275</v>
      </c>
      <c r="P5475" s="71" t="n">
        <v>426688.86</v>
      </c>
      <c r="Q5475" s="71" t="n">
        <v>3229586.14</v>
      </c>
      <c r="R5475" t="inlineStr">
        <is>
          <t>Oncology</t>
        </is>
      </c>
      <c r="S5475" s="70" t="n">
        <v>967</v>
      </c>
      <c r="T5475" s="71" t="n">
        <v>944473.6</v>
      </c>
      <c r="U5475" t="inlineStr">
        <is>
          <t>High</t>
        </is>
      </c>
      <c r="V5475">
        <f>IF(AND(OR(Dashboard!$C$6="All",E5475=Dashboard!$C$6),OR(Dashboard!$F$6="All",G5475=Dashboard!$F$6),OR(Dashboard!$I$6="All",H5475=Dashboard!$I$6)),1,0)</f>
        <v/>
      </c>
    </row>
    <row r="5476">
      <c r="A5476" t="inlineStr">
        <is>
          <t>PF105467</t>
        </is>
      </c>
      <c r="B5476" s="68" t="n">
        <v>46315</v>
      </c>
      <c r="C5476" s="69" t="n">
        <v>2026</v>
      </c>
      <c r="D5476" t="inlineStr">
        <is>
          <t>Oct</t>
        </is>
      </c>
      <c r="E5476" t="inlineStr">
        <is>
          <t>United States</t>
        </is>
      </c>
      <c r="F5476" t="inlineStr">
        <is>
          <t>USA</t>
        </is>
      </c>
      <c r="G5476" t="inlineStr">
        <is>
          <t>Paxlovid</t>
        </is>
      </c>
      <c r="H5476" t="inlineStr">
        <is>
          <t>Hospital</t>
        </is>
      </c>
      <c r="I5476" t="inlineStr">
        <is>
          <t>Self-pay</t>
        </is>
      </c>
      <c r="J5476" t="inlineStr">
        <is>
          <t>Zoya Ahmed</t>
        </is>
      </c>
      <c r="K5476" s="70" t="n">
        <v>149</v>
      </c>
      <c r="L5476" s="71" t="n">
        <v>1463</v>
      </c>
      <c r="M5476" s="71" t="n">
        <v>217987</v>
      </c>
      <c r="N5476" s="71" t="n">
        <v>43597.4</v>
      </c>
      <c r="O5476" s="71" t="n">
        <v>174389.6</v>
      </c>
      <c r="P5476" s="71" t="n">
        <v>39750.85</v>
      </c>
      <c r="Q5476" s="71" t="n">
        <v>134638.75</v>
      </c>
      <c r="R5476" t="inlineStr">
        <is>
          <t>Antiviral</t>
        </is>
      </c>
      <c r="S5476" s="70" t="n">
        <v>94</v>
      </c>
      <c r="T5476" s="71" t="n">
        <v>39142.38</v>
      </c>
      <c r="U5476" t="inlineStr">
        <is>
          <t>Low</t>
        </is>
      </c>
      <c r="V5476">
        <f>IF(AND(OR(Dashboard!$C$6="All",E5476=Dashboard!$C$6),OR(Dashboard!$F$6="All",G5476=Dashboard!$F$6),OR(Dashboard!$I$6="All",H5476=Dashboard!$I$6)),1,0)</f>
        <v/>
      </c>
    </row>
    <row r="5477">
      <c r="A5477" t="inlineStr">
        <is>
          <t>PF105468</t>
        </is>
      </c>
      <c r="B5477" s="68" t="n">
        <v>46315</v>
      </c>
      <c r="C5477" s="69" t="n">
        <v>2026</v>
      </c>
      <c r="D5477" t="inlineStr">
        <is>
          <t>Oct</t>
        </is>
      </c>
      <c r="E5477" t="inlineStr">
        <is>
          <t>Europe</t>
        </is>
      </c>
      <c r="F5477" t="inlineStr">
        <is>
          <t>Germany</t>
        </is>
      </c>
      <c r="G5477" t="inlineStr">
        <is>
          <t>Paxlovid</t>
        </is>
      </c>
      <c r="H5477" t="inlineStr">
        <is>
          <t>Retail pharmacy</t>
        </is>
      </c>
      <c r="I5477" t="inlineStr">
        <is>
          <t>Private insurer</t>
        </is>
      </c>
      <c r="J5477" t="inlineStr">
        <is>
          <t>Shraddha Kulkarni</t>
        </is>
      </c>
      <c r="K5477" s="70" t="n">
        <v>1230</v>
      </c>
      <c r="L5477" s="71" t="n">
        <v>957.09</v>
      </c>
      <c r="M5477" s="71" t="n">
        <v>1177220.7</v>
      </c>
      <c r="N5477" s="71" t="n">
        <v>58861.04</v>
      </c>
      <c r="O5477" s="71" t="n">
        <v>1118359.66</v>
      </c>
      <c r="P5477" s="71" t="n">
        <v>347848.99</v>
      </c>
      <c r="Q5477" s="71" t="n">
        <v>770510.67</v>
      </c>
      <c r="R5477" t="inlineStr">
        <is>
          <t>Antiviral</t>
        </is>
      </c>
      <c r="S5477" s="70" t="n">
        <v>900</v>
      </c>
      <c r="T5477" s="71" t="n">
        <v>182014.69</v>
      </c>
      <c r="U5477" t="inlineStr">
        <is>
          <t>Low</t>
        </is>
      </c>
      <c r="V5477">
        <f>IF(AND(OR(Dashboard!$C$6="All",E5477=Dashboard!$C$6),OR(Dashboard!$F$6="All",G5477=Dashboard!$F$6),OR(Dashboard!$I$6="All",H5477=Dashboard!$I$6)),1,0)</f>
        <v/>
      </c>
    </row>
    <row r="5478">
      <c r="A5478" t="inlineStr">
        <is>
          <t>PF105469</t>
        </is>
      </c>
      <c r="B5478" s="68" t="n">
        <v>46315</v>
      </c>
      <c r="C5478" s="69" t="n">
        <v>2026</v>
      </c>
      <c r="D5478" t="inlineStr">
        <is>
          <t>Oct</t>
        </is>
      </c>
      <c r="E5478" t="inlineStr">
        <is>
          <t>Europe</t>
        </is>
      </c>
      <c r="F5478" t="inlineStr">
        <is>
          <t>UK</t>
        </is>
      </c>
      <c r="G5478" t="inlineStr">
        <is>
          <t>Vyndaqel</t>
        </is>
      </c>
      <c r="H5478" t="inlineStr">
        <is>
          <t>Hospital</t>
        </is>
      </c>
      <c r="I5478" t="inlineStr">
        <is>
          <t>Self-pay</t>
        </is>
      </c>
      <c r="J5478" t="inlineStr">
        <is>
          <t>Aisha Bello</t>
        </is>
      </c>
      <c r="K5478" s="70" t="n">
        <v>1467</v>
      </c>
      <c r="L5478" s="71" t="n">
        <v>5206.78</v>
      </c>
      <c r="M5478" s="71" t="n">
        <v>7638346.26</v>
      </c>
      <c r="N5478" s="71" t="n">
        <v>1909586.56</v>
      </c>
      <c r="O5478" s="71" t="n">
        <v>5728759.7</v>
      </c>
      <c r="P5478" s="71" t="n">
        <v>922498.48</v>
      </c>
      <c r="Q5478" s="71" t="n">
        <v>4806261.22</v>
      </c>
      <c r="R5478" t="inlineStr">
        <is>
          <t>Rare disease</t>
        </is>
      </c>
      <c r="S5478" s="70" t="n">
        <v>1283</v>
      </c>
      <c r="T5478" s="71" t="n">
        <v>1164021.16</v>
      </c>
      <c r="U5478" t="inlineStr">
        <is>
          <t>Medium</t>
        </is>
      </c>
      <c r="V5478">
        <f>IF(AND(OR(Dashboard!$C$6="All",E5478=Dashboard!$C$6),OR(Dashboard!$F$6="All",G5478=Dashboard!$F$6),OR(Dashboard!$I$6="All",H5478=Dashboard!$I$6)),1,0)</f>
        <v/>
      </c>
    </row>
    <row r="5479">
      <c r="A5479" t="inlineStr">
        <is>
          <t>PF105470</t>
        </is>
      </c>
      <c r="B5479" s="68" t="n">
        <v>46315</v>
      </c>
      <c r="C5479" s="69" t="n">
        <v>2026</v>
      </c>
      <c r="D5479" t="inlineStr">
        <is>
          <t>Oct</t>
        </is>
      </c>
      <c r="E5479" t="inlineStr">
        <is>
          <t>United States</t>
        </is>
      </c>
      <c r="F5479" t="inlineStr">
        <is>
          <t>USA</t>
        </is>
      </c>
      <c r="G5479" t="inlineStr">
        <is>
          <t>Comirnaty</t>
        </is>
      </c>
      <c r="H5479" t="inlineStr">
        <is>
          <t>Retail pharmacy</t>
        </is>
      </c>
      <c r="I5479" t="inlineStr">
        <is>
          <t>Private insurer</t>
        </is>
      </c>
      <c r="J5479" t="inlineStr">
        <is>
          <t>Ruhi Shaikh</t>
        </is>
      </c>
      <c r="K5479" s="70" t="n">
        <v>253</v>
      </c>
      <c r="L5479" s="71" t="n">
        <v>143.94</v>
      </c>
      <c r="M5479" s="71" t="n">
        <v>36416.82</v>
      </c>
      <c r="N5479" s="71" t="n">
        <v>9104.200000000001</v>
      </c>
      <c r="O5479" s="71" t="n">
        <v>27312.62</v>
      </c>
      <c r="P5479" s="71" t="n">
        <v>9747.73</v>
      </c>
      <c r="Q5479" s="71" t="n">
        <v>17564.89</v>
      </c>
      <c r="R5479" t="inlineStr">
        <is>
          <t>Vaccines</t>
        </is>
      </c>
      <c r="S5479" s="70" t="n">
        <v>192</v>
      </c>
      <c r="T5479" s="71" t="n">
        <v>5852.35</v>
      </c>
      <c r="U5479" t="inlineStr">
        <is>
          <t>Low</t>
        </is>
      </c>
      <c r="V5479">
        <f>IF(AND(OR(Dashboard!$C$6="All",E5479=Dashboard!$C$6),OR(Dashboard!$F$6="All",G5479=Dashboard!$F$6),OR(Dashboard!$I$6="All",H5479=Dashboard!$I$6)),1,0)</f>
        <v/>
      </c>
    </row>
    <row r="5480">
      <c r="A5480" t="inlineStr">
        <is>
          <t>PF105471</t>
        </is>
      </c>
      <c r="B5480" s="68" t="n">
        <v>46316</v>
      </c>
      <c r="C5480" s="69" t="n">
        <v>2026</v>
      </c>
      <c r="D5480" t="inlineStr">
        <is>
          <t>Oct</t>
        </is>
      </c>
      <c r="E5480" t="inlineStr">
        <is>
          <t>United States</t>
        </is>
      </c>
      <c r="F5480" t="inlineStr">
        <is>
          <t>USA</t>
        </is>
      </c>
      <c r="G5480" t="inlineStr">
        <is>
          <t>Prevnar 20</t>
        </is>
      </c>
      <c r="H5480" t="inlineStr">
        <is>
          <t>Retail pharmacy</t>
        </is>
      </c>
      <c r="I5480" t="inlineStr">
        <is>
          <t>Public payer</t>
        </is>
      </c>
      <c r="J5480" t="inlineStr">
        <is>
          <t>Carlos Silva</t>
        </is>
      </c>
      <c r="K5480" s="70" t="n">
        <v>1557</v>
      </c>
      <c r="L5480" s="71" t="n">
        <v>406.16</v>
      </c>
      <c r="M5480" s="71" t="n">
        <v>632391.12</v>
      </c>
      <c r="N5480" s="71" t="n">
        <v>126478.22</v>
      </c>
      <c r="O5480" s="71" t="n">
        <v>505912.9</v>
      </c>
      <c r="P5480" s="71" t="n">
        <v>111679.07</v>
      </c>
      <c r="Q5480" s="71" t="n">
        <v>394233.83</v>
      </c>
      <c r="R5480" t="inlineStr">
        <is>
          <t>Vaccines</t>
        </is>
      </c>
      <c r="S5480" s="70" t="n">
        <v>1192</v>
      </c>
      <c r="T5480" s="71" t="n">
        <v>95263.56</v>
      </c>
      <c r="U5480" t="inlineStr">
        <is>
          <t>Low</t>
        </is>
      </c>
      <c r="V5480">
        <f>IF(AND(OR(Dashboard!$C$6="All",E5480=Dashboard!$C$6),OR(Dashboard!$F$6="All",G5480=Dashboard!$F$6),OR(Dashboard!$I$6="All",H5480=Dashboard!$I$6)),1,0)</f>
        <v/>
      </c>
    </row>
    <row r="5481">
      <c r="A5481" t="inlineStr">
        <is>
          <t>PF105472</t>
        </is>
      </c>
      <c r="B5481" s="68" t="n">
        <v>46316</v>
      </c>
      <c r="C5481" s="69" t="n">
        <v>2026</v>
      </c>
      <c r="D5481" t="inlineStr">
        <is>
          <t>Oct</t>
        </is>
      </c>
      <c r="E5481" t="inlineStr">
        <is>
          <t>United States</t>
        </is>
      </c>
      <c r="F5481" t="inlineStr">
        <is>
          <t>USA</t>
        </is>
      </c>
      <c r="G5481" t="inlineStr">
        <is>
          <t>Xeljanz</t>
        </is>
      </c>
      <c r="H5481" t="inlineStr">
        <is>
          <t>Retail pharmacy</t>
        </is>
      </c>
      <c r="I5481" t="inlineStr">
        <is>
          <t>Private insurer</t>
        </is>
      </c>
      <c r="J5481" t="inlineStr">
        <is>
          <t>Lucas Martin</t>
        </is>
      </c>
      <c r="K5481" s="70" t="n">
        <v>1736</v>
      </c>
      <c r="L5481" s="71" t="n">
        <v>2100.04</v>
      </c>
      <c r="M5481" s="71" t="n">
        <v>3645669.44</v>
      </c>
      <c r="N5481" s="71" t="n">
        <v>1275984.3</v>
      </c>
      <c r="O5481" s="71" t="n">
        <v>2369685.14</v>
      </c>
      <c r="P5481" s="71" t="n">
        <v>440235.52</v>
      </c>
      <c r="Q5481" s="71" t="n">
        <v>1929449.62</v>
      </c>
      <c r="R5481" t="inlineStr">
        <is>
          <t>Inflammation</t>
        </is>
      </c>
      <c r="S5481" s="70" t="n">
        <v>1651</v>
      </c>
      <c r="T5481" s="71" t="n">
        <v>775167.97</v>
      </c>
      <c r="U5481" t="inlineStr">
        <is>
          <t>High</t>
        </is>
      </c>
      <c r="V5481">
        <f>IF(AND(OR(Dashboard!$C$6="All",E5481=Dashboard!$C$6),OR(Dashboard!$F$6="All",G5481=Dashboard!$F$6),OR(Dashboard!$I$6="All",H5481=Dashboard!$I$6)),1,0)</f>
        <v/>
      </c>
    </row>
    <row r="5482">
      <c r="A5482" t="inlineStr">
        <is>
          <t>PF105473</t>
        </is>
      </c>
      <c r="B5482" s="68" t="n">
        <v>46316</v>
      </c>
      <c r="C5482" s="69" t="n">
        <v>2026</v>
      </c>
      <c r="D5482" t="inlineStr">
        <is>
          <t>Oct</t>
        </is>
      </c>
      <c r="E5482" t="inlineStr">
        <is>
          <t>Europe</t>
        </is>
      </c>
      <c r="F5482" t="inlineStr">
        <is>
          <t>France</t>
        </is>
      </c>
      <c r="G5482" t="inlineStr">
        <is>
          <t>Xeljanz</t>
        </is>
      </c>
      <c r="H5482" t="inlineStr">
        <is>
          <t>Hospital</t>
        </is>
      </c>
      <c r="I5482" t="inlineStr">
        <is>
          <t>Self-pay</t>
        </is>
      </c>
      <c r="J5482" t="inlineStr">
        <is>
          <t>Amir Khan</t>
        </is>
      </c>
      <c r="K5482" s="70" t="n">
        <v>2535</v>
      </c>
      <c r="L5482" s="71" t="n">
        <v>1248.05</v>
      </c>
      <c r="M5482" s="71" t="n">
        <v>3163806.75</v>
      </c>
      <c r="N5482" s="71" t="n">
        <v>632761.35</v>
      </c>
      <c r="O5482" s="71" t="n">
        <v>2531045.4</v>
      </c>
      <c r="P5482" s="71" t="n">
        <v>640660.86</v>
      </c>
      <c r="Q5482" s="71" t="n">
        <v>1890384.54</v>
      </c>
      <c r="R5482" t="inlineStr">
        <is>
          <t>Inflammation</t>
        </is>
      </c>
      <c r="S5482" s="70" t="n">
        <v>2222</v>
      </c>
      <c r="T5482" s="71" t="n">
        <v>417568.59</v>
      </c>
      <c r="U5482" t="inlineStr">
        <is>
          <t>High</t>
        </is>
      </c>
      <c r="V5482">
        <f>IF(AND(OR(Dashboard!$C$6="All",E5482=Dashboard!$C$6),OR(Dashboard!$F$6="All",G5482=Dashboard!$F$6),OR(Dashboard!$I$6="All",H5482=Dashboard!$I$6)),1,0)</f>
        <v/>
      </c>
    </row>
    <row r="5483">
      <c r="A5483" t="inlineStr">
        <is>
          <t>PF105474</t>
        </is>
      </c>
      <c r="B5483" s="68" t="n">
        <v>46316</v>
      </c>
      <c r="C5483" s="69" t="n">
        <v>2026</v>
      </c>
      <c r="D5483" t="inlineStr">
        <is>
          <t>Oct</t>
        </is>
      </c>
      <c r="E5483" t="inlineStr">
        <is>
          <t>United States</t>
        </is>
      </c>
      <c r="F5483" t="inlineStr">
        <is>
          <t>USA</t>
        </is>
      </c>
      <c r="G5483" t="inlineStr">
        <is>
          <t>Xeljanz</t>
        </is>
      </c>
      <c r="H5483" t="inlineStr">
        <is>
          <t>Hospital</t>
        </is>
      </c>
      <c r="I5483" t="inlineStr">
        <is>
          <t>Private insurer</t>
        </is>
      </c>
      <c r="J5483" t="inlineStr">
        <is>
          <t>Ana Costa</t>
        </is>
      </c>
      <c r="K5483" s="70" t="n">
        <v>2782</v>
      </c>
      <c r="L5483" s="71" t="n">
        <v>2324.68</v>
      </c>
      <c r="M5483" s="71" t="n">
        <v>6467259.76</v>
      </c>
      <c r="N5483" s="71" t="n">
        <v>1293451.95</v>
      </c>
      <c r="O5483" s="71" t="n">
        <v>5173807.81</v>
      </c>
      <c r="P5483" s="71" t="n">
        <v>701366.24</v>
      </c>
      <c r="Q5483" s="71" t="n">
        <v>4472441.57</v>
      </c>
      <c r="R5483" t="inlineStr">
        <is>
          <t>Inflammation</t>
        </is>
      </c>
      <c r="S5483" s="70" t="n">
        <v>2461</v>
      </c>
      <c r="T5483" s="71" t="n">
        <v>1356511.09</v>
      </c>
      <c r="U5483" t="inlineStr">
        <is>
          <t>High</t>
        </is>
      </c>
      <c r="V5483">
        <f>IF(AND(OR(Dashboard!$C$6="All",E5483=Dashboard!$C$6),OR(Dashboard!$F$6="All",G5483=Dashboard!$F$6),OR(Dashboard!$I$6="All",H5483=Dashboard!$I$6)),1,0)</f>
        <v/>
      </c>
    </row>
    <row r="5484">
      <c r="A5484" t="inlineStr">
        <is>
          <t>PF105475</t>
        </is>
      </c>
      <c r="B5484" s="68" t="n">
        <v>46316</v>
      </c>
      <c r="C5484" s="69" t="n">
        <v>2026</v>
      </c>
      <c r="D5484" t="inlineStr">
        <is>
          <t>Oct</t>
        </is>
      </c>
      <c r="E5484" t="inlineStr">
        <is>
          <t>United States</t>
        </is>
      </c>
      <c r="F5484" t="inlineStr">
        <is>
          <t>USA</t>
        </is>
      </c>
      <c r="G5484" t="inlineStr">
        <is>
          <t>Comirnaty</t>
        </is>
      </c>
      <c r="H5484" t="inlineStr">
        <is>
          <t>Hospital</t>
        </is>
      </c>
      <c r="I5484" t="inlineStr">
        <is>
          <t>Private insurer</t>
        </is>
      </c>
      <c r="J5484" t="inlineStr">
        <is>
          <t>Ruhi Shaikh</t>
        </is>
      </c>
      <c r="K5484" s="70" t="n">
        <v>1097</v>
      </c>
      <c r="L5484" s="71" t="n">
        <v>136.09</v>
      </c>
      <c r="M5484" s="71" t="n">
        <v>149290.73</v>
      </c>
      <c r="N5484" s="71" t="n">
        <v>52251.76</v>
      </c>
      <c r="O5484" s="71" t="n">
        <v>97038.97</v>
      </c>
      <c r="P5484" s="71" t="n">
        <v>42251.4</v>
      </c>
      <c r="Q5484" s="71" t="n">
        <v>54787.57</v>
      </c>
      <c r="R5484" t="inlineStr">
        <is>
          <t>Vaccines</t>
        </is>
      </c>
      <c r="S5484" s="70" t="n">
        <v>1004</v>
      </c>
      <c r="T5484" s="71" t="n">
        <v>35387.83</v>
      </c>
      <c r="U5484" t="inlineStr">
        <is>
          <t>Low</t>
        </is>
      </c>
      <c r="V5484">
        <f>IF(AND(OR(Dashboard!$C$6="All",E5484=Dashboard!$C$6),OR(Dashboard!$F$6="All",G5484=Dashboard!$F$6),OR(Dashboard!$I$6="All",H5484=Dashboard!$I$6)),1,0)</f>
        <v/>
      </c>
    </row>
    <row r="5485">
      <c r="A5485" t="inlineStr">
        <is>
          <t>PF105476</t>
        </is>
      </c>
      <c r="B5485" s="68" t="n">
        <v>46316</v>
      </c>
      <c r="C5485" s="69" t="n">
        <v>2026</v>
      </c>
      <c r="D5485" t="inlineStr">
        <is>
          <t>Oct</t>
        </is>
      </c>
      <c r="E5485" t="inlineStr">
        <is>
          <t>Europe</t>
        </is>
      </c>
      <c r="F5485" t="inlineStr">
        <is>
          <t>France</t>
        </is>
      </c>
      <c r="G5485" t="inlineStr">
        <is>
          <t>Comirnaty</t>
        </is>
      </c>
      <c r="H5485" t="inlineStr">
        <is>
          <t>Hospital</t>
        </is>
      </c>
      <c r="I5485" t="inlineStr">
        <is>
          <t>Self-pay</t>
        </is>
      </c>
      <c r="J5485" t="inlineStr">
        <is>
          <t>Ravindra Patil</t>
        </is>
      </c>
      <c r="K5485" s="70" t="n">
        <v>279</v>
      </c>
      <c r="L5485" s="71" t="n">
        <v>83.90000000000001</v>
      </c>
      <c r="M5485" s="71" t="n">
        <v>23408.1</v>
      </c>
      <c r="N5485" s="71" t="n">
        <v>5852.02</v>
      </c>
      <c r="O5485" s="71" t="n">
        <v>17556.08</v>
      </c>
      <c r="P5485" s="71" t="n">
        <v>11033.97</v>
      </c>
      <c r="Q5485" s="71" t="n">
        <v>6522.11</v>
      </c>
      <c r="R5485" t="inlineStr">
        <is>
          <t>Vaccines</t>
        </is>
      </c>
      <c r="S5485" s="70" t="n">
        <v>193</v>
      </c>
      <c r="T5485" s="71" t="n">
        <v>5947.4</v>
      </c>
      <c r="U5485" t="inlineStr">
        <is>
          <t>Low</t>
        </is>
      </c>
      <c r="V5485">
        <f>IF(AND(OR(Dashboard!$C$6="All",E5485=Dashboard!$C$6),OR(Dashboard!$F$6="All",G5485=Dashboard!$F$6),OR(Dashboard!$I$6="All",H5485=Dashboard!$I$6)),1,0)</f>
        <v/>
      </c>
    </row>
    <row r="5486">
      <c r="A5486" t="inlineStr">
        <is>
          <t>PF105477</t>
        </is>
      </c>
      <c r="B5486" s="68" t="n">
        <v>46317</v>
      </c>
      <c r="C5486" s="69" t="n">
        <v>2026</v>
      </c>
      <c r="D5486" t="inlineStr">
        <is>
          <t>Oct</t>
        </is>
      </c>
      <c r="E5486" t="inlineStr">
        <is>
          <t>International developed</t>
        </is>
      </c>
      <c r="F5486" t="inlineStr">
        <is>
          <t>Japan</t>
        </is>
      </c>
      <c r="G5486" t="inlineStr">
        <is>
          <t>Prevnar 20</t>
        </is>
      </c>
      <c r="H5486" t="inlineStr">
        <is>
          <t>Hospital</t>
        </is>
      </c>
      <c r="I5486" t="inlineStr">
        <is>
          <t>Private insurer</t>
        </is>
      </c>
      <c r="J5486" t="inlineStr">
        <is>
          <t>Sophie Müller</t>
        </is>
      </c>
      <c r="K5486" s="70" t="n">
        <v>887</v>
      </c>
      <c r="L5486" s="71" t="n">
        <v>253.49</v>
      </c>
      <c r="M5486" s="71" t="n">
        <v>224845.63</v>
      </c>
      <c r="N5486" s="71" t="n">
        <v>11242.28</v>
      </c>
      <c r="O5486" s="71" t="n">
        <v>213603.35</v>
      </c>
      <c r="P5486" s="71" t="n">
        <v>63495.78</v>
      </c>
      <c r="Q5486" s="71" t="n">
        <v>150107.57</v>
      </c>
      <c r="R5486" t="inlineStr">
        <is>
          <t>Vaccines</t>
        </is>
      </c>
      <c r="S5486" s="70" t="n">
        <v>627</v>
      </c>
      <c r="T5486" s="71" t="n">
        <v>31449.42</v>
      </c>
      <c r="U5486" t="inlineStr">
        <is>
          <t>Low</t>
        </is>
      </c>
      <c r="V5486">
        <f>IF(AND(OR(Dashboard!$C$6="All",E5486=Dashboard!$C$6),OR(Dashboard!$F$6="All",G5486=Dashboard!$F$6),OR(Dashboard!$I$6="All",H5486=Dashboard!$I$6)),1,0)</f>
        <v/>
      </c>
    </row>
    <row r="5487">
      <c r="A5487" t="inlineStr">
        <is>
          <t>PF105478</t>
        </is>
      </c>
      <c r="B5487" s="68" t="n">
        <v>46317</v>
      </c>
      <c r="C5487" s="69" t="n">
        <v>2026</v>
      </c>
      <c r="D5487" t="inlineStr">
        <is>
          <t>Oct</t>
        </is>
      </c>
      <c r="E5487" t="inlineStr">
        <is>
          <t>United States</t>
        </is>
      </c>
      <c r="F5487" t="inlineStr">
        <is>
          <t>USA</t>
        </is>
      </c>
      <c r="G5487" t="inlineStr">
        <is>
          <t>Eliquis</t>
        </is>
      </c>
      <c r="H5487" t="inlineStr">
        <is>
          <t>Retail pharmacy</t>
        </is>
      </c>
      <c r="I5487" t="inlineStr">
        <is>
          <t>Public payer</t>
        </is>
      </c>
      <c r="J5487" t="inlineStr">
        <is>
          <t>Fatima Al-Saud</t>
        </is>
      </c>
      <c r="K5487" s="70" t="n">
        <v>1881</v>
      </c>
      <c r="L5487" s="71" t="n">
        <v>671.91</v>
      </c>
      <c r="M5487" s="71" t="n">
        <v>1263862.71</v>
      </c>
      <c r="N5487" s="71" t="n">
        <v>252772.54</v>
      </c>
      <c r="O5487" s="71" t="n">
        <v>1011090.17</v>
      </c>
      <c r="P5487" s="71" t="n">
        <v>144483.14</v>
      </c>
      <c r="Q5487" s="71" t="n">
        <v>866607.03</v>
      </c>
      <c r="R5487" t="inlineStr">
        <is>
          <t>Cardiology</t>
        </is>
      </c>
      <c r="S5487" s="70" t="n">
        <v>1563</v>
      </c>
      <c r="T5487" s="71" t="n">
        <v>147801.7</v>
      </c>
      <c r="U5487" t="inlineStr">
        <is>
          <t>High</t>
        </is>
      </c>
      <c r="V5487">
        <f>IF(AND(OR(Dashboard!$C$6="All",E5487=Dashboard!$C$6),OR(Dashboard!$F$6="All",G5487=Dashboard!$F$6),OR(Dashboard!$I$6="All",H5487=Dashboard!$I$6)),1,0)</f>
        <v/>
      </c>
    </row>
    <row r="5488">
      <c r="A5488" t="inlineStr">
        <is>
          <t>PF105479</t>
        </is>
      </c>
      <c r="B5488" s="68" t="n">
        <v>46317</v>
      </c>
      <c r="C5488" s="69" t="n">
        <v>2026</v>
      </c>
      <c r="D5488" t="inlineStr">
        <is>
          <t>Oct</t>
        </is>
      </c>
      <c r="E5488" t="inlineStr">
        <is>
          <t>International developed</t>
        </is>
      </c>
      <c r="F5488" t="inlineStr">
        <is>
          <t>Japan</t>
        </is>
      </c>
      <c r="G5488" t="inlineStr">
        <is>
          <t>Comirnaty</t>
        </is>
      </c>
      <c r="H5488" t="inlineStr">
        <is>
          <t>Government / tender</t>
        </is>
      </c>
      <c r="I5488" t="inlineStr">
        <is>
          <t>Public payer</t>
        </is>
      </c>
      <c r="J5488" t="inlineStr">
        <is>
          <t>Aisha Bello</t>
        </is>
      </c>
      <c r="K5488" s="70" t="n">
        <v>2110</v>
      </c>
      <c r="L5488" s="71" t="n">
        <v>93.45999999999999</v>
      </c>
      <c r="M5488" s="71" t="n">
        <v>197200.6</v>
      </c>
      <c r="N5488" s="71" t="n">
        <v>39440.12</v>
      </c>
      <c r="O5488" s="71" t="n">
        <v>157760.48</v>
      </c>
      <c r="P5488" s="71" t="n">
        <v>84243.77</v>
      </c>
      <c r="Q5488" s="71" t="n">
        <v>73516.71000000001</v>
      </c>
      <c r="R5488" t="inlineStr">
        <is>
          <t>Vaccines</t>
        </is>
      </c>
      <c r="S5488" s="70" t="n">
        <v>1533</v>
      </c>
      <c r="T5488" s="71" t="n">
        <v>45688.91</v>
      </c>
      <c r="U5488" t="inlineStr">
        <is>
          <t>Low</t>
        </is>
      </c>
      <c r="V5488">
        <f>IF(AND(OR(Dashboard!$C$6="All",E5488=Dashboard!$C$6),OR(Dashboard!$F$6="All",G5488=Dashboard!$F$6),OR(Dashboard!$I$6="All",H5488=Dashboard!$I$6)),1,0)</f>
        <v/>
      </c>
    </row>
    <row r="5489">
      <c r="A5489" t="inlineStr">
        <is>
          <t>PF105480</t>
        </is>
      </c>
      <c r="B5489" s="68" t="n">
        <v>46317</v>
      </c>
      <c r="C5489" s="69" t="n">
        <v>2026</v>
      </c>
      <c r="D5489" t="inlineStr">
        <is>
          <t>Oct</t>
        </is>
      </c>
      <c r="E5489" t="inlineStr">
        <is>
          <t>United States</t>
        </is>
      </c>
      <c r="F5489" t="inlineStr">
        <is>
          <t>USA</t>
        </is>
      </c>
      <c r="G5489" t="inlineStr">
        <is>
          <t>Paxlovid</t>
        </is>
      </c>
      <c r="H5489" t="inlineStr">
        <is>
          <t>Retail pharmacy</t>
        </is>
      </c>
      <c r="I5489" t="inlineStr">
        <is>
          <t>Public payer</t>
        </is>
      </c>
      <c r="J5489" t="inlineStr">
        <is>
          <t>Mei Lin</t>
        </is>
      </c>
      <c r="K5489" s="70" t="n">
        <v>500</v>
      </c>
      <c r="L5489" s="71" t="n">
        <v>1527.72</v>
      </c>
      <c r="M5489" s="71" t="n">
        <v>763860</v>
      </c>
      <c r="N5489" s="71" t="n">
        <v>267351</v>
      </c>
      <c r="O5489" s="71" t="n">
        <v>496509</v>
      </c>
      <c r="P5489" s="71" t="n">
        <v>139626.47</v>
      </c>
      <c r="Q5489" s="71" t="n">
        <v>356882.53</v>
      </c>
      <c r="R5489" t="inlineStr">
        <is>
          <t>Antiviral</t>
        </is>
      </c>
      <c r="S5489" s="70" t="n">
        <v>498</v>
      </c>
      <c r="T5489" s="71" t="n">
        <v>149852.92</v>
      </c>
      <c r="U5489" t="inlineStr">
        <is>
          <t>Low</t>
        </is>
      </c>
      <c r="V5489">
        <f>IF(AND(OR(Dashboard!$C$6="All",E5489=Dashboard!$C$6),OR(Dashboard!$F$6="All",G5489=Dashboard!$F$6),OR(Dashboard!$I$6="All",H5489=Dashboard!$I$6)),1,0)</f>
        <v/>
      </c>
    </row>
    <row r="5490">
      <c r="A5490" t="inlineStr">
        <is>
          <t>PF105481</t>
        </is>
      </c>
      <c r="B5490" s="68" t="n">
        <v>46317</v>
      </c>
      <c r="C5490" s="69" t="n">
        <v>2026</v>
      </c>
      <c r="D5490" t="inlineStr">
        <is>
          <t>Oct</t>
        </is>
      </c>
      <c r="E5490" t="inlineStr">
        <is>
          <t>United States</t>
        </is>
      </c>
      <c r="F5490" t="inlineStr">
        <is>
          <t>USA</t>
        </is>
      </c>
      <c r="G5490" t="inlineStr">
        <is>
          <t>Eliquis</t>
        </is>
      </c>
      <c r="H5490" t="inlineStr">
        <is>
          <t>Hospital</t>
        </is>
      </c>
      <c r="I5490" t="inlineStr">
        <is>
          <t>Private insurer</t>
        </is>
      </c>
      <c r="J5490" t="inlineStr">
        <is>
          <t>Omar Haddad</t>
        </is>
      </c>
      <c r="K5490" s="70" t="n">
        <v>748</v>
      </c>
      <c r="L5490" s="71" t="n">
        <v>735.55</v>
      </c>
      <c r="M5490" s="71" t="n">
        <v>550191.4</v>
      </c>
      <c r="N5490" s="71" t="n">
        <v>192566.99</v>
      </c>
      <c r="O5490" s="71" t="n">
        <v>357624.41</v>
      </c>
      <c r="P5490" s="71" t="n">
        <v>58492.04</v>
      </c>
      <c r="Q5490" s="71" t="n">
        <v>299132.37</v>
      </c>
      <c r="R5490" t="inlineStr">
        <is>
          <t>Cardiology</t>
        </is>
      </c>
      <c r="S5490" s="70" t="n">
        <v>543</v>
      </c>
      <c r="T5490" s="71" t="n">
        <v>109741.06</v>
      </c>
      <c r="U5490" t="inlineStr">
        <is>
          <t>High</t>
        </is>
      </c>
      <c r="V5490">
        <f>IF(AND(OR(Dashboard!$C$6="All",E5490=Dashboard!$C$6),OR(Dashboard!$F$6="All",G5490=Dashboard!$F$6),OR(Dashboard!$I$6="All",H5490=Dashboard!$I$6)),1,0)</f>
        <v/>
      </c>
    </row>
    <row r="5491">
      <c r="A5491" t="inlineStr">
        <is>
          <t>PF105482</t>
        </is>
      </c>
      <c r="B5491" s="68" t="n">
        <v>46317</v>
      </c>
      <c r="C5491" s="69" t="n">
        <v>2026</v>
      </c>
      <c r="D5491" t="inlineStr">
        <is>
          <t>Oct</t>
        </is>
      </c>
      <c r="E5491" t="inlineStr">
        <is>
          <t>United States</t>
        </is>
      </c>
      <c r="F5491" t="inlineStr">
        <is>
          <t>USA</t>
        </is>
      </c>
      <c r="G5491" t="inlineStr">
        <is>
          <t>Eliquis</t>
        </is>
      </c>
      <c r="H5491" t="inlineStr">
        <is>
          <t>Retail pharmacy</t>
        </is>
      </c>
      <c r="I5491" t="inlineStr">
        <is>
          <t>Public payer</t>
        </is>
      </c>
      <c r="J5491" t="inlineStr">
        <is>
          <t>Ana Costa</t>
        </is>
      </c>
      <c r="K5491" s="70" t="n">
        <v>3083</v>
      </c>
      <c r="L5491" s="71" t="n">
        <v>758.72</v>
      </c>
      <c r="M5491" s="71" t="n">
        <v>2339133.76</v>
      </c>
      <c r="N5491" s="71" t="n">
        <v>350870.06</v>
      </c>
      <c r="O5491" s="71" t="n">
        <v>1988263.7</v>
      </c>
      <c r="P5491" s="71" t="n">
        <v>229761.75</v>
      </c>
      <c r="Q5491" s="71" t="n">
        <v>1758501.95</v>
      </c>
      <c r="R5491" t="inlineStr">
        <is>
          <t>Cardiology</t>
        </is>
      </c>
      <c r="S5491" s="70" t="n">
        <v>2718</v>
      </c>
      <c r="T5491" s="71" t="n">
        <v>388994.18</v>
      </c>
      <c r="U5491" t="inlineStr">
        <is>
          <t>High</t>
        </is>
      </c>
      <c r="V5491">
        <f>IF(AND(OR(Dashboard!$C$6="All",E5491=Dashboard!$C$6),OR(Dashboard!$F$6="All",G5491=Dashboard!$F$6),OR(Dashboard!$I$6="All",H5491=Dashboard!$I$6)),1,0)</f>
        <v/>
      </c>
    </row>
    <row r="5492">
      <c r="A5492" t="inlineStr">
        <is>
          <t>PF105483</t>
        </is>
      </c>
      <c r="B5492" s="68" t="n">
        <v>46317</v>
      </c>
      <c r="C5492" s="69" t="n">
        <v>2026</v>
      </c>
      <c r="D5492" t="inlineStr">
        <is>
          <t>Oct</t>
        </is>
      </c>
      <c r="E5492" t="inlineStr">
        <is>
          <t>Emerging markets</t>
        </is>
      </c>
      <c r="F5492" t="inlineStr">
        <is>
          <t>Brazil</t>
        </is>
      </c>
      <c r="G5492" t="inlineStr">
        <is>
          <t>Eliquis</t>
        </is>
      </c>
      <c r="H5492" t="inlineStr">
        <is>
          <t>Hospital</t>
        </is>
      </c>
      <c r="I5492" t="inlineStr">
        <is>
          <t>Public payer</t>
        </is>
      </c>
      <c r="J5492" t="inlineStr">
        <is>
          <t>Priya Nair</t>
        </is>
      </c>
      <c r="K5492" s="70" t="n">
        <v>1825</v>
      </c>
      <c r="L5492" s="71" t="n">
        <v>433.49</v>
      </c>
      <c r="M5492" s="71" t="n">
        <v>791119.25</v>
      </c>
      <c r="N5492" s="71" t="n">
        <v>158223.85</v>
      </c>
      <c r="O5492" s="71" t="n">
        <v>632895.4</v>
      </c>
      <c r="P5492" s="71" t="n">
        <v>136150.76</v>
      </c>
      <c r="Q5492" s="71" t="n">
        <v>496744.64</v>
      </c>
      <c r="R5492" t="inlineStr">
        <is>
          <t>Cardiology</t>
        </is>
      </c>
      <c r="S5492" s="70" t="n">
        <v>1447</v>
      </c>
      <c r="T5492" s="71" t="n">
        <v>134533.3</v>
      </c>
      <c r="U5492" t="inlineStr">
        <is>
          <t>High</t>
        </is>
      </c>
      <c r="V5492">
        <f>IF(AND(OR(Dashboard!$C$6="All",E5492=Dashboard!$C$6),OR(Dashboard!$F$6="All",G5492=Dashboard!$F$6),OR(Dashboard!$I$6="All",H5492=Dashboard!$I$6)),1,0)</f>
        <v/>
      </c>
    </row>
    <row r="5493">
      <c r="A5493" t="inlineStr">
        <is>
          <t>PF105484</t>
        </is>
      </c>
      <c r="B5493" s="68" t="n">
        <v>46317</v>
      </c>
      <c r="C5493" s="69" t="n">
        <v>2026</v>
      </c>
      <c r="D5493" t="inlineStr">
        <is>
          <t>Oct</t>
        </is>
      </c>
      <c r="E5493" t="inlineStr">
        <is>
          <t>United States</t>
        </is>
      </c>
      <c r="F5493" t="inlineStr">
        <is>
          <t>USA</t>
        </is>
      </c>
      <c r="G5493" t="inlineStr">
        <is>
          <t>Prevnar 20</t>
        </is>
      </c>
      <c r="H5493" t="inlineStr">
        <is>
          <t>Retail pharmacy</t>
        </is>
      </c>
      <c r="I5493" t="inlineStr">
        <is>
          <t>Self-pay</t>
        </is>
      </c>
      <c r="J5493" t="inlineStr">
        <is>
          <t>Yuki Sato</t>
        </is>
      </c>
      <c r="K5493" s="70" t="n">
        <v>3062</v>
      </c>
      <c r="L5493" s="71" t="n">
        <v>386.36</v>
      </c>
      <c r="M5493" s="71" t="n">
        <v>1183034.32</v>
      </c>
      <c r="N5493" s="71" t="n">
        <v>354910.3</v>
      </c>
      <c r="O5493" s="71" t="n">
        <v>828124.02</v>
      </c>
      <c r="P5493" s="71" t="n">
        <v>216361.24</v>
      </c>
      <c r="Q5493" s="71" t="n">
        <v>611762.78</v>
      </c>
      <c r="R5493" t="inlineStr">
        <is>
          <t>Vaccines</t>
        </is>
      </c>
      <c r="S5493" s="70" t="n">
        <v>2081</v>
      </c>
      <c r="T5493" s="71" t="n">
        <v>157709.31</v>
      </c>
      <c r="U5493" t="inlineStr">
        <is>
          <t>Low</t>
        </is>
      </c>
      <c r="V5493">
        <f>IF(AND(OR(Dashboard!$C$6="All",E5493=Dashboard!$C$6),OR(Dashboard!$F$6="All",G5493=Dashboard!$F$6),OR(Dashboard!$I$6="All",H5493=Dashboard!$I$6)),1,0)</f>
        <v/>
      </c>
    </row>
    <row r="5494">
      <c r="A5494" t="inlineStr">
        <is>
          <t>PF105485</t>
        </is>
      </c>
      <c r="B5494" s="68" t="n">
        <v>46317</v>
      </c>
      <c r="C5494" s="69" t="n">
        <v>2026</v>
      </c>
      <c r="D5494" t="inlineStr">
        <is>
          <t>Oct</t>
        </is>
      </c>
      <c r="E5494" t="inlineStr">
        <is>
          <t>Europe</t>
        </is>
      </c>
      <c r="F5494" t="inlineStr">
        <is>
          <t>Spain</t>
        </is>
      </c>
      <c r="G5494" t="inlineStr">
        <is>
          <t>Eliquis</t>
        </is>
      </c>
      <c r="H5494" t="inlineStr">
        <is>
          <t>Hospital</t>
        </is>
      </c>
      <c r="I5494" t="inlineStr">
        <is>
          <t>Private insurer</t>
        </is>
      </c>
      <c r="J5494" t="inlineStr">
        <is>
          <t>Amir Khan</t>
        </is>
      </c>
      <c r="K5494" s="70" t="n">
        <v>1339</v>
      </c>
      <c r="L5494" s="71" t="n">
        <v>418.96</v>
      </c>
      <c r="M5494" s="71" t="n">
        <v>560987.4399999999</v>
      </c>
      <c r="N5494" s="71" t="n">
        <v>112197.49</v>
      </c>
      <c r="O5494" s="71" t="n">
        <v>448789.95</v>
      </c>
      <c r="P5494" s="71" t="n">
        <v>104969.84</v>
      </c>
      <c r="Q5494" s="71" t="n">
        <v>343820.11</v>
      </c>
      <c r="R5494" t="inlineStr">
        <is>
          <t>Cardiology</t>
        </is>
      </c>
      <c r="S5494" s="70" t="n">
        <v>871</v>
      </c>
      <c r="T5494" s="71" t="n">
        <v>66398.52</v>
      </c>
      <c r="U5494" t="inlineStr">
        <is>
          <t>High</t>
        </is>
      </c>
      <c r="V5494">
        <f>IF(AND(OR(Dashboard!$C$6="All",E5494=Dashboard!$C$6),OR(Dashboard!$F$6="All",G5494=Dashboard!$F$6),OR(Dashboard!$I$6="All",H5494=Dashboard!$I$6)),1,0)</f>
        <v/>
      </c>
    </row>
    <row r="5495">
      <c r="A5495" t="inlineStr">
        <is>
          <t>PF105486</t>
        </is>
      </c>
      <c r="B5495" s="68" t="n">
        <v>46317</v>
      </c>
      <c r="C5495" s="69" t="n">
        <v>2026</v>
      </c>
      <c r="D5495" t="inlineStr">
        <is>
          <t>Oct</t>
        </is>
      </c>
      <c r="E5495" t="inlineStr">
        <is>
          <t>United States</t>
        </is>
      </c>
      <c r="F5495" t="inlineStr">
        <is>
          <t>USA</t>
        </is>
      </c>
      <c r="G5495" t="inlineStr">
        <is>
          <t>Eliquis</t>
        </is>
      </c>
      <c r="H5495" t="inlineStr">
        <is>
          <t>Government / tender</t>
        </is>
      </c>
      <c r="I5495" t="inlineStr">
        <is>
          <t>Public payer</t>
        </is>
      </c>
      <c r="J5495" t="inlineStr">
        <is>
          <t>Mei Lin</t>
        </is>
      </c>
      <c r="K5495" s="70" t="n">
        <v>257</v>
      </c>
      <c r="L5495" s="71" t="n">
        <v>721.1900000000001</v>
      </c>
      <c r="M5495" s="71" t="n">
        <v>185345.83</v>
      </c>
      <c r="N5495" s="71" t="n">
        <v>64871.04</v>
      </c>
      <c r="O5495" s="71" t="n">
        <v>120474.79</v>
      </c>
      <c r="P5495" s="71" t="n">
        <v>19475.68</v>
      </c>
      <c r="Q5495" s="71" t="n">
        <v>100999.11</v>
      </c>
      <c r="R5495" t="inlineStr">
        <is>
          <t>Cardiology</t>
        </is>
      </c>
      <c r="S5495" s="70" t="n">
        <v>166</v>
      </c>
      <c r="T5495" s="71" t="n">
        <v>38565.54</v>
      </c>
      <c r="U5495" t="inlineStr">
        <is>
          <t>High</t>
        </is>
      </c>
      <c r="V5495">
        <f>IF(AND(OR(Dashboard!$C$6="All",E5495=Dashboard!$C$6),OR(Dashboard!$F$6="All",G5495=Dashboard!$F$6),OR(Dashboard!$I$6="All",H5495=Dashboard!$I$6)),1,0)</f>
        <v/>
      </c>
    </row>
    <row r="5496">
      <c r="A5496" t="inlineStr">
        <is>
          <t>PF105487</t>
        </is>
      </c>
      <c r="B5496" s="68" t="n">
        <v>46317</v>
      </c>
      <c r="C5496" s="69" t="n">
        <v>2026</v>
      </c>
      <c r="D5496" t="inlineStr">
        <is>
          <t>Oct</t>
        </is>
      </c>
      <c r="E5496" t="inlineStr">
        <is>
          <t>United States</t>
        </is>
      </c>
      <c r="F5496" t="inlineStr">
        <is>
          <t>USA</t>
        </is>
      </c>
      <c r="G5496" t="inlineStr">
        <is>
          <t>Xeljanz</t>
        </is>
      </c>
      <c r="H5496" t="inlineStr">
        <is>
          <t>Government / tender</t>
        </is>
      </c>
      <c r="I5496" t="inlineStr">
        <is>
          <t>Self-pay</t>
        </is>
      </c>
      <c r="J5496" t="inlineStr">
        <is>
          <t>Liam O'Brien</t>
        </is>
      </c>
      <c r="K5496" s="70" t="n">
        <v>2037</v>
      </c>
      <c r="L5496" s="71" t="n">
        <v>2251.25</v>
      </c>
      <c r="M5496" s="71" t="n">
        <v>4585796.25</v>
      </c>
      <c r="N5496" s="71" t="n">
        <v>1375738.88</v>
      </c>
      <c r="O5496" s="71" t="n">
        <v>3210057.37</v>
      </c>
      <c r="P5496" s="71" t="n">
        <v>511149.33</v>
      </c>
      <c r="Q5496" s="71" t="n">
        <v>2698908.04</v>
      </c>
      <c r="R5496" t="inlineStr">
        <is>
          <t>Inflammation</t>
        </is>
      </c>
      <c r="S5496" s="70" t="n">
        <v>1821</v>
      </c>
      <c r="T5496" s="71" t="n">
        <v>1027971.76</v>
      </c>
      <c r="U5496" t="inlineStr">
        <is>
          <t>High</t>
        </is>
      </c>
      <c r="V5496">
        <f>IF(AND(OR(Dashboard!$C$6="All",E5496=Dashboard!$C$6),OR(Dashboard!$F$6="All",G5496=Dashboard!$F$6),OR(Dashboard!$I$6="All",H5496=Dashboard!$I$6)),1,0)</f>
        <v/>
      </c>
    </row>
    <row r="5497">
      <c r="A5497" t="inlineStr">
        <is>
          <t>PF105488</t>
        </is>
      </c>
      <c r="B5497" s="68" t="n">
        <v>46318</v>
      </c>
      <c r="C5497" s="69" t="n">
        <v>2026</v>
      </c>
      <c r="D5497" t="inlineStr">
        <is>
          <t>Oct</t>
        </is>
      </c>
      <c r="E5497" t="inlineStr">
        <is>
          <t>United States</t>
        </is>
      </c>
      <c r="F5497" t="inlineStr">
        <is>
          <t>USA</t>
        </is>
      </c>
      <c r="G5497" t="inlineStr">
        <is>
          <t>Prevnar 20</t>
        </is>
      </c>
      <c r="H5497" t="inlineStr">
        <is>
          <t>Retail pharmacy</t>
        </is>
      </c>
      <c r="I5497" t="inlineStr">
        <is>
          <t>Public payer</t>
        </is>
      </c>
      <c r="J5497" t="inlineStr">
        <is>
          <t>Lucas Martin</t>
        </is>
      </c>
      <c r="K5497" s="70" t="n">
        <v>2325</v>
      </c>
      <c r="L5497" s="71" t="n">
        <v>370.01</v>
      </c>
      <c r="M5497" s="71" t="n">
        <v>860273.25</v>
      </c>
      <c r="N5497" s="71" t="n">
        <v>258081.98</v>
      </c>
      <c r="O5497" s="71" t="n">
        <v>602191.27</v>
      </c>
      <c r="P5497" s="71" t="n">
        <v>161538.93</v>
      </c>
      <c r="Q5497" s="71" t="n">
        <v>440652.34</v>
      </c>
      <c r="R5497" t="inlineStr">
        <is>
          <t>Vaccines</t>
        </is>
      </c>
      <c r="S5497" s="70" t="n">
        <v>1775</v>
      </c>
      <c r="T5497" s="71" t="n">
        <v>180012.27</v>
      </c>
      <c r="U5497" t="inlineStr">
        <is>
          <t>Low</t>
        </is>
      </c>
      <c r="V5497">
        <f>IF(AND(OR(Dashboard!$C$6="All",E5497=Dashboard!$C$6),OR(Dashboard!$F$6="All",G5497=Dashboard!$F$6),OR(Dashboard!$I$6="All",H5497=Dashboard!$I$6)),1,0)</f>
        <v/>
      </c>
    </row>
    <row r="5498">
      <c r="A5498" t="inlineStr">
        <is>
          <t>PF105489</t>
        </is>
      </c>
      <c r="B5498" s="68" t="n">
        <v>46318</v>
      </c>
      <c r="C5498" s="69" t="n">
        <v>2026</v>
      </c>
      <c r="D5498" t="inlineStr">
        <is>
          <t>Oct</t>
        </is>
      </c>
      <c r="E5498" t="inlineStr">
        <is>
          <t>Europe</t>
        </is>
      </c>
      <c r="F5498" t="inlineStr">
        <is>
          <t>Spain</t>
        </is>
      </c>
      <c r="G5498" t="inlineStr">
        <is>
          <t>Eliquis</t>
        </is>
      </c>
      <c r="H5498" t="inlineStr">
        <is>
          <t>Government / tender</t>
        </is>
      </c>
      <c r="I5498" t="inlineStr">
        <is>
          <t>Public payer</t>
        </is>
      </c>
      <c r="J5498" t="inlineStr">
        <is>
          <t>Priya Nair</t>
        </is>
      </c>
      <c r="K5498" s="70" t="n">
        <v>288</v>
      </c>
      <c r="L5498" s="71" t="n">
        <v>438.51</v>
      </c>
      <c r="M5498" s="71" t="n">
        <v>126290.88</v>
      </c>
      <c r="N5498" s="71" t="n">
        <v>31572.72</v>
      </c>
      <c r="O5498" s="71" t="n">
        <v>94718.16</v>
      </c>
      <c r="P5498" s="71" t="n">
        <v>22055.95</v>
      </c>
      <c r="Q5498" s="71" t="n">
        <v>72662.21000000001</v>
      </c>
      <c r="R5498" t="inlineStr">
        <is>
          <t>Cardiology</t>
        </is>
      </c>
      <c r="S5498" s="70" t="n">
        <v>215</v>
      </c>
      <c r="T5498" s="71" t="n">
        <v>23856.09</v>
      </c>
      <c r="U5498" t="inlineStr">
        <is>
          <t>High</t>
        </is>
      </c>
      <c r="V5498">
        <f>IF(AND(OR(Dashboard!$C$6="All",E5498=Dashboard!$C$6),OR(Dashboard!$F$6="All",G5498=Dashboard!$F$6),OR(Dashboard!$I$6="All",H5498=Dashboard!$I$6)),1,0)</f>
        <v/>
      </c>
    </row>
    <row r="5499">
      <c r="A5499" t="inlineStr">
        <is>
          <t>PF105490</t>
        </is>
      </c>
      <c r="B5499" s="68" t="n">
        <v>46318</v>
      </c>
      <c r="C5499" s="69" t="n">
        <v>2026</v>
      </c>
      <c r="D5499" t="inlineStr">
        <is>
          <t>Oct</t>
        </is>
      </c>
      <c r="E5499" t="inlineStr">
        <is>
          <t>United States</t>
        </is>
      </c>
      <c r="F5499" t="inlineStr">
        <is>
          <t>USA</t>
        </is>
      </c>
      <c r="G5499" t="inlineStr">
        <is>
          <t>Paxlovid</t>
        </is>
      </c>
      <c r="H5499" t="inlineStr">
        <is>
          <t>Government / tender</t>
        </is>
      </c>
      <c r="I5499" t="inlineStr">
        <is>
          <t>Self-pay</t>
        </is>
      </c>
      <c r="J5499" t="inlineStr">
        <is>
          <t>Olivia Brown</t>
        </is>
      </c>
      <c r="K5499" s="70" t="n">
        <v>418</v>
      </c>
      <c r="L5499" s="71" t="n">
        <v>1575.1</v>
      </c>
      <c r="M5499" s="71" t="n">
        <v>658391.8</v>
      </c>
      <c r="N5499" s="71" t="n">
        <v>230437.13</v>
      </c>
      <c r="O5499" s="71" t="n">
        <v>427954.67</v>
      </c>
      <c r="P5499" s="71" t="n">
        <v>111116.71</v>
      </c>
      <c r="Q5499" s="71" t="n">
        <v>316837.96</v>
      </c>
      <c r="R5499" t="inlineStr">
        <is>
          <t>Antiviral</t>
        </is>
      </c>
      <c r="S5499" s="70" t="n">
        <v>362</v>
      </c>
      <c r="T5499" s="71" t="n">
        <v>95184.23</v>
      </c>
      <c r="U5499" t="inlineStr">
        <is>
          <t>Low</t>
        </is>
      </c>
      <c r="V5499">
        <f>IF(AND(OR(Dashboard!$C$6="All",E5499=Dashboard!$C$6),OR(Dashboard!$F$6="All",G5499=Dashboard!$F$6),OR(Dashboard!$I$6="All",H5499=Dashboard!$I$6)),1,0)</f>
        <v/>
      </c>
    </row>
    <row r="5500">
      <c r="A5500" t="inlineStr">
        <is>
          <t>PF105491</t>
        </is>
      </c>
      <c r="B5500" s="68" t="n">
        <v>46318</v>
      </c>
      <c r="C5500" s="69" t="n">
        <v>2026</v>
      </c>
      <c r="D5500" t="inlineStr">
        <is>
          <t>Oct</t>
        </is>
      </c>
      <c r="E5500" t="inlineStr">
        <is>
          <t>Europe</t>
        </is>
      </c>
      <c r="F5500" t="inlineStr">
        <is>
          <t>Germany</t>
        </is>
      </c>
      <c r="G5500" t="inlineStr">
        <is>
          <t>Ibrance</t>
        </is>
      </c>
      <c r="H5500" t="inlineStr">
        <is>
          <t>Retail pharmacy</t>
        </is>
      </c>
      <c r="I5500" t="inlineStr">
        <is>
          <t>Public payer</t>
        </is>
      </c>
      <c r="J5500" t="inlineStr">
        <is>
          <t>Zoya Ahmed</t>
        </is>
      </c>
      <c r="K5500" s="70" t="n">
        <v>2465</v>
      </c>
      <c r="L5500" s="71" t="n">
        <v>2772.02</v>
      </c>
      <c r="M5500" s="71" t="n">
        <v>6833029.3</v>
      </c>
      <c r="N5500" s="71" t="n">
        <v>1708257.32</v>
      </c>
      <c r="O5500" s="71" t="n">
        <v>5124771.98</v>
      </c>
      <c r="P5500" s="71" t="n">
        <v>1081962.94</v>
      </c>
      <c r="Q5500" s="71" t="n">
        <v>4042809.04</v>
      </c>
      <c r="R5500" t="inlineStr">
        <is>
          <t>Oncology</t>
        </is>
      </c>
      <c r="S5500" s="70" t="n">
        <v>1804</v>
      </c>
      <c r="T5500" s="71" t="n">
        <v>969716.04</v>
      </c>
      <c r="U5500" t="inlineStr">
        <is>
          <t>High</t>
        </is>
      </c>
      <c r="V5500">
        <f>IF(AND(OR(Dashboard!$C$6="All",E5500=Dashboard!$C$6),OR(Dashboard!$F$6="All",G5500=Dashboard!$F$6),OR(Dashboard!$I$6="All",H5500=Dashboard!$I$6)),1,0)</f>
        <v/>
      </c>
    </row>
    <row r="5501">
      <c r="A5501" t="inlineStr">
        <is>
          <t>PF105492</t>
        </is>
      </c>
      <c r="B5501" s="68" t="n">
        <v>46318</v>
      </c>
      <c r="C5501" s="69" t="n">
        <v>2026</v>
      </c>
      <c r="D5501" t="inlineStr">
        <is>
          <t>Oct</t>
        </is>
      </c>
      <c r="E5501" t="inlineStr">
        <is>
          <t>Europe</t>
        </is>
      </c>
      <c r="F5501" t="inlineStr">
        <is>
          <t>UK</t>
        </is>
      </c>
      <c r="G5501" t="inlineStr">
        <is>
          <t>Comirnaty</t>
        </is>
      </c>
      <c r="H5501" t="inlineStr">
        <is>
          <t>Retail pharmacy</t>
        </is>
      </c>
      <c r="I5501" t="inlineStr">
        <is>
          <t>Private insurer</t>
        </is>
      </c>
      <c r="J5501" t="inlineStr">
        <is>
          <t>Omar Haddad</t>
        </is>
      </c>
      <c r="K5501" s="70" t="n">
        <v>1892</v>
      </c>
      <c r="L5501" s="71" t="n">
        <v>87.23999999999999</v>
      </c>
      <c r="M5501" s="71" t="n">
        <v>165058.08</v>
      </c>
      <c r="N5501" s="71" t="n">
        <v>33011.62</v>
      </c>
      <c r="O5501" s="71" t="n">
        <v>132046.46</v>
      </c>
      <c r="P5501" s="71" t="n">
        <v>70200.50999999999</v>
      </c>
      <c r="Q5501" s="71" t="n">
        <v>61845.95</v>
      </c>
      <c r="R5501" t="inlineStr">
        <is>
          <t>Vaccines</t>
        </is>
      </c>
      <c r="S5501" s="70" t="n">
        <v>1624</v>
      </c>
      <c r="T5501" s="71" t="n">
        <v>36998.17</v>
      </c>
      <c r="U5501" t="inlineStr">
        <is>
          <t>Low</t>
        </is>
      </c>
      <c r="V5501">
        <f>IF(AND(OR(Dashboard!$C$6="All",E5501=Dashboard!$C$6),OR(Dashboard!$F$6="All",G5501=Dashboard!$F$6),OR(Dashboard!$I$6="All",H5501=Dashboard!$I$6)),1,0)</f>
        <v/>
      </c>
    </row>
    <row r="5502">
      <c r="A5502" t="inlineStr">
        <is>
          <t>PF105493</t>
        </is>
      </c>
      <c r="B5502" s="68" t="n">
        <v>46318</v>
      </c>
      <c r="C5502" s="69" t="n">
        <v>2026</v>
      </c>
      <c r="D5502" t="inlineStr">
        <is>
          <t>Oct</t>
        </is>
      </c>
      <c r="E5502" t="inlineStr">
        <is>
          <t>United States</t>
        </is>
      </c>
      <c r="F5502" t="inlineStr">
        <is>
          <t>USA</t>
        </is>
      </c>
      <c r="G5502" t="inlineStr">
        <is>
          <t>Eliquis</t>
        </is>
      </c>
      <c r="H5502" t="inlineStr">
        <is>
          <t>Retail pharmacy</t>
        </is>
      </c>
      <c r="I5502" t="inlineStr">
        <is>
          <t>Public payer</t>
        </is>
      </c>
      <c r="J5502" t="inlineStr">
        <is>
          <t>Noah Smith</t>
        </is>
      </c>
      <c r="K5502" s="70" t="n">
        <v>2531</v>
      </c>
      <c r="L5502" s="71" t="n">
        <v>647.4400000000001</v>
      </c>
      <c r="M5502" s="71" t="n">
        <v>1638670.64</v>
      </c>
      <c r="N5502" s="71" t="n">
        <v>573534.72</v>
      </c>
      <c r="O5502" s="71" t="n">
        <v>1065135.92</v>
      </c>
      <c r="P5502" s="71" t="n">
        <v>193092.48</v>
      </c>
      <c r="Q5502" s="71" t="n">
        <v>872043.4399999999</v>
      </c>
      <c r="R5502" t="inlineStr">
        <is>
          <t>Cardiology</t>
        </is>
      </c>
      <c r="S5502" s="70" t="n">
        <v>1974</v>
      </c>
      <c r="T5502" s="71" t="n">
        <v>191201.16</v>
      </c>
      <c r="U5502" t="inlineStr">
        <is>
          <t>High</t>
        </is>
      </c>
      <c r="V5502">
        <f>IF(AND(OR(Dashboard!$C$6="All",E5502=Dashboard!$C$6),OR(Dashboard!$F$6="All",G5502=Dashboard!$F$6),OR(Dashboard!$I$6="All",H5502=Dashboard!$I$6)),1,0)</f>
        <v/>
      </c>
    </row>
    <row r="5503">
      <c r="A5503" t="inlineStr">
        <is>
          <t>PF105494</t>
        </is>
      </c>
      <c r="B5503" s="68" t="n">
        <v>46318</v>
      </c>
      <c r="C5503" s="69" t="n">
        <v>2026</v>
      </c>
      <c r="D5503" t="inlineStr">
        <is>
          <t>Oct</t>
        </is>
      </c>
      <c r="E5503" t="inlineStr">
        <is>
          <t>Emerging markets</t>
        </is>
      </c>
      <c r="F5503" t="inlineStr">
        <is>
          <t>Mexico</t>
        </is>
      </c>
      <c r="G5503" t="inlineStr">
        <is>
          <t>Eliquis</t>
        </is>
      </c>
      <c r="H5503" t="inlineStr">
        <is>
          <t>Government / tender</t>
        </is>
      </c>
      <c r="I5503" t="inlineStr">
        <is>
          <t>Public payer</t>
        </is>
      </c>
      <c r="J5503" t="inlineStr">
        <is>
          <t>Olivia Brown</t>
        </is>
      </c>
      <c r="K5503" s="70" t="n">
        <v>2899</v>
      </c>
      <c r="L5503" s="71" t="n">
        <v>409.48</v>
      </c>
      <c r="M5503" s="71" t="n">
        <v>1187082.52</v>
      </c>
      <c r="N5503" s="71" t="n">
        <v>59354.13</v>
      </c>
      <c r="O5503" s="71" t="n">
        <v>1127728.39</v>
      </c>
      <c r="P5503" s="71" t="n">
        <v>214708.85</v>
      </c>
      <c r="Q5503" s="71" t="n">
        <v>913019.54</v>
      </c>
      <c r="R5503" t="inlineStr">
        <is>
          <t>Cardiology</t>
        </is>
      </c>
      <c r="S5503" s="70" t="n">
        <v>2254</v>
      </c>
      <c r="T5503" s="71" t="n">
        <v>210218.52</v>
      </c>
      <c r="U5503" t="inlineStr">
        <is>
          <t>High</t>
        </is>
      </c>
      <c r="V5503">
        <f>IF(AND(OR(Dashboard!$C$6="All",E5503=Dashboard!$C$6),OR(Dashboard!$F$6="All",G5503=Dashboard!$F$6),OR(Dashboard!$I$6="All",H5503=Dashboard!$I$6)),1,0)</f>
        <v/>
      </c>
    </row>
    <row r="5504">
      <c r="A5504" t="inlineStr">
        <is>
          <t>PF105495</t>
        </is>
      </c>
      <c r="B5504" s="68" t="n">
        <v>46318</v>
      </c>
      <c r="C5504" s="69" t="n">
        <v>2026</v>
      </c>
      <c r="D5504" t="inlineStr">
        <is>
          <t>Oct</t>
        </is>
      </c>
      <c r="E5504" t="inlineStr">
        <is>
          <t>Emerging markets</t>
        </is>
      </c>
      <c r="F5504" t="inlineStr">
        <is>
          <t>Brazil</t>
        </is>
      </c>
      <c r="G5504" t="inlineStr">
        <is>
          <t>Eliquis</t>
        </is>
      </c>
      <c r="H5504" t="inlineStr">
        <is>
          <t>Government / tender</t>
        </is>
      </c>
      <c r="I5504" t="inlineStr">
        <is>
          <t>Private insurer</t>
        </is>
      </c>
      <c r="J5504" t="inlineStr">
        <is>
          <t>Priya Nair</t>
        </is>
      </c>
      <c r="K5504" s="70" t="n">
        <v>202</v>
      </c>
      <c r="L5504" s="71" t="n">
        <v>459.14</v>
      </c>
      <c r="M5504" s="71" t="n">
        <v>92746.28</v>
      </c>
      <c r="N5504" s="71" t="n">
        <v>13911.94</v>
      </c>
      <c r="O5504" s="71" t="n">
        <v>78834.34</v>
      </c>
      <c r="P5504" s="71" t="n">
        <v>15457</v>
      </c>
      <c r="Q5504" s="71" t="n">
        <v>63377.34</v>
      </c>
      <c r="R5504" t="inlineStr">
        <is>
          <t>Cardiology</t>
        </is>
      </c>
      <c r="S5504" s="70" t="n">
        <v>166</v>
      </c>
      <c r="T5504" s="71" t="n">
        <v>19291.68</v>
      </c>
      <c r="U5504" t="inlineStr">
        <is>
          <t>High</t>
        </is>
      </c>
      <c r="V5504">
        <f>IF(AND(OR(Dashboard!$C$6="All",E5504=Dashboard!$C$6),OR(Dashboard!$F$6="All",G5504=Dashboard!$F$6),OR(Dashboard!$I$6="All",H5504=Dashboard!$I$6)),1,0)</f>
        <v/>
      </c>
    </row>
    <row r="5505">
      <c r="A5505" t="inlineStr">
        <is>
          <t>PF105496</t>
        </is>
      </c>
      <c r="B5505" s="68" t="n">
        <v>46318</v>
      </c>
      <c r="C5505" s="69" t="n">
        <v>2026</v>
      </c>
      <c r="D5505" t="inlineStr">
        <is>
          <t>Oct</t>
        </is>
      </c>
      <c r="E5505" t="inlineStr">
        <is>
          <t>United States</t>
        </is>
      </c>
      <c r="F5505" t="inlineStr">
        <is>
          <t>USA</t>
        </is>
      </c>
      <c r="G5505" t="inlineStr">
        <is>
          <t>Vyndaqel</t>
        </is>
      </c>
      <c r="H5505" t="inlineStr">
        <is>
          <t>Retail pharmacy</t>
        </is>
      </c>
      <c r="I5505" t="inlineStr">
        <is>
          <t>Self-pay</t>
        </is>
      </c>
      <c r="J5505" t="inlineStr">
        <is>
          <t>Omar Haddad</t>
        </is>
      </c>
      <c r="K5505" s="70" t="n">
        <v>2467</v>
      </c>
      <c r="L5505" s="71" t="n">
        <v>9159.34</v>
      </c>
      <c r="M5505" s="71" t="n">
        <v>22596091.78</v>
      </c>
      <c r="N5505" s="71" t="n">
        <v>6778827.53</v>
      </c>
      <c r="O5505" s="71" t="n">
        <v>15817264.25</v>
      </c>
      <c r="P5505" s="71" t="n">
        <v>1580399.8</v>
      </c>
      <c r="Q5505" s="71" t="n">
        <v>14236864.45</v>
      </c>
      <c r="R5505" t="inlineStr">
        <is>
          <t>Rare disease</t>
        </is>
      </c>
      <c r="S5505" s="70" t="n">
        <v>1634</v>
      </c>
      <c r="T5505" s="71" t="n">
        <v>2778688.23</v>
      </c>
      <c r="U5505" t="inlineStr">
        <is>
          <t>Medium</t>
        </is>
      </c>
      <c r="V5505">
        <f>IF(AND(OR(Dashboard!$C$6="All",E5505=Dashboard!$C$6),OR(Dashboard!$F$6="All",G5505=Dashboard!$F$6),OR(Dashboard!$I$6="All",H5505=Dashboard!$I$6)),1,0)</f>
        <v/>
      </c>
    </row>
    <row r="5506">
      <c r="A5506" t="inlineStr">
        <is>
          <t>PF105497</t>
        </is>
      </c>
      <c r="B5506" s="68" t="n">
        <v>46319</v>
      </c>
      <c r="C5506" s="69" t="n">
        <v>2026</v>
      </c>
      <c r="D5506" t="inlineStr">
        <is>
          <t>Oct</t>
        </is>
      </c>
      <c r="E5506" t="inlineStr">
        <is>
          <t>United States</t>
        </is>
      </c>
      <c r="F5506" t="inlineStr">
        <is>
          <t>USA</t>
        </is>
      </c>
      <c r="G5506" t="inlineStr">
        <is>
          <t>Prevnar 20</t>
        </is>
      </c>
      <c r="H5506" t="inlineStr">
        <is>
          <t>Retail pharmacy</t>
        </is>
      </c>
      <c r="I5506" t="inlineStr">
        <is>
          <t>Public payer</t>
        </is>
      </c>
      <c r="J5506" t="inlineStr">
        <is>
          <t>Sophie Müller</t>
        </is>
      </c>
      <c r="K5506" s="70" t="n">
        <v>1294</v>
      </c>
      <c r="L5506" s="71" t="n">
        <v>367.35</v>
      </c>
      <c r="M5506" s="71" t="n">
        <v>475350.9</v>
      </c>
      <c r="N5506" s="71" t="n">
        <v>142605.27</v>
      </c>
      <c r="O5506" s="71" t="n">
        <v>332745.63</v>
      </c>
      <c r="P5506" s="71" t="n">
        <v>92247.19</v>
      </c>
      <c r="Q5506" s="71" t="n">
        <v>240498.44</v>
      </c>
      <c r="R5506" t="inlineStr">
        <is>
          <t>Vaccines</t>
        </is>
      </c>
      <c r="S5506" s="70" t="n">
        <v>1254</v>
      </c>
      <c r="T5506" s="71" t="n">
        <v>94189.94</v>
      </c>
      <c r="U5506" t="inlineStr">
        <is>
          <t>Low</t>
        </is>
      </c>
      <c r="V5506">
        <f>IF(AND(OR(Dashboard!$C$6="All",E5506=Dashboard!$C$6),OR(Dashboard!$F$6="All",G5506=Dashboard!$F$6),OR(Dashboard!$I$6="All",H5506=Dashboard!$I$6)),1,0)</f>
        <v/>
      </c>
    </row>
    <row r="5507">
      <c r="A5507" t="inlineStr">
        <is>
          <t>PF105498</t>
        </is>
      </c>
      <c r="B5507" s="68" t="n">
        <v>46319</v>
      </c>
      <c r="C5507" s="69" t="n">
        <v>2026</v>
      </c>
      <c r="D5507" t="inlineStr">
        <is>
          <t>Oct</t>
        </is>
      </c>
      <c r="E5507" t="inlineStr">
        <is>
          <t>United States</t>
        </is>
      </c>
      <c r="F5507" t="inlineStr">
        <is>
          <t>USA</t>
        </is>
      </c>
      <c r="G5507" t="inlineStr">
        <is>
          <t>Comirnaty</t>
        </is>
      </c>
      <c r="H5507" t="inlineStr">
        <is>
          <t>Retail pharmacy</t>
        </is>
      </c>
      <c r="I5507" t="inlineStr">
        <is>
          <t>Public payer</t>
        </is>
      </c>
      <c r="J5507" t="inlineStr">
        <is>
          <t>Carlos Silva</t>
        </is>
      </c>
      <c r="K5507" s="70" t="n">
        <v>1960</v>
      </c>
      <c r="L5507" s="71" t="n">
        <v>152.97</v>
      </c>
      <c r="M5507" s="71" t="n">
        <v>299821.2</v>
      </c>
      <c r="N5507" s="71" t="n">
        <v>74955.3</v>
      </c>
      <c r="O5507" s="71" t="n">
        <v>224865.9</v>
      </c>
      <c r="P5507" s="71" t="n">
        <v>75061.71000000001</v>
      </c>
      <c r="Q5507" s="71" t="n">
        <v>149804.19</v>
      </c>
      <c r="R5507" t="inlineStr">
        <is>
          <t>Vaccines</t>
        </is>
      </c>
      <c r="S5507" s="70" t="n">
        <v>1434</v>
      </c>
      <c r="T5507" s="71" t="n">
        <v>77873.13</v>
      </c>
      <c r="U5507" t="inlineStr">
        <is>
          <t>Low</t>
        </is>
      </c>
      <c r="V5507">
        <f>IF(AND(OR(Dashboard!$C$6="All",E5507=Dashboard!$C$6),OR(Dashboard!$F$6="All",G5507=Dashboard!$F$6),OR(Dashboard!$I$6="All",H5507=Dashboard!$I$6)),1,0)</f>
        <v/>
      </c>
    </row>
    <row r="5508">
      <c r="A5508" t="inlineStr">
        <is>
          <t>PF105499</t>
        </is>
      </c>
      <c r="B5508" s="68" t="n">
        <v>46319</v>
      </c>
      <c r="C5508" s="69" t="n">
        <v>2026</v>
      </c>
      <c r="D5508" t="inlineStr">
        <is>
          <t>Oct</t>
        </is>
      </c>
      <c r="E5508" t="inlineStr">
        <is>
          <t>United States</t>
        </is>
      </c>
      <c r="F5508" t="inlineStr">
        <is>
          <t>USA</t>
        </is>
      </c>
      <c r="G5508" t="inlineStr">
        <is>
          <t>Prevnar 20</t>
        </is>
      </c>
      <c r="H5508" t="inlineStr">
        <is>
          <t>Retail pharmacy</t>
        </is>
      </c>
      <c r="I5508" t="inlineStr">
        <is>
          <t>Public payer</t>
        </is>
      </c>
      <c r="J5508" t="inlineStr">
        <is>
          <t>Liam O'Brien</t>
        </is>
      </c>
      <c r="K5508" s="70" t="n">
        <v>2587</v>
      </c>
      <c r="L5508" s="71" t="n">
        <v>395.01</v>
      </c>
      <c r="M5508" s="71" t="n">
        <v>1021890.87</v>
      </c>
      <c r="N5508" s="71" t="n">
        <v>306567.26</v>
      </c>
      <c r="O5508" s="71" t="n">
        <v>715323.61</v>
      </c>
      <c r="P5508" s="71" t="n">
        <v>179993.41</v>
      </c>
      <c r="Q5508" s="71" t="n">
        <v>535330.2</v>
      </c>
      <c r="R5508" t="inlineStr">
        <is>
          <t>Vaccines</t>
        </is>
      </c>
      <c r="S5508" s="70" t="n">
        <v>1953</v>
      </c>
      <c r="T5508" s="71" t="n">
        <v>126431.45</v>
      </c>
      <c r="U5508" t="inlineStr">
        <is>
          <t>Low</t>
        </is>
      </c>
      <c r="V5508">
        <f>IF(AND(OR(Dashboard!$C$6="All",E5508=Dashboard!$C$6),OR(Dashboard!$F$6="All",G5508=Dashboard!$F$6),OR(Dashboard!$I$6="All",H5508=Dashboard!$I$6)),1,0)</f>
        <v/>
      </c>
    </row>
    <row r="5509">
      <c r="A5509" t="inlineStr">
        <is>
          <t>PF105500</t>
        </is>
      </c>
      <c r="B5509" s="68" t="n">
        <v>46319</v>
      </c>
      <c r="C5509" s="69" t="n">
        <v>2026</v>
      </c>
      <c r="D5509" t="inlineStr">
        <is>
          <t>Oct</t>
        </is>
      </c>
      <c r="E5509" t="inlineStr">
        <is>
          <t>United States</t>
        </is>
      </c>
      <c r="F5509" t="inlineStr">
        <is>
          <t>USA</t>
        </is>
      </c>
      <c r="G5509" t="inlineStr">
        <is>
          <t>Abrysvo</t>
        </is>
      </c>
      <c r="H5509" t="inlineStr">
        <is>
          <t>Retail pharmacy</t>
        </is>
      </c>
      <c r="I5509" t="inlineStr">
        <is>
          <t>Self-pay</t>
        </is>
      </c>
      <c r="J5509" t="inlineStr">
        <is>
          <t>Arjun Mehta</t>
        </is>
      </c>
      <c r="K5509" s="70" t="n">
        <v>3455</v>
      </c>
      <c r="L5509" s="71" t="n">
        <v>560.8200000000001</v>
      </c>
      <c r="M5509" s="71" t="n">
        <v>1937633.1</v>
      </c>
      <c r="N5509" s="71" t="n">
        <v>484408.28</v>
      </c>
      <c r="O5509" s="71" t="n">
        <v>1453224.82</v>
      </c>
      <c r="P5509" s="71" t="n">
        <v>300374.67</v>
      </c>
      <c r="Q5509" s="71" t="n">
        <v>1152850.15</v>
      </c>
      <c r="R5509" t="inlineStr">
        <is>
          <t>Vaccines</t>
        </is>
      </c>
      <c r="S5509" s="70" t="n">
        <v>2220</v>
      </c>
      <c r="T5509" s="71" t="n">
        <v>222317.77</v>
      </c>
      <c r="U5509" t="inlineStr">
        <is>
          <t>Low</t>
        </is>
      </c>
      <c r="V5509">
        <f>IF(AND(OR(Dashboard!$C$6="All",E5509=Dashboard!$C$6),OR(Dashboard!$F$6="All",G5509=Dashboard!$F$6),OR(Dashboard!$I$6="All",H5509=Dashboard!$I$6)),1,0)</f>
        <v/>
      </c>
    </row>
    <row r="5510">
      <c r="A5510" t="inlineStr">
        <is>
          <t>PF105501</t>
        </is>
      </c>
      <c r="B5510" s="68" t="n">
        <v>46319</v>
      </c>
      <c r="C5510" s="69" t="n">
        <v>2026</v>
      </c>
      <c r="D5510" t="inlineStr">
        <is>
          <t>Oct</t>
        </is>
      </c>
      <c r="E5510" t="inlineStr">
        <is>
          <t>United States</t>
        </is>
      </c>
      <c r="F5510" t="inlineStr">
        <is>
          <t>USA</t>
        </is>
      </c>
      <c r="G5510" t="inlineStr">
        <is>
          <t>Eliquis</t>
        </is>
      </c>
      <c r="H5510" t="inlineStr">
        <is>
          <t>Retail pharmacy</t>
        </is>
      </c>
      <c r="I5510" t="inlineStr">
        <is>
          <t>Private insurer</t>
        </is>
      </c>
      <c r="J5510" t="inlineStr">
        <is>
          <t>Fatima Al-Saud</t>
        </is>
      </c>
      <c r="K5510" s="70" t="n">
        <v>1979</v>
      </c>
      <c r="L5510" s="71" t="n">
        <v>647.39</v>
      </c>
      <c r="M5510" s="71" t="n">
        <v>1281184.81</v>
      </c>
      <c r="N5510" s="71" t="n">
        <v>192177.72</v>
      </c>
      <c r="O5510" s="71" t="n">
        <v>1089007.09</v>
      </c>
      <c r="P5510" s="71" t="n">
        <v>148423.47</v>
      </c>
      <c r="Q5510" s="71" t="n">
        <v>940583.62</v>
      </c>
      <c r="R5510" t="inlineStr">
        <is>
          <t>Cardiology</t>
        </is>
      </c>
      <c r="S5510" s="70" t="n">
        <v>1335</v>
      </c>
      <c r="T5510" s="71" t="n">
        <v>256953.21</v>
      </c>
      <c r="U5510" t="inlineStr">
        <is>
          <t>High</t>
        </is>
      </c>
      <c r="V5510">
        <f>IF(AND(OR(Dashboard!$C$6="All",E5510=Dashboard!$C$6),OR(Dashboard!$F$6="All",G5510=Dashboard!$F$6),OR(Dashboard!$I$6="All",H5510=Dashboard!$I$6)),1,0)</f>
        <v/>
      </c>
    </row>
    <row r="5511">
      <c r="A5511" t="inlineStr">
        <is>
          <t>PF105502</t>
        </is>
      </c>
      <c r="B5511" s="68" t="n">
        <v>46319</v>
      </c>
      <c r="C5511" s="69" t="n">
        <v>2026</v>
      </c>
      <c r="D5511" t="inlineStr">
        <is>
          <t>Oct</t>
        </is>
      </c>
      <c r="E5511" t="inlineStr">
        <is>
          <t>International developed</t>
        </is>
      </c>
      <c r="F5511" t="inlineStr">
        <is>
          <t>Australia</t>
        </is>
      </c>
      <c r="G5511" t="inlineStr">
        <is>
          <t>Xeljanz</t>
        </is>
      </c>
      <c r="H5511" t="inlineStr">
        <is>
          <t>Retail pharmacy</t>
        </is>
      </c>
      <c r="I5511" t="inlineStr">
        <is>
          <t>Public payer</t>
        </is>
      </c>
      <c r="J5511" t="inlineStr">
        <is>
          <t>Aisha Bello</t>
        </is>
      </c>
      <c r="K5511" s="70" t="n">
        <v>419</v>
      </c>
      <c r="L5511" s="71" t="n">
        <v>1279.02</v>
      </c>
      <c r="M5511" s="71" t="n">
        <v>535909.38</v>
      </c>
      <c r="N5511" s="71" t="n">
        <v>26795.47</v>
      </c>
      <c r="O5511" s="71" t="n">
        <v>509113.91</v>
      </c>
      <c r="P5511" s="71" t="n">
        <v>107773.83</v>
      </c>
      <c r="Q5511" s="71" t="n">
        <v>401340.08</v>
      </c>
      <c r="R5511" t="inlineStr">
        <is>
          <t>Inflammation</t>
        </is>
      </c>
      <c r="S5511" s="70" t="n">
        <v>268</v>
      </c>
      <c r="T5511" s="71" t="n">
        <v>115960.63</v>
      </c>
      <c r="U5511" t="inlineStr">
        <is>
          <t>High</t>
        </is>
      </c>
      <c r="V5511">
        <f>IF(AND(OR(Dashboard!$C$6="All",E5511=Dashboard!$C$6),OR(Dashboard!$F$6="All",G5511=Dashboard!$F$6),OR(Dashboard!$I$6="All",H5511=Dashboard!$I$6)),1,0)</f>
        <v/>
      </c>
    </row>
    <row r="5512">
      <c r="A5512" t="inlineStr">
        <is>
          <t>PF105503</t>
        </is>
      </c>
      <c r="B5512" s="68" t="n">
        <v>46320</v>
      </c>
      <c r="C5512" s="69" t="n">
        <v>2026</v>
      </c>
      <c r="D5512" t="inlineStr">
        <is>
          <t>Oct</t>
        </is>
      </c>
      <c r="E5512" t="inlineStr">
        <is>
          <t>Europe</t>
        </is>
      </c>
      <c r="F5512" t="inlineStr">
        <is>
          <t>Germany</t>
        </is>
      </c>
      <c r="G5512" t="inlineStr">
        <is>
          <t>Ibrance</t>
        </is>
      </c>
      <c r="H5512" t="inlineStr">
        <is>
          <t>Retail pharmacy</t>
        </is>
      </c>
      <c r="I5512" t="inlineStr">
        <is>
          <t>Private insurer</t>
        </is>
      </c>
      <c r="J5512" t="inlineStr">
        <is>
          <t>Amir Khan</t>
        </is>
      </c>
      <c r="K5512" s="70" t="n">
        <v>2788</v>
      </c>
      <c r="L5512" s="71" t="n">
        <v>3045.27</v>
      </c>
      <c r="M5512" s="71" t="n">
        <v>8490212.76</v>
      </c>
      <c r="N5512" s="71" t="n">
        <v>424510.64</v>
      </c>
      <c r="O5512" s="71" t="n">
        <v>8065702.12</v>
      </c>
      <c r="P5512" s="71" t="n">
        <v>1252584.39</v>
      </c>
      <c r="Q5512" s="71" t="n">
        <v>6813117.73</v>
      </c>
      <c r="R5512" t="inlineStr">
        <is>
          <t>Oncology</t>
        </is>
      </c>
      <c r="S5512" s="70" t="n">
        <v>1919</v>
      </c>
      <c r="T5512" s="71" t="n">
        <v>1235835.22</v>
      </c>
      <c r="U5512" t="inlineStr">
        <is>
          <t>High</t>
        </is>
      </c>
      <c r="V5512">
        <f>IF(AND(OR(Dashboard!$C$6="All",E5512=Dashboard!$C$6),OR(Dashboard!$F$6="All",G5512=Dashboard!$F$6),OR(Dashboard!$I$6="All",H5512=Dashboard!$I$6)),1,0)</f>
        <v/>
      </c>
    </row>
    <row r="5513">
      <c r="A5513" t="inlineStr">
        <is>
          <t>PF105504</t>
        </is>
      </c>
      <c r="B5513" s="68" t="n">
        <v>46320</v>
      </c>
      <c r="C5513" s="69" t="n">
        <v>2026</v>
      </c>
      <c r="D5513" t="inlineStr">
        <is>
          <t>Oct</t>
        </is>
      </c>
      <c r="E5513" t="inlineStr">
        <is>
          <t>Emerging markets</t>
        </is>
      </c>
      <c r="F5513" t="inlineStr">
        <is>
          <t>Mexico</t>
        </is>
      </c>
      <c r="G5513" t="inlineStr">
        <is>
          <t>Prevnar 20</t>
        </is>
      </c>
      <c r="H5513" t="inlineStr">
        <is>
          <t>Retail pharmacy</t>
        </is>
      </c>
      <c r="I5513" t="inlineStr">
        <is>
          <t>Public payer</t>
        </is>
      </c>
      <c r="J5513" t="inlineStr">
        <is>
          <t>Shraddha Kulkarni</t>
        </is>
      </c>
      <c r="K5513" s="70" t="n">
        <v>1448</v>
      </c>
      <c r="L5513" s="71" t="n">
        <v>243.43</v>
      </c>
      <c r="M5513" s="71" t="n">
        <v>352486.64</v>
      </c>
      <c r="N5513" s="71" t="n">
        <v>17624.33</v>
      </c>
      <c r="O5513" s="71" t="n">
        <v>334862.31</v>
      </c>
      <c r="P5513" s="71" t="n">
        <v>98124.53</v>
      </c>
      <c r="Q5513" s="71" t="n">
        <v>236737.78</v>
      </c>
      <c r="R5513" t="inlineStr">
        <is>
          <t>Vaccines</t>
        </is>
      </c>
      <c r="S5513" s="70" t="n">
        <v>1318</v>
      </c>
      <c r="T5513" s="71" t="n">
        <v>47071.83</v>
      </c>
      <c r="U5513" t="inlineStr">
        <is>
          <t>Low</t>
        </is>
      </c>
      <c r="V5513">
        <f>IF(AND(OR(Dashboard!$C$6="All",E5513=Dashboard!$C$6),OR(Dashboard!$F$6="All",G5513=Dashboard!$F$6),OR(Dashboard!$I$6="All",H5513=Dashboard!$I$6)),1,0)</f>
        <v/>
      </c>
    </row>
    <row r="5514">
      <c r="A5514" t="inlineStr">
        <is>
          <t>PF105505</t>
        </is>
      </c>
      <c r="B5514" s="68" t="n">
        <v>46320</v>
      </c>
      <c r="C5514" s="69" t="n">
        <v>2026</v>
      </c>
      <c r="D5514" t="inlineStr">
        <is>
          <t>Oct</t>
        </is>
      </c>
      <c r="E5514" t="inlineStr">
        <is>
          <t>Europe</t>
        </is>
      </c>
      <c r="F5514" t="inlineStr">
        <is>
          <t>Spain</t>
        </is>
      </c>
      <c r="G5514" t="inlineStr">
        <is>
          <t>Ibrance</t>
        </is>
      </c>
      <c r="H5514" t="inlineStr">
        <is>
          <t>Retail pharmacy</t>
        </is>
      </c>
      <c r="I5514" t="inlineStr">
        <is>
          <t>Public payer</t>
        </is>
      </c>
      <c r="J5514" t="inlineStr">
        <is>
          <t>Omar Haddad</t>
        </is>
      </c>
      <c r="K5514" s="70" t="n">
        <v>1820</v>
      </c>
      <c r="L5514" s="71" t="n">
        <v>2622</v>
      </c>
      <c r="M5514" s="71" t="n">
        <v>4772040</v>
      </c>
      <c r="N5514" s="71" t="n">
        <v>715806</v>
      </c>
      <c r="O5514" s="71" t="n">
        <v>4056234</v>
      </c>
      <c r="P5514" s="71" t="n">
        <v>774119.11</v>
      </c>
      <c r="Q5514" s="71" t="n">
        <v>3282114.89</v>
      </c>
      <c r="R5514" t="inlineStr">
        <is>
          <t>Oncology</t>
        </is>
      </c>
      <c r="S5514" s="70" t="n">
        <v>1283</v>
      </c>
      <c r="T5514" s="71" t="n">
        <v>801999.67</v>
      </c>
      <c r="U5514" t="inlineStr">
        <is>
          <t>High</t>
        </is>
      </c>
      <c r="V5514">
        <f>IF(AND(OR(Dashboard!$C$6="All",E5514=Dashboard!$C$6),OR(Dashboard!$F$6="All",G5514=Dashboard!$F$6),OR(Dashboard!$I$6="All",H5514=Dashboard!$I$6)),1,0)</f>
        <v/>
      </c>
    </row>
    <row r="5515">
      <c r="A5515" t="inlineStr">
        <is>
          <t>PF105506</t>
        </is>
      </c>
      <c r="B5515" s="68" t="n">
        <v>46320</v>
      </c>
      <c r="C5515" s="69" t="n">
        <v>2026</v>
      </c>
      <c r="D5515" t="inlineStr">
        <is>
          <t>Oct</t>
        </is>
      </c>
      <c r="E5515" t="inlineStr">
        <is>
          <t>Europe</t>
        </is>
      </c>
      <c r="F5515" t="inlineStr">
        <is>
          <t>UK</t>
        </is>
      </c>
      <c r="G5515" t="inlineStr">
        <is>
          <t>Eliquis</t>
        </is>
      </c>
      <c r="H5515" t="inlineStr">
        <is>
          <t>Retail pharmacy</t>
        </is>
      </c>
      <c r="I5515" t="inlineStr">
        <is>
          <t>Private insurer</t>
        </is>
      </c>
      <c r="J5515" t="inlineStr">
        <is>
          <t>Ruhi Shaikh</t>
        </is>
      </c>
      <c r="K5515" s="70" t="n">
        <v>1988</v>
      </c>
      <c r="L5515" s="71" t="n">
        <v>417.99</v>
      </c>
      <c r="M5515" s="71" t="n">
        <v>830964.12</v>
      </c>
      <c r="N5515" s="71" t="n">
        <v>83096.41</v>
      </c>
      <c r="O5515" s="71" t="n">
        <v>747867.71</v>
      </c>
      <c r="P5515" s="71" t="n">
        <v>145858.82</v>
      </c>
      <c r="Q5515" s="71" t="n">
        <v>602008.89</v>
      </c>
      <c r="R5515" t="inlineStr">
        <is>
          <t>Cardiology</t>
        </is>
      </c>
      <c r="S5515" s="70" t="n">
        <v>1251</v>
      </c>
      <c r="T5515" s="71" t="n">
        <v>138582.13</v>
      </c>
      <c r="U5515" t="inlineStr">
        <is>
          <t>High</t>
        </is>
      </c>
      <c r="V5515">
        <f>IF(AND(OR(Dashboard!$C$6="All",E5515=Dashboard!$C$6),OR(Dashboard!$F$6="All",G5515=Dashboard!$F$6),OR(Dashboard!$I$6="All",H5515=Dashboard!$I$6)),1,0)</f>
        <v/>
      </c>
    </row>
    <row r="5516">
      <c r="A5516" t="inlineStr">
        <is>
          <t>PF105507</t>
        </is>
      </c>
      <c r="B5516" s="68" t="n">
        <v>46320</v>
      </c>
      <c r="C5516" s="69" t="n">
        <v>2026</v>
      </c>
      <c r="D5516" t="inlineStr">
        <is>
          <t>Oct</t>
        </is>
      </c>
      <c r="E5516" t="inlineStr">
        <is>
          <t>United States</t>
        </is>
      </c>
      <c r="F5516" t="inlineStr">
        <is>
          <t>USA</t>
        </is>
      </c>
      <c r="G5516" t="inlineStr">
        <is>
          <t>Vyndaqel</t>
        </is>
      </c>
      <c r="H5516" t="inlineStr">
        <is>
          <t>Hospital</t>
        </is>
      </c>
      <c r="I5516" t="inlineStr">
        <is>
          <t>Private insurer</t>
        </is>
      </c>
      <c r="J5516" t="inlineStr">
        <is>
          <t>Hiroshi Tanaka</t>
        </is>
      </c>
      <c r="K5516" s="70" t="n">
        <v>2608</v>
      </c>
      <c r="L5516" s="71" t="n">
        <v>8400.48</v>
      </c>
      <c r="M5516" s="71" t="n">
        <v>21908451.84</v>
      </c>
      <c r="N5516" s="71" t="n">
        <v>6572535.55</v>
      </c>
      <c r="O5516" s="71" t="n">
        <v>15335916.29</v>
      </c>
      <c r="P5516" s="71" t="n">
        <v>1617625.01</v>
      </c>
      <c r="Q5516" s="71" t="n">
        <v>13718291.28</v>
      </c>
      <c r="R5516" t="inlineStr">
        <is>
          <t>Rare disease</t>
        </is>
      </c>
      <c r="S5516" s="70" t="n">
        <v>1662</v>
      </c>
      <c r="T5516" s="71" t="n">
        <v>3036847.4</v>
      </c>
      <c r="U5516" t="inlineStr">
        <is>
          <t>Medium</t>
        </is>
      </c>
      <c r="V5516">
        <f>IF(AND(OR(Dashboard!$C$6="All",E5516=Dashboard!$C$6),OR(Dashboard!$F$6="All",G5516=Dashboard!$F$6),OR(Dashboard!$I$6="All",H5516=Dashboard!$I$6)),1,0)</f>
        <v/>
      </c>
    </row>
    <row r="5517">
      <c r="A5517" t="inlineStr">
        <is>
          <t>PF105508</t>
        </is>
      </c>
      <c r="B5517" s="68" t="n">
        <v>46320</v>
      </c>
      <c r="C5517" s="69" t="n">
        <v>2026</v>
      </c>
      <c r="D5517" t="inlineStr">
        <is>
          <t>Oct</t>
        </is>
      </c>
      <c r="E5517" t="inlineStr">
        <is>
          <t>United States</t>
        </is>
      </c>
      <c r="F5517" t="inlineStr">
        <is>
          <t>USA</t>
        </is>
      </c>
      <c r="G5517" t="inlineStr">
        <is>
          <t>Paxlovid</t>
        </is>
      </c>
      <c r="H5517" t="inlineStr">
        <is>
          <t>Hospital</t>
        </is>
      </c>
      <c r="I5517" t="inlineStr">
        <is>
          <t>Public payer</t>
        </is>
      </c>
      <c r="J5517" t="inlineStr">
        <is>
          <t>Mei Lin</t>
        </is>
      </c>
      <c r="K5517" s="70" t="n">
        <v>1299</v>
      </c>
      <c r="L5517" s="71" t="n">
        <v>1496.17</v>
      </c>
      <c r="M5517" s="71" t="n">
        <v>1943524.83</v>
      </c>
      <c r="N5517" s="71" t="n">
        <v>583057.45</v>
      </c>
      <c r="O5517" s="71" t="n">
        <v>1360467.38</v>
      </c>
      <c r="P5517" s="71" t="n">
        <v>351229.26</v>
      </c>
      <c r="Q5517" s="71" t="n">
        <v>1009238.12</v>
      </c>
      <c r="R5517" t="inlineStr">
        <is>
          <t>Antiviral</t>
        </is>
      </c>
      <c r="S5517" s="70" t="n">
        <v>886</v>
      </c>
      <c r="T5517" s="71" t="n">
        <v>451098.17</v>
      </c>
      <c r="U5517" t="inlineStr">
        <is>
          <t>Low</t>
        </is>
      </c>
      <c r="V5517">
        <f>IF(AND(OR(Dashboard!$C$6="All",E5517=Dashboard!$C$6),OR(Dashboard!$F$6="All",G5517=Dashboard!$F$6),OR(Dashboard!$I$6="All",H5517=Dashboard!$I$6)),1,0)</f>
        <v/>
      </c>
    </row>
    <row r="5518">
      <c r="A5518" t="inlineStr">
        <is>
          <t>PF105509</t>
        </is>
      </c>
      <c r="B5518" s="68" t="n">
        <v>46321</v>
      </c>
      <c r="C5518" s="69" t="n">
        <v>2026</v>
      </c>
      <c r="D5518" t="inlineStr">
        <is>
          <t>Oct</t>
        </is>
      </c>
      <c r="E5518" t="inlineStr">
        <is>
          <t>United States</t>
        </is>
      </c>
      <c r="F5518" t="inlineStr">
        <is>
          <t>USA</t>
        </is>
      </c>
      <c r="G5518" t="inlineStr">
        <is>
          <t>Prevnar 20</t>
        </is>
      </c>
      <c r="H5518" t="inlineStr">
        <is>
          <t>Retail pharmacy</t>
        </is>
      </c>
      <c r="I5518" t="inlineStr">
        <is>
          <t>Private insurer</t>
        </is>
      </c>
      <c r="J5518" t="inlineStr">
        <is>
          <t>Ana Costa</t>
        </is>
      </c>
      <c r="K5518" s="70" t="n">
        <v>2124</v>
      </c>
      <c r="L5518" s="71" t="n">
        <v>339.13</v>
      </c>
      <c r="M5518" s="71" t="n">
        <v>720312.12</v>
      </c>
      <c r="N5518" s="71" t="n">
        <v>180078.03</v>
      </c>
      <c r="O5518" s="71" t="n">
        <v>540234.09</v>
      </c>
      <c r="P5518" s="71" t="n">
        <v>149816.13</v>
      </c>
      <c r="Q5518" s="71" t="n">
        <v>390417.96</v>
      </c>
      <c r="R5518" t="inlineStr">
        <is>
          <t>Vaccines</t>
        </is>
      </c>
      <c r="S5518" s="70" t="n">
        <v>1602</v>
      </c>
      <c r="T5518" s="71" t="n">
        <v>99852.36</v>
      </c>
      <c r="U5518" t="inlineStr">
        <is>
          <t>Low</t>
        </is>
      </c>
      <c r="V5518">
        <f>IF(AND(OR(Dashboard!$C$6="All",E5518=Dashboard!$C$6),OR(Dashboard!$F$6="All",G5518=Dashboard!$F$6),OR(Dashboard!$I$6="All",H5518=Dashboard!$I$6)),1,0)</f>
        <v/>
      </c>
    </row>
    <row r="5519">
      <c r="A5519" t="inlineStr">
        <is>
          <t>PF105510</t>
        </is>
      </c>
      <c r="B5519" s="68" t="n">
        <v>46321</v>
      </c>
      <c r="C5519" s="69" t="n">
        <v>2026</v>
      </c>
      <c r="D5519" t="inlineStr">
        <is>
          <t>Oct</t>
        </is>
      </c>
      <c r="E5519" t="inlineStr">
        <is>
          <t>United States</t>
        </is>
      </c>
      <c r="F5519" t="inlineStr">
        <is>
          <t>USA</t>
        </is>
      </c>
      <c r="G5519" t="inlineStr">
        <is>
          <t>Paxlovid</t>
        </is>
      </c>
      <c r="H5519" t="inlineStr">
        <is>
          <t>Retail pharmacy</t>
        </is>
      </c>
      <c r="I5519" t="inlineStr">
        <is>
          <t>Private insurer</t>
        </is>
      </c>
      <c r="J5519" t="inlineStr">
        <is>
          <t>Ravindra Patil</t>
        </is>
      </c>
      <c r="K5519" s="70" t="n">
        <v>2041</v>
      </c>
      <c r="L5519" s="71" t="n">
        <v>1360.43</v>
      </c>
      <c r="M5519" s="71" t="n">
        <v>2776637.63</v>
      </c>
      <c r="N5519" s="71" t="n">
        <v>416495.64</v>
      </c>
      <c r="O5519" s="71" t="n">
        <v>2360141.99</v>
      </c>
      <c r="P5519" s="71" t="n">
        <v>574713.77</v>
      </c>
      <c r="Q5519" s="71" t="n">
        <v>1785428.22</v>
      </c>
      <c r="R5519" t="inlineStr">
        <is>
          <t>Antiviral</t>
        </is>
      </c>
      <c r="S5519" s="70" t="n">
        <v>1471</v>
      </c>
      <c r="T5519" s="71" t="n">
        <v>708160.46</v>
      </c>
      <c r="U5519" t="inlineStr">
        <is>
          <t>Low</t>
        </is>
      </c>
      <c r="V5519">
        <f>IF(AND(OR(Dashboard!$C$6="All",E5519=Dashboard!$C$6),OR(Dashboard!$F$6="All",G5519=Dashboard!$F$6),OR(Dashboard!$I$6="All",H5519=Dashboard!$I$6)),1,0)</f>
        <v/>
      </c>
    </row>
    <row r="5520">
      <c r="A5520" t="inlineStr">
        <is>
          <t>PF105511</t>
        </is>
      </c>
      <c r="B5520" s="68" t="n">
        <v>46321</v>
      </c>
      <c r="C5520" s="69" t="n">
        <v>2026</v>
      </c>
      <c r="D5520" t="inlineStr">
        <is>
          <t>Oct</t>
        </is>
      </c>
      <c r="E5520" t="inlineStr">
        <is>
          <t>United States</t>
        </is>
      </c>
      <c r="F5520" t="inlineStr">
        <is>
          <t>USA</t>
        </is>
      </c>
      <c r="G5520" t="inlineStr">
        <is>
          <t>Comirnaty</t>
        </is>
      </c>
      <c r="H5520" t="inlineStr">
        <is>
          <t>Hospital</t>
        </is>
      </c>
      <c r="I5520" t="inlineStr">
        <is>
          <t>Public payer</t>
        </is>
      </c>
      <c r="J5520" t="inlineStr">
        <is>
          <t>Ruhi Shaikh</t>
        </is>
      </c>
      <c r="K5520" s="70" t="n">
        <v>918</v>
      </c>
      <c r="L5520" s="71" t="n">
        <v>129.85</v>
      </c>
      <c r="M5520" s="71" t="n">
        <v>119202.3</v>
      </c>
      <c r="N5520" s="71" t="n">
        <v>35760.69</v>
      </c>
      <c r="O5520" s="71" t="n">
        <v>83441.61</v>
      </c>
      <c r="P5520" s="71" t="n">
        <v>36283.66</v>
      </c>
      <c r="Q5520" s="71" t="n">
        <v>47157.95</v>
      </c>
      <c r="R5520" t="inlineStr">
        <is>
          <t>Vaccines</t>
        </is>
      </c>
      <c r="S5520" s="70" t="n">
        <v>651</v>
      </c>
      <c r="T5520" s="71" t="n">
        <v>24796.95</v>
      </c>
      <c r="U5520" t="inlineStr">
        <is>
          <t>Low</t>
        </is>
      </c>
      <c r="V5520">
        <f>IF(AND(OR(Dashboard!$C$6="All",E5520=Dashboard!$C$6),OR(Dashboard!$F$6="All",G5520=Dashboard!$F$6),OR(Dashboard!$I$6="All",H5520=Dashboard!$I$6)),1,0)</f>
        <v/>
      </c>
    </row>
    <row r="5521">
      <c r="A5521" t="inlineStr">
        <is>
          <t>PF105512</t>
        </is>
      </c>
      <c r="B5521" s="68" t="n">
        <v>46321</v>
      </c>
      <c r="C5521" s="69" t="n">
        <v>2026</v>
      </c>
      <c r="D5521" t="inlineStr">
        <is>
          <t>Oct</t>
        </is>
      </c>
      <c r="E5521" t="inlineStr">
        <is>
          <t>United States</t>
        </is>
      </c>
      <c r="F5521" t="inlineStr">
        <is>
          <t>USA</t>
        </is>
      </c>
      <c r="G5521" t="inlineStr">
        <is>
          <t>Eliquis</t>
        </is>
      </c>
      <c r="H5521" t="inlineStr">
        <is>
          <t>Hospital</t>
        </is>
      </c>
      <c r="I5521" t="inlineStr">
        <is>
          <t>Public payer</t>
        </is>
      </c>
      <c r="J5521" t="inlineStr">
        <is>
          <t>Olivia Brown</t>
        </is>
      </c>
      <c r="K5521" s="70" t="n">
        <v>2604</v>
      </c>
      <c r="L5521" s="71" t="n">
        <v>699.97</v>
      </c>
      <c r="M5521" s="71" t="n">
        <v>1822721.88</v>
      </c>
      <c r="N5521" s="71" t="n">
        <v>546816.5600000001</v>
      </c>
      <c r="O5521" s="71" t="n">
        <v>1275905.32</v>
      </c>
      <c r="P5521" s="71" t="n">
        <v>192367.42</v>
      </c>
      <c r="Q5521" s="71" t="n">
        <v>1083537.9</v>
      </c>
      <c r="R5521" t="inlineStr">
        <is>
          <t>Cardiology</t>
        </is>
      </c>
      <c r="S5521" s="70" t="n">
        <v>2070</v>
      </c>
      <c r="T5521" s="71" t="n">
        <v>303655.8</v>
      </c>
      <c r="U5521" t="inlineStr">
        <is>
          <t>High</t>
        </is>
      </c>
      <c r="V5521">
        <f>IF(AND(OR(Dashboard!$C$6="All",E5521=Dashboard!$C$6),OR(Dashboard!$F$6="All",G5521=Dashboard!$F$6),OR(Dashboard!$I$6="All",H5521=Dashboard!$I$6)),1,0)</f>
        <v/>
      </c>
    </row>
    <row r="5522">
      <c r="A5522" t="inlineStr">
        <is>
          <t>PF105513</t>
        </is>
      </c>
      <c r="B5522" s="68" t="n">
        <v>46321</v>
      </c>
      <c r="C5522" s="69" t="n">
        <v>2026</v>
      </c>
      <c r="D5522" t="inlineStr">
        <is>
          <t>Oct</t>
        </is>
      </c>
      <c r="E5522" t="inlineStr">
        <is>
          <t>United States</t>
        </is>
      </c>
      <c r="F5522" t="inlineStr">
        <is>
          <t>USA</t>
        </is>
      </c>
      <c r="G5522" t="inlineStr">
        <is>
          <t>Eliquis</t>
        </is>
      </c>
      <c r="H5522" t="inlineStr">
        <is>
          <t>Hospital</t>
        </is>
      </c>
      <c r="I5522" t="inlineStr">
        <is>
          <t>Public payer</t>
        </is>
      </c>
      <c r="J5522" t="inlineStr">
        <is>
          <t>Emma Clarke</t>
        </is>
      </c>
      <c r="K5522" s="70" t="n">
        <v>2984</v>
      </c>
      <c r="L5522" s="71" t="n">
        <v>649.22</v>
      </c>
      <c r="M5522" s="71" t="n">
        <v>1937272.48</v>
      </c>
      <c r="N5522" s="71" t="n">
        <v>484318.12</v>
      </c>
      <c r="O5522" s="71" t="n">
        <v>1452954.36</v>
      </c>
      <c r="P5522" s="71" t="n">
        <v>233428.15</v>
      </c>
      <c r="Q5522" s="71" t="n">
        <v>1219526.21</v>
      </c>
      <c r="R5522" t="inlineStr">
        <is>
          <t>Cardiology</t>
        </is>
      </c>
      <c r="S5522" s="70" t="n">
        <v>2223</v>
      </c>
      <c r="T5522" s="71" t="n">
        <v>349589.94</v>
      </c>
      <c r="U5522" t="inlineStr">
        <is>
          <t>High</t>
        </is>
      </c>
      <c r="V5522">
        <f>IF(AND(OR(Dashboard!$C$6="All",E5522=Dashboard!$C$6),OR(Dashboard!$F$6="All",G5522=Dashboard!$F$6),OR(Dashboard!$I$6="All",H5522=Dashboard!$I$6)),1,0)</f>
        <v/>
      </c>
    </row>
    <row r="5523">
      <c r="A5523" t="inlineStr">
        <is>
          <t>PF105514</t>
        </is>
      </c>
      <c r="B5523" s="68" t="n">
        <v>46321</v>
      </c>
      <c r="C5523" s="69" t="n">
        <v>2026</v>
      </c>
      <c r="D5523" t="inlineStr">
        <is>
          <t>Oct</t>
        </is>
      </c>
      <c r="E5523" t="inlineStr">
        <is>
          <t>United States</t>
        </is>
      </c>
      <c r="F5523" t="inlineStr">
        <is>
          <t>USA</t>
        </is>
      </c>
      <c r="G5523" t="inlineStr">
        <is>
          <t>Comirnaty</t>
        </is>
      </c>
      <c r="H5523" t="inlineStr">
        <is>
          <t>Hospital</t>
        </is>
      </c>
      <c r="I5523" t="inlineStr">
        <is>
          <t>Private insurer</t>
        </is>
      </c>
      <c r="J5523" t="inlineStr">
        <is>
          <t>Omar Haddad</t>
        </is>
      </c>
      <c r="K5523" s="70" t="n">
        <v>2485</v>
      </c>
      <c r="L5523" s="71" t="n">
        <v>148.58</v>
      </c>
      <c r="M5523" s="71" t="n">
        <v>369221.3</v>
      </c>
      <c r="N5523" s="71" t="n">
        <v>73844.25999999999</v>
      </c>
      <c r="O5523" s="71" t="n">
        <v>295377.04</v>
      </c>
      <c r="P5523" s="71" t="n">
        <v>92117.78</v>
      </c>
      <c r="Q5523" s="71" t="n">
        <v>203259.26</v>
      </c>
      <c r="R5523" t="inlineStr">
        <is>
          <t>Vaccines</t>
        </is>
      </c>
      <c r="S5523" s="70" t="n">
        <v>2265</v>
      </c>
      <c r="T5523" s="71" t="n">
        <v>99861</v>
      </c>
      <c r="U5523" t="inlineStr">
        <is>
          <t>Low</t>
        </is>
      </c>
      <c r="V5523">
        <f>IF(AND(OR(Dashboard!$C$6="All",E5523=Dashboard!$C$6),OR(Dashboard!$F$6="All",G5523=Dashboard!$F$6),OR(Dashboard!$I$6="All",H5523=Dashboard!$I$6)),1,0)</f>
        <v/>
      </c>
    </row>
    <row r="5524">
      <c r="A5524" t="inlineStr">
        <is>
          <t>PF105515</t>
        </is>
      </c>
      <c r="B5524" s="68" t="n">
        <v>46322</v>
      </c>
      <c r="C5524" s="69" t="n">
        <v>2026</v>
      </c>
      <c r="D5524" t="inlineStr">
        <is>
          <t>Oct</t>
        </is>
      </c>
      <c r="E5524" t="inlineStr">
        <is>
          <t>Europe</t>
        </is>
      </c>
      <c r="F5524" t="inlineStr">
        <is>
          <t>Spain</t>
        </is>
      </c>
      <c r="G5524" t="inlineStr">
        <is>
          <t>Prevnar 20</t>
        </is>
      </c>
      <c r="H5524" t="inlineStr">
        <is>
          <t>Hospital</t>
        </is>
      </c>
      <c r="I5524" t="inlineStr">
        <is>
          <t>Private insurer</t>
        </is>
      </c>
      <c r="J5524" t="inlineStr">
        <is>
          <t>Wei Chen</t>
        </is>
      </c>
      <c r="K5524" s="70" t="n">
        <v>1772</v>
      </c>
      <c r="L5524" s="71" t="n">
        <v>240.46</v>
      </c>
      <c r="M5524" s="71" t="n">
        <v>426095.12</v>
      </c>
      <c r="N5524" s="71" t="n">
        <v>106523.78</v>
      </c>
      <c r="O5524" s="71" t="n">
        <v>319571.34</v>
      </c>
      <c r="P5524" s="71" t="n">
        <v>122598.03</v>
      </c>
      <c r="Q5524" s="71" t="n">
        <v>196973.31</v>
      </c>
      <c r="R5524" t="inlineStr">
        <is>
          <t>Vaccines</t>
        </is>
      </c>
      <c r="S5524" s="70" t="n">
        <v>1179</v>
      </c>
      <c r="T5524" s="71" t="n">
        <v>53013.1</v>
      </c>
      <c r="U5524" t="inlineStr">
        <is>
          <t>Low</t>
        </is>
      </c>
      <c r="V5524">
        <f>IF(AND(OR(Dashboard!$C$6="All",E5524=Dashboard!$C$6),OR(Dashboard!$F$6="All",G5524=Dashboard!$F$6),OR(Dashboard!$I$6="All",H5524=Dashboard!$I$6)),1,0)</f>
        <v/>
      </c>
    </row>
    <row r="5525">
      <c r="A5525" t="inlineStr">
        <is>
          <t>PF105516</t>
        </is>
      </c>
      <c r="B5525" s="68" t="n">
        <v>46322</v>
      </c>
      <c r="C5525" s="69" t="n">
        <v>2026</v>
      </c>
      <c r="D5525" t="inlineStr">
        <is>
          <t>Oct</t>
        </is>
      </c>
      <c r="E5525" t="inlineStr">
        <is>
          <t>Europe</t>
        </is>
      </c>
      <c r="F5525" t="inlineStr">
        <is>
          <t>UK</t>
        </is>
      </c>
      <c r="G5525" t="inlineStr">
        <is>
          <t>Ibrance</t>
        </is>
      </c>
      <c r="H5525" t="inlineStr">
        <is>
          <t>Retail pharmacy</t>
        </is>
      </c>
      <c r="I5525" t="inlineStr">
        <is>
          <t>Private insurer</t>
        </is>
      </c>
      <c r="J5525" t="inlineStr">
        <is>
          <t>Kofi Mensah</t>
        </is>
      </c>
      <c r="K5525" s="70" t="n">
        <v>1268</v>
      </c>
      <c r="L5525" s="71" t="n">
        <v>3000.42</v>
      </c>
      <c r="M5525" s="71" t="n">
        <v>3804532.56</v>
      </c>
      <c r="N5525" s="71" t="n">
        <v>190226.63</v>
      </c>
      <c r="O5525" s="71" t="n">
        <v>3614305.93</v>
      </c>
      <c r="P5525" s="71" t="n">
        <v>560327.08</v>
      </c>
      <c r="Q5525" s="71" t="n">
        <v>3053978.85</v>
      </c>
      <c r="R5525" t="inlineStr">
        <is>
          <t>Oncology</t>
        </is>
      </c>
      <c r="S5525" s="70" t="n">
        <v>1085</v>
      </c>
      <c r="T5525" s="71" t="n">
        <v>841792.95</v>
      </c>
      <c r="U5525" t="inlineStr">
        <is>
          <t>High</t>
        </is>
      </c>
      <c r="V5525">
        <f>IF(AND(OR(Dashboard!$C$6="All",E5525=Dashboard!$C$6),OR(Dashboard!$F$6="All",G5525=Dashboard!$F$6),OR(Dashboard!$I$6="All",H5525=Dashboard!$I$6)),1,0)</f>
        <v/>
      </c>
    </row>
    <row r="5526">
      <c r="A5526" t="inlineStr">
        <is>
          <t>PF105517</t>
        </is>
      </c>
      <c r="B5526" s="68" t="n">
        <v>46322</v>
      </c>
      <c r="C5526" s="69" t="n">
        <v>2026</v>
      </c>
      <c r="D5526" t="inlineStr">
        <is>
          <t>Oct</t>
        </is>
      </c>
      <c r="E5526" t="inlineStr">
        <is>
          <t>United States</t>
        </is>
      </c>
      <c r="F5526" t="inlineStr">
        <is>
          <t>USA</t>
        </is>
      </c>
      <c r="G5526" t="inlineStr">
        <is>
          <t>Xeljanz</t>
        </is>
      </c>
      <c r="H5526" t="inlineStr">
        <is>
          <t>Government / tender</t>
        </is>
      </c>
      <c r="I5526" t="inlineStr">
        <is>
          <t>Public payer</t>
        </is>
      </c>
      <c r="J5526" t="inlineStr">
        <is>
          <t>Priya Nair</t>
        </is>
      </c>
      <c r="K5526" s="70" t="n">
        <v>1604</v>
      </c>
      <c r="L5526" s="71" t="n">
        <v>2330.87</v>
      </c>
      <c r="M5526" s="71" t="n">
        <v>3738715.48</v>
      </c>
      <c r="N5526" s="71" t="n">
        <v>560807.3199999999</v>
      </c>
      <c r="O5526" s="71" t="n">
        <v>3177908.16</v>
      </c>
      <c r="P5526" s="71" t="n">
        <v>388805.16</v>
      </c>
      <c r="Q5526" s="71" t="n">
        <v>2789103</v>
      </c>
      <c r="R5526" t="inlineStr">
        <is>
          <t>Inflammation</t>
        </is>
      </c>
      <c r="S5526" s="70" t="n">
        <v>1263</v>
      </c>
      <c r="T5526" s="71" t="n">
        <v>602445.25</v>
      </c>
      <c r="U5526" t="inlineStr">
        <is>
          <t>High</t>
        </is>
      </c>
      <c r="V5526">
        <f>IF(AND(OR(Dashboard!$C$6="All",E5526=Dashboard!$C$6),OR(Dashboard!$F$6="All",G5526=Dashboard!$F$6),OR(Dashboard!$I$6="All",H5526=Dashboard!$I$6)),1,0)</f>
        <v/>
      </c>
    </row>
    <row r="5527">
      <c r="A5527" t="inlineStr">
        <is>
          <t>PF105518</t>
        </is>
      </c>
      <c r="B5527" s="68" t="n">
        <v>46322</v>
      </c>
      <c r="C5527" s="69" t="n">
        <v>2026</v>
      </c>
      <c r="D5527" t="inlineStr">
        <is>
          <t>Oct</t>
        </is>
      </c>
      <c r="E5527" t="inlineStr">
        <is>
          <t>Europe</t>
        </is>
      </c>
      <c r="F5527" t="inlineStr">
        <is>
          <t>Spain</t>
        </is>
      </c>
      <c r="G5527" t="inlineStr">
        <is>
          <t>Xeljanz</t>
        </is>
      </c>
      <c r="H5527" t="inlineStr">
        <is>
          <t>Hospital</t>
        </is>
      </c>
      <c r="I5527" t="inlineStr">
        <is>
          <t>Private insurer</t>
        </is>
      </c>
      <c r="J5527" t="inlineStr">
        <is>
          <t>Mei Lin</t>
        </is>
      </c>
      <c r="K5527" s="70" t="n">
        <v>171</v>
      </c>
      <c r="L5527" s="71" t="n">
        <v>1320.17</v>
      </c>
      <c r="M5527" s="71" t="n">
        <v>225749.07</v>
      </c>
      <c r="N5527" s="71" t="n">
        <v>56437.27</v>
      </c>
      <c r="O5527" s="71" t="n">
        <v>169311.8</v>
      </c>
      <c r="P5527" s="71" t="n">
        <v>44634.16</v>
      </c>
      <c r="Q5527" s="71" t="n">
        <v>124677.64</v>
      </c>
      <c r="R5527" t="inlineStr">
        <is>
          <t>Inflammation</t>
        </is>
      </c>
      <c r="S5527" s="70" t="n">
        <v>142</v>
      </c>
      <c r="T5527" s="71" t="n">
        <v>47166.98</v>
      </c>
      <c r="U5527" t="inlineStr">
        <is>
          <t>High</t>
        </is>
      </c>
      <c r="V5527">
        <f>IF(AND(OR(Dashboard!$C$6="All",E5527=Dashboard!$C$6),OR(Dashboard!$F$6="All",G5527=Dashboard!$F$6),OR(Dashboard!$I$6="All",H5527=Dashboard!$I$6)),1,0)</f>
        <v/>
      </c>
    </row>
    <row r="5528">
      <c r="A5528" t="inlineStr">
        <is>
          <t>PF105519</t>
        </is>
      </c>
      <c r="B5528" s="68" t="n">
        <v>46322</v>
      </c>
      <c r="C5528" s="69" t="n">
        <v>2026</v>
      </c>
      <c r="D5528" t="inlineStr">
        <is>
          <t>Oct</t>
        </is>
      </c>
      <c r="E5528" t="inlineStr">
        <is>
          <t>United States</t>
        </is>
      </c>
      <c r="F5528" t="inlineStr">
        <is>
          <t>USA</t>
        </is>
      </c>
      <c r="G5528" t="inlineStr">
        <is>
          <t>Abrysvo</t>
        </is>
      </c>
      <c r="H5528" t="inlineStr">
        <is>
          <t>Hospital</t>
        </is>
      </c>
      <c r="I5528" t="inlineStr">
        <is>
          <t>Private insurer</t>
        </is>
      </c>
      <c r="J5528" t="inlineStr">
        <is>
          <t>Lucas Martin</t>
        </is>
      </c>
      <c r="K5528" s="70" t="n">
        <v>3479</v>
      </c>
      <c r="L5528" s="71" t="n">
        <v>520.92</v>
      </c>
      <c r="M5528" s="71" t="n">
        <v>1812280.68</v>
      </c>
      <c r="N5528" s="71" t="n">
        <v>271842.1</v>
      </c>
      <c r="O5528" s="71" t="n">
        <v>1540438.58</v>
      </c>
      <c r="P5528" s="71" t="n">
        <v>288048.99</v>
      </c>
      <c r="Q5528" s="71" t="n">
        <v>1252389.59</v>
      </c>
      <c r="R5528" t="inlineStr">
        <is>
          <t>Vaccines</t>
        </is>
      </c>
      <c r="S5528" s="70" t="n">
        <v>2896</v>
      </c>
      <c r="T5528" s="71" t="n">
        <v>225463.95</v>
      </c>
      <c r="U5528" t="inlineStr">
        <is>
          <t>Low</t>
        </is>
      </c>
      <c r="V5528">
        <f>IF(AND(OR(Dashboard!$C$6="All",E5528=Dashboard!$C$6),OR(Dashboard!$F$6="All",G5528=Dashboard!$F$6),OR(Dashboard!$I$6="All",H5528=Dashboard!$I$6)),1,0)</f>
        <v/>
      </c>
    </row>
    <row r="5529">
      <c r="A5529" t="inlineStr">
        <is>
          <t>PF105520</t>
        </is>
      </c>
      <c r="B5529" s="68" t="n">
        <v>46322</v>
      </c>
      <c r="C5529" s="69" t="n">
        <v>2026</v>
      </c>
      <c r="D5529" t="inlineStr">
        <is>
          <t>Oct</t>
        </is>
      </c>
      <c r="E5529" t="inlineStr">
        <is>
          <t>United States</t>
        </is>
      </c>
      <c r="F5529" t="inlineStr">
        <is>
          <t>USA</t>
        </is>
      </c>
      <c r="G5529" t="inlineStr">
        <is>
          <t>Prevnar 20</t>
        </is>
      </c>
      <c r="H5529" t="inlineStr">
        <is>
          <t>Hospital</t>
        </is>
      </c>
      <c r="I5529" t="inlineStr">
        <is>
          <t>Self-pay</t>
        </is>
      </c>
      <c r="J5529" t="inlineStr">
        <is>
          <t>Kofi Mensah</t>
        </is>
      </c>
      <c r="K5529" s="70" t="n">
        <v>153</v>
      </c>
      <c r="L5529" s="71" t="n">
        <v>341.41</v>
      </c>
      <c r="M5529" s="71" t="n">
        <v>52235.73</v>
      </c>
      <c r="N5529" s="71" t="n">
        <v>10447.15</v>
      </c>
      <c r="O5529" s="71" t="n">
        <v>41788.58</v>
      </c>
      <c r="P5529" s="71" t="n">
        <v>10901.93</v>
      </c>
      <c r="Q5529" s="71" t="n">
        <v>30886.65</v>
      </c>
      <c r="R5529" t="inlineStr">
        <is>
          <t>Vaccines</t>
        </is>
      </c>
      <c r="S5529" s="70" t="n">
        <v>132</v>
      </c>
      <c r="T5529" s="71" t="n">
        <v>7244.21</v>
      </c>
      <c r="U5529" t="inlineStr">
        <is>
          <t>Low</t>
        </is>
      </c>
      <c r="V5529">
        <f>IF(AND(OR(Dashboard!$C$6="All",E5529=Dashboard!$C$6),OR(Dashboard!$F$6="All",G5529=Dashboard!$F$6),OR(Dashboard!$I$6="All",H5529=Dashboard!$I$6)),1,0)</f>
        <v/>
      </c>
    </row>
    <row r="5530">
      <c r="A5530" t="inlineStr">
        <is>
          <t>PF105521</t>
        </is>
      </c>
      <c r="B5530" s="68" t="n">
        <v>46322</v>
      </c>
      <c r="C5530" s="69" t="n">
        <v>2026</v>
      </c>
      <c r="D5530" t="inlineStr">
        <is>
          <t>Oct</t>
        </is>
      </c>
      <c r="E5530" t="inlineStr">
        <is>
          <t>United States</t>
        </is>
      </c>
      <c r="F5530" t="inlineStr">
        <is>
          <t>USA</t>
        </is>
      </c>
      <c r="G5530" t="inlineStr">
        <is>
          <t>Vyndaqel</t>
        </is>
      </c>
      <c r="H5530" t="inlineStr">
        <is>
          <t>Hospital</t>
        </is>
      </c>
      <c r="I5530" t="inlineStr">
        <is>
          <t>Private insurer</t>
        </is>
      </c>
      <c r="J5530" t="inlineStr">
        <is>
          <t>Ana Costa</t>
        </is>
      </c>
      <c r="K5530" s="70" t="n">
        <v>1292</v>
      </c>
      <c r="L5530" s="71" t="n">
        <v>8586.200000000001</v>
      </c>
      <c r="M5530" s="71" t="n">
        <v>11093370.4</v>
      </c>
      <c r="N5530" s="71" t="n">
        <v>2773342.6</v>
      </c>
      <c r="O5530" s="71" t="n">
        <v>8320027.8</v>
      </c>
      <c r="P5530" s="71" t="n">
        <v>780755.42</v>
      </c>
      <c r="Q5530" s="71" t="n">
        <v>7539272.38</v>
      </c>
      <c r="R5530" t="inlineStr">
        <is>
          <t>Rare disease</t>
        </is>
      </c>
      <c r="S5530" s="70" t="n">
        <v>837</v>
      </c>
      <c r="T5530" s="71" t="n">
        <v>2106044.27</v>
      </c>
      <c r="U5530" t="inlineStr">
        <is>
          <t>Medium</t>
        </is>
      </c>
      <c r="V5530">
        <f>IF(AND(OR(Dashboard!$C$6="All",E5530=Dashboard!$C$6),OR(Dashboard!$F$6="All",G5530=Dashboard!$F$6),OR(Dashboard!$I$6="All",H5530=Dashboard!$I$6)),1,0)</f>
        <v/>
      </c>
    </row>
    <row r="5531">
      <c r="A5531" t="inlineStr">
        <is>
          <t>PF105522</t>
        </is>
      </c>
      <c r="B5531" s="68" t="n">
        <v>46322</v>
      </c>
      <c r="C5531" s="69" t="n">
        <v>2026</v>
      </c>
      <c r="D5531" t="inlineStr">
        <is>
          <t>Oct</t>
        </is>
      </c>
      <c r="E5531" t="inlineStr">
        <is>
          <t>Europe</t>
        </is>
      </c>
      <c r="F5531" t="inlineStr">
        <is>
          <t>Italy</t>
        </is>
      </c>
      <c r="G5531" t="inlineStr">
        <is>
          <t>Comirnaty</t>
        </is>
      </c>
      <c r="H5531" t="inlineStr">
        <is>
          <t>Retail pharmacy</t>
        </is>
      </c>
      <c r="I5531" t="inlineStr">
        <is>
          <t>Public payer</t>
        </is>
      </c>
      <c r="J5531" t="inlineStr">
        <is>
          <t>Fatima Al-Saud</t>
        </is>
      </c>
      <c r="K5531" s="70" t="n">
        <v>48</v>
      </c>
      <c r="L5531" s="71" t="n">
        <v>83.86</v>
      </c>
      <c r="M5531" s="71" t="n">
        <v>4025.28</v>
      </c>
      <c r="N5531" s="71" t="n">
        <v>201.26</v>
      </c>
      <c r="O5531" s="71" t="n">
        <v>3824.02</v>
      </c>
      <c r="P5531" s="71" t="n">
        <v>1826.06</v>
      </c>
      <c r="Q5531" s="71" t="n">
        <v>1997.96</v>
      </c>
      <c r="R5531" t="inlineStr">
        <is>
          <t>Vaccines</t>
        </is>
      </c>
      <c r="S5531" s="70" t="n">
        <v>37</v>
      </c>
      <c r="T5531" s="71" t="n">
        <v>749.27</v>
      </c>
      <c r="U5531" t="inlineStr">
        <is>
          <t>Low</t>
        </is>
      </c>
      <c r="V5531">
        <f>IF(AND(OR(Dashboard!$C$6="All",E5531=Dashboard!$C$6),OR(Dashboard!$F$6="All",G5531=Dashboard!$F$6),OR(Dashboard!$I$6="All",H5531=Dashboard!$I$6)),1,0)</f>
        <v/>
      </c>
    </row>
    <row r="5532">
      <c r="A5532" t="inlineStr">
        <is>
          <t>PF105523</t>
        </is>
      </c>
      <c r="B5532" s="68" t="n">
        <v>46323</v>
      </c>
      <c r="C5532" s="69" t="n">
        <v>2026</v>
      </c>
      <c r="D5532" t="inlineStr">
        <is>
          <t>Oct</t>
        </is>
      </c>
      <c r="E5532" t="inlineStr">
        <is>
          <t>Europe</t>
        </is>
      </c>
      <c r="F5532" t="inlineStr">
        <is>
          <t>Italy</t>
        </is>
      </c>
      <c r="G5532" t="inlineStr">
        <is>
          <t>Vyndaqel</t>
        </is>
      </c>
      <c r="H5532" t="inlineStr">
        <is>
          <t>Hospital</t>
        </is>
      </c>
      <c r="I5532" t="inlineStr">
        <is>
          <t>Public payer</t>
        </is>
      </c>
      <c r="J5532" t="inlineStr">
        <is>
          <t>Amir Khan</t>
        </is>
      </c>
      <c r="K5532" s="70" t="n">
        <v>427</v>
      </c>
      <c r="L5532" s="71" t="n">
        <v>5245.15</v>
      </c>
      <c r="M5532" s="71" t="n">
        <v>2239679.05</v>
      </c>
      <c r="N5532" s="71" t="n">
        <v>447935.81</v>
      </c>
      <c r="O5532" s="71" t="n">
        <v>1791743.24</v>
      </c>
      <c r="P5532" s="71" t="n">
        <v>259104.54</v>
      </c>
      <c r="Q5532" s="71" t="n">
        <v>1532638.7</v>
      </c>
      <c r="R5532" t="inlineStr">
        <is>
          <t>Rare disease</t>
        </is>
      </c>
      <c r="S5532" s="70" t="n">
        <v>425</v>
      </c>
      <c r="T5532" s="71" t="n">
        <v>428412.73</v>
      </c>
      <c r="U5532" t="inlineStr">
        <is>
          <t>Medium</t>
        </is>
      </c>
      <c r="V5532">
        <f>IF(AND(OR(Dashboard!$C$6="All",E5532=Dashboard!$C$6),OR(Dashboard!$F$6="All",G5532=Dashboard!$F$6),OR(Dashboard!$I$6="All",H5532=Dashboard!$I$6)),1,0)</f>
        <v/>
      </c>
    </row>
    <row r="5533">
      <c r="A5533" t="inlineStr">
        <is>
          <t>PF105524</t>
        </is>
      </c>
      <c r="B5533" s="68" t="n">
        <v>46323</v>
      </c>
      <c r="C5533" s="69" t="n">
        <v>2026</v>
      </c>
      <c r="D5533" t="inlineStr">
        <is>
          <t>Oct</t>
        </is>
      </c>
      <c r="E5533" t="inlineStr">
        <is>
          <t>Emerging markets</t>
        </is>
      </c>
      <c r="F5533" t="inlineStr">
        <is>
          <t>India</t>
        </is>
      </c>
      <c r="G5533" t="inlineStr">
        <is>
          <t>Ibrance</t>
        </is>
      </c>
      <c r="H5533" t="inlineStr">
        <is>
          <t>Retail pharmacy</t>
        </is>
      </c>
      <c r="I5533" t="inlineStr">
        <is>
          <t>Private insurer</t>
        </is>
      </c>
      <c r="J5533" t="inlineStr">
        <is>
          <t>Liam O'Brien</t>
        </is>
      </c>
      <c r="K5533" s="70" t="n">
        <v>2185</v>
      </c>
      <c r="L5533" s="71" t="n">
        <v>2691.68</v>
      </c>
      <c r="M5533" s="71" t="n">
        <v>5881320.8</v>
      </c>
      <c r="N5533" s="71" t="n">
        <v>1176264.16</v>
      </c>
      <c r="O5533" s="71" t="n">
        <v>4705056.64</v>
      </c>
      <c r="P5533" s="71" t="n">
        <v>987920.21</v>
      </c>
      <c r="Q5533" s="71" t="n">
        <v>3717136.43</v>
      </c>
      <c r="R5533" t="inlineStr">
        <is>
          <t>Oncology</t>
        </is>
      </c>
      <c r="S5533" s="70" t="n">
        <v>1824</v>
      </c>
      <c r="T5533" s="71" t="n">
        <v>962557.4</v>
      </c>
      <c r="U5533" t="inlineStr">
        <is>
          <t>High</t>
        </is>
      </c>
      <c r="V5533">
        <f>IF(AND(OR(Dashboard!$C$6="All",E5533=Dashboard!$C$6),OR(Dashboard!$F$6="All",G5533=Dashboard!$F$6),OR(Dashboard!$I$6="All",H5533=Dashboard!$I$6)),1,0)</f>
        <v/>
      </c>
    </row>
    <row r="5534">
      <c r="A5534" t="inlineStr">
        <is>
          <t>PF105525</t>
        </is>
      </c>
      <c r="B5534" s="68" t="n">
        <v>46323</v>
      </c>
      <c r="C5534" s="69" t="n">
        <v>2026</v>
      </c>
      <c r="D5534" t="inlineStr">
        <is>
          <t>Oct</t>
        </is>
      </c>
      <c r="E5534" t="inlineStr">
        <is>
          <t>United States</t>
        </is>
      </c>
      <c r="F5534" t="inlineStr">
        <is>
          <t>USA</t>
        </is>
      </c>
      <c r="G5534" t="inlineStr">
        <is>
          <t>Ibrance</t>
        </is>
      </c>
      <c r="H5534" t="inlineStr">
        <is>
          <t>Hospital</t>
        </is>
      </c>
      <c r="I5534" t="inlineStr">
        <is>
          <t>Public payer</t>
        </is>
      </c>
      <c r="J5534" t="inlineStr">
        <is>
          <t>Zoya Ahmed</t>
        </is>
      </c>
      <c r="K5534" s="70" t="n">
        <v>1021</v>
      </c>
      <c r="L5534" s="71" t="n">
        <v>4149.02</v>
      </c>
      <c r="M5534" s="71" t="n">
        <v>4236149.42</v>
      </c>
      <c r="N5534" s="71" t="n">
        <v>1270844.83</v>
      </c>
      <c r="O5534" s="71" t="n">
        <v>2965304.59</v>
      </c>
      <c r="P5534" s="71" t="n">
        <v>451070.42</v>
      </c>
      <c r="Q5534" s="71" t="n">
        <v>2514234.17</v>
      </c>
      <c r="R5534" t="inlineStr">
        <is>
          <t>Oncology</t>
        </is>
      </c>
      <c r="S5534" s="70" t="n">
        <v>642</v>
      </c>
      <c r="T5534" s="71" t="n">
        <v>658378.53</v>
      </c>
      <c r="U5534" t="inlineStr">
        <is>
          <t>High</t>
        </is>
      </c>
      <c r="V5534">
        <f>IF(AND(OR(Dashboard!$C$6="All",E5534=Dashboard!$C$6),OR(Dashboard!$F$6="All",G5534=Dashboard!$F$6),OR(Dashboard!$I$6="All",H5534=Dashboard!$I$6)),1,0)</f>
        <v/>
      </c>
    </row>
    <row r="5535">
      <c r="A5535" t="inlineStr">
        <is>
          <t>PF105526</t>
        </is>
      </c>
      <c r="B5535" s="68" t="n">
        <v>46323</v>
      </c>
      <c r="C5535" s="69" t="n">
        <v>2026</v>
      </c>
      <c r="D5535" t="inlineStr">
        <is>
          <t>Oct</t>
        </is>
      </c>
      <c r="E5535" t="inlineStr">
        <is>
          <t>United States</t>
        </is>
      </c>
      <c r="F5535" t="inlineStr">
        <is>
          <t>USA</t>
        </is>
      </c>
      <c r="G5535" t="inlineStr">
        <is>
          <t>Prevnar 20</t>
        </is>
      </c>
      <c r="H5535" t="inlineStr">
        <is>
          <t>Hospital</t>
        </is>
      </c>
      <c r="I5535" t="inlineStr">
        <is>
          <t>Private insurer</t>
        </is>
      </c>
      <c r="J5535" t="inlineStr">
        <is>
          <t>Wei Chen</t>
        </is>
      </c>
      <c r="K5535" s="70" t="n">
        <v>1675</v>
      </c>
      <c r="L5535" s="71" t="n">
        <v>371.8</v>
      </c>
      <c r="M5535" s="71" t="n">
        <v>622765</v>
      </c>
      <c r="N5535" s="71" t="n">
        <v>217967.75</v>
      </c>
      <c r="O5535" s="71" t="n">
        <v>404797.25</v>
      </c>
      <c r="P5535" s="71" t="n">
        <v>113448.46</v>
      </c>
      <c r="Q5535" s="71" t="n">
        <v>291348.79</v>
      </c>
      <c r="R5535" t="inlineStr">
        <is>
          <t>Vaccines</t>
        </is>
      </c>
      <c r="S5535" s="70" t="n">
        <v>1449</v>
      </c>
      <c r="T5535" s="71" t="n">
        <v>126691.83</v>
      </c>
      <c r="U5535" t="inlineStr">
        <is>
          <t>Low</t>
        </is>
      </c>
      <c r="V5535">
        <f>IF(AND(OR(Dashboard!$C$6="All",E5535=Dashboard!$C$6),OR(Dashboard!$F$6="All",G5535=Dashboard!$F$6),OR(Dashboard!$I$6="All",H5535=Dashboard!$I$6)),1,0)</f>
        <v/>
      </c>
    </row>
    <row r="5536">
      <c r="A5536" t="inlineStr">
        <is>
          <t>PF105527</t>
        </is>
      </c>
      <c r="B5536" s="68" t="n">
        <v>46323</v>
      </c>
      <c r="C5536" s="69" t="n">
        <v>2026</v>
      </c>
      <c r="D5536" t="inlineStr">
        <is>
          <t>Oct</t>
        </is>
      </c>
      <c r="E5536" t="inlineStr">
        <is>
          <t>Emerging markets</t>
        </is>
      </c>
      <c r="F5536" t="inlineStr">
        <is>
          <t>India</t>
        </is>
      </c>
      <c r="G5536" t="inlineStr">
        <is>
          <t>Eliquis</t>
        </is>
      </c>
      <c r="H5536" t="inlineStr">
        <is>
          <t>Government / tender</t>
        </is>
      </c>
      <c r="I5536" t="inlineStr">
        <is>
          <t>Self-pay</t>
        </is>
      </c>
      <c r="J5536" t="inlineStr">
        <is>
          <t>Arjun Mehta</t>
        </is>
      </c>
      <c r="K5536" s="70" t="n">
        <v>1980</v>
      </c>
      <c r="L5536" s="71" t="n">
        <v>411.03</v>
      </c>
      <c r="M5536" s="71" t="n">
        <v>813839.4</v>
      </c>
      <c r="N5536" s="71" t="n">
        <v>162767.88</v>
      </c>
      <c r="O5536" s="71" t="n">
        <v>651071.52</v>
      </c>
      <c r="P5536" s="71" t="n">
        <v>146677.85</v>
      </c>
      <c r="Q5536" s="71" t="n">
        <v>504393.67</v>
      </c>
      <c r="R5536" t="inlineStr">
        <is>
          <t>Cardiology</t>
        </is>
      </c>
      <c r="S5536" s="70" t="n">
        <v>1788</v>
      </c>
      <c r="T5536" s="71" t="n">
        <v>164392.14</v>
      </c>
      <c r="U5536" t="inlineStr">
        <is>
          <t>High</t>
        </is>
      </c>
      <c r="V5536">
        <f>IF(AND(OR(Dashboard!$C$6="All",E5536=Dashboard!$C$6),OR(Dashboard!$F$6="All",G5536=Dashboard!$F$6),OR(Dashboard!$I$6="All",H5536=Dashboard!$I$6)),1,0)</f>
        <v/>
      </c>
    </row>
    <row r="5537">
      <c r="A5537" t="inlineStr">
        <is>
          <t>PF105528</t>
        </is>
      </c>
      <c r="B5537" s="68" t="n">
        <v>46327</v>
      </c>
      <c r="C5537" s="69" t="n">
        <v>2026</v>
      </c>
      <c r="D5537" t="inlineStr">
        <is>
          <t>Nov</t>
        </is>
      </c>
      <c r="E5537" t="inlineStr">
        <is>
          <t>United States</t>
        </is>
      </c>
      <c r="F5537" t="inlineStr">
        <is>
          <t>USA</t>
        </is>
      </c>
      <c r="G5537" t="inlineStr">
        <is>
          <t>Prevnar 20</t>
        </is>
      </c>
      <c r="H5537" t="inlineStr">
        <is>
          <t>Hospital</t>
        </is>
      </c>
      <c r="I5537" t="inlineStr">
        <is>
          <t>Private insurer</t>
        </is>
      </c>
      <c r="J5537" t="inlineStr">
        <is>
          <t>Ana Costa</t>
        </is>
      </c>
      <c r="K5537" s="70" t="n">
        <v>3214</v>
      </c>
      <c r="L5537" s="71" t="n">
        <v>359.02</v>
      </c>
      <c r="M5537" s="71" t="n">
        <v>1153890.28</v>
      </c>
      <c r="N5537" s="71" t="n">
        <v>173083.54</v>
      </c>
      <c r="O5537" s="71" t="n">
        <v>980806.74</v>
      </c>
      <c r="P5537" s="71" t="n">
        <v>221856.61</v>
      </c>
      <c r="Q5537" s="71" t="n">
        <v>758950.13</v>
      </c>
      <c r="R5537" t="inlineStr">
        <is>
          <t>Vaccines</t>
        </is>
      </c>
      <c r="S5537" s="70" t="n">
        <v>2680</v>
      </c>
      <c r="T5537" s="71" t="n">
        <v>232063.41</v>
      </c>
      <c r="U5537" t="inlineStr">
        <is>
          <t>Low</t>
        </is>
      </c>
      <c r="V5537">
        <f>IF(AND(OR(Dashboard!$C$6="All",E5537=Dashboard!$C$6),OR(Dashboard!$F$6="All",G5537=Dashboard!$F$6),OR(Dashboard!$I$6="All",H5537=Dashboard!$I$6)),1,0)</f>
        <v/>
      </c>
    </row>
    <row r="5538">
      <c r="A5538" t="inlineStr">
        <is>
          <t>PF105529</t>
        </is>
      </c>
      <c r="B5538" s="68" t="n">
        <v>46327</v>
      </c>
      <c r="C5538" s="69" t="n">
        <v>2026</v>
      </c>
      <c r="D5538" t="inlineStr">
        <is>
          <t>Nov</t>
        </is>
      </c>
      <c r="E5538" t="inlineStr">
        <is>
          <t>Europe</t>
        </is>
      </c>
      <c r="F5538" t="inlineStr">
        <is>
          <t>Germany</t>
        </is>
      </c>
      <c r="G5538" t="inlineStr">
        <is>
          <t>Eliquis</t>
        </is>
      </c>
      <c r="H5538" t="inlineStr">
        <is>
          <t>Retail pharmacy</t>
        </is>
      </c>
      <c r="I5538" t="inlineStr">
        <is>
          <t>Private insurer</t>
        </is>
      </c>
      <c r="J5538" t="inlineStr">
        <is>
          <t>Sara Rossi</t>
        </is>
      </c>
      <c r="K5538" s="70" t="n">
        <v>1779</v>
      </c>
      <c r="L5538" s="71" t="n">
        <v>429.54</v>
      </c>
      <c r="M5538" s="71" t="n">
        <v>764151.66</v>
      </c>
      <c r="N5538" s="71" t="n">
        <v>114622.75</v>
      </c>
      <c r="O5538" s="71" t="n">
        <v>649528.91</v>
      </c>
      <c r="P5538" s="71" t="n">
        <v>137646.96</v>
      </c>
      <c r="Q5538" s="71" t="n">
        <v>511881.95</v>
      </c>
      <c r="R5538" t="inlineStr">
        <is>
          <t>Cardiology</t>
        </is>
      </c>
      <c r="S5538" s="70" t="n">
        <v>1618</v>
      </c>
      <c r="T5538" s="71" t="n">
        <v>139957.73</v>
      </c>
      <c r="U5538" t="inlineStr">
        <is>
          <t>High</t>
        </is>
      </c>
      <c r="V5538">
        <f>IF(AND(OR(Dashboard!$C$6="All",E5538=Dashboard!$C$6),OR(Dashboard!$F$6="All",G5538=Dashboard!$F$6),OR(Dashboard!$I$6="All",H5538=Dashboard!$I$6)),1,0)</f>
        <v/>
      </c>
    </row>
    <row r="5539">
      <c r="A5539" t="inlineStr">
        <is>
          <t>PF105530</t>
        </is>
      </c>
      <c r="B5539" s="68" t="n">
        <v>46327</v>
      </c>
      <c r="C5539" s="69" t="n">
        <v>2026</v>
      </c>
      <c r="D5539" t="inlineStr">
        <is>
          <t>Nov</t>
        </is>
      </c>
      <c r="E5539" t="inlineStr">
        <is>
          <t>Europe</t>
        </is>
      </c>
      <c r="F5539" t="inlineStr">
        <is>
          <t>Germany</t>
        </is>
      </c>
      <c r="G5539" t="inlineStr">
        <is>
          <t>Eliquis</t>
        </is>
      </c>
      <c r="H5539" t="inlineStr">
        <is>
          <t>Hospital</t>
        </is>
      </c>
      <c r="I5539" t="inlineStr">
        <is>
          <t>Private insurer</t>
        </is>
      </c>
      <c r="J5539" t="inlineStr">
        <is>
          <t>Kofi Mensah</t>
        </is>
      </c>
      <c r="K5539" s="70" t="n">
        <v>216</v>
      </c>
      <c r="L5539" s="71" t="n">
        <v>392.82</v>
      </c>
      <c r="M5539" s="71" t="n">
        <v>84849.12</v>
      </c>
      <c r="N5539" s="71" t="n">
        <v>16969.82</v>
      </c>
      <c r="O5539" s="71" t="n">
        <v>67879.3</v>
      </c>
      <c r="P5539" s="71" t="n">
        <v>16474.77</v>
      </c>
      <c r="Q5539" s="71" t="n">
        <v>51404.53</v>
      </c>
      <c r="R5539" t="inlineStr">
        <is>
          <t>Cardiology</t>
        </is>
      </c>
      <c r="S5539" s="70" t="n">
        <v>155</v>
      </c>
      <c r="T5539" s="71" t="n">
        <v>13277.24</v>
      </c>
      <c r="U5539" t="inlineStr">
        <is>
          <t>High</t>
        </is>
      </c>
      <c r="V5539">
        <f>IF(AND(OR(Dashboard!$C$6="All",E5539=Dashboard!$C$6),OR(Dashboard!$F$6="All",G5539=Dashboard!$F$6),OR(Dashboard!$I$6="All",H5539=Dashboard!$I$6)),1,0)</f>
        <v/>
      </c>
    </row>
    <row r="5540">
      <c r="A5540" t="inlineStr">
        <is>
          <t>PF105531</t>
        </is>
      </c>
      <c r="B5540" s="68" t="n">
        <v>46327</v>
      </c>
      <c r="C5540" s="69" t="n">
        <v>2026</v>
      </c>
      <c r="D5540" t="inlineStr">
        <is>
          <t>Nov</t>
        </is>
      </c>
      <c r="E5540" t="inlineStr">
        <is>
          <t>Europe</t>
        </is>
      </c>
      <c r="F5540" t="inlineStr">
        <is>
          <t>Spain</t>
        </is>
      </c>
      <c r="G5540" t="inlineStr">
        <is>
          <t>Prevnar 20</t>
        </is>
      </c>
      <c r="H5540" t="inlineStr">
        <is>
          <t>Retail pharmacy</t>
        </is>
      </c>
      <c r="I5540" t="inlineStr">
        <is>
          <t>Public payer</t>
        </is>
      </c>
      <c r="J5540" t="inlineStr">
        <is>
          <t>Carlos Silva</t>
        </is>
      </c>
      <c r="K5540" s="70" t="n">
        <v>173</v>
      </c>
      <c r="L5540" s="71" t="n">
        <v>237.72</v>
      </c>
      <c r="M5540" s="71" t="n">
        <v>41125.56</v>
      </c>
      <c r="N5540" s="71" t="n">
        <v>2056.28</v>
      </c>
      <c r="O5540" s="71" t="n">
        <v>39069.28</v>
      </c>
      <c r="P5540" s="71" t="n">
        <v>12161.67</v>
      </c>
      <c r="Q5540" s="71" t="n">
        <v>26907.61</v>
      </c>
      <c r="R5540" t="inlineStr">
        <is>
          <t>Vaccines</t>
        </is>
      </c>
      <c r="S5540" s="70" t="n">
        <v>137</v>
      </c>
      <c r="T5540" s="71" t="n">
        <v>6898.48</v>
      </c>
      <c r="U5540" t="inlineStr">
        <is>
          <t>Low</t>
        </is>
      </c>
      <c r="V5540">
        <f>IF(AND(OR(Dashboard!$C$6="All",E5540=Dashboard!$C$6),OR(Dashboard!$F$6="All",G5540=Dashboard!$F$6),OR(Dashboard!$I$6="All",H5540=Dashboard!$I$6)),1,0)</f>
        <v/>
      </c>
    </row>
    <row r="5541">
      <c r="A5541" t="inlineStr">
        <is>
          <t>PF105532</t>
        </is>
      </c>
      <c r="B5541" s="68" t="n">
        <v>46327</v>
      </c>
      <c r="C5541" s="69" t="n">
        <v>2026</v>
      </c>
      <c r="D5541" t="inlineStr">
        <is>
          <t>Nov</t>
        </is>
      </c>
      <c r="E5541" t="inlineStr">
        <is>
          <t>Europe</t>
        </is>
      </c>
      <c r="F5541" t="inlineStr">
        <is>
          <t>France</t>
        </is>
      </c>
      <c r="G5541" t="inlineStr">
        <is>
          <t>Eliquis</t>
        </is>
      </c>
      <c r="H5541" t="inlineStr">
        <is>
          <t>Retail pharmacy</t>
        </is>
      </c>
      <c r="I5541" t="inlineStr">
        <is>
          <t>Public payer</t>
        </is>
      </c>
      <c r="J5541" t="inlineStr">
        <is>
          <t>Amir Khan</t>
        </is>
      </c>
      <c r="K5541" s="70" t="n">
        <v>240</v>
      </c>
      <c r="L5541" s="71" t="n">
        <v>461.74</v>
      </c>
      <c r="M5541" s="71" t="n">
        <v>110817.6</v>
      </c>
      <c r="N5541" s="71" t="n">
        <v>5540.88</v>
      </c>
      <c r="O5541" s="71" t="n">
        <v>105276.72</v>
      </c>
      <c r="P5541" s="71" t="n">
        <v>17726.84</v>
      </c>
      <c r="Q5541" s="71" t="n">
        <v>87549.88</v>
      </c>
      <c r="R5541" t="inlineStr">
        <is>
          <t>Cardiology</t>
        </is>
      </c>
      <c r="S5541" s="70" t="n">
        <v>226</v>
      </c>
      <c r="T5541" s="71" t="n">
        <v>17477.28</v>
      </c>
      <c r="U5541" t="inlineStr">
        <is>
          <t>High</t>
        </is>
      </c>
      <c r="V5541">
        <f>IF(AND(OR(Dashboard!$C$6="All",E5541=Dashboard!$C$6),OR(Dashboard!$F$6="All",G5541=Dashboard!$F$6),OR(Dashboard!$I$6="All",H5541=Dashboard!$I$6)),1,0)</f>
        <v/>
      </c>
    </row>
    <row r="5542">
      <c r="A5542" t="inlineStr">
        <is>
          <t>PF105533</t>
        </is>
      </c>
      <c r="B5542" s="68" t="n">
        <v>46327</v>
      </c>
      <c r="C5542" s="69" t="n">
        <v>2026</v>
      </c>
      <c r="D5542" t="inlineStr">
        <is>
          <t>Nov</t>
        </is>
      </c>
      <c r="E5542" t="inlineStr">
        <is>
          <t>United States</t>
        </is>
      </c>
      <c r="F5542" t="inlineStr">
        <is>
          <t>USA</t>
        </is>
      </c>
      <c r="G5542" t="inlineStr">
        <is>
          <t>Xeljanz</t>
        </is>
      </c>
      <c r="H5542" t="inlineStr">
        <is>
          <t>Retail pharmacy</t>
        </is>
      </c>
      <c r="I5542" t="inlineStr">
        <is>
          <t>Private insurer</t>
        </is>
      </c>
      <c r="J5542" t="inlineStr">
        <is>
          <t>Fatima Al-Saud</t>
        </is>
      </c>
      <c r="K5542" s="70" t="n">
        <v>2848</v>
      </c>
      <c r="L5542" s="71" t="n">
        <v>2080.5</v>
      </c>
      <c r="M5542" s="71" t="n">
        <v>5925264</v>
      </c>
      <c r="N5542" s="71" t="n">
        <v>1185052.8</v>
      </c>
      <c r="O5542" s="71" t="n">
        <v>4740211.2</v>
      </c>
      <c r="P5542" s="71" t="n">
        <v>730040.71</v>
      </c>
      <c r="Q5542" s="71" t="n">
        <v>4010170.49</v>
      </c>
      <c r="R5542" t="inlineStr">
        <is>
          <t>Inflammation</t>
        </is>
      </c>
      <c r="S5542" s="70" t="n">
        <v>2327</v>
      </c>
      <c r="T5542" s="71" t="n">
        <v>901098.99</v>
      </c>
      <c r="U5542" t="inlineStr">
        <is>
          <t>High</t>
        </is>
      </c>
      <c r="V5542">
        <f>IF(AND(OR(Dashboard!$C$6="All",E5542=Dashboard!$C$6),OR(Dashboard!$F$6="All",G5542=Dashboard!$F$6),OR(Dashboard!$I$6="All",H5542=Dashboard!$I$6)),1,0)</f>
        <v/>
      </c>
    </row>
    <row r="5543">
      <c r="A5543" t="inlineStr">
        <is>
          <t>PF105534</t>
        </is>
      </c>
      <c r="B5543" s="68" t="n">
        <v>46327</v>
      </c>
      <c r="C5543" s="69" t="n">
        <v>2026</v>
      </c>
      <c r="D5543" t="inlineStr">
        <is>
          <t>Nov</t>
        </is>
      </c>
      <c r="E5543" t="inlineStr">
        <is>
          <t>United States</t>
        </is>
      </c>
      <c r="F5543" t="inlineStr">
        <is>
          <t>USA</t>
        </is>
      </c>
      <c r="G5543" t="inlineStr">
        <is>
          <t>Eliquis</t>
        </is>
      </c>
      <c r="H5543" t="inlineStr">
        <is>
          <t>Hospital</t>
        </is>
      </c>
      <c r="I5543" t="inlineStr">
        <is>
          <t>Self-pay</t>
        </is>
      </c>
      <c r="J5543" t="inlineStr">
        <is>
          <t>Kofi Mensah</t>
        </is>
      </c>
      <c r="K5543" s="70" t="n">
        <v>509</v>
      </c>
      <c r="L5543" s="71" t="n">
        <v>672.05</v>
      </c>
      <c r="M5543" s="71" t="n">
        <v>342073.45</v>
      </c>
      <c r="N5543" s="71" t="n">
        <v>85518.36</v>
      </c>
      <c r="O5543" s="71" t="n">
        <v>256555.09</v>
      </c>
      <c r="P5543" s="71" t="n">
        <v>38001.24</v>
      </c>
      <c r="Q5543" s="71" t="n">
        <v>218553.85</v>
      </c>
      <c r="R5543" t="inlineStr">
        <is>
          <t>Cardiology</t>
        </is>
      </c>
      <c r="S5543" s="70" t="n">
        <v>388</v>
      </c>
      <c r="T5543" s="71" t="n">
        <v>61319.56</v>
      </c>
      <c r="U5543" t="inlineStr">
        <is>
          <t>High</t>
        </is>
      </c>
      <c r="V5543">
        <f>IF(AND(OR(Dashboard!$C$6="All",E5543=Dashboard!$C$6),OR(Dashboard!$F$6="All",G5543=Dashboard!$F$6),OR(Dashboard!$I$6="All",H5543=Dashboard!$I$6)),1,0)</f>
        <v/>
      </c>
    </row>
    <row r="5544">
      <c r="A5544" t="inlineStr">
        <is>
          <t>PF105535</t>
        </is>
      </c>
      <c r="B5544" s="68" t="n">
        <v>46327</v>
      </c>
      <c r="C5544" s="69" t="n">
        <v>2026</v>
      </c>
      <c r="D5544" t="inlineStr">
        <is>
          <t>Nov</t>
        </is>
      </c>
      <c r="E5544" t="inlineStr">
        <is>
          <t>United States</t>
        </is>
      </c>
      <c r="F5544" t="inlineStr">
        <is>
          <t>USA</t>
        </is>
      </c>
      <c r="G5544" t="inlineStr">
        <is>
          <t>Prevnar 20</t>
        </is>
      </c>
      <c r="H5544" t="inlineStr">
        <is>
          <t>Retail pharmacy</t>
        </is>
      </c>
      <c r="I5544" t="inlineStr">
        <is>
          <t>Private insurer</t>
        </is>
      </c>
      <c r="J5544" t="inlineStr">
        <is>
          <t>Ana Costa</t>
        </is>
      </c>
      <c r="K5544" s="70" t="n">
        <v>838</v>
      </c>
      <c r="L5544" s="71" t="n">
        <v>361.03</v>
      </c>
      <c r="M5544" s="71" t="n">
        <v>302543.14</v>
      </c>
      <c r="N5544" s="71" t="n">
        <v>90762.94</v>
      </c>
      <c r="O5544" s="71" t="n">
        <v>211780.2</v>
      </c>
      <c r="P5544" s="71" t="n">
        <v>55844.31</v>
      </c>
      <c r="Q5544" s="71" t="n">
        <v>155935.89</v>
      </c>
      <c r="R5544" t="inlineStr">
        <is>
          <t>Vaccines</t>
        </is>
      </c>
      <c r="S5544" s="70" t="n">
        <v>733</v>
      </c>
      <c r="T5544" s="71" t="n">
        <v>46598.86</v>
      </c>
      <c r="U5544" t="inlineStr">
        <is>
          <t>Low</t>
        </is>
      </c>
      <c r="V5544">
        <f>IF(AND(OR(Dashboard!$C$6="All",E5544=Dashboard!$C$6),OR(Dashboard!$F$6="All",G5544=Dashboard!$F$6),OR(Dashboard!$I$6="All",H5544=Dashboard!$I$6)),1,0)</f>
        <v/>
      </c>
    </row>
    <row r="5545">
      <c r="A5545" t="inlineStr">
        <is>
          <t>PF105536</t>
        </is>
      </c>
      <c r="B5545" s="68" t="n">
        <v>46327</v>
      </c>
      <c r="C5545" s="69" t="n">
        <v>2026</v>
      </c>
      <c r="D5545" t="inlineStr">
        <is>
          <t>Nov</t>
        </is>
      </c>
      <c r="E5545" t="inlineStr">
        <is>
          <t>Emerging markets</t>
        </is>
      </c>
      <c r="F5545" t="inlineStr">
        <is>
          <t>India</t>
        </is>
      </c>
      <c r="G5545" t="inlineStr">
        <is>
          <t>Eliquis</t>
        </is>
      </c>
      <c r="H5545" t="inlineStr">
        <is>
          <t>Government / tender</t>
        </is>
      </c>
      <c r="I5545" t="inlineStr">
        <is>
          <t>Private insurer</t>
        </is>
      </c>
      <c r="J5545" t="inlineStr">
        <is>
          <t>Ruhi Shaikh</t>
        </is>
      </c>
      <c r="K5545" s="70" t="n">
        <v>431</v>
      </c>
      <c r="L5545" s="71" t="n">
        <v>434.75</v>
      </c>
      <c r="M5545" s="71" t="n">
        <v>187377.25</v>
      </c>
      <c r="N5545" s="71" t="n">
        <v>46844.31</v>
      </c>
      <c r="O5545" s="71" t="n">
        <v>140532.94</v>
      </c>
      <c r="P5545" s="71" t="n">
        <v>33111.82</v>
      </c>
      <c r="Q5545" s="71" t="n">
        <v>107421.12</v>
      </c>
      <c r="R5545" t="inlineStr">
        <is>
          <t>Cardiology</t>
        </is>
      </c>
      <c r="S5545" s="70" t="n">
        <v>288</v>
      </c>
      <c r="T5545" s="71" t="n">
        <v>22689.88</v>
      </c>
      <c r="U5545" t="inlineStr">
        <is>
          <t>High</t>
        </is>
      </c>
      <c r="V5545">
        <f>IF(AND(OR(Dashboard!$C$6="All",E5545=Dashboard!$C$6),OR(Dashboard!$F$6="All",G5545=Dashboard!$F$6),OR(Dashboard!$I$6="All",H5545=Dashboard!$I$6)),1,0)</f>
        <v/>
      </c>
    </row>
    <row r="5546">
      <c r="A5546" t="inlineStr">
        <is>
          <t>PF105537</t>
        </is>
      </c>
      <c r="B5546" s="68" t="n">
        <v>46328</v>
      </c>
      <c r="C5546" s="69" t="n">
        <v>2026</v>
      </c>
      <c r="D5546" t="inlineStr">
        <is>
          <t>Nov</t>
        </is>
      </c>
      <c r="E5546" t="inlineStr">
        <is>
          <t>United States</t>
        </is>
      </c>
      <c r="F5546" t="inlineStr">
        <is>
          <t>USA</t>
        </is>
      </c>
      <c r="G5546" t="inlineStr">
        <is>
          <t>Paxlovid</t>
        </is>
      </c>
      <c r="H5546" t="inlineStr">
        <is>
          <t>Retail pharmacy</t>
        </is>
      </c>
      <c r="I5546" t="inlineStr">
        <is>
          <t>Public payer</t>
        </is>
      </c>
      <c r="J5546" t="inlineStr">
        <is>
          <t>Noah Smith</t>
        </is>
      </c>
      <c r="K5546" s="70" t="n">
        <v>420</v>
      </c>
      <c r="L5546" s="71" t="n">
        <v>1341.29</v>
      </c>
      <c r="M5546" s="71" t="n">
        <v>563341.8</v>
      </c>
      <c r="N5546" s="71" t="n">
        <v>140835.45</v>
      </c>
      <c r="O5546" s="71" t="n">
        <v>422506.35</v>
      </c>
      <c r="P5546" s="71" t="n">
        <v>119981.69</v>
      </c>
      <c r="Q5546" s="71" t="n">
        <v>302524.66</v>
      </c>
      <c r="R5546" t="inlineStr">
        <is>
          <t>Antiviral</t>
        </is>
      </c>
      <c r="S5546" s="70" t="n">
        <v>361</v>
      </c>
      <c r="T5546" s="71" t="n">
        <v>95482.27</v>
      </c>
      <c r="U5546" t="inlineStr">
        <is>
          <t>Low</t>
        </is>
      </c>
      <c r="V5546">
        <f>IF(AND(OR(Dashboard!$C$6="All",E5546=Dashboard!$C$6),OR(Dashboard!$F$6="All",G5546=Dashboard!$F$6),OR(Dashboard!$I$6="All",H5546=Dashboard!$I$6)),1,0)</f>
        <v/>
      </c>
    </row>
    <row r="5547">
      <c r="A5547" t="inlineStr">
        <is>
          <t>PF105538</t>
        </is>
      </c>
      <c r="B5547" s="68" t="n">
        <v>46328</v>
      </c>
      <c r="C5547" s="69" t="n">
        <v>2026</v>
      </c>
      <c r="D5547" t="inlineStr">
        <is>
          <t>Nov</t>
        </is>
      </c>
      <c r="E5547" t="inlineStr">
        <is>
          <t>United States</t>
        </is>
      </c>
      <c r="F5547" t="inlineStr">
        <is>
          <t>USA</t>
        </is>
      </c>
      <c r="G5547" t="inlineStr">
        <is>
          <t>Comirnaty</t>
        </is>
      </c>
      <c r="H5547" t="inlineStr">
        <is>
          <t>Government / tender</t>
        </is>
      </c>
      <c r="I5547" t="inlineStr">
        <is>
          <t>Public payer</t>
        </is>
      </c>
      <c r="J5547" t="inlineStr">
        <is>
          <t>Sara Rossi</t>
        </is>
      </c>
      <c r="K5547" s="70" t="n">
        <v>1642</v>
      </c>
      <c r="L5547" s="71" t="n">
        <v>144.75</v>
      </c>
      <c r="M5547" s="71" t="n">
        <v>237679.5</v>
      </c>
      <c r="N5547" s="71" t="n">
        <v>83187.82000000001</v>
      </c>
      <c r="O5547" s="71" t="n">
        <v>154491.68</v>
      </c>
      <c r="P5547" s="71" t="n">
        <v>64396.41</v>
      </c>
      <c r="Q5547" s="71" t="n">
        <v>90095.27</v>
      </c>
      <c r="R5547" t="inlineStr">
        <is>
          <t>Vaccines</t>
        </is>
      </c>
      <c r="S5547" s="70" t="n">
        <v>1466</v>
      </c>
      <c r="T5547" s="71" t="n">
        <v>37789.71</v>
      </c>
      <c r="U5547" t="inlineStr">
        <is>
          <t>Low</t>
        </is>
      </c>
      <c r="V5547">
        <f>IF(AND(OR(Dashboard!$C$6="All",E5547=Dashboard!$C$6),OR(Dashboard!$F$6="All",G5547=Dashboard!$F$6),OR(Dashboard!$I$6="All",H5547=Dashboard!$I$6)),1,0)</f>
        <v/>
      </c>
    </row>
    <row r="5548">
      <c r="A5548" t="inlineStr">
        <is>
          <t>PF105539</t>
        </is>
      </c>
      <c r="B5548" s="68" t="n">
        <v>46328</v>
      </c>
      <c r="C5548" s="69" t="n">
        <v>2026</v>
      </c>
      <c r="D5548" t="inlineStr">
        <is>
          <t>Nov</t>
        </is>
      </c>
      <c r="E5548" t="inlineStr">
        <is>
          <t>International developed</t>
        </is>
      </c>
      <c r="F5548" t="inlineStr">
        <is>
          <t>Japan</t>
        </is>
      </c>
      <c r="G5548" t="inlineStr">
        <is>
          <t>Ibrance</t>
        </is>
      </c>
      <c r="H5548" t="inlineStr">
        <is>
          <t>Hospital</t>
        </is>
      </c>
      <c r="I5548" t="inlineStr">
        <is>
          <t>Public payer</t>
        </is>
      </c>
      <c r="J5548" t="inlineStr">
        <is>
          <t>Arjun Mehta</t>
        </is>
      </c>
      <c r="K5548" s="70" t="n">
        <v>3029</v>
      </c>
      <c r="L5548" s="71" t="n">
        <v>2634.26</v>
      </c>
      <c r="M5548" s="71" t="n">
        <v>7979173.54</v>
      </c>
      <c r="N5548" s="71" t="n">
        <v>1994793.39</v>
      </c>
      <c r="O5548" s="71" t="n">
        <v>5984380.15</v>
      </c>
      <c r="P5548" s="71" t="n">
        <v>1265387.39</v>
      </c>
      <c r="Q5548" s="71" t="n">
        <v>4718992.76</v>
      </c>
      <c r="R5548" t="inlineStr">
        <is>
          <t>Oncology</t>
        </is>
      </c>
      <c r="S5548" s="70" t="n">
        <v>2600</v>
      </c>
      <c r="T5548" s="71" t="n">
        <v>1404779.41</v>
      </c>
      <c r="U5548" t="inlineStr">
        <is>
          <t>High</t>
        </is>
      </c>
      <c r="V5548">
        <f>IF(AND(OR(Dashboard!$C$6="All",E5548=Dashboard!$C$6),OR(Dashboard!$F$6="All",G5548=Dashboard!$F$6),OR(Dashboard!$I$6="All",H5548=Dashboard!$I$6)),1,0)</f>
        <v/>
      </c>
    </row>
    <row r="5549">
      <c r="A5549" t="inlineStr">
        <is>
          <t>PF105540</t>
        </is>
      </c>
      <c r="B5549" s="68" t="n">
        <v>46328</v>
      </c>
      <c r="C5549" s="69" t="n">
        <v>2026</v>
      </c>
      <c r="D5549" t="inlineStr">
        <is>
          <t>Nov</t>
        </is>
      </c>
      <c r="E5549" t="inlineStr">
        <is>
          <t>United States</t>
        </is>
      </c>
      <c r="F5549" t="inlineStr">
        <is>
          <t>USA</t>
        </is>
      </c>
      <c r="G5549" t="inlineStr">
        <is>
          <t>Abrysvo</t>
        </is>
      </c>
      <c r="H5549" t="inlineStr">
        <is>
          <t>Hospital</t>
        </is>
      </c>
      <c r="I5549" t="inlineStr">
        <is>
          <t>Private insurer</t>
        </is>
      </c>
      <c r="J5549" t="inlineStr">
        <is>
          <t>Priya Nair</t>
        </is>
      </c>
      <c r="K5549" s="70" t="n">
        <v>589</v>
      </c>
      <c r="L5549" s="71" t="n">
        <v>554.5599999999999</v>
      </c>
      <c r="M5549" s="71" t="n">
        <v>326635.84</v>
      </c>
      <c r="N5549" s="71" t="n">
        <v>48995.38</v>
      </c>
      <c r="O5549" s="71" t="n">
        <v>277640.46</v>
      </c>
      <c r="P5549" s="71" t="n">
        <v>50338.3</v>
      </c>
      <c r="Q5549" s="71" t="n">
        <v>227302.16</v>
      </c>
      <c r="R5549" t="inlineStr">
        <is>
          <t>Vaccines</t>
        </is>
      </c>
      <c r="S5549" s="70" t="n">
        <v>399</v>
      </c>
      <c r="T5549" s="71" t="n">
        <v>41877.35</v>
      </c>
      <c r="U5549" t="inlineStr">
        <is>
          <t>Low</t>
        </is>
      </c>
      <c r="V5549">
        <f>IF(AND(OR(Dashboard!$C$6="All",E5549=Dashboard!$C$6),OR(Dashboard!$F$6="All",G5549=Dashboard!$F$6),OR(Dashboard!$I$6="All",H5549=Dashboard!$I$6)),1,0)</f>
        <v/>
      </c>
    </row>
    <row r="5550">
      <c r="A5550" t="inlineStr">
        <is>
          <t>PF105541</t>
        </is>
      </c>
      <c r="B5550" s="68" t="n">
        <v>46328</v>
      </c>
      <c r="C5550" s="69" t="n">
        <v>2026</v>
      </c>
      <c r="D5550" t="inlineStr">
        <is>
          <t>Nov</t>
        </is>
      </c>
      <c r="E5550" t="inlineStr">
        <is>
          <t>Europe</t>
        </is>
      </c>
      <c r="F5550" t="inlineStr">
        <is>
          <t>Italy</t>
        </is>
      </c>
      <c r="G5550" t="inlineStr">
        <is>
          <t>Paxlovid</t>
        </is>
      </c>
      <c r="H5550" t="inlineStr">
        <is>
          <t>Retail pharmacy</t>
        </is>
      </c>
      <c r="I5550" t="inlineStr">
        <is>
          <t>Private insurer</t>
        </is>
      </c>
      <c r="J5550" t="inlineStr">
        <is>
          <t>Aisha Bello</t>
        </is>
      </c>
      <c r="K5550" s="70" t="n">
        <v>2371</v>
      </c>
      <c r="L5550" s="71" t="n">
        <v>830.9</v>
      </c>
      <c r="M5550" s="71" t="n">
        <v>1970063.9</v>
      </c>
      <c r="N5550" s="71" t="n">
        <v>492515.97</v>
      </c>
      <c r="O5550" s="71" t="n">
        <v>1477547.93</v>
      </c>
      <c r="P5550" s="71" t="n">
        <v>660934.84</v>
      </c>
      <c r="Q5550" s="71" t="n">
        <v>816613.09</v>
      </c>
      <c r="R5550" t="inlineStr">
        <is>
          <t>Antiviral</t>
        </is>
      </c>
      <c r="S5550" s="70" t="n">
        <v>2159</v>
      </c>
      <c r="T5550" s="71" t="n">
        <v>466823.42</v>
      </c>
      <c r="U5550" t="inlineStr">
        <is>
          <t>Low</t>
        </is>
      </c>
      <c r="V5550">
        <f>IF(AND(OR(Dashboard!$C$6="All",E5550=Dashboard!$C$6),OR(Dashboard!$F$6="All",G5550=Dashboard!$F$6),OR(Dashboard!$I$6="All",H5550=Dashboard!$I$6)),1,0)</f>
        <v/>
      </c>
    </row>
    <row r="5551">
      <c r="A5551" t="inlineStr">
        <is>
          <t>PF105542</t>
        </is>
      </c>
      <c r="B5551" s="68" t="n">
        <v>46328</v>
      </c>
      <c r="C5551" s="69" t="n">
        <v>2026</v>
      </c>
      <c r="D5551" t="inlineStr">
        <is>
          <t>Nov</t>
        </is>
      </c>
      <c r="E5551" t="inlineStr">
        <is>
          <t>United States</t>
        </is>
      </c>
      <c r="F5551" t="inlineStr">
        <is>
          <t>USA</t>
        </is>
      </c>
      <c r="G5551" t="inlineStr">
        <is>
          <t>Paxlovid</t>
        </is>
      </c>
      <c r="H5551" t="inlineStr">
        <is>
          <t>Hospital</t>
        </is>
      </c>
      <c r="I5551" t="inlineStr">
        <is>
          <t>Private insurer</t>
        </is>
      </c>
      <c r="J5551" t="inlineStr">
        <is>
          <t>Arjun Mehta</t>
        </is>
      </c>
      <c r="K5551" s="70" t="n">
        <v>2278</v>
      </c>
      <c r="L5551" s="71" t="n">
        <v>1592.64</v>
      </c>
      <c r="M5551" s="71" t="n">
        <v>3628033.92</v>
      </c>
      <c r="N5551" s="71" t="n">
        <v>725606.78</v>
      </c>
      <c r="O5551" s="71" t="n">
        <v>2902427.14</v>
      </c>
      <c r="P5551" s="71" t="n">
        <v>648658.9</v>
      </c>
      <c r="Q5551" s="71" t="n">
        <v>2253768.24</v>
      </c>
      <c r="R5551" t="inlineStr">
        <is>
          <t>Antiviral</t>
        </is>
      </c>
      <c r="S5551" s="70" t="n">
        <v>2199</v>
      </c>
      <c r="T5551" s="71" t="n">
        <v>698973.8</v>
      </c>
      <c r="U5551" t="inlineStr">
        <is>
          <t>Low</t>
        </is>
      </c>
      <c r="V5551">
        <f>IF(AND(OR(Dashboard!$C$6="All",E5551=Dashboard!$C$6),OR(Dashboard!$F$6="All",G5551=Dashboard!$F$6),OR(Dashboard!$I$6="All",H5551=Dashboard!$I$6)),1,0)</f>
        <v/>
      </c>
    </row>
    <row r="5552">
      <c r="A5552" t="inlineStr">
        <is>
          <t>PF105543</t>
        </is>
      </c>
      <c r="B5552" s="68" t="n">
        <v>46328</v>
      </c>
      <c r="C5552" s="69" t="n">
        <v>2026</v>
      </c>
      <c r="D5552" t="inlineStr">
        <is>
          <t>Nov</t>
        </is>
      </c>
      <c r="E5552" t="inlineStr">
        <is>
          <t>United States</t>
        </is>
      </c>
      <c r="F5552" t="inlineStr">
        <is>
          <t>USA</t>
        </is>
      </c>
      <c r="G5552" t="inlineStr">
        <is>
          <t>Comirnaty</t>
        </is>
      </c>
      <c r="H5552" t="inlineStr">
        <is>
          <t>Retail pharmacy</t>
        </is>
      </c>
      <c r="I5552" t="inlineStr">
        <is>
          <t>Public payer</t>
        </is>
      </c>
      <c r="J5552" t="inlineStr">
        <is>
          <t>Noah Smith</t>
        </is>
      </c>
      <c r="K5552" s="70" t="n">
        <v>1923</v>
      </c>
      <c r="L5552" s="71" t="n">
        <v>136.07</v>
      </c>
      <c r="M5552" s="71" t="n">
        <v>261662.61</v>
      </c>
      <c r="N5552" s="71" t="n">
        <v>39249.39</v>
      </c>
      <c r="O5552" s="71" t="n">
        <v>222413.22</v>
      </c>
      <c r="P5552" s="71" t="n">
        <v>73683.46000000001</v>
      </c>
      <c r="Q5552" s="71" t="n">
        <v>148729.76</v>
      </c>
      <c r="R5552" t="inlineStr">
        <is>
          <t>Vaccines</t>
        </is>
      </c>
      <c r="S5552" s="70" t="n">
        <v>1423</v>
      </c>
      <c r="T5552" s="71" t="n">
        <v>45810.1</v>
      </c>
      <c r="U5552" t="inlineStr">
        <is>
          <t>Low</t>
        </is>
      </c>
      <c r="V5552">
        <f>IF(AND(OR(Dashboard!$C$6="All",E5552=Dashboard!$C$6),OR(Dashboard!$F$6="All",G5552=Dashboard!$F$6),OR(Dashboard!$I$6="All",H5552=Dashboard!$I$6)),1,0)</f>
        <v/>
      </c>
    </row>
    <row r="5553">
      <c r="A5553" t="inlineStr">
        <is>
          <t>PF105544</t>
        </is>
      </c>
      <c r="B5553" s="68" t="n">
        <v>46328</v>
      </c>
      <c r="C5553" s="69" t="n">
        <v>2026</v>
      </c>
      <c r="D5553" t="inlineStr">
        <is>
          <t>Nov</t>
        </is>
      </c>
      <c r="E5553" t="inlineStr">
        <is>
          <t>United States</t>
        </is>
      </c>
      <c r="F5553" t="inlineStr">
        <is>
          <t>USA</t>
        </is>
      </c>
      <c r="G5553" t="inlineStr">
        <is>
          <t>Eliquis</t>
        </is>
      </c>
      <c r="H5553" t="inlineStr">
        <is>
          <t>Government / tender</t>
        </is>
      </c>
      <c r="I5553" t="inlineStr">
        <is>
          <t>Self-pay</t>
        </is>
      </c>
      <c r="J5553" t="inlineStr">
        <is>
          <t>Lucas Martin</t>
        </is>
      </c>
      <c r="K5553" s="70" t="n">
        <v>424</v>
      </c>
      <c r="L5553" s="71" t="n">
        <v>655.4</v>
      </c>
      <c r="M5553" s="71" t="n">
        <v>277889.6</v>
      </c>
      <c r="N5553" s="71" t="n">
        <v>41683.44</v>
      </c>
      <c r="O5553" s="71" t="n">
        <v>236206.16</v>
      </c>
      <c r="P5553" s="71" t="n">
        <v>31717.2</v>
      </c>
      <c r="Q5553" s="71" t="n">
        <v>204488.96</v>
      </c>
      <c r="R5553" t="inlineStr">
        <is>
          <t>Cardiology</t>
        </is>
      </c>
      <c r="S5553" s="70" t="n">
        <v>381</v>
      </c>
      <c r="T5553" s="71" t="n">
        <v>34162.5</v>
      </c>
      <c r="U5553" t="inlineStr">
        <is>
          <t>High</t>
        </is>
      </c>
      <c r="V5553">
        <f>IF(AND(OR(Dashboard!$C$6="All",E5553=Dashboard!$C$6),OR(Dashboard!$F$6="All",G5553=Dashboard!$F$6),OR(Dashboard!$I$6="All",H5553=Dashboard!$I$6)),1,0)</f>
        <v/>
      </c>
    </row>
    <row r="5554">
      <c r="A5554" t="inlineStr">
        <is>
          <t>PF105545</t>
        </is>
      </c>
      <c r="B5554" s="68" t="n">
        <v>46328</v>
      </c>
      <c r="C5554" s="69" t="n">
        <v>2026</v>
      </c>
      <c r="D5554" t="inlineStr">
        <is>
          <t>Nov</t>
        </is>
      </c>
      <c r="E5554" t="inlineStr">
        <is>
          <t>United States</t>
        </is>
      </c>
      <c r="F5554" t="inlineStr">
        <is>
          <t>USA</t>
        </is>
      </c>
      <c r="G5554" t="inlineStr">
        <is>
          <t>Prevnar 20</t>
        </is>
      </c>
      <c r="H5554" t="inlineStr">
        <is>
          <t>Retail pharmacy</t>
        </is>
      </c>
      <c r="I5554" t="inlineStr">
        <is>
          <t>Public payer</t>
        </is>
      </c>
      <c r="J5554" t="inlineStr">
        <is>
          <t>Ravindra Patil</t>
        </is>
      </c>
      <c r="K5554" s="70" t="n">
        <v>1437</v>
      </c>
      <c r="L5554" s="71" t="n">
        <v>350.19</v>
      </c>
      <c r="M5554" s="71" t="n">
        <v>503223.03</v>
      </c>
      <c r="N5554" s="71" t="n">
        <v>150966.91</v>
      </c>
      <c r="O5554" s="71" t="n">
        <v>352256.12</v>
      </c>
      <c r="P5554" s="71" t="n">
        <v>98478.46000000001</v>
      </c>
      <c r="Q5554" s="71" t="n">
        <v>253777.66</v>
      </c>
      <c r="R5554" t="inlineStr">
        <is>
          <t>Vaccines</t>
        </is>
      </c>
      <c r="S5554" s="70" t="n">
        <v>1113</v>
      </c>
      <c r="T5554" s="71" t="n">
        <v>103596.9</v>
      </c>
      <c r="U5554" t="inlineStr">
        <is>
          <t>Low</t>
        </is>
      </c>
      <c r="V5554">
        <f>IF(AND(OR(Dashboard!$C$6="All",E5554=Dashboard!$C$6),OR(Dashboard!$F$6="All",G5554=Dashboard!$F$6),OR(Dashboard!$I$6="All",H5554=Dashboard!$I$6)),1,0)</f>
        <v/>
      </c>
    </row>
    <row r="5555">
      <c r="A5555" t="inlineStr">
        <is>
          <t>PF105546</t>
        </is>
      </c>
      <c r="B5555" s="68" t="n">
        <v>46328</v>
      </c>
      <c r="C5555" s="69" t="n">
        <v>2026</v>
      </c>
      <c r="D5555" t="inlineStr">
        <is>
          <t>Nov</t>
        </is>
      </c>
      <c r="E5555" t="inlineStr">
        <is>
          <t>Europe</t>
        </is>
      </c>
      <c r="F5555" t="inlineStr">
        <is>
          <t>UK</t>
        </is>
      </c>
      <c r="G5555" t="inlineStr">
        <is>
          <t>Comirnaty</t>
        </is>
      </c>
      <c r="H5555" t="inlineStr">
        <is>
          <t>Hospital</t>
        </is>
      </c>
      <c r="I5555" t="inlineStr">
        <is>
          <t>Public payer</t>
        </is>
      </c>
      <c r="J5555" t="inlineStr">
        <is>
          <t>Zoya Ahmed</t>
        </is>
      </c>
      <c r="K5555" s="70" t="n">
        <v>302</v>
      </c>
      <c r="L5555" s="71" t="n">
        <v>92.34999999999999</v>
      </c>
      <c r="M5555" s="71" t="n">
        <v>27889.7</v>
      </c>
      <c r="N5555" s="71" t="n">
        <v>4183.45</v>
      </c>
      <c r="O5555" s="71" t="n">
        <v>23706.25</v>
      </c>
      <c r="P5555" s="71" t="n">
        <v>11190.6</v>
      </c>
      <c r="Q5555" s="71" t="n">
        <v>12515.65</v>
      </c>
      <c r="R5555" t="inlineStr">
        <is>
          <t>Vaccines</t>
        </is>
      </c>
      <c r="S5555" s="70" t="n">
        <v>265</v>
      </c>
      <c r="T5555" s="71" t="n">
        <v>6669.11</v>
      </c>
      <c r="U5555" t="inlineStr">
        <is>
          <t>Low</t>
        </is>
      </c>
      <c r="V5555">
        <f>IF(AND(OR(Dashboard!$C$6="All",E5555=Dashboard!$C$6),OR(Dashboard!$F$6="All",G5555=Dashboard!$F$6),OR(Dashboard!$I$6="All",H5555=Dashboard!$I$6)),1,0)</f>
        <v/>
      </c>
    </row>
    <row r="5556">
      <c r="A5556" t="inlineStr">
        <is>
          <t>PF105547</t>
        </is>
      </c>
      <c r="B5556" s="68" t="n">
        <v>46328</v>
      </c>
      <c r="C5556" s="69" t="n">
        <v>2026</v>
      </c>
      <c r="D5556" t="inlineStr">
        <is>
          <t>Nov</t>
        </is>
      </c>
      <c r="E5556" t="inlineStr">
        <is>
          <t>United States</t>
        </is>
      </c>
      <c r="F5556" t="inlineStr">
        <is>
          <t>USA</t>
        </is>
      </c>
      <c r="G5556" t="inlineStr">
        <is>
          <t>Paxlovid</t>
        </is>
      </c>
      <c r="H5556" t="inlineStr">
        <is>
          <t>Hospital</t>
        </is>
      </c>
      <c r="I5556" t="inlineStr">
        <is>
          <t>Private insurer</t>
        </is>
      </c>
      <c r="J5556" t="inlineStr">
        <is>
          <t>Ana Costa</t>
        </is>
      </c>
      <c r="K5556" s="70" t="n">
        <v>1013</v>
      </c>
      <c r="L5556" s="71" t="n">
        <v>1455.28</v>
      </c>
      <c r="M5556" s="71" t="n">
        <v>1474198.64</v>
      </c>
      <c r="N5556" s="71" t="n">
        <v>515969.52</v>
      </c>
      <c r="O5556" s="71" t="n">
        <v>958229.12</v>
      </c>
      <c r="P5556" s="71" t="n">
        <v>285431.94</v>
      </c>
      <c r="Q5556" s="71" t="n">
        <v>672797.1800000001</v>
      </c>
      <c r="R5556" t="inlineStr">
        <is>
          <t>Antiviral</t>
        </is>
      </c>
      <c r="S5556" s="70" t="n">
        <v>721</v>
      </c>
      <c r="T5556" s="71" t="n">
        <v>330519.33</v>
      </c>
      <c r="U5556" t="inlineStr">
        <is>
          <t>Low</t>
        </is>
      </c>
      <c r="V5556">
        <f>IF(AND(OR(Dashboard!$C$6="All",E5556=Dashboard!$C$6),OR(Dashboard!$F$6="All",G5556=Dashboard!$F$6),OR(Dashboard!$I$6="All",H5556=Dashboard!$I$6)),1,0)</f>
        <v/>
      </c>
    </row>
    <row r="5557">
      <c r="A5557" t="inlineStr">
        <is>
          <t>PF105548</t>
        </is>
      </c>
      <c r="B5557" s="68" t="n">
        <v>46329</v>
      </c>
      <c r="C5557" s="69" t="n">
        <v>2026</v>
      </c>
      <c r="D5557" t="inlineStr">
        <is>
          <t>Nov</t>
        </is>
      </c>
      <c r="E5557" t="inlineStr">
        <is>
          <t>United States</t>
        </is>
      </c>
      <c r="F5557" t="inlineStr">
        <is>
          <t>USA</t>
        </is>
      </c>
      <c r="G5557" t="inlineStr">
        <is>
          <t>Vyndaqel</t>
        </is>
      </c>
      <c r="H5557" t="inlineStr">
        <is>
          <t>Retail pharmacy</t>
        </is>
      </c>
      <c r="I5557" t="inlineStr">
        <is>
          <t>Private insurer</t>
        </is>
      </c>
      <c r="J5557" t="inlineStr">
        <is>
          <t>Zoya Ahmed</t>
        </is>
      </c>
      <c r="K5557" s="70" t="n">
        <v>2906</v>
      </c>
      <c r="L5557" s="71" t="n">
        <v>9684.43</v>
      </c>
      <c r="M5557" s="71" t="n">
        <v>28142953.58</v>
      </c>
      <c r="N5557" s="71" t="n">
        <v>9850033.75</v>
      </c>
      <c r="O5557" s="71" t="n">
        <v>18292919.83</v>
      </c>
      <c r="P5557" s="71" t="n">
        <v>1851415.42</v>
      </c>
      <c r="Q5557" s="71" t="n">
        <v>16441504.41</v>
      </c>
      <c r="R5557" t="inlineStr">
        <is>
          <t>Rare disease</t>
        </is>
      </c>
      <c r="S5557" s="70" t="n">
        <v>2811</v>
      </c>
      <c r="T5557" s="71" t="n">
        <v>4283056.68</v>
      </c>
      <c r="U5557" t="inlineStr">
        <is>
          <t>Medium</t>
        </is>
      </c>
      <c r="V5557">
        <f>IF(AND(OR(Dashboard!$C$6="All",E5557=Dashboard!$C$6),OR(Dashboard!$F$6="All",G5557=Dashboard!$F$6),OR(Dashboard!$I$6="All",H5557=Dashboard!$I$6)),1,0)</f>
        <v/>
      </c>
    </row>
    <row r="5558">
      <c r="A5558" t="inlineStr">
        <is>
          <t>PF105549</t>
        </is>
      </c>
      <c r="B5558" s="68" t="n">
        <v>46329</v>
      </c>
      <c r="C5558" s="69" t="n">
        <v>2026</v>
      </c>
      <c r="D5558" t="inlineStr">
        <is>
          <t>Nov</t>
        </is>
      </c>
      <c r="E5558" t="inlineStr">
        <is>
          <t>International developed</t>
        </is>
      </c>
      <c r="F5558" t="inlineStr">
        <is>
          <t>Canada</t>
        </is>
      </c>
      <c r="G5558" t="inlineStr">
        <is>
          <t>Xeljanz</t>
        </is>
      </c>
      <c r="H5558" t="inlineStr">
        <is>
          <t>Hospital</t>
        </is>
      </c>
      <c r="I5558" t="inlineStr">
        <is>
          <t>Private insurer</t>
        </is>
      </c>
      <c r="J5558" t="inlineStr">
        <is>
          <t>Mei Lin</t>
        </is>
      </c>
      <c r="K5558" s="70" t="n">
        <v>2702</v>
      </c>
      <c r="L5558" s="71" t="n">
        <v>1259.97</v>
      </c>
      <c r="M5558" s="71" t="n">
        <v>3404438.94</v>
      </c>
      <c r="N5558" s="71" t="n">
        <v>340443.89</v>
      </c>
      <c r="O5558" s="71" t="n">
        <v>3063995.05</v>
      </c>
      <c r="P5558" s="71" t="n">
        <v>685665.1899999999</v>
      </c>
      <c r="Q5558" s="71" t="n">
        <v>2378329.86</v>
      </c>
      <c r="R5558" t="inlineStr">
        <is>
          <t>Inflammation</t>
        </is>
      </c>
      <c r="S5558" s="70" t="n">
        <v>2127</v>
      </c>
      <c r="T5558" s="71" t="n">
        <v>710936.1800000001</v>
      </c>
      <c r="U5558" t="inlineStr">
        <is>
          <t>High</t>
        </is>
      </c>
      <c r="V5558">
        <f>IF(AND(OR(Dashboard!$C$6="All",E5558=Dashboard!$C$6),OR(Dashboard!$F$6="All",G5558=Dashboard!$F$6),OR(Dashboard!$I$6="All",H5558=Dashboard!$I$6)),1,0)</f>
        <v/>
      </c>
    </row>
    <row r="5559">
      <c r="A5559" t="inlineStr">
        <is>
          <t>PF105550</t>
        </is>
      </c>
      <c r="B5559" s="68" t="n">
        <v>46329</v>
      </c>
      <c r="C5559" s="69" t="n">
        <v>2026</v>
      </c>
      <c r="D5559" t="inlineStr">
        <is>
          <t>Nov</t>
        </is>
      </c>
      <c r="E5559" t="inlineStr">
        <is>
          <t>United States</t>
        </is>
      </c>
      <c r="F5559" t="inlineStr">
        <is>
          <t>USA</t>
        </is>
      </c>
      <c r="G5559" t="inlineStr">
        <is>
          <t>Xeljanz</t>
        </is>
      </c>
      <c r="H5559" t="inlineStr">
        <is>
          <t>Government / tender</t>
        </is>
      </c>
      <c r="I5559" t="inlineStr">
        <is>
          <t>Public payer</t>
        </is>
      </c>
      <c r="J5559" t="inlineStr">
        <is>
          <t>Emma Clarke</t>
        </is>
      </c>
      <c r="K5559" s="70" t="n">
        <v>808</v>
      </c>
      <c r="L5559" s="71" t="n">
        <v>2235.22</v>
      </c>
      <c r="M5559" s="71" t="n">
        <v>1806057.76</v>
      </c>
      <c r="N5559" s="71" t="n">
        <v>361211.55</v>
      </c>
      <c r="O5559" s="71" t="n">
        <v>1444846.21</v>
      </c>
      <c r="P5559" s="71" t="n">
        <v>197949.95</v>
      </c>
      <c r="Q5559" s="71" t="n">
        <v>1246896.26</v>
      </c>
      <c r="R5559" t="inlineStr">
        <is>
          <t>Inflammation</t>
        </is>
      </c>
      <c r="S5559" s="70" t="n">
        <v>714</v>
      </c>
      <c r="T5559" s="71" t="n">
        <v>264848.51</v>
      </c>
      <c r="U5559" t="inlineStr">
        <is>
          <t>High</t>
        </is>
      </c>
      <c r="V5559">
        <f>IF(AND(OR(Dashboard!$C$6="All",E5559=Dashboard!$C$6),OR(Dashboard!$F$6="All",G5559=Dashboard!$F$6),OR(Dashboard!$I$6="All",H5559=Dashboard!$I$6)),1,0)</f>
        <v/>
      </c>
    </row>
    <row r="5560">
      <c r="A5560" t="inlineStr">
        <is>
          <t>PF105551</t>
        </is>
      </c>
      <c r="B5560" s="68" t="n">
        <v>46329</v>
      </c>
      <c r="C5560" s="69" t="n">
        <v>2026</v>
      </c>
      <c r="D5560" t="inlineStr">
        <is>
          <t>Nov</t>
        </is>
      </c>
      <c r="E5560" t="inlineStr">
        <is>
          <t>United States</t>
        </is>
      </c>
      <c r="F5560" t="inlineStr">
        <is>
          <t>USA</t>
        </is>
      </c>
      <c r="G5560" t="inlineStr">
        <is>
          <t>Eliquis</t>
        </is>
      </c>
      <c r="H5560" t="inlineStr">
        <is>
          <t>Government / tender</t>
        </is>
      </c>
      <c r="I5560" t="inlineStr">
        <is>
          <t>Private insurer</t>
        </is>
      </c>
      <c r="J5560" t="inlineStr">
        <is>
          <t>Yuki Sato</t>
        </is>
      </c>
      <c r="K5560" s="70" t="n">
        <v>1002</v>
      </c>
      <c r="L5560" s="71" t="n">
        <v>637.15</v>
      </c>
      <c r="M5560" s="71" t="n">
        <v>638424.3</v>
      </c>
      <c r="N5560" s="71" t="n">
        <v>191527.29</v>
      </c>
      <c r="O5560" s="71" t="n">
        <v>446897.01</v>
      </c>
      <c r="P5560" s="71" t="n">
        <v>77814.81</v>
      </c>
      <c r="Q5560" s="71" t="n">
        <v>369082.2</v>
      </c>
      <c r="R5560" t="inlineStr">
        <is>
          <t>Cardiology</t>
        </is>
      </c>
      <c r="S5560" s="70" t="n">
        <v>805</v>
      </c>
      <c r="T5560" s="71" t="n">
        <v>79253.94</v>
      </c>
      <c r="U5560" t="inlineStr">
        <is>
          <t>High</t>
        </is>
      </c>
      <c r="V5560">
        <f>IF(AND(OR(Dashboard!$C$6="All",E5560=Dashboard!$C$6),OR(Dashboard!$F$6="All",G5560=Dashboard!$F$6),OR(Dashboard!$I$6="All",H5560=Dashboard!$I$6)),1,0)</f>
        <v/>
      </c>
    </row>
    <row r="5561">
      <c r="A5561" t="inlineStr">
        <is>
          <t>PF105552</t>
        </is>
      </c>
      <c r="B5561" s="68" t="n">
        <v>46329</v>
      </c>
      <c r="C5561" s="69" t="n">
        <v>2026</v>
      </c>
      <c r="D5561" t="inlineStr">
        <is>
          <t>Nov</t>
        </is>
      </c>
      <c r="E5561" t="inlineStr">
        <is>
          <t>International developed</t>
        </is>
      </c>
      <c r="F5561" t="inlineStr">
        <is>
          <t>Japan</t>
        </is>
      </c>
      <c r="G5561" t="inlineStr">
        <is>
          <t>Eliquis</t>
        </is>
      </c>
      <c r="H5561" t="inlineStr">
        <is>
          <t>Retail pharmacy</t>
        </is>
      </c>
      <c r="I5561" t="inlineStr">
        <is>
          <t>Public payer</t>
        </is>
      </c>
      <c r="J5561" t="inlineStr">
        <is>
          <t>Aisha Bello</t>
        </is>
      </c>
      <c r="K5561" s="70" t="n">
        <v>3362</v>
      </c>
      <c r="L5561" s="71" t="n">
        <v>454.98</v>
      </c>
      <c r="M5561" s="71" t="n">
        <v>1529642.76</v>
      </c>
      <c r="N5561" s="71" t="n">
        <v>76482.14</v>
      </c>
      <c r="O5561" s="71" t="n">
        <v>1453160.62</v>
      </c>
      <c r="P5561" s="71" t="n">
        <v>244683.16</v>
      </c>
      <c r="Q5561" s="71" t="n">
        <v>1208477.46</v>
      </c>
      <c r="R5561" t="inlineStr">
        <is>
          <t>Cardiology</t>
        </is>
      </c>
      <c r="S5561" s="70" t="n">
        <v>2255</v>
      </c>
      <c r="T5561" s="71" t="n">
        <v>221470.18</v>
      </c>
      <c r="U5561" t="inlineStr">
        <is>
          <t>High</t>
        </is>
      </c>
      <c r="V5561">
        <f>IF(AND(OR(Dashboard!$C$6="All",E5561=Dashboard!$C$6),OR(Dashboard!$F$6="All",G5561=Dashboard!$F$6),OR(Dashboard!$I$6="All",H5561=Dashboard!$I$6)),1,0)</f>
        <v/>
      </c>
    </row>
    <row r="5562">
      <c r="A5562" t="inlineStr">
        <is>
          <t>PF105553</t>
        </is>
      </c>
      <c r="B5562" s="68" t="n">
        <v>46329</v>
      </c>
      <c r="C5562" s="69" t="n">
        <v>2026</v>
      </c>
      <c r="D5562" t="inlineStr">
        <is>
          <t>Nov</t>
        </is>
      </c>
      <c r="E5562" t="inlineStr">
        <is>
          <t>United States</t>
        </is>
      </c>
      <c r="F5562" t="inlineStr">
        <is>
          <t>USA</t>
        </is>
      </c>
      <c r="G5562" t="inlineStr">
        <is>
          <t>Abrysvo</t>
        </is>
      </c>
      <c r="H5562" t="inlineStr">
        <is>
          <t>Retail pharmacy</t>
        </is>
      </c>
      <c r="I5562" t="inlineStr">
        <is>
          <t>Private insurer</t>
        </is>
      </c>
      <c r="J5562" t="inlineStr">
        <is>
          <t>Sara Rossi</t>
        </is>
      </c>
      <c r="K5562" s="70" t="n">
        <v>3174</v>
      </c>
      <c r="L5562" s="71" t="n">
        <v>467.23</v>
      </c>
      <c r="M5562" s="71" t="n">
        <v>1482988.02</v>
      </c>
      <c r="N5562" s="71" t="n">
        <v>222448.2</v>
      </c>
      <c r="O5562" s="71" t="n">
        <v>1260539.82</v>
      </c>
      <c r="P5562" s="71" t="n">
        <v>259291.31</v>
      </c>
      <c r="Q5562" s="71" t="n">
        <v>1001248.51</v>
      </c>
      <c r="R5562" t="inlineStr">
        <is>
          <t>Vaccines</t>
        </is>
      </c>
      <c r="S5562" s="70" t="n">
        <v>2537</v>
      </c>
      <c r="T5562" s="71" t="n">
        <v>283494.28</v>
      </c>
      <c r="U5562" t="inlineStr">
        <is>
          <t>Low</t>
        </is>
      </c>
      <c r="V5562">
        <f>IF(AND(OR(Dashboard!$C$6="All",E5562=Dashboard!$C$6),OR(Dashboard!$F$6="All",G5562=Dashboard!$F$6),OR(Dashboard!$I$6="All",H5562=Dashboard!$I$6)),1,0)</f>
        <v/>
      </c>
    </row>
    <row r="5563">
      <c r="A5563" t="inlineStr">
        <is>
          <t>PF105554</t>
        </is>
      </c>
      <c r="B5563" s="68" t="n">
        <v>46329</v>
      </c>
      <c r="C5563" s="69" t="n">
        <v>2026</v>
      </c>
      <c r="D5563" t="inlineStr">
        <is>
          <t>Nov</t>
        </is>
      </c>
      <c r="E5563" t="inlineStr">
        <is>
          <t>United States</t>
        </is>
      </c>
      <c r="F5563" t="inlineStr">
        <is>
          <t>USA</t>
        </is>
      </c>
      <c r="G5563" t="inlineStr">
        <is>
          <t>Eliquis</t>
        </is>
      </c>
      <c r="H5563" t="inlineStr">
        <is>
          <t>Hospital</t>
        </is>
      </c>
      <c r="I5563" t="inlineStr">
        <is>
          <t>Private insurer</t>
        </is>
      </c>
      <c r="J5563" t="inlineStr">
        <is>
          <t>Carlos Silva</t>
        </is>
      </c>
      <c r="K5563" s="70" t="n">
        <v>2760</v>
      </c>
      <c r="L5563" s="71" t="n">
        <v>755.0700000000001</v>
      </c>
      <c r="M5563" s="71" t="n">
        <v>2083993.2</v>
      </c>
      <c r="N5563" s="71" t="n">
        <v>729397.62</v>
      </c>
      <c r="O5563" s="71" t="n">
        <v>1354595.58</v>
      </c>
      <c r="P5563" s="71" t="n">
        <v>207422.4</v>
      </c>
      <c r="Q5563" s="71" t="n">
        <v>1147173.18</v>
      </c>
      <c r="R5563" t="inlineStr">
        <is>
          <t>Cardiology</t>
        </is>
      </c>
      <c r="S5563" s="70" t="n">
        <v>1731</v>
      </c>
      <c r="T5563" s="71" t="n">
        <v>272651.68</v>
      </c>
      <c r="U5563" t="inlineStr">
        <is>
          <t>High</t>
        </is>
      </c>
      <c r="V5563">
        <f>IF(AND(OR(Dashboard!$C$6="All",E5563=Dashboard!$C$6),OR(Dashboard!$F$6="All",G5563=Dashboard!$F$6),OR(Dashboard!$I$6="All",H5563=Dashboard!$I$6)),1,0)</f>
        <v/>
      </c>
    </row>
    <row r="5564">
      <c r="A5564" t="inlineStr">
        <is>
          <t>PF105555</t>
        </is>
      </c>
      <c r="B5564" s="68" t="n">
        <v>46329</v>
      </c>
      <c r="C5564" s="69" t="n">
        <v>2026</v>
      </c>
      <c r="D5564" t="inlineStr">
        <is>
          <t>Nov</t>
        </is>
      </c>
      <c r="E5564" t="inlineStr">
        <is>
          <t>Europe</t>
        </is>
      </c>
      <c r="F5564" t="inlineStr">
        <is>
          <t>Italy</t>
        </is>
      </c>
      <c r="G5564" t="inlineStr">
        <is>
          <t>Comirnaty</t>
        </is>
      </c>
      <c r="H5564" t="inlineStr">
        <is>
          <t>Hospital</t>
        </is>
      </c>
      <c r="I5564" t="inlineStr">
        <is>
          <t>Private insurer</t>
        </is>
      </c>
      <c r="J5564" t="inlineStr">
        <is>
          <t>Sophie Müller</t>
        </is>
      </c>
      <c r="K5564" s="70" t="n">
        <v>1499</v>
      </c>
      <c r="L5564" s="71" t="n">
        <v>96.68000000000001</v>
      </c>
      <c r="M5564" s="71" t="n">
        <v>144923.32</v>
      </c>
      <c r="N5564" s="71" t="n">
        <v>14492.33</v>
      </c>
      <c r="O5564" s="71" t="n">
        <v>130430.99</v>
      </c>
      <c r="P5564" s="71" t="n">
        <v>59614.71</v>
      </c>
      <c r="Q5564" s="71" t="n">
        <v>70816.28</v>
      </c>
      <c r="R5564" t="inlineStr">
        <is>
          <t>Vaccines</t>
        </is>
      </c>
      <c r="S5564" s="70" t="n">
        <v>1056</v>
      </c>
      <c r="T5564" s="71" t="n">
        <v>35619.5</v>
      </c>
      <c r="U5564" t="inlineStr">
        <is>
          <t>Low</t>
        </is>
      </c>
      <c r="V5564">
        <f>IF(AND(OR(Dashboard!$C$6="All",E5564=Dashboard!$C$6),OR(Dashboard!$F$6="All",G5564=Dashboard!$F$6),OR(Dashboard!$I$6="All",H5564=Dashboard!$I$6)),1,0)</f>
        <v/>
      </c>
    </row>
    <row r="5565">
      <c r="A5565" t="inlineStr">
        <is>
          <t>PF105556</t>
        </is>
      </c>
      <c r="B5565" s="68" t="n">
        <v>46329</v>
      </c>
      <c r="C5565" s="69" t="n">
        <v>2026</v>
      </c>
      <c r="D5565" t="inlineStr">
        <is>
          <t>Nov</t>
        </is>
      </c>
      <c r="E5565" t="inlineStr">
        <is>
          <t>United States</t>
        </is>
      </c>
      <c r="F5565" t="inlineStr">
        <is>
          <t>USA</t>
        </is>
      </c>
      <c r="G5565" t="inlineStr">
        <is>
          <t>Eliquis</t>
        </is>
      </c>
      <c r="H5565" t="inlineStr">
        <is>
          <t>Retail pharmacy</t>
        </is>
      </c>
      <c r="I5565" t="inlineStr">
        <is>
          <t>Private insurer</t>
        </is>
      </c>
      <c r="J5565" t="inlineStr">
        <is>
          <t>Ruhi Shaikh</t>
        </is>
      </c>
      <c r="K5565" s="70" t="n">
        <v>1138</v>
      </c>
      <c r="L5565" s="71" t="n">
        <v>676.28</v>
      </c>
      <c r="M5565" s="71" t="n">
        <v>769606.64</v>
      </c>
      <c r="N5565" s="71" t="n">
        <v>230881.99</v>
      </c>
      <c r="O5565" s="71" t="n">
        <v>538724.65</v>
      </c>
      <c r="P5565" s="71" t="n">
        <v>86939.88</v>
      </c>
      <c r="Q5565" s="71" t="n">
        <v>451784.77</v>
      </c>
      <c r="R5565" t="inlineStr">
        <is>
          <t>Cardiology</t>
        </is>
      </c>
      <c r="S5565" s="70" t="n">
        <v>802</v>
      </c>
      <c r="T5565" s="71" t="n">
        <v>158363.4</v>
      </c>
      <c r="U5565" t="inlineStr">
        <is>
          <t>High</t>
        </is>
      </c>
      <c r="V5565">
        <f>IF(AND(OR(Dashboard!$C$6="All",E5565=Dashboard!$C$6),OR(Dashboard!$F$6="All",G5565=Dashboard!$F$6),OR(Dashboard!$I$6="All",H5565=Dashboard!$I$6)),1,0)</f>
        <v/>
      </c>
    </row>
    <row r="5566">
      <c r="A5566" t="inlineStr">
        <is>
          <t>PF105557</t>
        </is>
      </c>
      <c r="B5566" s="68" t="n">
        <v>46329</v>
      </c>
      <c r="C5566" s="69" t="n">
        <v>2026</v>
      </c>
      <c r="D5566" t="inlineStr">
        <is>
          <t>Nov</t>
        </is>
      </c>
      <c r="E5566" t="inlineStr">
        <is>
          <t>United States</t>
        </is>
      </c>
      <c r="F5566" t="inlineStr">
        <is>
          <t>USA</t>
        </is>
      </c>
      <c r="G5566" t="inlineStr">
        <is>
          <t>Prevnar 20</t>
        </is>
      </c>
      <c r="H5566" t="inlineStr">
        <is>
          <t>Government / tender</t>
        </is>
      </c>
      <c r="I5566" t="inlineStr">
        <is>
          <t>Private insurer</t>
        </is>
      </c>
      <c r="J5566" t="inlineStr">
        <is>
          <t>Sophie Müller</t>
        </is>
      </c>
      <c r="K5566" s="70" t="n">
        <v>277</v>
      </c>
      <c r="L5566" s="71" t="n">
        <v>369.04</v>
      </c>
      <c r="M5566" s="71" t="n">
        <v>102224.08</v>
      </c>
      <c r="N5566" s="71" t="n">
        <v>15333.61</v>
      </c>
      <c r="O5566" s="71" t="n">
        <v>86890.47</v>
      </c>
      <c r="P5566" s="71" t="n">
        <v>19063.42</v>
      </c>
      <c r="Q5566" s="71" t="n">
        <v>67827.05</v>
      </c>
      <c r="R5566" t="inlineStr">
        <is>
          <t>Vaccines</t>
        </is>
      </c>
      <c r="S5566" s="70" t="n">
        <v>202</v>
      </c>
      <c r="T5566" s="71" t="n">
        <v>16392.13</v>
      </c>
      <c r="U5566" t="inlineStr">
        <is>
          <t>Low</t>
        </is>
      </c>
      <c r="V5566">
        <f>IF(AND(OR(Dashboard!$C$6="All",E5566=Dashboard!$C$6),OR(Dashboard!$F$6="All",G5566=Dashboard!$F$6),OR(Dashboard!$I$6="All",H5566=Dashboard!$I$6)),1,0)</f>
        <v/>
      </c>
    </row>
    <row r="5567">
      <c r="A5567" t="inlineStr">
        <is>
          <t>PF105558</t>
        </is>
      </c>
      <c r="B5567" s="68" t="n">
        <v>46329</v>
      </c>
      <c r="C5567" s="69" t="n">
        <v>2026</v>
      </c>
      <c r="D5567" t="inlineStr">
        <is>
          <t>Nov</t>
        </is>
      </c>
      <c r="E5567" t="inlineStr">
        <is>
          <t>International developed</t>
        </is>
      </c>
      <c r="F5567" t="inlineStr">
        <is>
          <t>Canada</t>
        </is>
      </c>
      <c r="G5567" t="inlineStr">
        <is>
          <t>Ibrance</t>
        </is>
      </c>
      <c r="H5567" t="inlineStr">
        <is>
          <t>Hospital</t>
        </is>
      </c>
      <c r="I5567" t="inlineStr">
        <is>
          <t>Private insurer</t>
        </is>
      </c>
      <c r="J5567" t="inlineStr">
        <is>
          <t>Wei Chen</t>
        </is>
      </c>
      <c r="K5567" s="70" t="n">
        <v>1061</v>
      </c>
      <c r="L5567" s="71" t="n">
        <v>2861.98</v>
      </c>
      <c r="M5567" s="71" t="n">
        <v>3036560.78</v>
      </c>
      <c r="N5567" s="71" t="n">
        <v>759140.1899999999</v>
      </c>
      <c r="O5567" s="71" t="n">
        <v>2277420.59</v>
      </c>
      <c r="P5567" s="71" t="n">
        <v>455209.45</v>
      </c>
      <c r="Q5567" s="71" t="n">
        <v>1822211.14</v>
      </c>
      <c r="R5567" t="inlineStr">
        <is>
          <t>Oncology</t>
        </is>
      </c>
      <c r="S5567" s="70" t="n">
        <v>1000</v>
      </c>
      <c r="T5567" s="71" t="n">
        <v>625783.3100000001</v>
      </c>
      <c r="U5567" t="inlineStr">
        <is>
          <t>High</t>
        </is>
      </c>
      <c r="V5567">
        <f>IF(AND(OR(Dashboard!$C$6="All",E5567=Dashboard!$C$6),OR(Dashboard!$F$6="All",G5567=Dashboard!$F$6),OR(Dashboard!$I$6="All",H5567=Dashboard!$I$6)),1,0)</f>
        <v/>
      </c>
    </row>
    <row r="5568">
      <c r="A5568" t="inlineStr">
        <is>
          <t>PF105559</t>
        </is>
      </c>
      <c r="B5568" s="68" t="n">
        <v>46330</v>
      </c>
      <c r="C5568" s="69" t="n">
        <v>2026</v>
      </c>
      <c r="D5568" t="inlineStr">
        <is>
          <t>Nov</t>
        </is>
      </c>
      <c r="E5568" t="inlineStr">
        <is>
          <t>Europe</t>
        </is>
      </c>
      <c r="F5568" t="inlineStr">
        <is>
          <t>Germany</t>
        </is>
      </c>
      <c r="G5568" t="inlineStr">
        <is>
          <t>Prevnar 20</t>
        </is>
      </c>
      <c r="H5568" t="inlineStr">
        <is>
          <t>Government / tender</t>
        </is>
      </c>
      <c r="I5568" t="inlineStr">
        <is>
          <t>Public payer</t>
        </is>
      </c>
      <c r="J5568" t="inlineStr">
        <is>
          <t>Omar Haddad</t>
        </is>
      </c>
      <c r="K5568" s="70" t="n">
        <v>2171</v>
      </c>
      <c r="L5568" s="71" t="n">
        <v>250.65</v>
      </c>
      <c r="M5568" s="71" t="n">
        <v>544161.15</v>
      </c>
      <c r="N5568" s="71" t="n">
        <v>108832.23</v>
      </c>
      <c r="O5568" s="71" t="n">
        <v>435328.92</v>
      </c>
      <c r="P5568" s="71" t="n">
        <v>152092.02</v>
      </c>
      <c r="Q5568" s="71" t="n">
        <v>283236.9</v>
      </c>
      <c r="R5568" t="inlineStr">
        <is>
          <t>Vaccines</t>
        </is>
      </c>
      <c r="S5568" s="70" t="n">
        <v>1445</v>
      </c>
      <c r="T5568" s="71" t="n">
        <v>86577.39</v>
      </c>
      <c r="U5568" t="inlineStr">
        <is>
          <t>Low</t>
        </is>
      </c>
      <c r="V5568">
        <f>IF(AND(OR(Dashboard!$C$6="All",E5568=Dashboard!$C$6),OR(Dashboard!$F$6="All",G5568=Dashboard!$F$6),OR(Dashboard!$I$6="All",H5568=Dashboard!$I$6)),1,0)</f>
        <v/>
      </c>
    </row>
    <row r="5569">
      <c r="A5569" t="inlineStr">
        <is>
          <t>PF105560</t>
        </is>
      </c>
      <c r="B5569" s="68" t="n">
        <v>46330</v>
      </c>
      <c r="C5569" s="69" t="n">
        <v>2026</v>
      </c>
      <c r="D5569" t="inlineStr">
        <is>
          <t>Nov</t>
        </is>
      </c>
      <c r="E5569" t="inlineStr">
        <is>
          <t>United States</t>
        </is>
      </c>
      <c r="F5569" t="inlineStr">
        <is>
          <t>USA</t>
        </is>
      </c>
      <c r="G5569" t="inlineStr">
        <is>
          <t>Vyndaqel</t>
        </is>
      </c>
      <c r="H5569" t="inlineStr">
        <is>
          <t>Retail pharmacy</t>
        </is>
      </c>
      <c r="I5569" t="inlineStr">
        <is>
          <t>Public payer</t>
        </is>
      </c>
      <c r="J5569" t="inlineStr">
        <is>
          <t>Sophie Müller</t>
        </is>
      </c>
      <c r="K5569" s="70" t="n">
        <v>3532</v>
      </c>
      <c r="L5569" s="71" t="n">
        <v>8273</v>
      </c>
      <c r="M5569" s="71" t="n">
        <v>29220236</v>
      </c>
      <c r="N5569" s="71" t="n">
        <v>4383035.4</v>
      </c>
      <c r="O5569" s="71" t="n">
        <v>24837200.6</v>
      </c>
      <c r="P5569" s="71" t="n">
        <v>2148073.93</v>
      </c>
      <c r="Q5569" s="71" t="n">
        <v>22689126.67</v>
      </c>
      <c r="R5569" t="inlineStr">
        <is>
          <t>Rare disease</t>
        </is>
      </c>
      <c r="S5569" s="70" t="n">
        <v>3065</v>
      </c>
      <c r="T5569" s="71" t="n">
        <v>5730589.93</v>
      </c>
      <c r="U5569" t="inlineStr">
        <is>
          <t>Medium</t>
        </is>
      </c>
      <c r="V5569">
        <f>IF(AND(OR(Dashboard!$C$6="All",E5569=Dashboard!$C$6),OR(Dashboard!$F$6="All",G5569=Dashboard!$F$6),OR(Dashboard!$I$6="All",H5569=Dashboard!$I$6)),1,0)</f>
        <v/>
      </c>
    </row>
    <row r="5570">
      <c r="A5570" t="inlineStr">
        <is>
          <t>PF105561</t>
        </is>
      </c>
      <c r="B5570" s="68" t="n">
        <v>46330</v>
      </c>
      <c r="C5570" s="69" t="n">
        <v>2026</v>
      </c>
      <c r="D5570" t="inlineStr">
        <is>
          <t>Nov</t>
        </is>
      </c>
      <c r="E5570" t="inlineStr">
        <is>
          <t>Europe</t>
        </is>
      </c>
      <c r="F5570" t="inlineStr">
        <is>
          <t>France</t>
        </is>
      </c>
      <c r="G5570" t="inlineStr">
        <is>
          <t>Eliquis</t>
        </is>
      </c>
      <c r="H5570" t="inlineStr">
        <is>
          <t>Government / tender</t>
        </is>
      </c>
      <c r="I5570" t="inlineStr">
        <is>
          <t>Public payer</t>
        </is>
      </c>
      <c r="J5570" t="inlineStr">
        <is>
          <t>Priya Nair</t>
        </is>
      </c>
      <c r="K5570" s="70" t="n">
        <v>95</v>
      </c>
      <c r="L5570" s="71" t="n">
        <v>445.21</v>
      </c>
      <c r="M5570" s="71" t="n">
        <v>42294.95</v>
      </c>
      <c r="N5570" s="71" t="n">
        <v>10573.74</v>
      </c>
      <c r="O5570" s="71" t="n">
        <v>31721.21</v>
      </c>
      <c r="P5570" s="71" t="n">
        <v>7025.17</v>
      </c>
      <c r="Q5570" s="71" t="n">
        <v>24696.04</v>
      </c>
      <c r="R5570" t="inlineStr">
        <is>
          <t>Cardiology</t>
        </is>
      </c>
      <c r="S5570" s="70" t="n">
        <v>62</v>
      </c>
      <c r="T5570" s="71" t="n">
        <v>8979.84</v>
      </c>
      <c r="U5570" t="inlineStr">
        <is>
          <t>High</t>
        </is>
      </c>
      <c r="V5570">
        <f>IF(AND(OR(Dashboard!$C$6="All",E5570=Dashboard!$C$6),OR(Dashboard!$F$6="All",G5570=Dashboard!$F$6),OR(Dashboard!$I$6="All",H5570=Dashboard!$I$6)),1,0)</f>
        <v/>
      </c>
    </row>
    <row r="5571">
      <c r="A5571" t="inlineStr">
        <is>
          <t>PF105562</t>
        </is>
      </c>
      <c r="B5571" s="68" t="n">
        <v>46330</v>
      </c>
      <c r="C5571" s="69" t="n">
        <v>2026</v>
      </c>
      <c r="D5571" t="inlineStr">
        <is>
          <t>Nov</t>
        </is>
      </c>
      <c r="E5571" t="inlineStr">
        <is>
          <t>Emerging markets</t>
        </is>
      </c>
      <c r="F5571" t="inlineStr">
        <is>
          <t>Brazil</t>
        </is>
      </c>
      <c r="G5571" t="inlineStr">
        <is>
          <t>Comirnaty</t>
        </is>
      </c>
      <c r="H5571" t="inlineStr">
        <is>
          <t>Hospital</t>
        </is>
      </c>
      <c r="I5571" t="inlineStr">
        <is>
          <t>Private insurer</t>
        </is>
      </c>
      <c r="J5571" t="inlineStr">
        <is>
          <t>Ruhi Shaikh</t>
        </is>
      </c>
      <c r="K5571" s="70" t="n">
        <v>2051</v>
      </c>
      <c r="L5571" s="71" t="n">
        <v>90.06999999999999</v>
      </c>
      <c r="M5571" s="71" t="n">
        <v>184733.57</v>
      </c>
      <c r="N5571" s="71" t="n">
        <v>36946.71</v>
      </c>
      <c r="O5571" s="71" t="n">
        <v>147786.86</v>
      </c>
      <c r="P5571" s="71" t="n">
        <v>77282.78999999999</v>
      </c>
      <c r="Q5571" s="71" t="n">
        <v>70504.07000000001</v>
      </c>
      <c r="R5571" t="inlineStr">
        <is>
          <t>Vaccines</t>
        </is>
      </c>
      <c r="S5571" s="70" t="n">
        <v>1775</v>
      </c>
      <c r="T5571" s="71" t="n">
        <v>37347.5</v>
      </c>
      <c r="U5571" t="inlineStr">
        <is>
          <t>Low</t>
        </is>
      </c>
      <c r="V5571">
        <f>IF(AND(OR(Dashboard!$C$6="All",E5571=Dashboard!$C$6),OR(Dashboard!$F$6="All",G5571=Dashboard!$F$6),OR(Dashboard!$I$6="All",H5571=Dashboard!$I$6)),1,0)</f>
        <v/>
      </c>
    </row>
    <row r="5572">
      <c r="A5572" t="inlineStr">
        <is>
          <t>PF105563</t>
        </is>
      </c>
      <c r="B5572" s="68" t="n">
        <v>46330</v>
      </c>
      <c r="C5572" s="69" t="n">
        <v>2026</v>
      </c>
      <c r="D5572" t="inlineStr">
        <is>
          <t>Nov</t>
        </is>
      </c>
      <c r="E5572" t="inlineStr">
        <is>
          <t>International developed</t>
        </is>
      </c>
      <c r="F5572" t="inlineStr">
        <is>
          <t>Australia</t>
        </is>
      </c>
      <c r="G5572" t="inlineStr">
        <is>
          <t>Prevnar 20</t>
        </is>
      </c>
      <c r="H5572" t="inlineStr">
        <is>
          <t>Retail pharmacy</t>
        </is>
      </c>
      <c r="I5572" t="inlineStr">
        <is>
          <t>Public payer</t>
        </is>
      </c>
      <c r="J5572" t="inlineStr">
        <is>
          <t>Yuki Sato</t>
        </is>
      </c>
      <c r="K5572" s="70" t="n">
        <v>2737</v>
      </c>
      <c r="L5572" s="71" t="n">
        <v>212.9</v>
      </c>
      <c r="M5572" s="71" t="n">
        <v>582707.3</v>
      </c>
      <c r="N5572" s="71" t="n">
        <v>145676.83</v>
      </c>
      <c r="O5572" s="71" t="n">
        <v>437030.47</v>
      </c>
      <c r="P5572" s="71" t="n">
        <v>184242.11</v>
      </c>
      <c r="Q5572" s="71" t="n">
        <v>252788.36</v>
      </c>
      <c r="R5572" t="inlineStr">
        <is>
          <t>Vaccines</t>
        </is>
      </c>
      <c r="S5572" s="70" t="n">
        <v>2049</v>
      </c>
      <c r="T5572" s="71" t="n">
        <v>79516.3</v>
      </c>
      <c r="U5572" t="inlineStr">
        <is>
          <t>Low</t>
        </is>
      </c>
      <c r="V5572">
        <f>IF(AND(OR(Dashboard!$C$6="All",E5572=Dashboard!$C$6),OR(Dashboard!$F$6="All",G5572=Dashboard!$F$6),OR(Dashboard!$I$6="All",H5572=Dashboard!$I$6)),1,0)</f>
        <v/>
      </c>
    </row>
    <row r="5573">
      <c r="A5573" t="inlineStr">
        <is>
          <t>PF105564</t>
        </is>
      </c>
      <c r="B5573" s="68" t="n">
        <v>46330</v>
      </c>
      <c r="C5573" s="69" t="n">
        <v>2026</v>
      </c>
      <c r="D5573" t="inlineStr">
        <is>
          <t>Nov</t>
        </is>
      </c>
      <c r="E5573" t="inlineStr">
        <is>
          <t>International developed</t>
        </is>
      </c>
      <c r="F5573" t="inlineStr">
        <is>
          <t>Japan</t>
        </is>
      </c>
      <c r="G5573" t="inlineStr">
        <is>
          <t>Abrysvo</t>
        </is>
      </c>
      <c r="H5573" t="inlineStr">
        <is>
          <t>Hospital</t>
        </is>
      </c>
      <c r="I5573" t="inlineStr">
        <is>
          <t>Private insurer</t>
        </is>
      </c>
      <c r="J5573" t="inlineStr">
        <is>
          <t>Ravindra Patil</t>
        </is>
      </c>
      <c r="K5573" s="70" t="n">
        <v>3406</v>
      </c>
      <c r="L5573" s="71" t="n">
        <v>325.31</v>
      </c>
      <c r="M5573" s="71" t="n">
        <v>1108005.86</v>
      </c>
      <c r="N5573" s="71" t="n">
        <v>166200.88</v>
      </c>
      <c r="O5573" s="71" t="n">
        <v>941804.98</v>
      </c>
      <c r="P5573" s="71" t="n">
        <v>282138.07</v>
      </c>
      <c r="Q5573" s="71" t="n">
        <v>659666.91</v>
      </c>
      <c r="R5573" t="inlineStr">
        <is>
          <t>Vaccines</t>
        </is>
      </c>
      <c r="S5573" s="70" t="n">
        <v>2198</v>
      </c>
      <c r="T5573" s="71" t="n">
        <v>177783.57</v>
      </c>
      <c r="U5573" t="inlineStr">
        <is>
          <t>Low</t>
        </is>
      </c>
      <c r="V5573">
        <f>IF(AND(OR(Dashboard!$C$6="All",E5573=Dashboard!$C$6),OR(Dashboard!$F$6="All",G5573=Dashboard!$F$6),OR(Dashboard!$I$6="All",H5573=Dashboard!$I$6)),1,0)</f>
        <v/>
      </c>
    </row>
    <row r="5574">
      <c r="A5574" t="inlineStr">
        <is>
          <t>PF105565</t>
        </is>
      </c>
      <c r="B5574" s="68" t="n">
        <v>46331</v>
      </c>
      <c r="C5574" s="69" t="n">
        <v>2026</v>
      </c>
      <c r="D5574" t="inlineStr">
        <is>
          <t>Nov</t>
        </is>
      </c>
      <c r="E5574" t="inlineStr">
        <is>
          <t>Emerging markets</t>
        </is>
      </c>
      <c r="F5574" t="inlineStr">
        <is>
          <t>China</t>
        </is>
      </c>
      <c r="G5574" t="inlineStr">
        <is>
          <t>Eliquis</t>
        </is>
      </c>
      <c r="H5574" t="inlineStr">
        <is>
          <t>Hospital</t>
        </is>
      </c>
      <c r="I5574" t="inlineStr">
        <is>
          <t>Public payer</t>
        </is>
      </c>
      <c r="J5574" t="inlineStr">
        <is>
          <t>Priya Nair</t>
        </is>
      </c>
      <c r="K5574" s="70" t="n">
        <v>1544</v>
      </c>
      <c r="L5574" s="71" t="n">
        <v>400.2</v>
      </c>
      <c r="M5574" s="71" t="n">
        <v>617908.8</v>
      </c>
      <c r="N5574" s="71" t="n">
        <v>61790.88</v>
      </c>
      <c r="O5574" s="71" t="n">
        <v>556117.92</v>
      </c>
      <c r="P5574" s="71" t="n">
        <v>116428.83</v>
      </c>
      <c r="Q5574" s="71" t="n">
        <v>439689.09</v>
      </c>
      <c r="R5574" t="inlineStr">
        <is>
          <t>Cardiology</t>
        </is>
      </c>
      <c r="S5574" s="70" t="n">
        <v>1486</v>
      </c>
      <c r="T5574" s="71" t="n">
        <v>127974.93</v>
      </c>
      <c r="U5574" t="inlineStr">
        <is>
          <t>High</t>
        </is>
      </c>
      <c r="V5574">
        <f>IF(AND(OR(Dashboard!$C$6="All",E5574=Dashboard!$C$6),OR(Dashboard!$F$6="All",G5574=Dashboard!$F$6),OR(Dashboard!$I$6="All",H5574=Dashboard!$I$6)),1,0)</f>
        <v/>
      </c>
    </row>
    <row r="5575">
      <c r="A5575" t="inlineStr">
        <is>
          <t>PF105566</t>
        </is>
      </c>
      <c r="B5575" s="68" t="n">
        <v>46331</v>
      </c>
      <c r="C5575" s="69" t="n">
        <v>2026</v>
      </c>
      <c r="D5575" t="inlineStr">
        <is>
          <t>Nov</t>
        </is>
      </c>
      <c r="E5575" t="inlineStr">
        <is>
          <t>Emerging markets</t>
        </is>
      </c>
      <c r="F5575" t="inlineStr">
        <is>
          <t>China</t>
        </is>
      </c>
      <c r="G5575" t="inlineStr">
        <is>
          <t>Paxlovid</t>
        </is>
      </c>
      <c r="H5575" t="inlineStr">
        <is>
          <t>Hospital</t>
        </is>
      </c>
      <c r="I5575" t="inlineStr">
        <is>
          <t>Private insurer</t>
        </is>
      </c>
      <c r="J5575" t="inlineStr">
        <is>
          <t>Mei Lin</t>
        </is>
      </c>
      <c r="K5575" s="70" t="n">
        <v>476</v>
      </c>
      <c r="L5575" s="71" t="n">
        <v>917.38</v>
      </c>
      <c r="M5575" s="71" t="n">
        <v>436672.88</v>
      </c>
      <c r="N5575" s="71" t="n">
        <v>21833.64</v>
      </c>
      <c r="O5575" s="71" t="n">
        <v>414839.24</v>
      </c>
      <c r="P5575" s="71" t="n">
        <v>135214.21</v>
      </c>
      <c r="Q5575" s="71" t="n">
        <v>279625.03</v>
      </c>
      <c r="R5575" t="inlineStr">
        <is>
          <t>Antiviral</t>
        </is>
      </c>
      <c r="S5575" s="70" t="n">
        <v>313</v>
      </c>
      <c r="T5575" s="71" t="n">
        <v>73011.82000000001</v>
      </c>
      <c r="U5575" t="inlineStr">
        <is>
          <t>Low</t>
        </is>
      </c>
      <c r="V5575">
        <f>IF(AND(OR(Dashboard!$C$6="All",E5575=Dashboard!$C$6),OR(Dashboard!$F$6="All",G5575=Dashboard!$F$6),OR(Dashboard!$I$6="All",H5575=Dashboard!$I$6)),1,0)</f>
        <v/>
      </c>
    </row>
    <row r="5576">
      <c r="A5576" t="inlineStr">
        <is>
          <t>PF105567</t>
        </is>
      </c>
      <c r="B5576" s="68" t="n">
        <v>46331</v>
      </c>
      <c r="C5576" s="69" t="n">
        <v>2026</v>
      </c>
      <c r="D5576" t="inlineStr">
        <is>
          <t>Nov</t>
        </is>
      </c>
      <c r="E5576" t="inlineStr">
        <is>
          <t>Emerging markets</t>
        </is>
      </c>
      <c r="F5576" t="inlineStr">
        <is>
          <t>India</t>
        </is>
      </c>
      <c r="G5576" t="inlineStr">
        <is>
          <t>Comirnaty</t>
        </is>
      </c>
      <c r="H5576" t="inlineStr">
        <is>
          <t>Government / tender</t>
        </is>
      </c>
      <c r="I5576" t="inlineStr">
        <is>
          <t>Self-pay</t>
        </is>
      </c>
      <c r="J5576" t="inlineStr">
        <is>
          <t>Sophie Müller</t>
        </is>
      </c>
      <c r="K5576" s="70" t="n">
        <v>589</v>
      </c>
      <c r="L5576" s="71" t="n">
        <v>95.45</v>
      </c>
      <c r="M5576" s="71" t="n">
        <v>56220.05</v>
      </c>
      <c r="N5576" s="71" t="n">
        <v>14055.01</v>
      </c>
      <c r="O5576" s="71" t="n">
        <v>42165.04</v>
      </c>
      <c r="P5576" s="71" t="n">
        <v>22457.64</v>
      </c>
      <c r="Q5576" s="71" t="n">
        <v>19707.4</v>
      </c>
      <c r="R5576" t="inlineStr">
        <is>
          <t>Vaccines</t>
        </is>
      </c>
      <c r="S5576" s="70" t="n">
        <v>427</v>
      </c>
      <c r="T5576" s="71" t="n">
        <v>9644.459999999999</v>
      </c>
      <c r="U5576" t="inlineStr">
        <is>
          <t>Low</t>
        </is>
      </c>
      <c r="V5576">
        <f>IF(AND(OR(Dashboard!$C$6="All",E5576=Dashboard!$C$6),OR(Dashboard!$F$6="All",G5576=Dashboard!$F$6),OR(Dashboard!$I$6="All",H5576=Dashboard!$I$6)),1,0)</f>
        <v/>
      </c>
    </row>
    <row r="5577">
      <c r="A5577" t="inlineStr">
        <is>
          <t>PF105568</t>
        </is>
      </c>
      <c r="B5577" s="68" t="n">
        <v>46331</v>
      </c>
      <c r="C5577" s="69" t="n">
        <v>2026</v>
      </c>
      <c r="D5577" t="inlineStr">
        <is>
          <t>Nov</t>
        </is>
      </c>
      <c r="E5577" t="inlineStr">
        <is>
          <t>United States</t>
        </is>
      </c>
      <c r="F5577" t="inlineStr">
        <is>
          <t>USA</t>
        </is>
      </c>
      <c r="G5577" t="inlineStr">
        <is>
          <t>Comirnaty</t>
        </is>
      </c>
      <c r="H5577" t="inlineStr">
        <is>
          <t>Government / tender</t>
        </is>
      </c>
      <c r="I5577" t="inlineStr">
        <is>
          <t>Private insurer</t>
        </is>
      </c>
      <c r="J5577" t="inlineStr">
        <is>
          <t>Wei Chen</t>
        </is>
      </c>
      <c r="K5577" s="70" t="n">
        <v>1635</v>
      </c>
      <c r="L5577" s="71" t="n">
        <v>146.17</v>
      </c>
      <c r="M5577" s="71" t="n">
        <v>238987.95</v>
      </c>
      <c r="N5577" s="71" t="n">
        <v>35848.19</v>
      </c>
      <c r="O5577" s="71" t="n">
        <v>203139.76</v>
      </c>
      <c r="P5577" s="71" t="n">
        <v>62882.45</v>
      </c>
      <c r="Q5577" s="71" t="n">
        <v>140257.31</v>
      </c>
      <c r="R5577" t="inlineStr">
        <is>
          <t>Vaccines</t>
        </is>
      </c>
      <c r="S5577" s="70" t="n">
        <v>1328</v>
      </c>
      <c r="T5577" s="71" t="n">
        <v>58314.15</v>
      </c>
      <c r="U5577" t="inlineStr">
        <is>
          <t>Low</t>
        </is>
      </c>
      <c r="V5577">
        <f>IF(AND(OR(Dashboard!$C$6="All",E5577=Dashboard!$C$6),OR(Dashboard!$F$6="All",G5577=Dashboard!$F$6),OR(Dashboard!$I$6="All",H5577=Dashboard!$I$6)),1,0)</f>
        <v/>
      </c>
    </row>
    <row r="5578">
      <c r="A5578" t="inlineStr">
        <is>
          <t>PF105569</t>
        </is>
      </c>
      <c r="B5578" s="68" t="n">
        <v>46331</v>
      </c>
      <c r="C5578" s="69" t="n">
        <v>2026</v>
      </c>
      <c r="D5578" t="inlineStr">
        <is>
          <t>Nov</t>
        </is>
      </c>
      <c r="E5578" t="inlineStr">
        <is>
          <t>United States</t>
        </is>
      </c>
      <c r="F5578" t="inlineStr">
        <is>
          <t>USA</t>
        </is>
      </c>
      <c r="G5578" t="inlineStr">
        <is>
          <t>Ibrance</t>
        </is>
      </c>
      <c r="H5578" t="inlineStr">
        <is>
          <t>Retail pharmacy</t>
        </is>
      </c>
      <c r="I5578" t="inlineStr">
        <is>
          <t>Public payer</t>
        </is>
      </c>
      <c r="J5578" t="inlineStr">
        <is>
          <t>Fatima Al-Saud</t>
        </is>
      </c>
      <c r="K5578" s="70" t="n">
        <v>1119</v>
      </c>
      <c r="L5578" s="71" t="n">
        <v>4186.73</v>
      </c>
      <c r="M5578" s="71" t="n">
        <v>4684950.87</v>
      </c>
      <c r="N5578" s="71" t="n">
        <v>1639732.8</v>
      </c>
      <c r="O5578" s="71" t="n">
        <v>3045218.07</v>
      </c>
      <c r="P5578" s="71" t="n">
        <v>497657.93</v>
      </c>
      <c r="Q5578" s="71" t="n">
        <v>2547560.14</v>
      </c>
      <c r="R5578" t="inlineStr">
        <is>
          <t>Oncology</t>
        </is>
      </c>
      <c r="S5578" s="70" t="n">
        <v>1104</v>
      </c>
      <c r="T5578" s="71" t="n">
        <v>873362.15</v>
      </c>
      <c r="U5578" t="inlineStr">
        <is>
          <t>High</t>
        </is>
      </c>
      <c r="V5578">
        <f>IF(AND(OR(Dashboard!$C$6="All",E5578=Dashboard!$C$6),OR(Dashboard!$F$6="All",G5578=Dashboard!$F$6),OR(Dashboard!$I$6="All",H5578=Dashboard!$I$6)),1,0)</f>
        <v/>
      </c>
    </row>
    <row r="5579">
      <c r="A5579" t="inlineStr">
        <is>
          <t>PF105570</t>
        </is>
      </c>
      <c r="B5579" s="68" t="n">
        <v>46331</v>
      </c>
      <c r="C5579" s="69" t="n">
        <v>2026</v>
      </c>
      <c r="D5579" t="inlineStr">
        <is>
          <t>Nov</t>
        </is>
      </c>
      <c r="E5579" t="inlineStr">
        <is>
          <t>United States</t>
        </is>
      </c>
      <c r="F5579" t="inlineStr">
        <is>
          <t>USA</t>
        </is>
      </c>
      <c r="G5579" t="inlineStr">
        <is>
          <t>Comirnaty</t>
        </is>
      </c>
      <c r="H5579" t="inlineStr">
        <is>
          <t>Government / tender</t>
        </is>
      </c>
      <c r="I5579" t="inlineStr">
        <is>
          <t>Public payer</t>
        </is>
      </c>
      <c r="J5579" t="inlineStr">
        <is>
          <t>Fatima Al-Saud</t>
        </is>
      </c>
      <c r="K5579" s="70" t="n">
        <v>120</v>
      </c>
      <c r="L5579" s="71" t="n">
        <v>131.5</v>
      </c>
      <c r="M5579" s="71" t="n">
        <v>15780</v>
      </c>
      <c r="N5579" s="71" t="n">
        <v>3945</v>
      </c>
      <c r="O5579" s="71" t="n">
        <v>11835</v>
      </c>
      <c r="P5579" s="71" t="n">
        <v>4725.47</v>
      </c>
      <c r="Q5579" s="71" t="n">
        <v>7109.53</v>
      </c>
      <c r="R5579" t="inlineStr">
        <is>
          <t>Vaccines</t>
        </is>
      </c>
      <c r="S5579" s="70" t="n">
        <v>111</v>
      </c>
      <c r="T5579" s="71" t="n">
        <v>4109.18</v>
      </c>
      <c r="U5579" t="inlineStr">
        <is>
          <t>Low</t>
        </is>
      </c>
      <c r="V5579">
        <f>IF(AND(OR(Dashboard!$C$6="All",E5579=Dashboard!$C$6),OR(Dashboard!$F$6="All",G5579=Dashboard!$F$6),OR(Dashboard!$I$6="All",H5579=Dashboard!$I$6)),1,0)</f>
        <v/>
      </c>
    </row>
    <row r="5580">
      <c r="A5580" t="inlineStr">
        <is>
          <t>PF105571</t>
        </is>
      </c>
      <c r="B5580" s="68" t="n">
        <v>46331</v>
      </c>
      <c r="C5580" s="69" t="n">
        <v>2026</v>
      </c>
      <c r="D5580" t="inlineStr">
        <is>
          <t>Nov</t>
        </is>
      </c>
      <c r="E5580" t="inlineStr">
        <is>
          <t>Europe</t>
        </is>
      </c>
      <c r="F5580" t="inlineStr">
        <is>
          <t>Germany</t>
        </is>
      </c>
      <c r="G5580" t="inlineStr">
        <is>
          <t>Prevnar 20</t>
        </is>
      </c>
      <c r="H5580" t="inlineStr">
        <is>
          <t>Government / tender</t>
        </is>
      </c>
      <c r="I5580" t="inlineStr">
        <is>
          <t>Private insurer</t>
        </is>
      </c>
      <c r="J5580" t="inlineStr">
        <is>
          <t>Shraddha Kulkarni</t>
        </is>
      </c>
      <c r="K5580" s="70" t="n">
        <v>1161</v>
      </c>
      <c r="L5580" s="71" t="n">
        <v>219.32</v>
      </c>
      <c r="M5580" s="71" t="n">
        <v>254630.52</v>
      </c>
      <c r="N5580" s="71" t="n">
        <v>12731.53</v>
      </c>
      <c r="O5580" s="71" t="n">
        <v>241898.99</v>
      </c>
      <c r="P5580" s="71" t="n">
        <v>78604.97</v>
      </c>
      <c r="Q5580" s="71" t="n">
        <v>163294.02</v>
      </c>
      <c r="R5580" t="inlineStr">
        <is>
          <t>Vaccines</t>
        </is>
      </c>
      <c r="S5580" s="70" t="n">
        <v>906</v>
      </c>
      <c r="T5580" s="71" t="n">
        <v>36386.04</v>
      </c>
      <c r="U5580" t="inlineStr">
        <is>
          <t>Low</t>
        </is>
      </c>
      <c r="V5580">
        <f>IF(AND(OR(Dashboard!$C$6="All",E5580=Dashboard!$C$6),OR(Dashboard!$F$6="All",G5580=Dashboard!$F$6),OR(Dashboard!$I$6="All",H5580=Dashboard!$I$6)),1,0)</f>
        <v/>
      </c>
    </row>
    <row r="5581">
      <c r="A5581" t="inlineStr">
        <is>
          <t>PF105572</t>
        </is>
      </c>
      <c r="B5581" s="68" t="n">
        <v>46331</v>
      </c>
      <c r="C5581" s="69" t="n">
        <v>2026</v>
      </c>
      <c r="D5581" t="inlineStr">
        <is>
          <t>Nov</t>
        </is>
      </c>
      <c r="E5581" t="inlineStr">
        <is>
          <t>International developed</t>
        </is>
      </c>
      <c r="F5581" t="inlineStr">
        <is>
          <t>Australia</t>
        </is>
      </c>
      <c r="G5581" t="inlineStr">
        <is>
          <t>Abrysvo</t>
        </is>
      </c>
      <c r="H5581" t="inlineStr">
        <is>
          <t>Hospital</t>
        </is>
      </c>
      <c r="I5581" t="inlineStr">
        <is>
          <t>Public payer</t>
        </is>
      </c>
      <c r="J5581" t="inlineStr">
        <is>
          <t>Kofi Mensah</t>
        </is>
      </c>
      <c r="K5581" s="70" t="n">
        <v>3401</v>
      </c>
      <c r="L5581" s="71" t="n">
        <v>310.16</v>
      </c>
      <c r="M5581" s="71" t="n">
        <v>1054854.16</v>
      </c>
      <c r="N5581" s="71" t="n">
        <v>210970.83</v>
      </c>
      <c r="O5581" s="71" t="n">
        <v>843883.33</v>
      </c>
      <c r="P5581" s="71" t="n">
        <v>284923.48</v>
      </c>
      <c r="Q5581" s="71" t="n">
        <v>558959.85</v>
      </c>
      <c r="R5581" t="inlineStr">
        <is>
          <t>Vaccines</t>
        </is>
      </c>
      <c r="S5581" s="70" t="n">
        <v>2162</v>
      </c>
      <c r="T5581" s="71" t="n">
        <v>133657.68</v>
      </c>
      <c r="U5581" t="inlineStr">
        <is>
          <t>Low</t>
        </is>
      </c>
      <c r="V5581">
        <f>IF(AND(OR(Dashboard!$C$6="All",E5581=Dashboard!$C$6),OR(Dashboard!$F$6="All",G5581=Dashboard!$F$6),OR(Dashboard!$I$6="All",H5581=Dashboard!$I$6)),1,0)</f>
        <v/>
      </c>
    </row>
    <row r="5582">
      <c r="A5582" t="inlineStr">
        <is>
          <t>PF105573</t>
        </is>
      </c>
      <c r="B5582" s="68" t="n">
        <v>46331</v>
      </c>
      <c r="C5582" s="69" t="n">
        <v>2026</v>
      </c>
      <c r="D5582" t="inlineStr">
        <is>
          <t>Nov</t>
        </is>
      </c>
      <c r="E5582" t="inlineStr">
        <is>
          <t>Europe</t>
        </is>
      </c>
      <c r="F5582" t="inlineStr">
        <is>
          <t>Spain</t>
        </is>
      </c>
      <c r="G5582" t="inlineStr">
        <is>
          <t>Abrysvo</t>
        </is>
      </c>
      <c r="H5582" t="inlineStr">
        <is>
          <t>Hospital</t>
        </is>
      </c>
      <c r="I5582" t="inlineStr">
        <is>
          <t>Public payer</t>
        </is>
      </c>
      <c r="J5582" t="inlineStr">
        <is>
          <t>Sophie Müller</t>
        </is>
      </c>
      <c r="K5582" s="70" t="n">
        <v>2885</v>
      </c>
      <c r="L5582" s="71" t="n">
        <v>334.37</v>
      </c>
      <c r="M5582" s="71" t="n">
        <v>964657.45</v>
      </c>
      <c r="N5582" s="71" t="n">
        <v>144698.62</v>
      </c>
      <c r="O5582" s="71" t="n">
        <v>819958.83</v>
      </c>
      <c r="P5582" s="71" t="n">
        <v>234194.52</v>
      </c>
      <c r="Q5582" s="71" t="n">
        <v>585764.3100000001</v>
      </c>
      <c r="R5582" t="inlineStr">
        <is>
          <t>Vaccines</t>
        </is>
      </c>
      <c r="S5582" s="70" t="n">
        <v>1947</v>
      </c>
      <c r="T5582" s="71" t="n">
        <v>147636.96</v>
      </c>
      <c r="U5582" t="inlineStr">
        <is>
          <t>Low</t>
        </is>
      </c>
      <c r="V5582">
        <f>IF(AND(OR(Dashboard!$C$6="All",E5582=Dashboard!$C$6),OR(Dashboard!$F$6="All",G5582=Dashboard!$F$6),OR(Dashboard!$I$6="All",H5582=Dashboard!$I$6)),1,0)</f>
        <v/>
      </c>
    </row>
    <row r="5583">
      <c r="A5583" t="inlineStr">
        <is>
          <t>PF105574</t>
        </is>
      </c>
      <c r="B5583" s="68" t="n">
        <v>46332</v>
      </c>
      <c r="C5583" s="69" t="n">
        <v>2026</v>
      </c>
      <c r="D5583" t="inlineStr">
        <is>
          <t>Nov</t>
        </is>
      </c>
      <c r="E5583" t="inlineStr">
        <is>
          <t>United States</t>
        </is>
      </c>
      <c r="F5583" t="inlineStr">
        <is>
          <t>USA</t>
        </is>
      </c>
      <c r="G5583" t="inlineStr">
        <is>
          <t>Paxlovid</t>
        </is>
      </c>
      <c r="H5583" t="inlineStr">
        <is>
          <t>Hospital</t>
        </is>
      </c>
      <c r="I5583" t="inlineStr">
        <is>
          <t>Public payer</t>
        </is>
      </c>
      <c r="J5583" t="inlineStr">
        <is>
          <t>Ruhi Shaikh</t>
        </is>
      </c>
      <c r="K5583" s="70" t="n">
        <v>646</v>
      </c>
      <c r="L5583" s="71" t="n">
        <v>1489.21</v>
      </c>
      <c r="M5583" s="71" t="n">
        <v>962029.66</v>
      </c>
      <c r="N5583" s="71" t="n">
        <v>240507.42</v>
      </c>
      <c r="O5583" s="71" t="n">
        <v>721522.24</v>
      </c>
      <c r="P5583" s="71" t="n">
        <v>173024.62</v>
      </c>
      <c r="Q5583" s="71" t="n">
        <v>548497.62</v>
      </c>
      <c r="R5583" t="inlineStr">
        <is>
          <t>Antiviral</t>
        </is>
      </c>
      <c r="S5583" s="70" t="n">
        <v>561</v>
      </c>
      <c r="T5583" s="71" t="n">
        <v>235507.65</v>
      </c>
      <c r="U5583" t="inlineStr">
        <is>
          <t>Low</t>
        </is>
      </c>
      <c r="V5583">
        <f>IF(AND(OR(Dashboard!$C$6="All",E5583=Dashboard!$C$6),OR(Dashboard!$F$6="All",G5583=Dashboard!$F$6),OR(Dashboard!$I$6="All",H5583=Dashboard!$I$6)),1,0)</f>
        <v/>
      </c>
    </row>
    <row r="5584">
      <c r="A5584" t="inlineStr">
        <is>
          <t>PF105575</t>
        </is>
      </c>
      <c r="B5584" s="68" t="n">
        <v>46332</v>
      </c>
      <c r="C5584" s="69" t="n">
        <v>2026</v>
      </c>
      <c r="D5584" t="inlineStr">
        <is>
          <t>Nov</t>
        </is>
      </c>
      <c r="E5584" t="inlineStr">
        <is>
          <t>United States</t>
        </is>
      </c>
      <c r="F5584" t="inlineStr">
        <is>
          <t>USA</t>
        </is>
      </c>
      <c r="G5584" t="inlineStr">
        <is>
          <t>Prevnar 20</t>
        </is>
      </c>
      <c r="H5584" t="inlineStr">
        <is>
          <t>Hospital</t>
        </is>
      </c>
      <c r="I5584" t="inlineStr">
        <is>
          <t>Private insurer</t>
        </is>
      </c>
      <c r="J5584" t="inlineStr">
        <is>
          <t>Liam O'Brien</t>
        </is>
      </c>
      <c r="K5584" s="70" t="n">
        <v>2167</v>
      </c>
      <c r="L5584" s="71" t="n">
        <v>349.34</v>
      </c>
      <c r="M5584" s="71" t="n">
        <v>757019.78</v>
      </c>
      <c r="N5584" s="71" t="n">
        <v>189254.95</v>
      </c>
      <c r="O5584" s="71" t="n">
        <v>567764.83</v>
      </c>
      <c r="P5584" s="71" t="n">
        <v>144182.13</v>
      </c>
      <c r="Q5584" s="71" t="n">
        <v>423582.7</v>
      </c>
      <c r="R5584" t="inlineStr">
        <is>
          <t>Vaccines</t>
        </is>
      </c>
      <c r="S5584" s="70" t="n">
        <v>1670</v>
      </c>
      <c r="T5584" s="71" t="n">
        <v>94634.39</v>
      </c>
      <c r="U5584" t="inlineStr">
        <is>
          <t>Low</t>
        </is>
      </c>
      <c r="V5584">
        <f>IF(AND(OR(Dashboard!$C$6="All",E5584=Dashboard!$C$6),OR(Dashboard!$F$6="All",G5584=Dashboard!$F$6),OR(Dashboard!$I$6="All",H5584=Dashboard!$I$6)),1,0)</f>
        <v/>
      </c>
    </row>
    <row r="5585">
      <c r="A5585" t="inlineStr">
        <is>
          <t>PF105576</t>
        </is>
      </c>
      <c r="B5585" s="68" t="n">
        <v>46332</v>
      </c>
      <c r="C5585" s="69" t="n">
        <v>2026</v>
      </c>
      <c r="D5585" t="inlineStr">
        <is>
          <t>Nov</t>
        </is>
      </c>
      <c r="E5585" t="inlineStr">
        <is>
          <t>United States</t>
        </is>
      </c>
      <c r="F5585" t="inlineStr">
        <is>
          <t>USA</t>
        </is>
      </c>
      <c r="G5585" t="inlineStr">
        <is>
          <t>Eliquis</t>
        </is>
      </c>
      <c r="H5585" t="inlineStr">
        <is>
          <t>Government / tender</t>
        </is>
      </c>
      <c r="I5585" t="inlineStr">
        <is>
          <t>Self-pay</t>
        </is>
      </c>
      <c r="J5585" t="inlineStr">
        <is>
          <t>Lucas Martin</t>
        </is>
      </c>
      <c r="K5585" s="70" t="n">
        <v>1840</v>
      </c>
      <c r="L5585" s="71" t="n">
        <v>683.38</v>
      </c>
      <c r="M5585" s="71" t="n">
        <v>1257419.2</v>
      </c>
      <c r="N5585" s="71" t="n">
        <v>188612.88</v>
      </c>
      <c r="O5585" s="71" t="n">
        <v>1068806.32</v>
      </c>
      <c r="P5585" s="71" t="n">
        <v>141692.68</v>
      </c>
      <c r="Q5585" s="71" t="n">
        <v>927113.64</v>
      </c>
      <c r="R5585" t="inlineStr">
        <is>
          <t>Cardiology</t>
        </is>
      </c>
      <c r="S5585" s="70" t="n">
        <v>1794</v>
      </c>
      <c r="T5585" s="71" t="n">
        <v>260088.26</v>
      </c>
      <c r="U5585" t="inlineStr">
        <is>
          <t>High</t>
        </is>
      </c>
      <c r="V5585">
        <f>IF(AND(OR(Dashboard!$C$6="All",E5585=Dashboard!$C$6),OR(Dashboard!$F$6="All",G5585=Dashboard!$F$6),OR(Dashboard!$I$6="All",H5585=Dashboard!$I$6)),1,0)</f>
        <v/>
      </c>
    </row>
    <row r="5586">
      <c r="A5586" t="inlineStr">
        <is>
          <t>PF105577</t>
        </is>
      </c>
      <c r="B5586" s="68" t="n">
        <v>46332</v>
      </c>
      <c r="C5586" s="69" t="n">
        <v>2026</v>
      </c>
      <c r="D5586" t="inlineStr">
        <is>
          <t>Nov</t>
        </is>
      </c>
      <c r="E5586" t="inlineStr">
        <is>
          <t>Europe</t>
        </is>
      </c>
      <c r="F5586" t="inlineStr">
        <is>
          <t>UK</t>
        </is>
      </c>
      <c r="G5586" t="inlineStr">
        <is>
          <t>Prevnar 20</t>
        </is>
      </c>
      <c r="H5586" t="inlineStr">
        <is>
          <t>Retail pharmacy</t>
        </is>
      </c>
      <c r="I5586" t="inlineStr">
        <is>
          <t>Private insurer</t>
        </is>
      </c>
      <c r="J5586" t="inlineStr">
        <is>
          <t>Shraddha Kulkarni</t>
        </is>
      </c>
      <c r="K5586" s="70" t="n">
        <v>3307</v>
      </c>
      <c r="L5586" s="71" t="n">
        <v>236.79</v>
      </c>
      <c r="M5586" s="71" t="n">
        <v>783064.53</v>
      </c>
      <c r="N5586" s="71" t="n">
        <v>195766.13</v>
      </c>
      <c r="O5586" s="71" t="n">
        <v>587298.4</v>
      </c>
      <c r="P5586" s="71" t="n">
        <v>231763.24</v>
      </c>
      <c r="Q5586" s="71" t="n">
        <v>355535.16</v>
      </c>
      <c r="R5586" t="inlineStr">
        <is>
          <t>Vaccines</t>
        </is>
      </c>
      <c r="S5586" s="70" t="n">
        <v>3129</v>
      </c>
      <c r="T5586" s="71" t="n">
        <v>108139.02</v>
      </c>
      <c r="U5586" t="inlineStr">
        <is>
          <t>Low</t>
        </is>
      </c>
      <c r="V5586">
        <f>IF(AND(OR(Dashboard!$C$6="All",E5586=Dashboard!$C$6),OR(Dashboard!$F$6="All",G5586=Dashboard!$F$6),OR(Dashboard!$I$6="All",H5586=Dashboard!$I$6)),1,0)</f>
        <v/>
      </c>
    </row>
    <row r="5587">
      <c r="A5587" t="inlineStr">
        <is>
          <t>PF105578</t>
        </is>
      </c>
      <c r="B5587" s="68" t="n">
        <v>46332</v>
      </c>
      <c r="C5587" s="69" t="n">
        <v>2026</v>
      </c>
      <c r="D5587" t="inlineStr">
        <is>
          <t>Nov</t>
        </is>
      </c>
      <c r="E5587" t="inlineStr">
        <is>
          <t>United States</t>
        </is>
      </c>
      <c r="F5587" t="inlineStr">
        <is>
          <t>USA</t>
        </is>
      </c>
      <c r="G5587" t="inlineStr">
        <is>
          <t>Ibrance</t>
        </is>
      </c>
      <c r="H5587" t="inlineStr">
        <is>
          <t>Retail pharmacy</t>
        </is>
      </c>
      <c r="I5587" t="inlineStr">
        <is>
          <t>Private insurer</t>
        </is>
      </c>
      <c r="J5587" t="inlineStr">
        <is>
          <t>Ana Costa</t>
        </is>
      </c>
      <c r="K5587" s="70" t="n">
        <v>203</v>
      </c>
      <c r="L5587" s="71" t="n">
        <v>4514.09</v>
      </c>
      <c r="M5587" s="71" t="n">
        <v>916360.27</v>
      </c>
      <c r="N5587" s="71" t="n">
        <v>320726.09</v>
      </c>
      <c r="O5587" s="71" t="n">
        <v>595634.1800000001</v>
      </c>
      <c r="P5587" s="71" t="n">
        <v>86045.55</v>
      </c>
      <c r="Q5587" s="71" t="n">
        <v>509588.63</v>
      </c>
      <c r="R5587" t="inlineStr">
        <is>
          <t>Oncology</t>
        </is>
      </c>
      <c r="S5587" s="70" t="n">
        <v>178</v>
      </c>
      <c r="T5587" s="71" t="n">
        <v>154266.64</v>
      </c>
      <c r="U5587" t="inlineStr">
        <is>
          <t>High</t>
        </is>
      </c>
      <c r="V5587">
        <f>IF(AND(OR(Dashboard!$C$6="All",E5587=Dashboard!$C$6),OR(Dashboard!$F$6="All",G5587=Dashboard!$F$6),OR(Dashboard!$I$6="All",H5587=Dashboard!$I$6)),1,0)</f>
        <v/>
      </c>
    </row>
    <row r="5588">
      <c r="A5588" t="inlineStr">
        <is>
          <t>PF105579</t>
        </is>
      </c>
      <c r="B5588" s="68" t="n">
        <v>46332</v>
      </c>
      <c r="C5588" s="69" t="n">
        <v>2026</v>
      </c>
      <c r="D5588" t="inlineStr">
        <is>
          <t>Nov</t>
        </is>
      </c>
      <c r="E5588" t="inlineStr">
        <is>
          <t>Europe</t>
        </is>
      </c>
      <c r="F5588" t="inlineStr">
        <is>
          <t>France</t>
        </is>
      </c>
      <c r="G5588" t="inlineStr">
        <is>
          <t>Comirnaty</t>
        </is>
      </c>
      <c r="H5588" t="inlineStr">
        <is>
          <t>Hospital</t>
        </is>
      </c>
      <c r="I5588" t="inlineStr">
        <is>
          <t>Public payer</t>
        </is>
      </c>
      <c r="J5588" t="inlineStr">
        <is>
          <t>Aisha Bello</t>
        </is>
      </c>
      <c r="K5588" s="70" t="n">
        <v>2648</v>
      </c>
      <c r="L5588" s="71" t="n">
        <v>88.09</v>
      </c>
      <c r="M5588" s="71" t="n">
        <v>233262.32</v>
      </c>
      <c r="N5588" s="71" t="n">
        <v>46652.46</v>
      </c>
      <c r="O5588" s="71" t="n">
        <v>186609.86</v>
      </c>
      <c r="P5588" s="71" t="n">
        <v>99025.83</v>
      </c>
      <c r="Q5588" s="71" t="n">
        <v>87584.03</v>
      </c>
      <c r="R5588" t="inlineStr">
        <is>
          <t>Vaccines</t>
        </is>
      </c>
      <c r="S5588" s="70" t="n">
        <v>2253</v>
      </c>
      <c r="T5588" s="71" t="n">
        <v>35000.45</v>
      </c>
      <c r="U5588" t="inlineStr">
        <is>
          <t>Low</t>
        </is>
      </c>
      <c r="V5588">
        <f>IF(AND(OR(Dashboard!$C$6="All",E5588=Dashboard!$C$6),OR(Dashboard!$F$6="All",G5588=Dashboard!$F$6),OR(Dashboard!$I$6="All",H5588=Dashboard!$I$6)),1,0)</f>
        <v/>
      </c>
    </row>
    <row r="5589">
      <c r="A5589" t="inlineStr">
        <is>
          <t>PF105580</t>
        </is>
      </c>
      <c r="B5589" s="68" t="n">
        <v>46332</v>
      </c>
      <c r="C5589" s="69" t="n">
        <v>2026</v>
      </c>
      <c r="D5589" t="inlineStr">
        <is>
          <t>Nov</t>
        </is>
      </c>
      <c r="E5589" t="inlineStr">
        <is>
          <t>Europe</t>
        </is>
      </c>
      <c r="F5589" t="inlineStr">
        <is>
          <t>Spain</t>
        </is>
      </c>
      <c r="G5589" t="inlineStr">
        <is>
          <t>Comirnaty</t>
        </is>
      </c>
      <c r="H5589" t="inlineStr">
        <is>
          <t>Government / tender</t>
        </is>
      </c>
      <c r="I5589" t="inlineStr">
        <is>
          <t>Self-pay</t>
        </is>
      </c>
      <c r="J5589" t="inlineStr">
        <is>
          <t>Emma Clarke</t>
        </is>
      </c>
      <c r="K5589" s="70" t="n">
        <v>2216</v>
      </c>
      <c r="L5589" s="71" t="n">
        <v>92.22</v>
      </c>
      <c r="M5589" s="71" t="n">
        <v>204359.52</v>
      </c>
      <c r="N5589" s="71" t="n">
        <v>20435.95</v>
      </c>
      <c r="O5589" s="71" t="n">
        <v>183923.57</v>
      </c>
      <c r="P5589" s="71" t="n">
        <v>84075.02</v>
      </c>
      <c r="Q5589" s="71" t="n">
        <v>99848.55</v>
      </c>
      <c r="R5589" t="inlineStr">
        <is>
          <t>Vaccines</t>
        </is>
      </c>
      <c r="S5589" s="70" t="n">
        <v>1520</v>
      </c>
      <c r="T5589" s="71" t="n">
        <v>53316.03</v>
      </c>
      <c r="U5589" t="inlineStr">
        <is>
          <t>Low</t>
        </is>
      </c>
      <c r="V5589">
        <f>IF(AND(OR(Dashboard!$C$6="All",E5589=Dashboard!$C$6),OR(Dashboard!$F$6="All",G5589=Dashboard!$F$6),OR(Dashboard!$I$6="All",H5589=Dashboard!$I$6)),1,0)</f>
        <v/>
      </c>
    </row>
    <row r="5590">
      <c r="A5590" t="inlineStr">
        <is>
          <t>PF105581</t>
        </is>
      </c>
      <c r="B5590" s="68" t="n">
        <v>46332</v>
      </c>
      <c r="C5590" s="69" t="n">
        <v>2026</v>
      </c>
      <c r="D5590" t="inlineStr">
        <is>
          <t>Nov</t>
        </is>
      </c>
      <c r="E5590" t="inlineStr">
        <is>
          <t>Europe</t>
        </is>
      </c>
      <c r="F5590" t="inlineStr">
        <is>
          <t>Germany</t>
        </is>
      </c>
      <c r="G5590" t="inlineStr">
        <is>
          <t>Abrysvo</t>
        </is>
      </c>
      <c r="H5590" t="inlineStr">
        <is>
          <t>Hospital</t>
        </is>
      </c>
      <c r="I5590" t="inlineStr">
        <is>
          <t>Self-pay</t>
        </is>
      </c>
      <c r="J5590" t="inlineStr">
        <is>
          <t>Emma Clarke</t>
        </is>
      </c>
      <c r="K5590" s="70" t="n">
        <v>1119</v>
      </c>
      <c r="L5590" s="71" t="n">
        <v>330.67</v>
      </c>
      <c r="M5590" s="71" t="n">
        <v>370019.73</v>
      </c>
      <c r="N5590" s="71" t="n">
        <v>74003.95</v>
      </c>
      <c r="O5590" s="71" t="n">
        <v>296015.78</v>
      </c>
      <c r="P5590" s="71" t="n">
        <v>94946.75</v>
      </c>
      <c r="Q5590" s="71" t="n">
        <v>201069.03</v>
      </c>
      <c r="R5590" t="inlineStr">
        <is>
          <t>Vaccines</t>
        </is>
      </c>
      <c r="S5590" s="70" t="n">
        <v>804</v>
      </c>
      <c r="T5590" s="71" t="n">
        <v>38998.12</v>
      </c>
      <c r="U5590" t="inlineStr">
        <is>
          <t>Low</t>
        </is>
      </c>
      <c r="V5590">
        <f>IF(AND(OR(Dashboard!$C$6="All",E5590=Dashboard!$C$6),OR(Dashboard!$F$6="All",G5590=Dashboard!$F$6),OR(Dashboard!$I$6="All",H5590=Dashboard!$I$6)),1,0)</f>
        <v/>
      </c>
    </row>
    <row r="5591">
      <c r="A5591" t="inlineStr">
        <is>
          <t>PF105582</t>
        </is>
      </c>
      <c r="B5591" s="68" t="n">
        <v>46332</v>
      </c>
      <c r="C5591" s="69" t="n">
        <v>2026</v>
      </c>
      <c r="D5591" t="inlineStr">
        <is>
          <t>Nov</t>
        </is>
      </c>
      <c r="E5591" t="inlineStr">
        <is>
          <t>United States</t>
        </is>
      </c>
      <c r="F5591" t="inlineStr">
        <is>
          <t>USA</t>
        </is>
      </c>
      <c r="G5591" t="inlineStr">
        <is>
          <t>Eliquis</t>
        </is>
      </c>
      <c r="H5591" t="inlineStr">
        <is>
          <t>Retail pharmacy</t>
        </is>
      </c>
      <c r="I5591" t="inlineStr">
        <is>
          <t>Public payer</t>
        </is>
      </c>
      <c r="J5591" t="inlineStr">
        <is>
          <t>Priya Nair</t>
        </is>
      </c>
      <c r="K5591" s="70" t="n">
        <v>2140</v>
      </c>
      <c r="L5591" s="71" t="n">
        <v>674.76</v>
      </c>
      <c r="M5591" s="71" t="n">
        <v>1443986.4</v>
      </c>
      <c r="N5591" s="71" t="n">
        <v>360996.6</v>
      </c>
      <c r="O5591" s="71" t="n">
        <v>1082989.8</v>
      </c>
      <c r="P5591" s="71" t="n">
        <v>167730.34</v>
      </c>
      <c r="Q5591" s="71" t="n">
        <v>915259.46</v>
      </c>
      <c r="R5591" t="inlineStr">
        <is>
          <t>Cardiology</t>
        </is>
      </c>
      <c r="S5591" s="70" t="n">
        <v>1599</v>
      </c>
      <c r="T5591" s="71" t="n">
        <v>290072.17</v>
      </c>
      <c r="U5591" t="inlineStr">
        <is>
          <t>High</t>
        </is>
      </c>
      <c r="V5591">
        <f>IF(AND(OR(Dashboard!$C$6="All",E5591=Dashboard!$C$6),OR(Dashboard!$F$6="All",G5591=Dashboard!$F$6),OR(Dashboard!$I$6="All",H5591=Dashboard!$I$6)),1,0)</f>
        <v/>
      </c>
    </row>
    <row r="5592">
      <c r="A5592" t="inlineStr">
        <is>
          <t>PF105583</t>
        </is>
      </c>
      <c r="B5592" s="68" t="n">
        <v>46333</v>
      </c>
      <c r="C5592" s="69" t="n">
        <v>2026</v>
      </c>
      <c r="D5592" t="inlineStr">
        <is>
          <t>Nov</t>
        </is>
      </c>
      <c r="E5592" t="inlineStr">
        <is>
          <t>Europe</t>
        </is>
      </c>
      <c r="F5592" t="inlineStr">
        <is>
          <t>Germany</t>
        </is>
      </c>
      <c r="G5592" t="inlineStr">
        <is>
          <t>Vyndaqel</t>
        </is>
      </c>
      <c r="H5592" t="inlineStr">
        <is>
          <t>Government / tender</t>
        </is>
      </c>
      <c r="I5592" t="inlineStr">
        <is>
          <t>Public payer</t>
        </is>
      </c>
      <c r="J5592" t="inlineStr">
        <is>
          <t>Fatima Al-Saud</t>
        </is>
      </c>
      <c r="K5592" s="70" t="n">
        <v>3274</v>
      </c>
      <c r="L5592" s="71" t="n">
        <v>6003.49</v>
      </c>
      <c r="M5592" s="71" t="n">
        <v>19655426.26</v>
      </c>
      <c r="N5592" s="71" t="n">
        <v>982771.3100000001</v>
      </c>
      <c r="O5592" s="71" t="n">
        <v>18672654.95</v>
      </c>
      <c r="P5592" s="71" t="n">
        <v>2081158.29</v>
      </c>
      <c r="Q5592" s="71" t="n">
        <v>16591496.66</v>
      </c>
      <c r="R5592" t="inlineStr">
        <is>
          <t>Rare disease</t>
        </is>
      </c>
      <c r="S5592" s="70" t="n">
        <v>2420</v>
      </c>
      <c r="T5592" s="71" t="n">
        <v>2717638.55</v>
      </c>
      <c r="U5592" t="inlineStr">
        <is>
          <t>Medium</t>
        </is>
      </c>
      <c r="V5592">
        <f>IF(AND(OR(Dashboard!$C$6="All",E5592=Dashboard!$C$6),OR(Dashboard!$F$6="All",G5592=Dashboard!$F$6),OR(Dashboard!$I$6="All",H5592=Dashboard!$I$6)),1,0)</f>
        <v/>
      </c>
    </row>
    <row r="5593">
      <c r="A5593" t="inlineStr">
        <is>
          <t>PF105584</t>
        </is>
      </c>
      <c r="B5593" s="68" t="n">
        <v>46333</v>
      </c>
      <c r="C5593" s="69" t="n">
        <v>2026</v>
      </c>
      <c r="D5593" t="inlineStr">
        <is>
          <t>Nov</t>
        </is>
      </c>
      <c r="E5593" t="inlineStr">
        <is>
          <t>Europe</t>
        </is>
      </c>
      <c r="F5593" t="inlineStr">
        <is>
          <t>UK</t>
        </is>
      </c>
      <c r="G5593" t="inlineStr">
        <is>
          <t>Eliquis</t>
        </is>
      </c>
      <c r="H5593" t="inlineStr">
        <is>
          <t>Retail pharmacy</t>
        </is>
      </c>
      <c r="I5593" t="inlineStr">
        <is>
          <t>Public payer</t>
        </is>
      </c>
      <c r="J5593" t="inlineStr">
        <is>
          <t>Sophie Müller</t>
        </is>
      </c>
      <c r="K5593" s="70" t="n">
        <v>174</v>
      </c>
      <c r="L5593" s="71" t="n">
        <v>391.38</v>
      </c>
      <c r="M5593" s="71" t="n">
        <v>68100.12</v>
      </c>
      <c r="N5593" s="71" t="n">
        <v>3405.01</v>
      </c>
      <c r="O5593" s="71" t="n">
        <v>64695.11</v>
      </c>
      <c r="P5593" s="71" t="n">
        <v>13400.68</v>
      </c>
      <c r="Q5593" s="71" t="n">
        <v>51294.43</v>
      </c>
      <c r="R5593" t="inlineStr">
        <is>
          <t>Cardiology</t>
        </is>
      </c>
      <c r="S5593" s="70" t="n">
        <v>111</v>
      </c>
      <c r="T5593" s="71" t="n">
        <v>11577.04</v>
      </c>
      <c r="U5593" t="inlineStr">
        <is>
          <t>High</t>
        </is>
      </c>
      <c r="V5593">
        <f>IF(AND(OR(Dashboard!$C$6="All",E5593=Dashboard!$C$6),OR(Dashboard!$F$6="All",G5593=Dashboard!$F$6),OR(Dashboard!$I$6="All",H5593=Dashboard!$I$6)),1,0)</f>
        <v/>
      </c>
    </row>
    <row r="5594">
      <c r="A5594" t="inlineStr">
        <is>
          <t>PF105585</t>
        </is>
      </c>
      <c r="B5594" s="68" t="n">
        <v>46333</v>
      </c>
      <c r="C5594" s="69" t="n">
        <v>2026</v>
      </c>
      <c r="D5594" t="inlineStr">
        <is>
          <t>Nov</t>
        </is>
      </c>
      <c r="E5594" t="inlineStr">
        <is>
          <t>Europe</t>
        </is>
      </c>
      <c r="F5594" t="inlineStr">
        <is>
          <t>Germany</t>
        </is>
      </c>
      <c r="G5594" t="inlineStr">
        <is>
          <t>Prevnar 20</t>
        </is>
      </c>
      <c r="H5594" t="inlineStr">
        <is>
          <t>Hospital</t>
        </is>
      </c>
      <c r="I5594" t="inlineStr">
        <is>
          <t>Private insurer</t>
        </is>
      </c>
      <c r="J5594" t="inlineStr">
        <is>
          <t>Amir Khan</t>
        </is>
      </c>
      <c r="K5594" s="70" t="n">
        <v>1614</v>
      </c>
      <c r="L5594" s="71" t="n">
        <v>242.32</v>
      </c>
      <c r="M5594" s="71" t="n">
        <v>391104.48</v>
      </c>
      <c r="N5594" s="71" t="n">
        <v>58665.67</v>
      </c>
      <c r="O5594" s="71" t="n">
        <v>332438.81</v>
      </c>
      <c r="P5594" s="71" t="n">
        <v>108448.21</v>
      </c>
      <c r="Q5594" s="71" t="n">
        <v>223990.6</v>
      </c>
      <c r="R5594" t="inlineStr">
        <is>
          <t>Vaccines</t>
        </is>
      </c>
      <c r="S5594" s="70" t="n">
        <v>1015</v>
      </c>
      <c r="T5594" s="71" t="n">
        <v>59612.98</v>
      </c>
      <c r="U5594" t="inlineStr">
        <is>
          <t>Low</t>
        </is>
      </c>
      <c r="V5594">
        <f>IF(AND(OR(Dashboard!$C$6="All",E5594=Dashboard!$C$6),OR(Dashboard!$F$6="All",G5594=Dashboard!$F$6),OR(Dashboard!$I$6="All",H5594=Dashboard!$I$6)),1,0)</f>
        <v/>
      </c>
    </row>
    <row r="5595">
      <c r="A5595" t="inlineStr">
        <is>
          <t>PF105586</t>
        </is>
      </c>
      <c r="B5595" s="68" t="n">
        <v>46333</v>
      </c>
      <c r="C5595" s="69" t="n">
        <v>2026</v>
      </c>
      <c r="D5595" t="inlineStr">
        <is>
          <t>Nov</t>
        </is>
      </c>
      <c r="E5595" t="inlineStr">
        <is>
          <t>Europe</t>
        </is>
      </c>
      <c r="F5595" t="inlineStr">
        <is>
          <t>Italy</t>
        </is>
      </c>
      <c r="G5595" t="inlineStr">
        <is>
          <t>Ibrance</t>
        </is>
      </c>
      <c r="H5595" t="inlineStr">
        <is>
          <t>Hospital</t>
        </is>
      </c>
      <c r="I5595" t="inlineStr">
        <is>
          <t>Private insurer</t>
        </is>
      </c>
      <c r="J5595" t="inlineStr">
        <is>
          <t>Wei Chen</t>
        </is>
      </c>
      <c r="K5595" s="70" t="n">
        <v>471</v>
      </c>
      <c r="L5595" s="71" t="n">
        <v>3010.89</v>
      </c>
      <c r="M5595" s="71" t="n">
        <v>1418129.19</v>
      </c>
      <c r="N5595" s="71" t="n">
        <v>70906.46000000001</v>
      </c>
      <c r="O5595" s="71" t="n">
        <v>1347222.73</v>
      </c>
      <c r="P5595" s="71" t="n">
        <v>200905.64</v>
      </c>
      <c r="Q5595" s="71" t="n">
        <v>1146317.09</v>
      </c>
      <c r="R5595" t="inlineStr">
        <is>
          <t>Oncology</t>
        </is>
      </c>
      <c r="S5595" s="70" t="n">
        <v>307</v>
      </c>
      <c r="T5595" s="71" t="n">
        <v>200491.29</v>
      </c>
      <c r="U5595" t="inlineStr">
        <is>
          <t>High</t>
        </is>
      </c>
      <c r="V5595">
        <f>IF(AND(OR(Dashboard!$C$6="All",E5595=Dashboard!$C$6),OR(Dashboard!$F$6="All",G5595=Dashboard!$F$6),OR(Dashboard!$I$6="All",H5595=Dashboard!$I$6)),1,0)</f>
        <v/>
      </c>
    </row>
    <row r="5596">
      <c r="A5596" t="inlineStr">
        <is>
          <t>PF105587</t>
        </is>
      </c>
      <c r="B5596" s="68" t="n">
        <v>46333</v>
      </c>
      <c r="C5596" s="69" t="n">
        <v>2026</v>
      </c>
      <c r="D5596" t="inlineStr">
        <is>
          <t>Nov</t>
        </is>
      </c>
      <c r="E5596" t="inlineStr">
        <is>
          <t>Europe</t>
        </is>
      </c>
      <c r="F5596" t="inlineStr">
        <is>
          <t>Italy</t>
        </is>
      </c>
      <c r="G5596" t="inlineStr">
        <is>
          <t>Abrysvo</t>
        </is>
      </c>
      <c r="H5596" t="inlineStr">
        <is>
          <t>Government / tender</t>
        </is>
      </c>
      <c r="I5596" t="inlineStr">
        <is>
          <t>Public payer</t>
        </is>
      </c>
      <c r="J5596" t="inlineStr">
        <is>
          <t>Zoya Ahmed</t>
        </is>
      </c>
      <c r="K5596" s="70" t="n">
        <v>3021</v>
      </c>
      <c r="L5596" s="71" t="n">
        <v>299.43</v>
      </c>
      <c r="M5596" s="71" t="n">
        <v>904578.03</v>
      </c>
      <c r="N5596" s="71" t="n">
        <v>135686.7</v>
      </c>
      <c r="O5596" s="71" t="n">
        <v>768891.33</v>
      </c>
      <c r="P5596" s="71" t="n">
        <v>247652.89</v>
      </c>
      <c r="Q5596" s="71" t="n">
        <v>521238.44</v>
      </c>
      <c r="R5596" t="inlineStr">
        <is>
          <t>Vaccines</t>
        </is>
      </c>
      <c r="S5596" s="70" t="n">
        <v>1974</v>
      </c>
      <c r="T5596" s="71" t="n">
        <v>122138.67</v>
      </c>
      <c r="U5596" t="inlineStr">
        <is>
          <t>Low</t>
        </is>
      </c>
      <c r="V5596">
        <f>IF(AND(OR(Dashboard!$C$6="All",E5596=Dashboard!$C$6),OR(Dashboard!$F$6="All",G5596=Dashboard!$F$6),OR(Dashboard!$I$6="All",H5596=Dashboard!$I$6)),1,0)</f>
        <v/>
      </c>
    </row>
    <row r="5597">
      <c r="A5597" t="inlineStr">
        <is>
          <t>PF105588</t>
        </is>
      </c>
      <c r="B5597" s="68" t="n">
        <v>46334</v>
      </c>
      <c r="C5597" s="69" t="n">
        <v>2026</v>
      </c>
      <c r="D5597" t="inlineStr">
        <is>
          <t>Nov</t>
        </is>
      </c>
      <c r="E5597" t="inlineStr">
        <is>
          <t>United States</t>
        </is>
      </c>
      <c r="F5597" t="inlineStr">
        <is>
          <t>USA</t>
        </is>
      </c>
      <c r="G5597" t="inlineStr">
        <is>
          <t>Abrysvo</t>
        </is>
      </c>
      <c r="H5597" t="inlineStr">
        <is>
          <t>Retail pharmacy</t>
        </is>
      </c>
      <c r="I5597" t="inlineStr">
        <is>
          <t>Private insurer</t>
        </is>
      </c>
      <c r="J5597" t="inlineStr">
        <is>
          <t>Shraddha Kulkarni</t>
        </is>
      </c>
      <c r="K5597" s="70" t="n">
        <v>2191</v>
      </c>
      <c r="L5597" s="71" t="n">
        <v>528.11</v>
      </c>
      <c r="M5597" s="71" t="n">
        <v>1157089.01</v>
      </c>
      <c r="N5597" s="71" t="n">
        <v>289272.25</v>
      </c>
      <c r="O5597" s="71" t="n">
        <v>867816.76</v>
      </c>
      <c r="P5597" s="71" t="n">
        <v>177344.86</v>
      </c>
      <c r="Q5597" s="71" t="n">
        <v>690471.9</v>
      </c>
      <c r="R5597" t="inlineStr">
        <is>
          <t>Vaccines</t>
        </is>
      </c>
      <c r="S5597" s="70" t="n">
        <v>1388</v>
      </c>
      <c r="T5597" s="71" t="n">
        <v>123682.06</v>
      </c>
      <c r="U5597" t="inlineStr">
        <is>
          <t>Low</t>
        </is>
      </c>
      <c r="V5597">
        <f>IF(AND(OR(Dashboard!$C$6="All",E5597=Dashboard!$C$6),OR(Dashboard!$F$6="All",G5597=Dashboard!$F$6),OR(Dashboard!$I$6="All",H5597=Dashboard!$I$6)),1,0)</f>
        <v/>
      </c>
    </row>
    <row r="5598">
      <c r="A5598" t="inlineStr">
        <is>
          <t>PF105589</t>
        </is>
      </c>
      <c r="B5598" s="68" t="n">
        <v>46334</v>
      </c>
      <c r="C5598" s="69" t="n">
        <v>2026</v>
      </c>
      <c r="D5598" t="inlineStr">
        <is>
          <t>Nov</t>
        </is>
      </c>
      <c r="E5598" t="inlineStr">
        <is>
          <t>Europe</t>
        </is>
      </c>
      <c r="F5598" t="inlineStr">
        <is>
          <t>Spain</t>
        </is>
      </c>
      <c r="G5598" t="inlineStr">
        <is>
          <t>Comirnaty</t>
        </is>
      </c>
      <c r="H5598" t="inlineStr">
        <is>
          <t>Government / tender</t>
        </is>
      </c>
      <c r="I5598" t="inlineStr">
        <is>
          <t>Public payer</t>
        </is>
      </c>
      <c r="J5598" t="inlineStr">
        <is>
          <t>Yuki Sato</t>
        </is>
      </c>
      <c r="K5598" s="70" t="n">
        <v>2341</v>
      </c>
      <c r="L5598" s="71" t="n">
        <v>92.27</v>
      </c>
      <c r="M5598" s="71" t="n">
        <v>216004.07</v>
      </c>
      <c r="N5598" s="71" t="n">
        <v>43200.81</v>
      </c>
      <c r="O5598" s="71" t="n">
        <v>172803.26</v>
      </c>
      <c r="P5598" s="71" t="n">
        <v>87037.99000000001</v>
      </c>
      <c r="Q5598" s="71" t="n">
        <v>85765.27</v>
      </c>
      <c r="R5598" t="inlineStr">
        <is>
          <t>Vaccines</t>
        </is>
      </c>
      <c r="S5598" s="70" t="n">
        <v>1971</v>
      </c>
      <c r="T5598" s="71" t="n">
        <v>39680.78</v>
      </c>
      <c r="U5598" t="inlineStr">
        <is>
          <t>Low</t>
        </is>
      </c>
      <c r="V5598">
        <f>IF(AND(OR(Dashboard!$C$6="All",E5598=Dashboard!$C$6),OR(Dashboard!$F$6="All",G5598=Dashboard!$F$6),OR(Dashboard!$I$6="All",H5598=Dashboard!$I$6)),1,0)</f>
        <v/>
      </c>
    </row>
    <row r="5599">
      <c r="A5599" t="inlineStr">
        <is>
          <t>PF105590</t>
        </is>
      </c>
      <c r="B5599" s="68" t="n">
        <v>46334</v>
      </c>
      <c r="C5599" s="69" t="n">
        <v>2026</v>
      </c>
      <c r="D5599" t="inlineStr">
        <is>
          <t>Nov</t>
        </is>
      </c>
      <c r="E5599" t="inlineStr">
        <is>
          <t>Emerging markets</t>
        </is>
      </c>
      <c r="F5599" t="inlineStr">
        <is>
          <t>Mexico</t>
        </is>
      </c>
      <c r="G5599" t="inlineStr">
        <is>
          <t>Xeljanz</t>
        </is>
      </c>
      <c r="H5599" t="inlineStr">
        <is>
          <t>Hospital</t>
        </is>
      </c>
      <c r="I5599" t="inlineStr">
        <is>
          <t>Public payer</t>
        </is>
      </c>
      <c r="J5599" t="inlineStr">
        <is>
          <t>Mei Lin</t>
        </is>
      </c>
      <c r="K5599" s="70" t="n">
        <v>3126</v>
      </c>
      <c r="L5599" s="71" t="n">
        <v>1444.5</v>
      </c>
      <c r="M5599" s="71" t="n">
        <v>4515507</v>
      </c>
      <c r="N5599" s="71" t="n">
        <v>1128876.75</v>
      </c>
      <c r="O5599" s="71" t="n">
        <v>3386630.25</v>
      </c>
      <c r="P5599" s="71" t="n">
        <v>798933.14</v>
      </c>
      <c r="Q5599" s="71" t="n">
        <v>2587697.11</v>
      </c>
      <c r="R5599" t="inlineStr">
        <is>
          <t>Inflammation</t>
        </is>
      </c>
      <c r="S5599" s="70" t="n">
        <v>2823</v>
      </c>
      <c r="T5599" s="71" t="n">
        <v>1028049.8</v>
      </c>
      <c r="U5599" t="inlineStr">
        <is>
          <t>High</t>
        </is>
      </c>
      <c r="V5599">
        <f>IF(AND(OR(Dashboard!$C$6="All",E5599=Dashboard!$C$6),OR(Dashboard!$F$6="All",G5599=Dashboard!$F$6),OR(Dashboard!$I$6="All",H5599=Dashboard!$I$6)),1,0)</f>
        <v/>
      </c>
    </row>
    <row r="5600">
      <c r="A5600" t="inlineStr">
        <is>
          <t>PF105591</t>
        </is>
      </c>
      <c r="B5600" s="68" t="n">
        <v>46334</v>
      </c>
      <c r="C5600" s="69" t="n">
        <v>2026</v>
      </c>
      <c r="D5600" t="inlineStr">
        <is>
          <t>Nov</t>
        </is>
      </c>
      <c r="E5600" t="inlineStr">
        <is>
          <t>United States</t>
        </is>
      </c>
      <c r="F5600" t="inlineStr">
        <is>
          <t>USA</t>
        </is>
      </c>
      <c r="G5600" t="inlineStr">
        <is>
          <t>Eliquis</t>
        </is>
      </c>
      <c r="H5600" t="inlineStr">
        <is>
          <t>Retail pharmacy</t>
        </is>
      </c>
      <c r="I5600" t="inlineStr">
        <is>
          <t>Public payer</t>
        </is>
      </c>
      <c r="J5600" t="inlineStr">
        <is>
          <t>Ravindra Patil</t>
        </is>
      </c>
      <c r="K5600" s="70" t="n">
        <v>2244</v>
      </c>
      <c r="L5600" s="71" t="n">
        <v>738.0700000000001</v>
      </c>
      <c r="M5600" s="71" t="n">
        <v>1656229.08</v>
      </c>
      <c r="N5600" s="71" t="n">
        <v>496868.72</v>
      </c>
      <c r="O5600" s="71" t="n">
        <v>1159360.36</v>
      </c>
      <c r="P5600" s="71" t="n">
        <v>175727.63</v>
      </c>
      <c r="Q5600" s="71" t="n">
        <v>983632.73</v>
      </c>
      <c r="R5600" t="inlineStr">
        <is>
          <t>Cardiology</t>
        </is>
      </c>
      <c r="S5600" s="70" t="n">
        <v>1465</v>
      </c>
      <c r="T5600" s="71" t="n">
        <v>295639.92</v>
      </c>
      <c r="U5600" t="inlineStr">
        <is>
          <t>High</t>
        </is>
      </c>
      <c r="V5600">
        <f>IF(AND(OR(Dashboard!$C$6="All",E5600=Dashboard!$C$6),OR(Dashboard!$F$6="All",G5600=Dashboard!$F$6),OR(Dashboard!$I$6="All",H5600=Dashboard!$I$6)),1,0)</f>
        <v/>
      </c>
    </row>
    <row r="5601">
      <c r="A5601" t="inlineStr">
        <is>
          <t>PF105592</t>
        </is>
      </c>
      <c r="B5601" s="68" t="n">
        <v>46334</v>
      </c>
      <c r="C5601" s="69" t="n">
        <v>2026</v>
      </c>
      <c r="D5601" t="inlineStr">
        <is>
          <t>Nov</t>
        </is>
      </c>
      <c r="E5601" t="inlineStr">
        <is>
          <t>Europe</t>
        </is>
      </c>
      <c r="F5601" t="inlineStr">
        <is>
          <t>Spain</t>
        </is>
      </c>
      <c r="G5601" t="inlineStr">
        <is>
          <t>Paxlovid</t>
        </is>
      </c>
      <c r="H5601" t="inlineStr">
        <is>
          <t>Retail pharmacy</t>
        </is>
      </c>
      <c r="I5601" t="inlineStr">
        <is>
          <t>Private insurer</t>
        </is>
      </c>
      <c r="J5601" t="inlineStr">
        <is>
          <t>Aisha Bello</t>
        </is>
      </c>
      <c r="K5601" s="70" t="n">
        <v>652</v>
      </c>
      <c r="L5601" s="71" t="n">
        <v>1010.5</v>
      </c>
      <c r="M5601" s="71" t="n">
        <v>658846</v>
      </c>
      <c r="N5601" s="71" t="n">
        <v>32942.3</v>
      </c>
      <c r="O5601" s="71" t="n">
        <v>625903.7</v>
      </c>
      <c r="P5601" s="71" t="n">
        <v>173984.5</v>
      </c>
      <c r="Q5601" s="71" t="n">
        <v>451919.2</v>
      </c>
      <c r="R5601" t="inlineStr">
        <is>
          <t>Antiviral</t>
        </is>
      </c>
      <c r="S5601" s="70" t="n">
        <v>494</v>
      </c>
      <c r="T5601" s="71" t="n">
        <v>120806.64</v>
      </c>
      <c r="U5601" t="inlineStr">
        <is>
          <t>Low</t>
        </is>
      </c>
      <c r="V5601">
        <f>IF(AND(OR(Dashboard!$C$6="All",E5601=Dashboard!$C$6),OR(Dashboard!$F$6="All",G5601=Dashboard!$F$6),OR(Dashboard!$I$6="All",H5601=Dashboard!$I$6)),1,0)</f>
        <v/>
      </c>
    </row>
    <row r="5602">
      <c r="A5602" t="inlineStr">
        <is>
          <t>PF105593</t>
        </is>
      </c>
      <c r="B5602" s="68" t="n">
        <v>46334</v>
      </c>
      <c r="C5602" s="69" t="n">
        <v>2026</v>
      </c>
      <c r="D5602" t="inlineStr">
        <is>
          <t>Nov</t>
        </is>
      </c>
      <c r="E5602" t="inlineStr">
        <is>
          <t>United States</t>
        </is>
      </c>
      <c r="F5602" t="inlineStr">
        <is>
          <t>USA</t>
        </is>
      </c>
      <c r="G5602" t="inlineStr">
        <is>
          <t>Xeljanz</t>
        </is>
      </c>
      <c r="H5602" t="inlineStr">
        <is>
          <t>Retail pharmacy</t>
        </is>
      </c>
      <c r="I5602" t="inlineStr">
        <is>
          <t>Private insurer</t>
        </is>
      </c>
      <c r="J5602" t="inlineStr">
        <is>
          <t>Liam O'Brien</t>
        </is>
      </c>
      <c r="K5602" s="70" t="n">
        <v>3045</v>
      </c>
      <c r="L5602" s="71" t="n">
        <v>2175.24</v>
      </c>
      <c r="M5602" s="71" t="n">
        <v>6623605.8</v>
      </c>
      <c r="N5602" s="71" t="n">
        <v>1655901.45</v>
      </c>
      <c r="O5602" s="71" t="n">
        <v>4967704.35</v>
      </c>
      <c r="P5602" s="71" t="n">
        <v>784180.95</v>
      </c>
      <c r="Q5602" s="71" t="n">
        <v>4183523.4</v>
      </c>
      <c r="R5602" t="inlineStr">
        <is>
          <t>Inflammation</t>
        </is>
      </c>
      <c r="S5602" s="70" t="n">
        <v>2638</v>
      </c>
      <c r="T5602" s="71" t="n">
        <v>1288775.21</v>
      </c>
      <c r="U5602" t="inlineStr">
        <is>
          <t>High</t>
        </is>
      </c>
      <c r="V5602">
        <f>IF(AND(OR(Dashboard!$C$6="All",E5602=Dashboard!$C$6),OR(Dashboard!$F$6="All",G5602=Dashboard!$F$6),OR(Dashboard!$I$6="All",H5602=Dashboard!$I$6)),1,0)</f>
        <v/>
      </c>
    </row>
    <row r="5603">
      <c r="A5603" t="inlineStr">
        <is>
          <t>PF105594</t>
        </is>
      </c>
      <c r="B5603" s="68" t="n">
        <v>46334</v>
      </c>
      <c r="C5603" s="69" t="n">
        <v>2026</v>
      </c>
      <c r="D5603" t="inlineStr">
        <is>
          <t>Nov</t>
        </is>
      </c>
      <c r="E5603" t="inlineStr">
        <is>
          <t>Europe</t>
        </is>
      </c>
      <c r="F5603" t="inlineStr">
        <is>
          <t>Italy</t>
        </is>
      </c>
      <c r="G5603" t="inlineStr">
        <is>
          <t>Prevnar 20</t>
        </is>
      </c>
      <c r="H5603" t="inlineStr">
        <is>
          <t>Hospital</t>
        </is>
      </c>
      <c r="I5603" t="inlineStr">
        <is>
          <t>Self-pay</t>
        </is>
      </c>
      <c r="J5603" t="inlineStr">
        <is>
          <t>Ravindra Patil</t>
        </is>
      </c>
      <c r="K5603" s="70" t="n">
        <v>2167</v>
      </c>
      <c r="L5603" s="71" t="n">
        <v>228.52</v>
      </c>
      <c r="M5603" s="71" t="n">
        <v>495202.84</v>
      </c>
      <c r="N5603" s="71" t="n">
        <v>99040.57000000001</v>
      </c>
      <c r="O5603" s="71" t="n">
        <v>396162.27</v>
      </c>
      <c r="P5603" s="71" t="n">
        <v>147541.35</v>
      </c>
      <c r="Q5603" s="71" t="n">
        <v>248620.92</v>
      </c>
      <c r="R5603" t="inlineStr">
        <is>
          <t>Vaccines</t>
        </is>
      </c>
      <c r="S5603" s="70" t="n">
        <v>2027</v>
      </c>
      <c r="T5603" s="71" t="n">
        <v>68466.24000000001</v>
      </c>
      <c r="U5603" t="inlineStr">
        <is>
          <t>Low</t>
        </is>
      </c>
      <c r="V5603">
        <f>IF(AND(OR(Dashboard!$C$6="All",E5603=Dashboard!$C$6),OR(Dashboard!$F$6="All",G5603=Dashboard!$F$6),OR(Dashboard!$I$6="All",H5603=Dashboard!$I$6)),1,0)</f>
        <v/>
      </c>
    </row>
    <row r="5604">
      <c r="A5604" t="inlineStr">
        <is>
          <t>PF105595</t>
        </is>
      </c>
      <c r="B5604" s="68" t="n">
        <v>46334</v>
      </c>
      <c r="C5604" s="69" t="n">
        <v>2026</v>
      </c>
      <c r="D5604" t="inlineStr">
        <is>
          <t>Nov</t>
        </is>
      </c>
      <c r="E5604" t="inlineStr">
        <is>
          <t>United States</t>
        </is>
      </c>
      <c r="F5604" t="inlineStr">
        <is>
          <t>USA</t>
        </is>
      </c>
      <c r="G5604" t="inlineStr">
        <is>
          <t>Xeljanz</t>
        </is>
      </c>
      <c r="H5604" t="inlineStr">
        <is>
          <t>Government / tender</t>
        </is>
      </c>
      <c r="I5604" t="inlineStr">
        <is>
          <t>Private insurer</t>
        </is>
      </c>
      <c r="J5604" t="inlineStr">
        <is>
          <t>Lucas Martin</t>
        </is>
      </c>
      <c r="K5604" s="70" t="n">
        <v>1849</v>
      </c>
      <c r="L5604" s="71" t="n">
        <v>2347.94</v>
      </c>
      <c r="M5604" s="71" t="n">
        <v>4341341.06</v>
      </c>
      <c r="N5604" s="71" t="n">
        <v>651201.16</v>
      </c>
      <c r="O5604" s="71" t="n">
        <v>3690139.9</v>
      </c>
      <c r="P5604" s="71" t="n">
        <v>448982.1</v>
      </c>
      <c r="Q5604" s="71" t="n">
        <v>3241157.8</v>
      </c>
      <c r="R5604" t="inlineStr">
        <is>
          <t>Inflammation</t>
        </is>
      </c>
      <c r="S5604" s="70" t="n">
        <v>1442</v>
      </c>
      <c r="T5604" s="71" t="n">
        <v>550318.22</v>
      </c>
      <c r="U5604" t="inlineStr">
        <is>
          <t>High</t>
        </is>
      </c>
      <c r="V5604">
        <f>IF(AND(OR(Dashboard!$C$6="All",E5604=Dashboard!$C$6),OR(Dashboard!$F$6="All",G5604=Dashboard!$F$6),OR(Dashboard!$I$6="All",H5604=Dashboard!$I$6)),1,0)</f>
        <v/>
      </c>
    </row>
    <row r="5605">
      <c r="A5605" t="inlineStr">
        <is>
          <t>PF105596</t>
        </is>
      </c>
      <c r="B5605" s="68" t="n">
        <v>46334</v>
      </c>
      <c r="C5605" s="69" t="n">
        <v>2026</v>
      </c>
      <c r="D5605" t="inlineStr">
        <is>
          <t>Nov</t>
        </is>
      </c>
      <c r="E5605" t="inlineStr">
        <is>
          <t>Emerging markets</t>
        </is>
      </c>
      <c r="F5605" t="inlineStr">
        <is>
          <t>Mexico</t>
        </is>
      </c>
      <c r="G5605" t="inlineStr">
        <is>
          <t>Vyndaqel</t>
        </is>
      </c>
      <c r="H5605" t="inlineStr">
        <is>
          <t>Government / tender</t>
        </is>
      </c>
      <c r="I5605" t="inlineStr">
        <is>
          <t>Public payer</t>
        </is>
      </c>
      <c r="J5605" t="inlineStr">
        <is>
          <t>Priya Nair</t>
        </is>
      </c>
      <c r="K5605" s="70" t="n">
        <v>313</v>
      </c>
      <c r="L5605" s="71" t="n">
        <v>5881.82</v>
      </c>
      <c r="M5605" s="71" t="n">
        <v>1841009.66</v>
      </c>
      <c r="N5605" s="71" t="n">
        <v>184100.97</v>
      </c>
      <c r="O5605" s="71" t="n">
        <v>1656908.69</v>
      </c>
      <c r="P5605" s="71" t="n">
        <v>190048.08</v>
      </c>
      <c r="Q5605" s="71" t="n">
        <v>1466860.61</v>
      </c>
      <c r="R5605" t="inlineStr">
        <is>
          <t>Rare disease</t>
        </is>
      </c>
      <c r="S5605" s="70" t="n">
        <v>290</v>
      </c>
      <c r="T5605" s="71" t="n">
        <v>337114.09</v>
      </c>
      <c r="U5605" t="inlineStr">
        <is>
          <t>Medium</t>
        </is>
      </c>
      <c r="V5605">
        <f>IF(AND(OR(Dashboard!$C$6="All",E5605=Dashboard!$C$6),OR(Dashboard!$F$6="All",G5605=Dashboard!$F$6),OR(Dashboard!$I$6="All",H5605=Dashboard!$I$6)),1,0)</f>
        <v/>
      </c>
    </row>
    <row r="5606">
      <c r="A5606" t="inlineStr">
        <is>
          <t>PF105597</t>
        </is>
      </c>
      <c r="B5606" s="68" t="n">
        <v>46335</v>
      </c>
      <c r="C5606" s="69" t="n">
        <v>2026</v>
      </c>
      <c r="D5606" t="inlineStr">
        <is>
          <t>Nov</t>
        </is>
      </c>
      <c r="E5606" t="inlineStr">
        <is>
          <t>United States</t>
        </is>
      </c>
      <c r="F5606" t="inlineStr">
        <is>
          <t>USA</t>
        </is>
      </c>
      <c r="G5606" t="inlineStr">
        <is>
          <t>Paxlovid</t>
        </is>
      </c>
      <c r="H5606" t="inlineStr">
        <is>
          <t>Government / tender</t>
        </is>
      </c>
      <c r="I5606" t="inlineStr">
        <is>
          <t>Public payer</t>
        </is>
      </c>
      <c r="J5606" t="inlineStr">
        <is>
          <t>Amir Khan</t>
        </is>
      </c>
      <c r="K5606" s="70" t="n">
        <v>594</v>
      </c>
      <c r="L5606" s="71" t="n">
        <v>1386.18</v>
      </c>
      <c r="M5606" s="71" t="n">
        <v>823390.92</v>
      </c>
      <c r="N5606" s="71" t="n">
        <v>164678.18</v>
      </c>
      <c r="O5606" s="71" t="n">
        <v>658712.74</v>
      </c>
      <c r="P5606" s="71" t="n">
        <v>157604.81</v>
      </c>
      <c r="Q5606" s="71" t="n">
        <v>501107.93</v>
      </c>
      <c r="R5606" t="inlineStr">
        <is>
          <t>Antiviral</t>
        </is>
      </c>
      <c r="S5606" s="70" t="n">
        <v>377</v>
      </c>
      <c r="T5606" s="71" t="n">
        <v>171121.95</v>
      </c>
      <c r="U5606" t="inlineStr">
        <is>
          <t>Low</t>
        </is>
      </c>
      <c r="V5606">
        <f>IF(AND(OR(Dashboard!$C$6="All",E5606=Dashboard!$C$6),OR(Dashboard!$F$6="All",G5606=Dashboard!$F$6),OR(Dashboard!$I$6="All",H5606=Dashboard!$I$6)),1,0)</f>
        <v/>
      </c>
    </row>
    <row r="5607">
      <c r="A5607" t="inlineStr">
        <is>
          <t>PF105598</t>
        </is>
      </c>
      <c r="B5607" s="68" t="n">
        <v>46335</v>
      </c>
      <c r="C5607" s="69" t="n">
        <v>2026</v>
      </c>
      <c r="D5607" t="inlineStr">
        <is>
          <t>Nov</t>
        </is>
      </c>
      <c r="E5607" t="inlineStr">
        <is>
          <t>United States</t>
        </is>
      </c>
      <c r="F5607" t="inlineStr">
        <is>
          <t>USA</t>
        </is>
      </c>
      <c r="G5607" t="inlineStr">
        <is>
          <t>Eliquis</t>
        </is>
      </c>
      <c r="H5607" t="inlineStr">
        <is>
          <t>Retail pharmacy</t>
        </is>
      </c>
      <c r="I5607" t="inlineStr">
        <is>
          <t>Self-pay</t>
        </is>
      </c>
      <c r="J5607" t="inlineStr">
        <is>
          <t>Aisha Bello</t>
        </is>
      </c>
      <c r="K5607" s="70" t="n">
        <v>2830</v>
      </c>
      <c r="L5607" s="71" t="n">
        <v>630.8</v>
      </c>
      <c r="M5607" s="71" t="n">
        <v>1785164</v>
      </c>
      <c r="N5607" s="71" t="n">
        <v>624807.4</v>
      </c>
      <c r="O5607" s="71" t="n">
        <v>1160356.6</v>
      </c>
      <c r="P5607" s="71" t="n">
        <v>208997.71</v>
      </c>
      <c r="Q5607" s="71" t="n">
        <v>951358.89</v>
      </c>
      <c r="R5607" t="inlineStr">
        <is>
          <t>Cardiology</t>
        </is>
      </c>
      <c r="S5607" s="70" t="n">
        <v>1956</v>
      </c>
      <c r="T5607" s="71" t="n">
        <v>234711.12</v>
      </c>
      <c r="U5607" t="inlineStr">
        <is>
          <t>High</t>
        </is>
      </c>
      <c r="V5607">
        <f>IF(AND(OR(Dashboard!$C$6="All",E5607=Dashboard!$C$6),OR(Dashboard!$F$6="All",G5607=Dashboard!$F$6),OR(Dashboard!$I$6="All",H5607=Dashboard!$I$6)),1,0)</f>
        <v/>
      </c>
    </row>
    <row r="5608">
      <c r="A5608" t="inlineStr">
        <is>
          <t>PF105599</t>
        </is>
      </c>
      <c r="B5608" s="68" t="n">
        <v>46335</v>
      </c>
      <c r="C5608" s="69" t="n">
        <v>2026</v>
      </c>
      <c r="D5608" t="inlineStr">
        <is>
          <t>Nov</t>
        </is>
      </c>
      <c r="E5608" t="inlineStr">
        <is>
          <t>United States</t>
        </is>
      </c>
      <c r="F5608" t="inlineStr">
        <is>
          <t>USA</t>
        </is>
      </c>
      <c r="G5608" t="inlineStr">
        <is>
          <t>Comirnaty</t>
        </is>
      </c>
      <c r="H5608" t="inlineStr">
        <is>
          <t>Hospital</t>
        </is>
      </c>
      <c r="I5608" t="inlineStr">
        <is>
          <t>Public payer</t>
        </is>
      </c>
      <c r="J5608" t="inlineStr">
        <is>
          <t>Omar Haddad</t>
        </is>
      </c>
      <c r="K5608" s="70" t="n">
        <v>827</v>
      </c>
      <c r="L5608" s="71" t="n">
        <v>145.81</v>
      </c>
      <c r="M5608" s="71" t="n">
        <v>120584.87</v>
      </c>
      <c r="N5608" s="71" t="n">
        <v>18087.73</v>
      </c>
      <c r="O5608" s="71" t="n">
        <v>102497.14</v>
      </c>
      <c r="P5608" s="71" t="n">
        <v>32047.37</v>
      </c>
      <c r="Q5608" s="71" t="n">
        <v>70449.77</v>
      </c>
      <c r="R5608" t="inlineStr">
        <is>
          <t>Vaccines</t>
        </is>
      </c>
      <c r="S5608" s="70" t="n">
        <v>542</v>
      </c>
      <c r="T5608" s="71" t="n">
        <v>20425.77</v>
      </c>
      <c r="U5608" t="inlineStr">
        <is>
          <t>Low</t>
        </is>
      </c>
      <c r="V5608">
        <f>IF(AND(OR(Dashboard!$C$6="All",E5608=Dashboard!$C$6),OR(Dashboard!$F$6="All",G5608=Dashboard!$F$6),OR(Dashboard!$I$6="All",H5608=Dashboard!$I$6)),1,0)</f>
        <v/>
      </c>
    </row>
    <row r="5609">
      <c r="A5609" t="inlineStr">
        <is>
          <t>PF105600</t>
        </is>
      </c>
      <c r="B5609" s="68" t="n">
        <v>46335</v>
      </c>
      <c r="C5609" s="69" t="n">
        <v>2026</v>
      </c>
      <c r="D5609" t="inlineStr">
        <is>
          <t>Nov</t>
        </is>
      </c>
      <c r="E5609" t="inlineStr">
        <is>
          <t>United States</t>
        </is>
      </c>
      <c r="F5609" t="inlineStr">
        <is>
          <t>USA</t>
        </is>
      </c>
      <c r="G5609" t="inlineStr">
        <is>
          <t>Comirnaty</t>
        </is>
      </c>
      <c r="H5609" t="inlineStr">
        <is>
          <t>Hospital</t>
        </is>
      </c>
      <c r="I5609" t="inlineStr">
        <is>
          <t>Private insurer</t>
        </is>
      </c>
      <c r="J5609" t="inlineStr">
        <is>
          <t>Yuki Sato</t>
        </is>
      </c>
      <c r="K5609" s="70" t="n">
        <v>1539</v>
      </c>
      <c r="L5609" s="71" t="n">
        <v>135.33</v>
      </c>
      <c r="M5609" s="71" t="n">
        <v>208272.87</v>
      </c>
      <c r="N5609" s="71" t="n">
        <v>31240.93</v>
      </c>
      <c r="O5609" s="71" t="n">
        <v>177031.94</v>
      </c>
      <c r="P5609" s="71" t="n">
        <v>59611.08</v>
      </c>
      <c r="Q5609" s="71" t="n">
        <v>117420.86</v>
      </c>
      <c r="R5609" t="inlineStr">
        <is>
          <t>Vaccines</t>
        </is>
      </c>
      <c r="S5609" s="70" t="n">
        <v>1093</v>
      </c>
      <c r="T5609" s="71" t="n">
        <v>44690.62</v>
      </c>
      <c r="U5609" t="inlineStr">
        <is>
          <t>Low</t>
        </is>
      </c>
      <c r="V5609">
        <f>IF(AND(OR(Dashboard!$C$6="All",E5609=Dashboard!$C$6),OR(Dashboard!$F$6="All",G5609=Dashboard!$F$6),OR(Dashboard!$I$6="All",H5609=Dashboard!$I$6)),1,0)</f>
        <v/>
      </c>
    </row>
    <row r="5610">
      <c r="A5610" t="inlineStr">
        <is>
          <t>PF105601</t>
        </is>
      </c>
      <c r="B5610" s="68" t="n">
        <v>46336</v>
      </c>
      <c r="C5610" s="69" t="n">
        <v>2026</v>
      </c>
      <c r="D5610" t="inlineStr">
        <is>
          <t>Nov</t>
        </is>
      </c>
      <c r="E5610" t="inlineStr">
        <is>
          <t>United States</t>
        </is>
      </c>
      <c r="F5610" t="inlineStr">
        <is>
          <t>USA</t>
        </is>
      </c>
      <c r="G5610" t="inlineStr">
        <is>
          <t>Paxlovid</t>
        </is>
      </c>
      <c r="H5610" t="inlineStr">
        <is>
          <t>Retail pharmacy</t>
        </is>
      </c>
      <c r="I5610" t="inlineStr">
        <is>
          <t>Public payer</t>
        </is>
      </c>
      <c r="J5610" t="inlineStr">
        <is>
          <t>Olivia Brown</t>
        </is>
      </c>
      <c r="K5610" s="70" t="n">
        <v>1267</v>
      </c>
      <c r="L5610" s="71" t="n">
        <v>1475.18</v>
      </c>
      <c r="M5610" s="71" t="n">
        <v>1869053.06</v>
      </c>
      <c r="N5610" s="71" t="n">
        <v>280357.96</v>
      </c>
      <c r="O5610" s="71" t="n">
        <v>1588695.1</v>
      </c>
      <c r="P5610" s="71" t="n">
        <v>362245.56</v>
      </c>
      <c r="Q5610" s="71" t="n">
        <v>1226449.54</v>
      </c>
      <c r="R5610" t="inlineStr">
        <is>
          <t>Antiviral</t>
        </is>
      </c>
      <c r="S5610" s="70" t="n">
        <v>1094</v>
      </c>
      <c r="T5610" s="71" t="n">
        <v>389286.65</v>
      </c>
      <c r="U5610" t="inlineStr">
        <is>
          <t>Low</t>
        </is>
      </c>
      <c r="V5610">
        <f>IF(AND(OR(Dashboard!$C$6="All",E5610=Dashboard!$C$6),OR(Dashboard!$F$6="All",G5610=Dashboard!$F$6),OR(Dashboard!$I$6="All",H5610=Dashboard!$I$6)),1,0)</f>
        <v/>
      </c>
    </row>
    <row r="5611">
      <c r="A5611" t="inlineStr">
        <is>
          <t>PF105602</t>
        </is>
      </c>
      <c r="B5611" s="68" t="n">
        <v>46336</v>
      </c>
      <c r="C5611" s="69" t="n">
        <v>2026</v>
      </c>
      <c r="D5611" t="inlineStr">
        <is>
          <t>Nov</t>
        </is>
      </c>
      <c r="E5611" t="inlineStr">
        <is>
          <t>United States</t>
        </is>
      </c>
      <c r="F5611" t="inlineStr">
        <is>
          <t>USA</t>
        </is>
      </c>
      <c r="G5611" t="inlineStr">
        <is>
          <t>Eliquis</t>
        </is>
      </c>
      <c r="H5611" t="inlineStr">
        <is>
          <t>Hospital</t>
        </is>
      </c>
      <c r="I5611" t="inlineStr">
        <is>
          <t>Public payer</t>
        </is>
      </c>
      <c r="J5611" t="inlineStr">
        <is>
          <t>Liam O'Brien</t>
        </is>
      </c>
      <c r="K5611" s="70" t="n">
        <v>745</v>
      </c>
      <c r="L5611" s="71" t="n">
        <v>753.25</v>
      </c>
      <c r="M5611" s="71" t="n">
        <v>561171.25</v>
      </c>
      <c r="N5611" s="71" t="n">
        <v>140292.81</v>
      </c>
      <c r="O5611" s="71" t="n">
        <v>420878.44</v>
      </c>
      <c r="P5611" s="71" t="n">
        <v>56859.06</v>
      </c>
      <c r="Q5611" s="71" t="n">
        <v>364019.38</v>
      </c>
      <c r="R5611" t="inlineStr">
        <is>
          <t>Cardiology</t>
        </is>
      </c>
      <c r="S5611" s="70" t="n">
        <v>663</v>
      </c>
      <c r="T5611" s="71" t="n">
        <v>98176.10000000001</v>
      </c>
      <c r="U5611" t="inlineStr">
        <is>
          <t>High</t>
        </is>
      </c>
      <c r="V5611">
        <f>IF(AND(OR(Dashboard!$C$6="All",E5611=Dashboard!$C$6),OR(Dashboard!$F$6="All",G5611=Dashboard!$F$6),OR(Dashboard!$I$6="All",H5611=Dashboard!$I$6)),1,0)</f>
        <v/>
      </c>
    </row>
    <row r="5612">
      <c r="A5612" t="inlineStr">
        <is>
          <t>PF105603</t>
        </is>
      </c>
      <c r="B5612" s="68" t="n">
        <v>46336</v>
      </c>
      <c r="C5612" s="69" t="n">
        <v>2026</v>
      </c>
      <c r="D5612" t="inlineStr">
        <is>
          <t>Nov</t>
        </is>
      </c>
      <c r="E5612" t="inlineStr">
        <is>
          <t>United States</t>
        </is>
      </c>
      <c r="F5612" t="inlineStr">
        <is>
          <t>USA</t>
        </is>
      </c>
      <c r="G5612" t="inlineStr">
        <is>
          <t>Paxlovid</t>
        </is>
      </c>
      <c r="H5612" t="inlineStr">
        <is>
          <t>Hospital</t>
        </is>
      </c>
      <c r="I5612" t="inlineStr">
        <is>
          <t>Private insurer</t>
        </is>
      </c>
      <c r="J5612" t="inlineStr">
        <is>
          <t>Priya Nair</t>
        </is>
      </c>
      <c r="K5612" s="70" t="n">
        <v>1221</v>
      </c>
      <c r="L5612" s="71" t="n">
        <v>1561.49</v>
      </c>
      <c r="M5612" s="71" t="n">
        <v>1906579.29</v>
      </c>
      <c r="N5612" s="71" t="n">
        <v>667302.75</v>
      </c>
      <c r="O5612" s="71" t="n">
        <v>1239276.54</v>
      </c>
      <c r="P5612" s="71" t="n">
        <v>343313.74</v>
      </c>
      <c r="Q5612" s="71" t="n">
        <v>895962.8</v>
      </c>
      <c r="R5612" t="inlineStr">
        <is>
          <t>Antiviral</t>
        </is>
      </c>
      <c r="S5612" s="70" t="n">
        <v>1019</v>
      </c>
      <c r="T5612" s="71" t="n">
        <v>451537.32</v>
      </c>
      <c r="U5612" t="inlineStr">
        <is>
          <t>Low</t>
        </is>
      </c>
      <c r="V5612">
        <f>IF(AND(OR(Dashboard!$C$6="All",E5612=Dashboard!$C$6),OR(Dashboard!$F$6="All",G5612=Dashboard!$F$6),OR(Dashboard!$I$6="All",H5612=Dashboard!$I$6)),1,0)</f>
        <v/>
      </c>
    </row>
    <row r="5613">
      <c r="A5613" t="inlineStr">
        <is>
          <t>PF105604</t>
        </is>
      </c>
      <c r="B5613" s="68" t="n">
        <v>46337</v>
      </c>
      <c r="C5613" s="69" t="n">
        <v>2026</v>
      </c>
      <c r="D5613" t="inlineStr">
        <is>
          <t>Nov</t>
        </is>
      </c>
      <c r="E5613" t="inlineStr">
        <is>
          <t>Europe</t>
        </is>
      </c>
      <c r="F5613" t="inlineStr">
        <is>
          <t>UK</t>
        </is>
      </c>
      <c r="G5613" t="inlineStr">
        <is>
          <t>Abrysvo</t>
        </is>
      </c>
      <c r="H5613" t="inlineStr">
        <is>
          <t>Government / tender</t>
        </is>
      </c>
      <c r="I5613" t="inlineStr">
        <is>
          <t>Self-pay</t>
        </is>
      </c>
      <c r="J5613" t="inlineStr">
        <is>
          <t>Amir Khan</t>
        </is>
      </c>
      <c r="K5613" s="70" t="n">
        <v>2919</v>
      </c>
      <c r="L5613" s="71" t="n">
        <v>320.45</v>
      </c>
      <c r="M5613" s="71" t="n">
        <v>935393.55</v>
      </c>
      <c r="N5613" s="71" t="n">
        <v>233848.39</v>
      </c>
      <c r="O5613" s="71" t="n">
        <v>701545.16</v>
      </c>
      <c r="P5613" s="71" t="n">
        <v>254766.77</v>
      </c>
      <c r="Q5613" s="71" t="n">
        <v>446778.39</v>
      </c>
      <c r="R5613" t="inlineStr">
        <is>
          <t>Vaccines</t>
        </is>
      </c>
      <c r="S5613" s="70" t="n">
        <v>2551</v>
      </c>
      <c r="T5613" s="71" t="n">
        <v>178099.37</v>
      </c>
      <c r="U5613" t="inlineStr">
        <is>
          <t>Low</t>
        </is>
      </c>
      <c r="V5613">
        <f>IF(AND(OR(Dashboard!$C$6="All",E5613=Dashboard!$C$6),OR(Dashboard!$F$6="All",G5613=Dashboard!$F$6),OR(Dashboard!$I$6="All",H5613=Dashboard!$I$6)),1,0)</f>
        <v/>
      </c>
    </row>
    <row r="5614">
      <c r="A5614" t="inlineStr">
        <is>
          <t>PF105605</t>
        </is>
      </c>
      <c r="B5614" s="68" t="n">
        <v>46337</v>
      </c>
      <c r="C5614" s="69" t="n">
        <v>2026</v>
      </c>
      <c r="D5614" t="inlineStr">
        <is>
          <t>Nov</t>
        </is>
      </c>
      <c r="E5614" t="inlineStr">
        <is>
          <t>Europe</t>
        </is>
      </c>
      <c r="F5614" t="inlineStr">
        <is>
          <t>Germany</t>
        </is>
      </c>
      <c r="G5614" t="inlineStr">
        <is>
          <t>Abrysvo</t>
        </is>
      </c>
      <c r="H5614" t="inlineStr">
        <is>
          <t>Hospital</t>
        </is>
      </c>
      <c r="I5614" t="inlineStr">
        <is>
          <t>Public payer</t>
        </is>
      </c>
      <c r="J5614" t="inlineStr">
        <is>
          <t>Yuki Sato</t>
        </is>
      </c>
      <c r="K5614" s="70" t="n">
        <v>2495</v>
      </c>
      <c r="L5614" s="71" t="n">
        <v>334.78</v>
      </c>
      <c r="M5614" s="71" t="n">
        <v>835276.1</v>
      </c>
      <c r="N5614" s="71" t="n">
        <v>125291.41</v>
      </c>
      <c r="O5614" s="71" t="n">
        <v>709984.6899999999</v>
      </c>
      <c r="P5614" s="71" t="n">
        <v>206956.96</v>
      </c>
      <c r="Q5614" s="71" t="n">
        <v>503027.73</v>
      </c>
      <c r="R5614" t="inlineStr">
        <is>
          <t>Vaccines</t>
        </is>
      </c>
      <c r="S5614" s="70" t="n">
        <v>1716</v>
      </c>
      <c r="T5614" s="71" t="n">
        <v>110489.07</v>
      </c>
      <c r="U5614" t="inlineStr">
        <is>
          <t>Low</t>
        </is>
      </c>
      <c r="V5614">
        <f>IF(AND(OR(Dashboard!$C$6="All",E5614=Dashboard!$C$6),OR(Dashboard!$F$6="All",G5614=Dashboard!$F$6),OR(Dashboard!$I$6="All",H5614=Dashboard!$I$6)),1,0)</f>
        <v/>
      </c>
    </row>
    <row r="5615">
      <c r="A5615" t="inlineStr">
        <is>
          <t>PF105606</t>
        </is>
      </c>
      <c r="B5615" s="68" t="n">
        <v>46337</v>
      </c>
      <c r="C5615" s="69" t="n">
        <v>2026</v>
      </c>
      <c r="D5615" t="inlineStr">
        <is>
          <t>Nov</t>
        </is>
      </c>
      <c r="E5615" t="inlineStr">
        <is>
          <t>United States</t>
        </is>
      </c>
      <c r="F5615" t="inlineStr">
        <is>
          <t>USA</t>
        </is>
      </c>
      <c r="G5615" t="inlineStr">
        <is>
          <t>Prevnar 20</t>
        </is>
      </c>
      <c r="H5615" t="inlineStr">
        <is>
          <t>Retail pharmacy</t>
        </is>
      </c>
      <c r="I5615" t="inlineStr">
        <is>
          <t>Public payer</t>
        </is>
      </c>
      <c r="J5615" t="inlineStr">
        <is>
          <t>Hiroshi Tanaka</t>
        </is>
      </c>
      <c r="K5615" s="70" t="n">
        <v>3145</v>
      </c>
      <c r="L5615" s="71" t="n">
        <v>389.42</v>
      </c>
      <c r="M5615" s="71" t="n">
        <v>1224725.9</v>
      </c>
      <c r="N5615" s="71" t="n">
        <v>367417.77</v>
      </c>
      <c r="O5615" s="71" t="n">
        <v>857308.13</v>
      </c>
      <c r="P5615" s="71" t="n">
        <v>222522.89</v>
      </c>
      <c r="Q5615" s="71" t="n">
        <v>634785.24</v>
      </c>
      <c r="R5615" t="inlineStr">
        <is>
          <t>Vaccines</t>
        </is>
      </c>
      <c r="S5615" s="70" t="n">
        <v>2436</v>
      </c>
      <c r="T5615" s="71" t="n">
        <v>187877.08</v>
      </c>
      <c r="U5615" t="inlineStr">
        <is>
          <t>Low</t>
        </is>
      </c>
      <c r="V5615">
        <f>IF(AND(OR(Dashboard!$C$6="All",E5615=Dashboard!$C$6),OR(Dashboard!$F$6="All",G5615=Dashboard!$F$6),OR(Dashboard!$I$6="All",H5615=Dashboard!$I$6)),1,0)</f>
        <v/>
      </c>
    </row>
    <row r="5616">
      <c r="A5616" t="inlineStr">
        <is>
          <t>PF105607</t>
        </is>
      </c>
      <c r="B5616" s="68" t="n">
        <v>46337</v>
      </c>
      <c r="C5616" s="69" t="n">
        <v>2026</v>
      </c>
      <c r="D5616" t="inlineStr">
        <is>
          <t>Nov</t>
        </is>
      </c>
      <c r="E5616" t="inlineStr">
        <is>
          <t>Europe</t>
        </is>
      </c>
      <c r="F5616" t="inlineStr">
        <is>
          <t>France</t>
        </is>
      </c>
      <c r="G5616" t="inlineStr">
        <is>
          <t>Comirnaty</t>
        </is>
      </c>
      <c r="H5616" t="inlineStr">
        <is>
          <t>Hospital</t>
        </is>
      </c>
      <c r="I5616" t="inlineStr">
        <is>
          <t>Private insurer</t>
        </is>
      </c>
      <c r="J5616" t="inlineStr">
        <is>
          <t>Kofi Mensah</t>
        </is>
      </c>
      <c r="K5616" s="70" t="n">
        <v>2042</v>
      </c>
      <c r="L5616" s="71" t="n">
        <v>89.89</v>
      </c>
      <c r="M5616" s="71" t="n">
        <v>183555.38</v>
      </c>
      <c r="N5616" s="71" t="n">
        <v>45888.85</v>
      </c>
      <c r="O5616" s="71" t="n">
        <v>137666.53</v>
      </c>
      <c r="P5616" s="71" t="n">
        <v>77128.88</v>
      </c>
      <c r="Q5616" s="71" t="n">
        <v>60537.65</v>
      </c>
      <c r="R5616" t="inlineStr">
        <is>
          <t>Vaccines</t>
        </is>
      </c>
      <c r="S5616" s="70" t="n">
        <v>1991</v>
      </c>
      <c r="T5616" s="71" t="n">
        <v>43839.8</v>
      </c>
      <c r="U5616" t="inlineStr">
        <is>
          <t>Low</t>
        </is>
      </c>
      <c r="V5616">
        <f>IF(AND(OR(Dashboard!$C$6="All",E5616=Dashboard!$C$6),OR(Dashboard!$F$6="All",G5616=Dashboard!$F$6),OR(Dashboard!$I$6="All",H5616=Dashboard!$I$6)),1,0)</f>
        <v/>
      </c>
    </row>
    <row r="5617">
      <c r="A5617" t="inlineStr">
        <is>
          <t>PF105608</t>
        </is>
      </c>
      <c r="B5617" s="68" t="n">
        <v>46337</v>
      </c>
      <c r="C5617" s="69" t="n">
        <v>2026</v>
      </c>
      <c r="D5617" t="inlineStr">
        <is>
          <t>Nov</t>
        </is>
      </c>
      <c r="E5617" t="inlineStr">
        <is>
          <t>United States</t>
        </is>
      </c>
      <c r="F5617" t="inlineStr">
        <is>
          <t>USA</t>
        </is>
      </c>
      <c r="G5617" t="inlineStr">
        <is>
          <t>Xeljanz</t>
        </is>
      </c>
      <c r="H5617" t="inlineStr">
        <is>
          <t>Retail pharmacy</t>
        </is>
      </c>
      <c r="I5617" t="inlineStr">
        <is>
          <t>Private insurer</t>
        </is>
      </c>
      <c r="J5617" t="inlineStr">
        <is>
          <t>Ana Costa</t>
        </is>
      </c>
      <c r="K5617" s="70" t="n">
        <v>1095</v>
      </c>
      <c r="L5617" s="71" t="n">
        <v>2317.68</v>
      </c>
      <c r="M5617" s="71" t="n">
        <v>2537859.6</v>
      </c>
      <c r="N5617" s="71" t="n">
        <v>380678.94</v>
      </c>
      <c r="O5617" s="71" t="n">
        <v>2157180.66</v>
      </c>
      <c r="P5617" s="71" t="n">
        <v>271815.31</v>
      </c>
      <c r="Q5617" s="71" t="n">
        <v>1885365.35</v>
      </c>
      <c r="R5617" t="inlineStr">
        <is>
          <t>Inflammation</t>
        </is>
      </c>
      <c r="S5617" s="70" t="n">
        <v>900</v>
      </c>
      <c r="T5617" s="71" t="n">
        <v>568065.5</v>
      </c>
      <c r="U5617" t="inlineStr">
        <is>
          <t>High</t>
        </is>
      </c>
      <c r="V5617">
        <f>IF(AND(OR(Dashboard!$C$6="All",E5617=Dashboard!$C$6),OR(Dashboard!$F$6="All",G5617=Dashboard!$F$6),OR(Dashboard!$I$6="All",H5617=Dashboard!$I$6)),1,0)</f>
        <v/>
      </c>
    </row>
    <row r="5618">
      <c r="A5618" t="inlineStr">
        <is>
          <t>PF105609</t>
        </is>
      </c>
      <c r="B5618" s="68" t="n">
        <v>46337</v>
      </c>
      <c r="C5618" s="69" t="n">
        <v>2026</v>
      </c>
      <c r="D5618" t="inlineStr">
        <is>
          <t>Nov</t>
        </is>
      </c>
      <c r="E5618" t="inlineStr">
        <is>
          <t>International developed</t>
        </is>
      </c>
      <c r="F5618" t="inlineStr">
        <is>
          <t>Australia</t>
        </is>
      </c>
      <c r="G5618" t="inlineStr">
        <is>
          <t>Eliquis</t>
        </is>
      </c>
      <c r="H5618" t="inlineStr">
        <is>
          <t>Retail pharmacy</t>
        </is>
      </c>
      <c r="I5618" t="inlineStr">
        <is>
          <t>Private insurer</t>
        </is>
      </c>
      <c r="J5618" t="inlineStr">
        <is>
          <t>Hiroshi Tanaka</t>
        </is>
      </c>
      <c r="K5618" s="70" t="n">
        <v>3119</v>
      </c>
      <c r="L5618" s="71" t="n">
        <v>462.99</v>
      </c>
      <c r="M5618" s="71" t="n">
        <v>1444065.81</v>
      </c>
      <c r="N5618" s="71" t="n">
        <v>144406.58</v>
      </c>
      <c r="O5618" s="71" t="n">
        <v>1299659.23</v>
      </c>
      <c r="P5618" s="71" t="n">
        <v>239406.48</v>
      </c>
      <c r="Q5618" s="71" t="n">
        <v>1060252.75</v>
      </c>
      <c r="R5618" t="inlineStr">
        <is>
          <t>Cardiology</t>
        </is>
      </c>
      <c r="S5618" s="70" t="n">
        <v>2673</v>
      </c>
      <c r="T5618" s="71" t="n">
        <v>175064.48</v>
      </c>
      <c r="U5618" t="inlineStr">
        <is>
          <t>High</t>
        </is>
      </c>
      <c r="V5618">
        <f>IF(AND(OR(Dashboard!$C$6="All",E5618=Dashboard!$C$6),OR(Dashboard!$F$6="All",G5618=Dashboard!$F$6),OR(Dashboard!$I$6="All",H5618=Dashboard!$I$6)),1,0)</f>
        <v/>
      </c>
    </row>
    <row r="5619">
      <c r="A5619" t="inlineStr">
        <is>
          <t>PF105610</t>
        </is>
      </c>
      <c r="B5619" s="68" t="n">
        <v>46337</v>
      </c>
      <c r="C5619" s="69" t="n">
        <v>2026</v>
      </c>
      <c r="D5619" t="inlineStr">
        <is>
          <t>Nov</t>
        </is>
      </c>
      <c r="E5619" t="inlineStr">
        <is>
          <t>Emerging markets</t>
        </is>
      </c>
      <c r="F5619" t="inlineStr">
        <is>
          <t>India</t>
        </is>
      </c>
      <c r="G5619" t="inlineStr">
        <is>
          <t>Paxlovid</t>
        </is>
      </c>
      <c r="H5619" t="inlineStr">
        <is>
          <t>Retail pharmacy</t>
        </is>
      </c>
      <c r="I5619" t="inlineStr">
        <is>
          <t>Self-pay</t>
        </is>
      </c>
      <c r="J5619" t="inlineStr">
        <is>
          <t>Ruhi Shaikh</t>
        </is>
      </c>
      <c r="K5619" s="70" t="n">
        <v>1465</v>
      </c>
      <c r="L5619" s="71" t="n">
        <v>973.7</v>
      </c>
      <c r="M5619" s="71" t="n">
        <v>1426470.5</v>
      </c>
      <c r="N5619" s="71" t="n">
        <v>71323.53</v>
      </c>
      <c r="O5619" s="71" t="n">
        <v>1355146.97</v>
      </c>
      <c r="P5619" s="71" t="n">
        <v>394417.84</v>
      </c>
      <c r="Q5619" s="71" t="n">
        <v>960729.13</v>
      </c>
      <c r="R5619" t="inlineStr">
        <is>
          <t>Antiviral</t>
        </is>
      </c>
      <c r="S5619" s="70" t="n">
        <v>1044</v>
      </c>
      <c r="T5619" s="71" t="n">
        <v>374397.17</v>
      </c>
      <c r="U5619" t="inlineStr">
        <is>
          <t>Low</t>
        </is>
      </c>
      <c r="V5619">
        <f>IF(AND(OR(Dashboard!$C$6="All",E5619=Dashboard!$C$6),OR(Dashboard!$F$6="All",G5619=Dashboard!$F$6),OR(Dashboard!$I$6="All",H5619=Dashboard!$I$6)),1,0)</f>
        <v/>
      </c>
    </row>
    <row r="5620">
      <c r="A5620" t="inlineStr">
        <is>
          <t>PF105611</t>
        </is>
      </c>
      <c r="B5620" s="68" t="n">
        <v>46337</v>
      </c>
      <c r="C5620" s="69" t="n">
        <v>2026</v>
      </c>
      <c r="D5620" t="inlineStr">
        <is>
          <t>Nov</t>
        </is>
      </c>
      <c r="E5620" t="inlineStr">
        <is>
          <t>Emerging markets</t>
        </is>
      </c>
      <c r="F5620" t="inlineStr">
        <is>
          <t>Brazil</t>
        </is>
      </c>
      <c r="G5620" t="inlineStr">
        <is>
          <t>Xeljanz</t>
        </is>
      </c>
      <c r="H5620" t="inlineStr">
        <is>
          <t>Hospital</t>
        </is>
      </c>
      <c r="I5620" t="inlineStr">
        <is>
          <t>Public payer</t>
        </is>
      </c>
      <c r="J5620" t="inlineStr">
        <is>
          <t>Amir Khan</t>
        </is>
      </c>
      <c r="K5620" s="70" t="n">
        <v>68</v>
      </c>
      <c r="L5620" s="71" t="n">
        <v>1445.96</v>
      </c>
      <c r="M5620" s="71" t="n">
        <v>98325.28</v>
      </c>
      <c r="N5620" s="71" t="n">
        <v>24581.32</v>
      </c>
      <c r="O5620" s="71" t="n">
        <v>73743.96000000001</v>
      </c>
      <c r="P5620" s="71" t="n">
        <v>16541.77</v>
      </c>
      <c r="Q5620" s="71" t="n">
        <v>57202.19</v>
      </c>
      <c r="R5620" t="inlineStr">
        <is>
          <t>Inflammation</t>
        </is>
      </c>
      <c r="S5620" s="70" t="n">
        <v>49</v>
      </c>
      <c r="T5620" s="71" t="n">
        <v>20560.71</v>
      </c>
      <c r="U5620" t="inlineStr">
        <is>
          <t>High</t>
        </is>
      </c>
      <c r="V5620">
        <f>IF(AND(OR(Dashboard!$C$6="All",E5620=Dashboard!$C$6),OR(Dashboard!$F$6="All",G5620=Dashboard!$F$6),OR(Dashboard!$I$6="All",H5620=Dashboard!$I$6)),1,0)</f>
        <v/>
      </c>
    </row>
    <row r="5621">
      <c r="A5621" t="inlineStr">
        <is>
          <t>PF105612</t>
        </is>
      </c>
      <c r="B5621" s="68" t="n">
        <v>46338</v>
      </c>
      <c r="C5621" s="69" t="n">
        <v>2026</v>
      </c>
      <c r="D5621" t="inlineStr">
        <is>
          <t>Nov</t>
        </is>
      </c>
      <c r="E5621" t="inlineStr">
        <is>
          <t>Emerging markets</t>
        </is>
      </c>
      <c r="F5621" t="inlineStr">
        <is>
          <t>Mexico</t>
        </is>
      </c>
      <c r="G5621" t="inlineStr">
        <is>
          <t>Comirnaty</t>
        </is>
      </c>
      <c r="H5621" t="inlineStr">
        <is>
          <t>Retail pharmacy</t>
        </is>
      </c>
      <c r="I5621" t="inlineStr">
        <is>
          <t>Private insurer</t>
        </is>
      </c>
      <c r="J5621" t="inlineStr">
        <is>
          <t>Omar Haddad</t>
        </is>
      </c>
      <c r="K5621" s="70" t="n">
        <v>2139</v>
      </c>
      <c r="L5621" s="71" t="n">
        <v>86.65000000000001</v>
      </c>
      <c r="M5621" s="71" t="n">
        <v>185344.35</v>
      </c>
      <c r="N5621" s="71" t="n">
        <v>9267.219999999999</v>
      </c>
      <c r="O5621" s="71" t="n">
        <v>176077.13</v>
      </c>
      <c r="P5621" s="71" t="n">
        <v>84202.86</v>
      </c>
      <c r="Q5621" s="71" t="n">
        <v>91874.27</v>
      </c>
      <c r="R5621" t="inlineStr">
        <is>
          <t>Vaccines</t>
        </is>
      </c>
      <c r="S5621" s="70" t="n">
        <v>1711</v>
      </c>
      <c r="T5621" s="71" t="n">
        <v>36341.54</v>
      </c>
      <c r="U5621" t="inlineStr">
        <is>
          <t>Low</t>
        </is>
      </c>
      <c r="V5621">
        <f>IF(AND(OR(Dashboard!$C$6="All",E5621=Dashboard!$C$6),OR(Dashboard!$F$6="All",G5621=Dashboard!$F$6),OR(Dashboard!$I$6="All",H5621=Dashboard!$I$6)),1,0)</f>
        <v/>
      </c>
    </row>
    <row r="5622">
      <c r="A5622" t="inlineStr">
        <is>
          <t>PF105613</t>
        </is>
      </c>
      <c r="B5622" s="68" t="n">
        <v>46338</v>
      </c>
      <c r="C5622" s="69" t="n">
        <v>2026</v>
      </c>
      <c r="D5622" t="inlineStr">
        <is>
          <t>Nov</t>
        </is>
      </c>
      <c r="E5622" t="inlineStr">
        <is>
          <t>United States</t>
        </is>
      </c>
      <c r="F5622" t="inlineStr">
        <is>
          <t>USA</t>
        </is>
      </c>
      <c r="G5622" t="inlineStr">
        <is>
          <t>Comirnaty</t>
        </is>
      </c>
      <c r="H5622" t="inlineStr">
        <is>
          <t>Retail pharmacy</t>
        </is>
      </c>
      <c r="I5622" t="inlineStr">
        <is>
          <t>Public payer</t>
        </is>
      </c>
      <c r="J5622" t="inlineStr">
        <is>
          <t>Omar Haddad</t>
        </is>
      </c>
      <c r="K5622" s="70" t="n">
        <v>2381</v>
      </c>
      <c r="L5622" s="71" t="n">
        <v>138.98</v>
      </c>
      <c r="M5622" s="71" t="n">
        <v>330911.38</v>
      </c>
      <c r="N5622" s="71" t="n">
        <v>66182.28</v>
      </c>
      <c r="O5622" s="71" t="n">
        <v>264729.1</v>
      </c>
      <c r="P5622" s="71" t="n">
        <v>90493.67</v>
      </c>
      <c r="Q5622" s="71" t="n">
        <v>174235.43</v>
      </c>
      <c r="R5622" t="inlineStr">
        <is>
          <t>Vaccines</t>
        </is>
      </c>
      <c r="S5622" s="70" t="n">
        <v>2120</v>
      </c>
      <c r="T5622" s="71" t="n">
        <v>87938.14</v>
      </c>
      <c r="U5622" t="inlineStr">
        <is>
          <t>Low</t>
        </is>
      </c>
      <c r="V5622">
        <f>IF(AND(OR(Dashboard!$C$6="All",E5622=Dashboard!$C$6),OR(Dashboard!$F$6="All",G5622=Dashboard!$F$6),OR(Dashboard!$I$6="All",H5622=Dashboard!$I$6)),1,0)</f>
        <v/>
      </c>
    </row>
    <row r="5623">
      <c r="A5623" t="inlineStr">
        <is>
          <t>PF105614</t>
        </is>
      </c>
      <c r="B5623" s="68" t="n">
        <v>46338</v>
      </c>
      <c r="C5623" s="69" t="n">
        <v>2026</v>
      </c>
      <c r="D5623" t="inlineStr">
        <is>
          <t>Nov</t>
        </is>
      </c>
      <c r="E5623" t="inlineStr">
        <is>
          <t>United States</t>
        </is>
      </c>
      <c r="F5623" t="inlineStr">
        <is>
          <t>USA</t>
        </is>
      </c>
      <c r="G5623" t="inlineStr">
        <is>
          <t>Vyndaqel</t>
        </is>
      </c>
      <c r="H5623" t="inlineStr">
        <is>
          <t>Retail pharmacy</t>
        </is>
      </c>
      <c r="I5623" t="inlineStr">
        <is>
          <t>Private insurer</t>
        </is>
      </c>
      <c r="J5623" t="inlineStr">
        <is>
          <t>Aisha Bello</t>
        </is>
      </c>
      <c r="K5623" s="70" t="n">
        <v>1758</v>
      </c>
      <c r="L5623" s="71" t="n">
        <v>8958.02</v>
      </c>
      <c r="M5623" s="71" t="n">
        <v>15748199.16</v>
      </c>
      <c r="N5623" s="71" t="n">
        <v>5511869.71</v>
      </c>
      <c r="O5623" s="71" t="n">
        <v>10236329.45</v>
      </c>
      <c r="P5623" s="71" t="n">
        <v>1127175.51</v>
      </c>
      <c r="Q5623" s="71" t="n">
        <v>9109153.939999999</v>
      </c>
      <c r="R5623" t="inlineStr">
        <is>
          <t>Rare disease</t>
        </is>
      </c>
      <c r="S5623" s="70" t="n">
        <v>1363</v>
      </c>
      <c r="T5623" s="71" t="n">
        <v>2581167.07</v>
      </c>
      <c r="U5623" t="inlineStr">
        <is>
          <t>Medium</t>
        </is>
      </c>
      <c r="V5623">
        <f>IF(AND(OR(Dashboard!$C$6="All",E5623=Dashboard!$C$6),OR(Dashboard!$F$6="All",G5623=Dashboard!$F$6),OR(Dashboard!$I$6="All",H5623=Dashboard!$I$6)),1,0)</f>
        <v/>
      </c>
    </row>
    <row r="5624">
      <c r="A5624" t="inlineStr">
        <is>
          <t>PF105615</t>
        </is>
      </c>
      <c r="B5624" s="68" t="n">
        <v>46338</v>
      </c>
      <c r="C5624" s="69" t="n">
        <v>2026</v>
      </c>
      <c r="D5624" t="inlineStr">
        <is>
          <t>Nov</t>
        </is>
      </c>
      <c r="E5624" t="inlineStr">
        <is>
          <t>Europe</t>
        </is>
      </c>
      <c r="F5624" t="inlineStr">
        <is>
          <t>Germany</t>
        </is>
      </c>
      <c r="G5624" t="inlineStr">
        <is>
          <t>Prevnar 20</t>
        </is>
      </c>
      <c r="H5624" t="inlineStr">
        <is>
          <t>Government / tender</t>
        </is>
      </c>
      <c r="I5624" t="inlineStr">
        <is>
          <t>Self-pay</t>
        </is>
      </c>
      <c r="J5624" t="inlineStr">
        <is>
          <t>Aisha Bello</t>
        </is>
      </c>
      <c r="K5624" s="70" t="n">
        <v>3228</v>
      </c>
      <c r="L5624" s="71" t="n">
        <v>228.85</v>
      </c>
      <c r="M5624" s="71" t="n">
        <v>738727.8</v>
      </c>
      <c r="N5624" s="71" t="n">
        <v>36936.39</v>
      </c>
      <c r="O5624" s="71" t="n">
        <v>701791.41</v>
      </c>
      <c r="P5624" s="71" t="n">
        <v>223395.35</v>
      </c>
      <c r="Q5624" s="71" t="n">
        <v>478396.06</v>
      </c>
      <c r="R5624" t="inlineStr">
        <is>
          <t>Vaccines</t>
        </is>
      </c>
      <c r="S5624" s="70" t="n">
        <v>3021</v>
      </c>
      <c r="T5624" s="71" t="n">
        <v>143370.02</v>
      </c>
      <c r="U5624" t="inlineStr">
        <is>
          <t>Low</t>
        </is>
      </c>
      <c r="V5624">
        <f>IF(AND(OR(Dashboard!$C$6="All",E5624=Dashboard!$C$6),OR(Dashboard!$F$6="All",G5624=Dashboard!$F$6),OR(Dashboard!$I$6="All",H5624=Dashboard!$I$6)),1,0)</f>
        <v/>
      </c>
    </row>
    <row r="5625">
      <c r="A5625" t="inlineStr">
        <is>
          <t>PF105616</t>
        </is>
      </c>
      <c r="B5625" s="68" t="n">
        <v>46338</v>
      </c>
      <c r="C5625" s="69" t="n">
        <v>2026</v>
      </c>
      <c r="D5625" t="inlineStr">
        <is>
          <t>Nov</t>
        </is>
      </c>
      <c r="E5625" t="inlineStr">
        <is>
          <t>United States</t>
        </is>
      </c>
      <c r="F5625" t="inlineStr">
        <is>
          <t>USA</t>
        </is>
      </c>
      <c r="G5625" t="inlineStr">
        <is>
          <t>Abrysvo</t>
        </is>
      </c>
      <c r="H5625" t="inlineStr">
        <is>
          <t>Retail pharmacy</t>
        </is>
      </c>
      <c r="I5625" t="inlineStr">
        <is>
          <t>Private insurer</t>
        </is>
      </c>
      <c r="J5625" t="inlineStr">
        <is>
          <t>Arjun Mehta</t>
        </is>
      </c>
      <c r="K5625" s="70" t="n">
        <v>1245</v>
      </c>
      <c r="L5625" s="71" t="n">
        <v>554.97</v>
      </c>
      <c r="M5625" s="71" t="n">
        <v>690937.65</v>
      </c>
      <c r="N5625" s="71" t="n">
        <v>138187.53</v>
      </c>
      <c r="O5625" s="71" t="n">
        <v>552750.12</v>
      </c>
      <c r="P5625" s="71" t="n">
        <v>104669.72</v>
      </c>
      <c r="Q5625" s="71" t="n">
        <v>448080.4</v>
      </c>
      <c r="R5625" t="inlineStr">
        <is>
          <t>Vaccines</t>
        </is>
      </c>
      <c r="S5625" s="70" t="n">
        <v>1136</v>
      </c>
      <c r="T5625" s="71" t="n">
        <v>116141.82</v>
      </c>
      <c r="U5625" t="inlineStr">
        <is>
          <t>Low</t>
        </is>
      </c>
      <c r="V5625">
        <f>IF(AND(OR(Dashboard!$C$6="All",E5625=Dashboard!$C$6),OR(Dashboard!$F$6="All",G5625=Dashboard!$F$6),OR(Dashboard!$I$6="All",H5625=Dashboard!$I$6)),1,0)</f>
        <v/>
      </c>
    </row>
    <row r="5626">
      <c r="A5626" t="inlineStr">
        <is>
          <t>PF105617</t>
        </is>
      </c>
      <c r="B5626" s="68" t="n">
        <v>46339</v>
      </c>
      <c r="C5626" s="69" t="n">
        <v>2026</v>
      </c>
      <c r="D5626" t="inlineStr">
        <is>
          <t>Nov</t>
        </is>
      </c>
      <c r="E5626" t="inlineStr">
        <is>
          <t>United States</t>
        </is>
      </c>
      <c r="F5626" t="inlineStr">
        <is>
          <t>USA</t>
        </is>
      </c>
      <c r="G5626" t="inlineStr">
        <is>
          <t>Abrysvo</t>
        </is>
      </c>
      <c r="H5626" t="inlineStr">
        <is>
          <t>Retail pharmacy</t>
        </is>
      </c>
      <c r="I5626" t="inlineStr">
        <is>
          <t>Private insurer</t>
        </is>
      </c>
      <c r="J5626" t="inlineStr">
        <is>
          <t>Olivia Brown</t>
        </is>
      </c>
      <c r="K5626" s="70" t="n">
        <v>3093</v>
      </c>
      <c r="L5626" s="71" t="n">
        <v>547.54</v>
      </c>
      <c r="M5626" s="71" t="n">
        <v>1693541.22</v>
      </c>
      <c r="N5626" s="71" t="n">
        <v>592739.4300000001</v>
      </c>
      <c r="O5626" s="71" t="n">
        <v>1100801.79</v>
      </c>
      <c r="P5626" s="71" t="n">
        <v>252685.08</v>
      </c>
      <c r="Q5626" s="71" t="n">
        <v>848116.71</v>
      </c>
      <c r="R5626" t="inlineStr">
        <is>
          <t>Vaccines</t>
        </is>
      </c>
      <c r="S5626" s="70" t="n">
        <v>2246</v>
      </c>
      <c r="T5626" s="71" t="n">
        <v>196729.73</v>
      </c>
      <c r="U5626" t="inlineStr">
        <is>
          <t>Low</t>
        </is>
      </c>
      <c r="V5626">
        <f>IF(AND(OR(Dashboard!$C$6="All",E5626=Dashboard!$C$6),OR(Dashboard!$F$6="All",G5626=Dashboard!$F$6),OR(Dashboard!$I$6="All",H5626=Dashboard!$I$6)),1,0)</f>
        <v/>
      </c>
    </row>
    <row r="5627">
      <c r="A5627" t="inlineStr">
        <is>
          <t>PF105618</t>
        </is>
      </c>
      <c r="B5627" s="68" t="n">
        <v>46339</v>
      </c>
      <c r="C5627" s="69" t="n">
        <v>2026</v>
      </c>
      <c r="D5627" t="inlineStr">
        <is>
          <t>Nov</t>
        </is>
      </c>
      <c r="E5627" t="inlineStr">
        <is>
          <t>Europe</t>
        </is>
      </c>
      <c r="F5627" t="inlineStr">
        <is>
          <t>Italy</t>
        </is>
      </c>
      <c r="G5627" t="inlineStr">
        <is>
          <t>Eliquis</t>
        </is>
      </c>
      <c r="H5627" t="inlineStr">
        <is>
          <t>Hospital</t>
        </is>
      </c>
      <c r="I5627" t="inlineStr">
        <is>
          <t>Public payer</t>
        </is>
      </c>
      <c r="J5627" t="inlineStr">
        <is>
          <t>Carlos Silva</t>
        </is>
      </c>
      <c r="K5627" s="70" t="n">
        <v>2463</v>
      </c>
      <c r="L5627" s="71" t="n">
        <v>412.6</v>
      </c>
      <c r="M5627" s="71" t="n">
        <v>1016233.8</v>
      </c>
      <c r="N5627" s="71" t="n">
        <v>50811.69</v>
      </c>
      <c r="O5627" s="71" t="n">
        <v>965422.11</v>
      </c>
      <c r="P5627" s="71" t="n">
        <v>181076.96</v>
      </c>
      <c r="Q5627" s="71" t="n">
        <v>784345.15</v>
      </c>
      <c r="R5627" t="inlineStr">
        <is>
          <t>Cardiology</t>
        </is>
      </c>
      <c r="S5627" s="70" t="n">
        <v>2081</v>
      </c>
      <c r="T5627" s="71" t="n">
        <v>155832.38</v>
      </c>
      <c r="U5627" t="inlineStr">
        <is>
          <t>High</t>
        </is>
      </c>
      <c r="V5627">
        <f>IF(AND(OR(Dashboard!$C$6="All",E5627=Dashboard!$C$6),OR(Dashboard!$F$6="All",G5627=Dashboard!$F$6),OR(Dashboard!$I$6="All",H5627=Dashboard!$I$6)),1,0)</f>
        <v/>
      </c>
    </row>
    <row r="5628">
      <c r="A5628" t="inlineStr">
        <is>
          <t>PF105619</t>
        </is>
      </c>
      <c r="B5628" s="68" t="n">
        <v>46339</v>
      </c>
      <c r="C5628" s="69" t="n">
        <v>2026</v>
      </c>
      <c r="D5628" t="inlineStr">
        <is>
          <t>Nov</t>
        </is>
      </c>
      <c r="E5628" t="inlineStr">
        <is>
          <t>United States</t>
        </is>
      </c>
      <c r="F5628" t="inlineStr">
        <is>
          <t>USA</t>
        </is>
      </c>
      <c r="G5628" t="inlineStr">
        <is>
          <t>Ibrance</t>
        </is>
      </c>
      <c r="H5628" t="inlineStr">
        <is>
          <t>Government / tender</t>
        </is>
      </c>
      <c r="I5628" t="inlineStr">
        <is>
          <t>Public payer</t>
        </is>
      </c>
      <c r="J5628" t="inlineStr">
        <is>
          <t>Yuki Sato</t>
        </is>
      </c>
      <c r="K5628" s="70" t="n">
        <v>135</v>
      </c>
      <c r="L5628" s="71" t="n">
        <v>4732.39</v>
      </c>
      <c r="M5628" s="71" t="n">
        <v>638872.65</v>
      </c>
      <c r="N5628" s="71" t="n">
        <v>191661.8</v>
      </c>
      <c r="O5628" s="71" t="n">
        <v>447210.85</v>
      </c>
      <c r="P5628" s="71" t="n">
        <v>57516.2</v>
      </c>
      <c r="Q5628" s="71" t="n">
        <v>389694.65</v>
      </c>
      <c r="R5628" t="inlineStr">
        <is>
          <t>Oncology</t>
        </is>
      </c>
      <c r="S5628" s="70" t="n">
        <v>108</v>
      </c>
      <c r="T5628" s="71" t="n">
        <v>86608.21000000001</v>
      </c>
      <c r="U5628" t="inlineStr">
        <is>
          <t>High</t>
        </is>
      </c>
      <c r="V5628">
        <f>IF(AND(OR(Dashboard!$C$6="All",E5628=Dashboard!$C$6),OR(Dashboard!$F$6="All",G5628=Dashboard!$F$6),OR(Dashboard!$I$6="All",H5628=Dashboard!$I$6)),1,0)</f>
        <v/>
      </c>
    </row>
    <row r="5629">
      <c r="A5629" t="inlineStr">
        <is>
          <t>PF105620</t>
        </is>
      </c>
      <c r="B5629" s="68" t="n">
        <v>46339</v>
      </c>
      <c r="C5629" s="69" t="n">
        <v>2026</v>
      </c>
      <c r="D5629" t="inlineStr">
        <is>
          <t>Nov</t>
        </is>
      </c>
      <c r="E5629" t="inlineStr">
        <is>
          <t>Emerging markets</t>
        </is>
      </c>
      <c r="F5629" t="inlineStr">
        <is>
          <t>China</t>
        </is>
      </c>
      <c r="G5629" t="inlineStr">
        <is>
          <t>Xeljanz</t>
        </is>
      </c>
      <c r="H5629" t="inlineStr">
        <is>
          <t>Hospital</t>
        </is>
      </c>
      <c r="I5629" t="inlineStr">
        <is>
          <t>Public payer</t>
        </is>
      </c>
      <c r="J5629" t="inlineStr">
        <is>
          <t>Aisha Bello</t>
        </is>
      </c>
      <c r="K5629" s="70" t="n">
        <v>343</v>
      </c>
      <c r="L5629" s="71" t="n">
        <v>1307.58</v>
      </c>
      <c r="M5629" s="71" t="n">
        <v>448499.94</v>
      </c>
      <c r="N5629" s="71" t="n">
        <v>112124.99</v>
      </c>
      <c r="O5629" s="71" t="n">
        <v>336374.95</v>
      </c>
      <c r="P5629" s="71" t="n">
        <v>83605.50999999999</v>
      </c>
      <c r="Q5629" s="71" t="n">
        <v>252769.44</v>
      </c>
      <c r="R5629" t="inlineStr">
        <is>
          <t>Inflammation</t>
        </is>
      </c>
      <c r="S5629" s="70" t="n">
        <v>221</v>
      </c>
      <c r="T5629" s="71" t="n">
        <v>84244.39</v>
      </c>
      <c r="U5629" t="inlineStr">
        <is>
          <t>High</t>
        </is>
      </c>
      <c r="V5629">
        <f>IF(AND(OR(Dashboard!$C$6="All",E5629=Dashboard!$C$6),OR(Dashboard!$F$6="All",G5629=Dashboard!$F$6),OR(Dashboard!$I$6="All",H5629=Dashboard!$I$6)),1,0)</f>
        <v/>
      </c>
    </row>
    <row r="5630">
      <c r="A5630" t="inlineStr">
        <is>
          <t>PF105621</t>
        </is>
      </c>
      <c r="B5630" s="68" t="n">
        <v>46339</v>
      </c>
      <c r="C5630" s="69" t="n">
        <v>2026</v>
      </c>
      <c r="D5630" t="inlineStr">
        <is>
          <t>Nov</t>
        </is>
      </c>
      <c r="E5630" t="inlineStr">
        <is>
          <t>Europe</t>
        </is>
      </c>
      <c r="F5630" t="inlineStr">
        <is>
          <t>Germany</t>
        </is>
      </c>
      <c r="G5630" t="inlineStr">
        <is>
          <t>Comirnaty</t>
        </is>
      </c>
      <c r="H5630" t="inlineStr">
        <is>
          <t>Government / tender</t>
        </is>
      </c>
      <c r="I5630" t="inlineStr">
        <is>
          <t>Private insurer</t>
        </is>
      </c>
      <c r="J5630" t="inlineStr">
        <is>
          <t>Liam O'Brien</t>
        </is>
      </c>
      <c r="K5630" s="70" t="n">
        <v>1858</v>
      </c>
      <c r="L5630" s="71" t="n">
        <v>84.90000000000001</v>
      </c>
      <c r="M5630" s="71" t="n">
        <v>157744.2</v>
      </c>
      <c r="N5630" s="71" t="n">
        <v>7887.21</v>
      </c>
      <c r="O5630" s="71" t="n">
        <v>149856.99</v>
      </c>
      <c r="P5630" s="71" t="n">
        <v>73609.53</v>
      </c>
      <c r="Q5630" s="71" t="n">
        <v>76247.46000000001</v>
      </c>
      <c r="R5630" t="inlineStr">
        <is>
          <t>Vaccines</t>
        </is>
      </c>
      <c r="S5630" s="70" t="n">
        <v>1325</v>
      </c>
      <c r="T5630" s="71" t="n">
        <v>34738.29</v>
      </c>
      <c r="U5630" t="inlineStr">
        <is>
          <t>Low</t>
        </is>
      </c>
      <c r="V5630">
        <f>IF(AND(OR(Dashboard!$C$6="All",E5630=Dashboard!$C$6),OR(Dashboard!$F$6="All",G5630=Dashboard!$F$6),OR(Dashboard!$I$6="All",H5630=Dashboard!$I$6)),1,0)</f>
        <v/>
      </c>
    </row>
    <row r="5631">
      <c r="A5631" t="inlineStr">
        <is>
          <t>PF105622</t>
        </is>
      </c>
      <c r="B5631" s="68" t="n">
        <v>46339</v>
      </c>
      <c r="C5631" s="69" t="n">
        <v>2026</v>
      </c>
      <c r="D5631" t="inlineStr">
        <is>
          <t>Nov</t>
        </is>
      </c>
      <c r="E5631" t="inlineStr">
        <is>
          <t>Emerging markets</t>
        </is>
      </c>
      <c r="F5631" t="inlineStr">
        <is>
          <t>India</t>
        </is>
      </c>
      <c r="G5631" t="inlineStr">
        <is>
          <t>Eliquis</t>
        </is>
      </c>
      <c r="H5631" t="inlineStr">
        <is>
          <t>Retail pharmacy</t>
        </is>
      </c>
      <c r="I5631" t="inlineStr">
        <is>
          <t>Public payer</t>
        </is>
      </c>
      <c r="J5631" t="inlineStr">
        <is>
          <t>Priya Nair</t>
        </is>
      </c>
      <c r="K5631" s="70" t="n">
        <v>66</v>
      </c>
      <c r="L5631" s="71" t="n">
        <v>431.44</v>
      </c>
      <c r="M5631" s="71" t="n">
        <v>28475.04</v>
      </c>
      <c r="N5631" s="71" t="n">
        <v>7118.76</v>
      </c>
      <c r="O5631" s="71" t="n">
        <v>21356.28</v>
      </c>
      <c r="P5631" s="71" t="n">
        <v>5068.99</v>
      </c>
      <c r="Q5631" s="71" t="n">
        <v>16287.29</v>
      </c>
      <c r="R5631" t="inlineStr">
        <is>
          <t>Cardiology</t>
        </is>
      </c>
      <c r="S5631" s="70" t="n">
        <v>46</v>
      </c>
      <c r="T5631" s="71" t="n">
        <v>4215.98</v>
      </c>
      <c r="U5631" t="inlineStr">
        <is>
          <t>High</t>
        </is>
      </c>
      <c r="V5631">
        <f>IF(AND(OR(Dashboard!$C$6="All",E5631=Dashboard!$C$6),OR(Dashboard!$F$6="All",G5631=Dashboard!$F$6),OR(Dashboard!$I$6="All",H5631=Dashboard!$I$6)),1,0)</f>
        <v/>
      </c>
    </row>
    <row r="5632">
      <c r="A5632" t="inlineStr">
        <is>
          <t>PF105623</t>
        </is>
      </c>
      <c r="B5632" s="68" t="n">
        <v>46339</v>
      </c>
      <c r="C5632" s="69" t="n">
        <v>2026</v>
      </c>
      <c r="D5632" t="inlineStr">
        <is>
          <t>Nov</t>
        </is>
      </c>
      <c r="E5632" t="inlineStr">
        <is>
          <t>United States</t>
        </is>
      </c>
      <c r="F5632" t="inlineStr">
        <is>
          <t>USA</t>
        </is>
      </c>
      <c r="G5632" t="inlineStr">
        <is>
          <t>Paxlovid</t>
        </is>
      </c>
      <c r="H5632" t="inlineStr">
        <is>
          <t>Retail pharmacy</t>
        </is>
      </c>
      <c r="I5632" t="inlineStr">
        <is>
          <t>Public payer</t>
        </is>
      </c>
      <c r="J5632" t="inlineStr">
        <is>
          <t>Omar Haddad</t>
        </is>
      </c>
      <c r="K5632" s="70" t="n">
        <v>145</v>
      </c>
      <c r="L5632" s="71" t="n">
        <v>1419.71</v>
      </c>
      <c r="M5632" s="71" t="n">
        <v>205857.95</v>
      </c>
      <c r="N5632" s="71" t="n">
        <v>51464.49</v>
      </c>
      <c r="O5632" s="71" t="n">
        <v>154393.46</v>
      </c>
      <c r="P5632" s="71" t="n">
        <v>41411.97</v>
      </c>
      <c r="Q5632" s="71" t="n">
        <v>112981.49</v>
      </c>
      <c r="R5632" t="inlineStr">
        <is>
          <t>Antiviral</t>
        </is>
      </c>
      <c r="S5632" s="70" t="n">
        <v>91</v>
      </c>
      <c r="T5632" s="71" t="n">
        <v>48668.55</v>
      </c>
      <c r="U5632" t="inlineStr">
        <is>
          <t>Low</t>
        </is>
      </c>
      <c r="V5632">
        <f>IF(AND(OR(Dashboard!$C$6="All",E5632=Dashboard!$C$6),OR(Dashboard!$F$6="All",G5632=Dashboard!$F$6),OR(Dashboard!$I$6="All",H5632=Dashboard!$I$6)),1,0)</f>
        <v/>
      </c>
    </row>
    <row r="5633">
      <c r="A5633" t="inlineStr">
        <is>
          <t>PF105624</t>
        </is>
      </c>
      <c r="B5633" s="68" t="n">
        <v>46339</v>
      </c>
      <c r="C5633" s="69" t="n">
        <v>2026</v>
      </c>
      <c r="D5633" t="inlineStr">
        <is>
          <t>Nov</t>
        </is>
      </c>
      <c r="E5633" t="inlineStr">
        <is>
          <t>Emerging markets</t>
        </is>
      </c>
      <c r="F5633" t="inlineStr">
        <is>
          <t>Brazil</t>
        </is>
      </c>
      <c r="G5633" t="inlineStr">
        <is>
          <t>Eliquis</t>
        </is>
      </c>
      <c r="H5633" t="inlineStr">
        <is>
          <t>Retail pharmacy</t>
        </is>
      </c>
      <c r="I5633" t="inlineStr">
        <is>
          <t>Public payer</t>
        </is>
      </c>
      <c r="J5633" t="inlineStr">
        <is>
          <t>Lucas Martin</t>
        </is>
      </c>
      <c r="K5633" s="70" t="n">
        <v>3125</v>
      </c>
      <c r="L5633" s="71" t="n">
        <v>469.42</v>
      </c>
      <c r="M5633" s="71" t="n">
        <v>1466937.5</v>
      </c>
      <c r="N5633" s="71" t="n">
        <v>293387.5</v>
      </c>
      <c r="O5633" s="71" t="n">
        <v>1173550</v>
      </c>
      <c r="P5633" s="71" t="n">
        <v>236090.09</v>
      </c>
      <c r="Q5633" s="71" t="n">
        <v>937459.91</v>
      </c>
      <c r="R5633" t="inlineStr">
        <is>
          <t>Cardiology</t>
        </is>
      </c>
      <c r="S5633" s="70" t="n">
        <v>2069</v>
      </c>
      <c r="T5633" s="71" t="n">
        <v>189829.12</v>
      </c>
      <c r="U5633" t="inlineStr">
        <is>
          <t>High</t>
        </is>
      </c>
      <c r="V5633">
        <f>IF(AND(OR(Dashboard!$C$6="All",E5633=Dashboard!$C$6),OR(Dashboard!$F$6="All",G5633=Dashboard!$F$6),OR(Dashboard!$I$6="All",H5633=Dashboard!$I$6)),1,0)</f>
        <v/>
      </c>
    </row>
    <row r="5634">
      <c r="A5634" t="inlineStr">
        <is>
          <t>PF105625</t>
        </is>
      </c>
      <c r="B5634" s="68" t="n">
        <v>46340</v>
      </c>
      <c r="C5634" s="69" t="n">
        <v>2026</v>
      </c>
      <c r="D5634" t="inlineStr">
        <is>
          <t>Nov</t>
        </is>
      </c>
      <c r="E5634" t="inlineStr">
        <is>
          <t>United States</t>
        </is>
      </c>
      <c r="F5634" t="inlineStr">
        <is>
          <t>USA</t>
        </is>
      </c>
      <c r="G5634" t="inlineStr">
        <is>
          <t>Vyndaqel</t>
        </is>
      </c>
      <c r="H5634" t="inlineStr">
        <is>
          <t>Retail pharmacy</t>
        </is>
      </c>
      <c r="I5634" t="inlineStr">
        <is>
          <t>Public payer</t>
        </is>
      </c>
      <c r="J5634" t="inlineStr">
        <is>
          <t>Noah Smith</t>
        </is>
      </c>
      <c r="K5634" s="70" t="n">
        <v>577</v>
      </c>
      <c r="L5634" s="71" t="n">
        <v>8608.700000000001</v>
      </c>
      <c r="M5634" s="71" t="n">
        <v>4967219.9</v>
      </c>
      <c r="N5634" s="71" t="n">
        <v>1241804.98</v>
      </c>
      <c r="O5634" s="71" t="n">
        <v>3725414.92</v>
      </c>
      <c r="P5634" s="71" t="n">
        <v>354929.44</v>
      </c>
      <c r="Q5634" s="71" t="n">
        <v>3370485.48</v>
      </c>
      <c r="R5634" t="inlineStr">
        <is>
          <t>Rare disease</t>
        </is>
      </c>
      <c r="S5634" s="70" t="n">
        <v>458</v>
      </c>
      <c r="T5634" s="71" t="n">
        <v>618954.23</v>
      </c>
      <c r="U5634" t="inlineStr">
        <is>
          <t>Medium</t>
        </is>
      </c>
      <c r="V5634">
        <f>IF(AND(OR(Dashboard!$C$6="All",E5634=Dashboard!$C$6),OR(Dashboard!$F$6="All",G5634=Dashboard!$F$6),OR(Dashboard!$I$6="All",H5634=Dashboard!$I$6)),1,0)</f>
        <v/>
      </c>
    </row>
    <row r="5635">
      <c r="A5635" t="inlineStr">
        <is>
          <t>PF105626</t>
        </is>
      </c>
      <c r="B5635" s="68" t="n">
        <v>46340</v>
      </c>
      <c r="C5635" s="69" t="n">
        <v>2026</v>
      </c>
      <c r="D5635" t="inlineStr">
        <is>
          <t>Nov</t>
        </is>
      </c>
      <c r="E5635" t="inlineStr">
        <is>
          <t>United States</t>
        </is>
      </c>
      <c r="F5635" t="inlineStr">
        <is>
          <t>USA</t>
        </is>
      </c>
      <c r="G5635" t="inlineStr">
        <is>
          <t>Comirnaty</t>
        </is>
      </c>
      <c r="H5635" t="inlineStr">
        <is>
          <t>Hospital</t>
        </is>
      </c>
      <c r="I5635" t="inlineStr">
        <is>
          <t>Private insurer</t>
        </is>
      </c>
      <c r="J5635" t="inlineStr">
        <is>
          <t>Ravindra Patil</t>
        </is>
      </c>
      <c r="K5635" s="70" t="n">
        <v>1516</v>
      </c>
      <c r="L5635" s="71" t="n">
        <v>145.79</v>
      </c>
      <c r="M5635" s="71" t="n">
        <v>221017.64</v>
      </c>
      <c r="N5635" s="71" t="n">
        <v>77356.17</v>
      </c>
      <c r="O5635" s="71" t="n">
        <v>143661.47</v>
      </c>
      <c r="P5635" s="71" t="n">
        <v>57646.2</v>
      </c>
      <c r="Q5635" s="71" t="n">
        <v>86015.27</v>
      </c>
      <c r="R5635" t="inlineStr">
        <is>
          <t>Vaccines</t>
        </is>
      </c>
      <c r="S5635" s="70" t="n">
        <v>965</v>
      </c>
      <c r="T5635" s="71" t="n">
        <v>50789.28</v>
      </c>
      <c r="U5635" t="inlineStr">
        <is>
          <t>Low</t>
        </is>
      </c>
      <c r="V5635">
        <f>IF(AND(OR(Dashboard!$C$6="All",E5635=Dashboard!$C$6),OR(Dashboard!$F$6="All",G5635=Dashboard!$F$6),OR(Dashboard!$I$6="All",H5635=Dashboard!$I$6)),1,0)</f>
        <v/>
      </c>
    </row>
    <row r="5636">
      <c r="A5636" t="inlineStr">
        <is>
          <t>PF105627</t>
        </is>
      </c>
      <c r="B5636" s="68" t="n">
        <v>46340</v>
      </c>
      <c r="C5636" s="69" t="n">
        <v>2026</v>
      </c>
      <c r="D5636" t="inlineStr">
        <is>
          <t>Nov</t>
        </is>
      </c>
      <c r="E5636" t="inlineStr">
        <is>
          <t>United States</t>
        </is>
      </c>
      <c r="F5636" t="inlineStr">
        <is>
          <t>USA</t>
        </is>
      </c>
      <c r="G5636" t="inlineStr">
        <is>
          <t>Vyndaqel</t>
        </is>
      </c>
      <c r="H5636" t="inlineStr">
        <is>
          <t>Hospital</t>
        </is>
      </c>
      <c r="I5636" t="inlineStr">
        <is>
          <t>Private insurer</t>
        </is>
      </c>
      <c r="J5636" t="inlineStr">
        <is>
          <t>Shraddha Kulkarni</t>
        </is>
      </c>
      <c r="K5636" s="70" t="n">
        <v>1181</v>
      </c>
      <c r="L5636" s="71" t="n">
        <v>9676.24</v>
      </c>
      <c r="M5636" s="71" t="n">
        <v>11427639.44</v>
      </c>
      <c r="N5636" s="71" t="n">
        <v>1714145.92</v>
      </c>
      <c r="O5636" s="71" t="n">
        <v>9713493.52</v>
      </c>
      <c r="P5636" s="71" t="n">
        <v>763459.38</v>
      </c>
      <c r="Q5636" s="71" t="n">
        <v>8950034.140000001</v>
      </c>
      <c r="R5636" t="inlineStr">
        <is>
          <t>Rare disease</t>
        </is>
      </c>
      <c r="S5636" s="70" t="n">
        <v>785</v>
      </c>
      <c r="T5636" s="71" t="n">
        <v>1464538.95</v>
      </c>
      <c r="U5636" t="inlineStr">
        <is>
          <t>Medium</t>
        </is>
      </c>
      <c r="V5636">
        <f>IF(AND(OR(Dashboard!$C$6="All",E5636=Dashboard!$C$6),OR(Dashboard!$F$6="All",G5636=Dashboard!$F$6),OR(Dashboard!$I$6="All",H5636=Dashboard!$I$6)),1,0)</f>
        <v/>
      </c>
    </row>
    <row r="5637">
      <c r="A5637" t="inlineStr">
        <is>
          <t>PF105628</t>
        </is>
      </c>
      <c r="B5637" s="68" t="n">
        <v>46340</v>
      </c>
      <c r="C5637" s="69" t="n">
        <v>2026</v>
      </c>
      <c r="D5637" t="inlineStr">
        <is>
          <t>Nov</t>
        </is>
      </c>
      <c r="E5637" t="inlineStr">
        <is>
          <t>Europe</t>
        </is>
      </c>
      <c r="F5637" t="inlineStr">
        <is>
          <t>Germany</t>
        </is>
      </c>
      <c r="G5637" t="inlineStr">
        <is>
          <t>Eliquis</t>
        </is>
      </c>
      <c r="H5637" t="inlineStr">
        <is>
          <t>Hospital</t>
        </is>
      </c>
      <c r="I5637" t="inlineStr">
        <is>
          <t>Private insurer</t>
        </is>
      </c>
      <c r="J5637" t="inlineStr">
        <is>
          <t>Lucas Martin</t>
        </is>
      </c>
      <c r="K5637" s="70" t="n">
        <v>439</v>
      </c>
      <c r="L5637" s="71" t="n">
        <v>420.06</v>
      </c>
      <c r="M5637" s="71" t="n">
        <v>184406.34</v>
      </c>
      <c r="N5637" s="71" t="n">
        <v>36881.27</v>
      </c>
      <c r="O5637" s="71" t="n">
        <v>147525.07</v>
      </c>
      <c r="P5637" s="71" t="n">
        <v>32161.96</v>
      </c>
      <c r="Q5637" s="71" t="n">
        <v>115363.11</v>
      </c>
      <c r="R5637" t="inlineStr">
        <is>
          <t>Cardiology</t>
        </is>
      </c>
      <c r="S5637" s="70" t="n">
        <v>406</v>
      </c>
      <c r="T5637" s="71" t="n">
        <v>22949.6</v>
      </c>
      <c r="U5637" t="inlineStr">
        <is>
          <t>High</t>
        </is>
      </c>
      <c r="V5637">
        <f>IF(AND(OR(Dashboard!$C$6="All",E5637=Dashboard!$C$6),OR(Dashboard!$F$6="All",G5637=Dashboard!$F$6),OR(Dashboard!$I$6="All",H5637=Dashboard!$I$6)),1,0)</f>
        <v/>
      </c>
    </row>
    <row r="5638">
      <c r="A5638" t="inlineStr">
        <is>
          <t>PF105629</t>
        </is>
      </c>
      <c r="B5638" s="68" t="n">
        <v>46340</v>
      </c>
      <c r="C5638" s="69" t="n">
        <v>2026</v>
      </c>
      <c r="D5638" t="inlineStr">
        <is>
          <t>Nov</t>
        </is>
      </c>
      <c r="E5638" t="inlineStr">
        <is>
          <t>United States</t>
        </is>
      </c>
      <c r="F5638" t="inlineStr">
        <is>
          <t>USA</t>
        </is>
      </c>
      <c r="G5638" t="inlineStr">
        <is>
          <t>Eliquis</t>
        </is>
      </c>
      <c r="H5638" t="inlineStr">
        <is>
          <t>Retail pharmacy</t>
        </is>
      </c>
      <c r="I5638" t="inlineStr">
        <is>
          <t>Public payer</t>
        </is>
      </c>
      <c r="J5638" t="inlineStr">
        <is>
          <t>Hiroshi Tanaka</t>
        </is>
      </c>
      <c r="K5638" s="70" t="n">
        <v>3170</v>
      </c>
      <c r="L5638" s="71" t="n">
        <v>677.9</v>
      </c>
      <c r="M5638" s="71" t="n">
        <v>2148943</v>
      </c>
      <c r="N5638" s="71" t="n">
        <v>752130.05</v>
      </c>
      <c r="O5638" s="71" t="n">
        <v>1396812.95</v>
      </c>
      <c r="P5638" s="71" t="n">
        <v>237244.43</v>
      </c>
      <c r="Q5638" s="71" t="n">
        <v>1159568.52</v>
      </c>
      <c r="R5638" t="inlineStr">
        <is>
          <t>Cardiology</t>
        </is>
      </c>
      <c r="S5638" s="70" t="n">
        <v>2329</v>
      </c>
      <c r="T5638" s="71" t="n">
        <v>388074.33</v>
      </c>
      <c r="U5638" t="inlineStr">
        <is>
          <t>High</t>
        </is>
      </c>
      <c r="V5638">
        <f>IF(AND(OR(Dashboard!$C$6="All",E5638=Dashboard!$C$6),OR(Dashboard!$F$6="All",G5638=Dashboard!$F$6),OR(Dashboard!$I$6="All",H5638=Dashboard!$I$6)),1,0)</f>
        <v/>
      </c>
    </row>
    <row r="5639">
      <c r="A5639" t="inlineStr">
        <is>
          <t>PF105630</t>
        </is>
      </c>
      <c r="B5639" s="68" t="n">
        <v>46340</v>
      </c>
      <c r="C5639" s="69" t="n">
        <v>2026</v>
      </c>
      <c r="D5639" t="inlineStr">
        <is>
          <t>Nov</t>
        </is>
      </c>
      <c r="E5639" t="inlineStr">
        <is>
          <t>United States</t>
        </is>
      </c>
      <c r="F5639" t="inlineStr">
        <is>
          <t>USA</t>
        </is>
      </c>
      <c r="G5639" t="inlineStr">
        <is>
          <t>Xeljanz</t>
        </is>
      </c>
      <c r="H5639" t="inlineStr">
        <is>
          <t>Hospital</t>
        </is>
      </c>
      <c r="I5639" t="inlineStr">
        <is>
          <t>Public payer</t>
        </is>
      </c>
      <c r="J5639" t="inlineStr">
        <is>
          <t>Yuki Sato</t>
        </is>
      </c>
      <c r="K5639" s="70" t="n">
        <v>2779</v>
      </c>
      <c r="L5639" s="71" t="n">
        <v>2208.41</v>
      </c>
      <c r="M5639" s="71" t="n">
        <v>6137171.39</v>
      </c>
      <c r="N5639" s="71" t="n">
        <v>920575.71</v>
      </c>
      <c r="O5639" s="71" t="n">
        <v>5216595.68</v>
      </c>
      <c r="P5639" s="71" t="n">
        <v>728274.4</v>
      </c>
      <c r="Q5639" s="71" t="n">
        <v>4488321.28</v>
      </c>
      <c r="R5639" t="inlineStr">
        <is>
          <t>Inflammation</t>
        </is>
      </c>
      <c r="S5639" s="70" t="n">
        <v>1901</v>
      </c>
      <c r="T5639" s="71" t="n">
        <v>820435.9300000001</v>
      </c>
      <c r="U5639" t="inlineStr">
        <is>
          <t>High</t>
        </is>
      </c>
      <c r="V5639">
        <f>IF(AND(OR(Dashboard!$C$6="All",E5639=Dashboard!$C$6),OR(Dashboard!$F$6="All",G5639=Dashboard!$F$6),OR(Dashboard!$I$6="All",H5639=Dashboard!$I$6)),1,0)</f>
        <v/>
      </c>
    </row>
    <row r="5640">
      <c r="A5640" t="inlineStr">
        <is>
          <t>PF105631</t>
        </is>
      </c>
      <c r="B5640" s="68" t="n">
        <v>46340</v>
      </c>
      <c r="C5640" s="69" t="n">
        <v>2026</v>
      </c>
      <c r="D5640" t="inlineStr">
        <is>
          <t>Nov</t>
        </is>
      </c>
      <c r="E5640" t="inlineStr">
        <is>
          <t>Europe</t>
        </is>
      </c>
      <c r="F5640" t="inlineStr">
        <is>
          <t>France</t>
        </is>
      </c>
      <c r="G5640" t="inlineStr">
        <is>
          <t>Prevnar 20</t>
        </is>
      </c>
      <c r="H5640" t="inlineStr">
        <is>
          <t>Hospital</t>
        </is>
      </c>
      <c r="I5640" t="inlineStr">
        <is>
          <t>Private insurer</t>
        </is>
      </c>
      <c r="J5640" t="inlineStr">
        <is>
          <t>Lucas Martin</t>
        </is>
      </c>
      <c r="K5640" s="70" t="n">
        <v>1641</v>
      </c>
      <c r="L5640" s="71" t="n">
        <v>220.53</v>
      </c>
      <c r="M5640" s="71" t="n">
        <v>361889.73</v>
      </c>
      <c r="N5640" s="71" t="n">
        <v>54283.46</v>
      </c>
      <c r="O5640" s="71" t="n">
        <v>307606.27</v>
      </c>
      <c r="P5640" s="71" t="n">
        <v>112414.88</v>
      </c>
      <c r="Q5640" s="71" t="n">
        <v>195191.39</v>
      </c>
      <c r="R5640" t="inlineStr">
        <is>
          <t>Vaccines</t>
        </is>
      </c>
      <c r="S5640" s="70" t="n">
        <v>1130</v>
      </c>
      <c r="T5640" s="71" t="n">
        <v>45366.09</v>
      </c>
      <c r="U5640" t="inlineStr">
        <is>
          <t>Low</t>
        </is>
      </c>
      <c r="V5640">
        <f>IF(AND(OR(Dashboard!$C$6="All",E5640=Dashboard!$C$6),OR(Dashboard!$F$6="All",G5640=Dashboard!$F$6),OR(Dashboard!$I$6="All",H5640=Dashboard!$I$6)),1,0)</f>
        <v/>
      </c>
    </row>
    <row r="5641">
      <c r="A5641" t="inlineStr">
        <is>
          <t>PF105632</t>
        </is>
      </c>
      <c r="B5641" s="68" t="n">
        <v>46340</v>
      </c>
      <c r="C5641" s="69" t="n">
        <v>2026</v>
      </c>
      <c r="D5641" t="inlineStr">
        <is>
          <t>Nov</t>
        </is>
      </c>
      <c r="E5641" t="inlineStr">
        <is>
          <t>United States</t>
        </is>
      </c>
      <c r="F5641" t="inlineStr">
        <is>
          <t>USA</t>
        </is>
      </c>
      <c r="G5641" t="inlineStr">
        <is>
          <t>Abrysvo</t>
        </is>
      </c>
      <c r="H5641" t="inlineStr">
        <is>
          <t>Hospital</t>
        </is>
      </c>
      <c r="I5641" t="inlineStr">
        <is>
          <t>Private insurer</t>
        </is>
      </c>
      <c r="J5641" t="inlineStr">
        <is>
          <t>Zoya Ahmed</t>
        </is>
      </c>
      <c r="K5641" s="70" t="n">
        <v>2132</v>
      </c>
      <c r="L5641" s="71" t="n">
        <v>515.58</v>
      </c>
      <c r="M5641" s="71" t="n">
        <v>1099216.56</v>
      </c>
      <c r="N5641" s="71" t="n">
        <v>329764.97</v>
      </c>
      <c r="O5641" s="71" t="n">
        <v>769451.59</v>
      </c>
      <c r="P5641" s="71" t="n">
        <v>180272.12</v>
      </c>
      <c r="Q5641" s="71" t="n">
        <v>589179.47</v>
      </c>
      <c r="R5641" t="inlineStr">
        <is>
          <t>Vaccines</t>
        </is>
      </c>
      <c r="S5641" s="70" t="n">
        <v>1795</v>
      </c>
      <c r="T5641" s="71" t="n">
        <v>136900.32</v>
      </c>
      <c r="U5641" t="inlineStr">
        <is>
          <t>Low</t>
        </is>
      </c>
      <c r="V5641">
        <f>IF(AND(OR(Dashboard!$C$6="All",E5641=Dashboard!$C$6),OR(Dashboard!$F$6="All",G5641=Dashboard!$F$6),OR(Dashboard!$I$6="All",H5641=Dashboard!$I$6)),1,0)</f>
        <v/>
      </c>
    </row>
    <row r="5642">
      <c r="A5642" t="inlineStr">
        <is>
          <t>PF105633</t>
        </is>
      </c>
      <c r="B5642" s="68" t="n">
        <v>46341</v>
      </c>
      <c r="C5642" s="69" t="n">
        <v>2026</v>
      </c>
      <c r="D5642" t="inlineStr">
        <is>
          <t>Nov</t>
        </is>
      </c>
      <c r="E5642" t="inlineStr">
        <is>
          <t>United States</t>
        </is>
      </c>
      <c r="F5642" t="inlineStr">
        <is>
          <t>USA</t>
        </is>
      </c>
      <c r="G5642" t="inlineStr">
        <is>
          <t>Comirnaty</t>
        </is>
      </c>
      <c r="H5642" t="inlineStr">
        <is>
          <t>Retail pharmacy</t>
        </is>
      </c>
      <c r="I5642" t="inlineStr">
        <is>
          <t>Public payer</t>
        </is>
      </c>
      <c r="J5642" t="inlineStr">
        <is>
          <t>Noah Smith</t>
        </is>
      </c>
      <c r="K5642" s="70" t="n">
        <v>2538</v>
      </c>
      <c r="L5642" s="71" t="n">
        <v>131.12</v>
      </c>
      <c r="M5642" s="71" t="n">
        <v>332782.56</v>
      </c>
      <c r="N5642" s="71" t="n">
        <v>99834.77</v>
      </c>
      <c r="O5642" s="71" t="n">
        <v>232947.79</v>
      </c>
      <c r="P5642" s="71" t="n">
        <v>100508.21</v>
      </c>
      <c r="Q5642" s="71" t="n">
        <v>132439.58</v>
      </c>
      <c r="R5642" t="inlineStr">
        <is>
          <t>Vaccines</t>
        </is>
      </c>
      <c r="S5642" s="70" t="n">
        <v>1854</v>
      </c>
      <c r="T5642" s="71" t="n">
        <v>70239.88</v>
      </c>
      <c r="U5642" t="inlineStr">
        <is>
          <t>Low</t>
        </is>
      </c>
      <c r="V5642">
        <f>IF(AND(OR(Dashboard!$C$6="All",E5642=Dashboard!$C$6),OR(Dashboard!$F$6="All",G5642=Dashboard!$F$6),OR(Dashboard!$I$6="All",H5642=Dashboard!$I$6)),1,0)</f>
        <v/>
      </c>
    </row>
    <row r="5643">
      <c r="A5643" t="inlineStr">
        <is>
          <t>PF105634</t>
        </is>
      </c>
      <c r="B5643" s="68" t="n">
        <v>46341</v>
      </c>
      <c r="C5643" s="69" t="n">
        <v>2026</v>
      </c>
      <c r="D5643" t="inlineStr">
        <is>
          <t>Nov</t>
        </is>
      </c>
      <c r="E5643" t="inlineStr">
        <is>
          <t>United States</t>
        </is>
      </c>
      <c r="F5643" t="inlineStr">
        <is>
          <t>USA</t>
        </is>
      </c>
      <c r="G5643" t="inlineStr">
        <is>
          <t>Vyndaqel</t>
        </is>
      </c>
      <c r="H5643" t="inlineStr">
        <is>
          <t>Hospital</t>
        </is>
      </c>
      <c r="I5643" t="inlineStr">
        <is>
          <t>Self-pay</t>
        </is>
      </c>
      <c r="J5643" t="inlineStr">
        <is>
          <t>Aisha Bello</t>
        </is>
      </c>
      <c r="K5643" s="70" t="n">
        <v>2138</v>
      </c>
      <c r="L5643" s="71" t="n">
        <v>9830.58</v>
      </c>
      <c r="M5643" s="71" t="n">
        <v>21017780.04</v>
      </c>
      <c r="N5643" s="71" t="n">
        <v>3152667.01</v>
      </c>
      <c r="O5643" s="71" t="n">
        <v>17865113.03</v>
      </c>
      <c r="P5643" s="71" t="n">
        <v>1360334.84</v>
      </c>
      <c r="Q5643" s="71" t="n">
        <v>16504778.19</v>
      </c>
      <c r="R5643" t="inlineStr">
        <is>
          <t>Rare disease</t>
        </is>
      </c>
      <c r="S5643" s="70" t="n">
        <v>1347</v>
      </c>
      <c r="T5643" s="71" t="n">
        <v>3545942.76</v>
      </c>
      <c r="U5643" t="inlineStr">
        <is>
          <t>Medium</t>
        </is>
      </c>
      <c r="V5643">
        <f>IF(AND(OR(Dashboard!$C$6="All",E5643=Dashboard!$C$6),OR(Dashboard!$F$6="All",G5643=Dashboard!$F$6),OR(Dashboard!$I$6="All",H5643=Dashboard!$I$6)),1,0)</f>
        <v/>
      </c>
    </row>
    <row r="5644">
      <c r="A5644" t="inlineStr">
        <is>
          <t>PF105635</t>
        </is>
      </c>
      <c r="B5644" s="68" t="n">
        <v>46341</v>
      </c>
      <c r="C5644" s="69" t="n">
        <v>2026</v>
      </c>
      <c r="D5644" t="inlineStr">
        <is>
          <t>Nov</t>
        </is>
      </c>
      <c r="E5644" t="inlineStr">
        <is>
          <t>United States</t>
        </is>
      </c>
      <c r="F5644" t="inlineStr">
        <is>
          <t>USA</t>
        </is>
      </c>
      <c r="G5644" t="inlineStr">
        <is>
          <t>Abrysvo</t>
        </is>
      </c>
      <c r="H5644" t="inlineStr">
        <is>
          <t>Retail pharmacy</t>
        </is>
      </c>
      <c r="I5644" t="inlineStr">
        <is>
          <t>Private insurer</t>
        </is>
      </c>
      <c r="J5644" t="inlineStr">
        <is>
          <t>Sara Rossi</t>
        </is>
      </c>
      <c r="K5644" s="70" t="n">
        <v>1990</v>
      </c>
      <c r="L5644" s="71" t="n">
        <v>542.4299999999999</v>
      </c>
      <c r="M5644" s="71" t="n">
        <v>1079435.7</v>
      </c>
      <c r="N5644" s="71" t="n">
        <v>215887.14</v>
      </c>
      <c r="O5644" s="71" t="n">
        <v>863548.5600000001</v>
      </c>
      <c r="P5644" s="71" t="n">
        <v>168725.49</v>
      </c>
      <c r="Q5644" s="71" t="n">
        <v>694823.0699999999</v>
      </c>
      <c r="R5644" t="inlineStr">
        <is>
          <t>Vaccines</t>
        </is>
      </c>
      <c r="S5644" s="70" t="n">
        <v>1263</v>
      </c>
      <c r="T5644" s="71" t="n">
        <v>182773.09</v>
      </c>
      <c r="U5644" t="inlineStr">
        <is>
          <t>Low</t>
        </is>
      </c>
      <c r="V5644">
        <f>IF(AND(OR(Dashboard!$C$6="All",E5644=Dashboard!$C$6),OR(Dashboard!$F$6="All",G5644=Dashboard!$F$6),OR(Dashboard!$I$6="All",H5644=Dashboard!$I$6)),1,0)</f>
        <v/>
      </c>
    </row>
    <row r="5645">
      <c r="A5645" t="inlineStr">
        <is>
          <t>PF105636</t>
        </is>
      </c>
      <c r="B5645" s="68" t="n">
        <v>46341</v>
      </c>
      <c r="C5645" s="69" t="n">
        <v>2026</v>
      </c>
      <c r="D5645" t="inlineStr">
        <is>
          <t>Nov</t>
        </is>
      </c>
      <c r="E5645" t="inlineStr">
        <is>
          <t>United States</t>
        </is>
      </c>
      <c r="F5645" t="inlineStr">
        <is>
          <t>USA</t>
        </is>
      </c>
      <c r="G5645" t="inlineStr">
        <is>
          <t>Eliquis</t>
        </is>
      </c>
      <c r="H5645" t="inlineStr">
        <is>
          <t>Hospital</t>
        </is>
      </c>
      <c r="I5645" t="inlineStr">
        <is>
          <t>Private insurer</t>
        </is>
      </c>
      <c r="J5645" t="inlineStr">
        <is>
          <t>Sophie Müller</t>
        </is>
      </c>
      <c r="K5645" s="70" t="n">
        <v>454</v>
      </c>
      <c r="L5645" s="71" t="n">
        <v>672.8099999999999</v>
      </c>
      <c r="M5645" s="71" t="n">
        <v>305455.74</v>
      </c>
      <c r="N5645" s="71" t="n">
        <v>76363.92999999999</v>
      </c>
      <c r="O5645" s="71" t="n">
        <v>229091.81</v>
      </c>
      <c r="P5645" s="71" t="n">
        <v>35669.31</v>
      </c>
      <c r="Q5645" s="71" t="n">
        <v>193422.5</v>
      </c>
      <c r="R5645" t="inlineStr">
        <is>
          <t>Cardiology</t>
        </is>
      </c>
      <c r="S5645" s="70" t="n">
        <v>360</v>
      </c>
      <c r="T5645" s="71" t="n">
        <v>37941.31</v>
      </c>
      <c r="U5645" t="inlineStr">
        <is>
          <t>High</t>
        </is>
      </c>
      <c r="V5645">
        <f>IF(AND(OR(Dashboard!$C$6="All",E5645=Dashboard!$C$6),OR(Dashboard!$F$6="All",G5645=Dashboard!$F$6),OR(Dashboard!$I$6="All",H5645=Dashboard!$I$6)),1,0)</f>
        <v/>
      </c>
    </row>
    <row r="5646">
      <c r="A5646" t="inlineStr">
        <is>
          <t>PF105637</t>
        </is>
      </c>
      <c r="B5646" s="68" t="n">
        <v>46341</v>
      </c>
      <c r="C5646" s="69" t="n">
        <v>2026</v>
      </c>
      <c r="D5646" t="inlineStr">
        <is>
          <t>Nov</t>
        </is>
      </c>
      <c r="E5646" t="inlineStr">
        <is>
          <t>Europe</t>
        </is>
      </c>
      <c r="F5646" t="inlineStr">
        <is>
          <t>Spain</t>
        </is>
      </c>
      <c r="G5646" t="inlineStr">
        <is>
          <t>Xeljanz</t>
        </is>
      </c>
      <c r="H5646" t="inlineStr">
        <is>
          <t>Government / tender</t>
        </is>
      </c>
      <c r="I5646" t="inlineStr">
        <is>
          <t>Public payer</t>
        </is>
      </c>
      <c r="J5646" t="inlineStr">
        <is>
          <t>Aisha Bello</t>
        </is>
      </c>
      <c r="K5646" s="70" t="n">
        <v>1097</v>
      </c>
      <c r="L5646" s="71" t="n">
        <v>1384.92</v>
      </c>
      <c r="M5646" s="71" t="n">
        <v>1519257.24</v>
      </c>
      <c r="N5646" s="71" t="n">
        <v>303851.45</v>
      </c>
      <c r="O5646" s="71" t="n">
        <v>1215405.79</v>
      </c>
      <c r="P5646" s="71" t="n">
        <v>267111.26</v>
      </c>
      <c r="Q5646" s="71" t="n">
        <v>948294.53</v>
      </c>
      <c r="R5646" t="inlineStr">
        <is>
          <t>Inflammation</t>
        </is>
      </c>
      <c r="S5646" s="70" t="n">
        <v>839</v>
      </c>
      <c r="T5646" s="71" t="n">
        <v>334175.29</v>
      </c>
      <c r="U5646" t="inlineStr">
        <is>
          <t>High</t>
        </is>
      </c>
      <c r="V5646">
        <f>IF(AND(OR(Dashboard!$C$6="All",E5646=Dashboard!$C$6),OR(Dashboard!$F$6="All",G5646=Dashboard!$F$6),OR(Dashboard!$I$6="All",H5646=Dashboard!$I$6)),1,0)</f>
        <v/>
      </c>
    </row>
    <row r="5647">
      <c r="A5647" t="inlineStr">
        <is>
          <t>PF105638</t>
        </is>
      </c>
      <c r="B5647" s="68" t="n">
        <v>46341</v>
      </c>
      <c r="C5647" s="69" t="n">
        <v>2026</v>
      </c>
      <c r="D5647" t="inlineStr">
        <is>
          <t>Nov</t>
        </is>
      </c>
      <c r="E5647" t="inlineStr">
        <is>
          <t>United States</t>
        </is>
      </c>
      <c r="F5647" t="inlineStr">
        <is>
          <t>USA</t>
        </is>
      </c>
      <c r="G5647" t="inlineStr">
        <is>
          <t>Eliquis</t>
        </is>
      </c>
      <c r="H5647" t="inlineStr">
        <is>
          <t>Retail pharmacy</t>
        </is>
      </c>
      <c r="I5647" t="inlineStr">
        <is>
          <t>Private insurer</t>
        </is>
      </c>
      <c r="J5647" t="inlineStr">
        <is>
          <t>Arjun Mehta</t>
        </is>
      </c>
      <c r="K5647" s="70" t="n">
        <v>1125</v>
      </c>
      <c r="L5647" s="71" t="n">
        <v>632.54</v>
      </c>
      <c r="M5647" s="71" t="n">
        <v>711607.5</v>
      </c>
      <c r="N5647" s="71" t="n">
        <v>249062.62</v>
      </c>
      <c r="O5647" s="71" t="n">
        <v>462544.88</v>
      </c>
      <c r="P5647" s="71" t="n">
        <v>84437.44</v>
      </c>
      <c r="Q5647" s="71" t="n">
        <v>378107.44</v>
      </c>
      <c r="R5647" t="inlineStr">
        <is>
          <t>Cardiology</t>
        </is>
      </c>
      <c r="S5647" s="70" t="n">
        <v>1092</v>
      </c>
      <c r="T5647" s="71" t="n">
        <v>146520.41</v>
      </c>
      <c r="U5647" t="inlineStr">
        <is>
          <t>High</t>
        </is>
      </c>
      <c r="V5647">
        <f>IF(AND(OR(Dashboard!$C$6="All",E5647=Dashboard!$C$6),OR(Dashboard!$F$6="All",G5647=Dashboard!$F$6),OR(Dashboard!$I$6="All",H5647=Dashboard!$I$6)),1,0)</f>
        <v/>
      </c>
    </row>
    <row r="5648">
      <c r="A5648" t="inlineStr">
        <is>
          <t>PF105639</t>
        </is>
      </c>
      <c r="B5648" s="68" t="n">
        <v>46341</v>
      </c>
      <c r="C5648" s="69" t="n">
        <v>2026</v>
      </c>
      <c r="D5648" t="inlineStr">
        <is>
          <t>Nov</t>
        </is>
      </c>
      <c r="E5648" t="inlineStr">
        <is>
          <t>United States</t>
        </is>
      </c>
      <c r="F5648" t="inlineStr">
        <is>
          <t>USA</t>
        </is>
      </c>
      <c r="G5648" t="inlineStr">
        <is>
          <t>Abrysvo</t>
        </is>
      </c>
      <c r="H5648" t="inlineStr">
        <is>
          <t>Hospital</t>
        </is>
      </c>
      <c r="I5648" t="inlineStr">
        <is>
          <t>Public payer</t>
        </is>
      </c>
      <c r="J5648" t="inlineStr">
        <is>
          <t>Lucas Martin</t>
        </is>
      </c>
      <c r="K5648" s="70" t="n">
        <v>2429</v>
      </c>
      <c r="L5648" s="71" t="n">
        <v>550.3200000000001</v>
      </c>
      <c r="M5648" s="71" t="n">
        <v>1336727.28</v>
      </c>
      <c r="N5648" s="71" t="n">
        <v>467854.55</v>
      </c>
      <c r="O5648" s="71" t="n">
        <v>868872.73</v>
      </c>
      <c r="P5648" s="71" t="n">
        <v>206908.54</v>
      </c>
      <c r="Q5648" s="71" t="n">
        <v>661964.1899999999</v>
      </c>
      <c r="R5648" t="inlineStr">
        <is>
          <t>Vaccines</t>
        </is>
      </c>
      <c r="S5648" s="70" t="n">
        <v>2158</v>
      </c>
      <c r="T5648" s="71" t="n">
        <v>164398.08</v>
      </c>
      <c r="U5648" t="inlineStr">
        <is>
          <t>Low</t>
        </is>
      </c>
      <c r="V5648">
        <f>IF(AND(OR(Dashboard!$C$6="All",E5648=Dashboard!$C$6),OR(Dashboard!$F$6="All",G5648=Dashboard!$F$6),OR(Dashboard!$I$6="All",H5648=Dashboard!$I$6)),1,0)</f>
        <v/>
      </c>
    </row>
    <row r="5649">
      <c r="A5649" t="inlineStr">
        <is>
          <t>PF105640</t>
        </is>
      </c>
      <c r="B5649" s="68" t="n">
        <v>46341</v>
      </c>
      <c r="C5649" s="69" t="n">
        <v>2026</v>
      </c>
      <c r="D5649" t="inlineStr">
        <is>
          <t>Nov</t>
        </is>
      </c>
      <c r="E5649" t="inlineStr">
        <is>
          <t>Europe</t>
        </is>
      </c>
      <c r="F5649" t="inlineStr">
        <is>
          <t>Germany</t>
        </is>
      </c>
      <c r="G5649" t="inlineStr">
        <is>
          <t>Vyndaqel</t>
        </is>
      </c>
      <c r="H5649" t="inlineStr">
        <is>
          <t>Government / tender</t>
        </is>
      </c>
      <c r="I5649" t="inlineStr">
        <is>
          <t>Public payer</t>
        </is>
      </c>
      <c r="J5649" t="inlineStr">
        <is>
          <t>Ruhi Shaikh</t>
        </is>
      </c>
      <c r="K5649" s="70" t="n">
        <v>2917</v>
      </c>
      <c r="L5649" s="71" t="n">
        <v>5788.52</v>
      </c>
      <c r="M5649" s="71" t="n">
        <v>16885112.84</v>
      </c>
      <c r="N5649" s="71" t="n">
        <v>4221278.21</v>
      </c>
      <c r="O5649" s="71" t="n">
        <v>12663834.63</v>
      </c>
      <c r="P5649" s="71" t="n">
        <v>1770211.89</v>
      </c>
      <c r="Q5649" s="71" t="n">
        <v>10893622.74</v>
      </c>
      <c r="R5649" t="inlineStr">
        <is>
          <t>Rare disease</t>
        </is>
      </c>
      <c r="S5649" s="70" t="n">
        <v>1946</v>
      </c>
      <c r="T5649" s="71" t="n">
        <v>2140915.7</v>
      </c>
      <c r="U5649" t="inlineStr">
        <is>
          <t>Medium</t>
        </is>
      </c>
      <c r="V5649">
        <f>IF(AND(OR(Dashboard!$C$6="All",E5649=Dashboard!$C$6),OR(Dashboard!$F$6="All",G5649=Dashboard!$F$6),OR(Dashboard!$I$6="All",H5649=Dashboard!$I$6)),1,0)</f>
        <v/>
      </c>
    </row>
    <row r="5650">
      <c r="A5650" t="inlineStr">
        <is>
          <t>PF105641</t>
        </is>
      </c>
      <c r="B5650" s="68" t="n">
        <v>46341</v>
      </c>
      <c r="C5650" s="69" t="n">
        <v>2026</v>
      </c>
      <c r="D5650" t="inlineStr">
        <is>
          <t>Nov</t>
        </is>
      </c>
      <c r="E5650" t="inlineStr">
        <is>
          <t>International developed</t>
        </is>
      </c>
      <c r="F5650" t="inlineStr">
        <is>
          <t>Japan</t>
        </is>
      </c>
      <c r="G5650" t="inlineStr">
        <is>
          <t>Paxlovid</t>
        </is>
      </c>
      <c r="H5650" t="inlineStr">
        <is>
          <t>Hospital</t>
        </is>
      </c>
      <c r="I5650" t="inlineStr">
        <is>
          <t>Public payer</t>
        </is>
      </c>
      <c r="J5650" t="inlineStr">
        <is>
          <t>Mei Lin</t>
        </is>
      </c>
      <c r="K5650" s="70" t="n">
        <v>424</v>
      </c>
      <c r="L5650" s="71" t="n">
        <v>902.27</v>
      </c>
      <c r="M5650" s="71" t="n">
        <v>382562.48</v>
      </c>
      <c r="N5650" s="71" t="n">
        <v>38256.25</v>
      </c>
      <c r="O5650" s="71" t="n">
        <v>344306.23</v>
      </c>
      <c r="P5650" s="71" t="n">
        <v>115870.86</v>
      </c>
      <c r="Q5650" s="71" t="n">
        <v>228435.37</v>
      </c>
      <c r="R5650" t="inlineStr">
        <is>
          <t>Antiviral</t>
        </is>
      </c>
      <c r="S5650" s="70" t="n">
        <v>394</v>
      </c>
      <c r="T5650" s="71" t="n">
        <v>70961.57000000001</v>
      </c>
      <c r="U5650" t="inlineStr">
        <is>
          <t>Low</t>
        </is>
      </c>
      <c r="V5650">
        <f>IF(AND(OR(Dashboard!$C$6="All",E5650=Dashboard!$C$6),OR(Dashboard!$F$6="All",G5650=Dashboard!$F$6),OR(Dashboard!$I$6="All",H5650=Dashboard!$I$6)),1,0)</f>
        <v/>
      </c>
    </row>
    <row r="5651">
      <c r="A5651" t="inlineStr">
        <is>
          <t>PF105642</t>
        </is>
      </c>
      <c r="B5651" s="68" t="n">
        <v>46341</v>
      </c>
      <c r="C5651" s="69" t="n">
        <v>2026</v>
      </c>
      <c r="D5651" t="inlineStr">
        <is>
          <t>Nov</t>
        </is>
      </c>
      <c r="E5651" t="inlineStr">
        <is>
          <t>United States</t>
        </is>
      </c>
      <c r="F5651" t="inlineStr">
        <is>
          <t>USA</t>
        </is>
      </c>
      <c r="G5651" t="inlineStr">
        <is>
          <t>Paxlovid</t>
        </is>
      </c>
      <c r="H5651" t="inlineStr">
        <is>
          <t>Hospital</t>
        </is>
      </c>
      <c r="I5651" t="inlineStr">
        <is>
          <t>Public payer</t>
        </is>
      </c>
      <c r="J5651" t="inlineStr">
        <is>
          <t>Olivia Brown</t>
        </is>
      </c>
      <c r="K5651" s="70" t="n">
        <v>528</v>
      </c>
      <c r="L5651" s="71" t="n">
        <v>1529.03</v>
      </c>
      <c r="M5651" s="71" t="n">
        <v>807327.84</v>
      </c>
      <c r="N5651" s="71" t="n">
        <v>282564.74</v>
      </c>
      <c r="O5651" s="71" t="n">
        <v>524763.1</v>
      </c>
      <c r="P5651" s="71" t="n">
        <v>142493.35</v>
      </c>
      <c r="Q5651" s="71" t="n">
        <v>382269.75</v>
      </c>
      <c r="R5651" t="inlineStr">
        <is>
          <t>Antiviral</t>
        </is>
      </c>
      <c r="S5651" s="70" t="n">
        <v>332</v>
      </c>
      <c r="T5651" s="71" t="n">
        <v>168638.65</v>
      </c>
      <c r="U5651" t="inlineStr">
        <is>
          <t>Low</t>
        </is>
      </c>
      <c r="V5651">
        <f>IF(AND(OR(Dashboard!$C$6="All",E5651=Dashboard!$C$6),OR(Dashboard!$F$6="All",G5651=Dashboard!$F$6),OR(Dashboard!$I$6="All",H5651=Dashboard!$I$6)),1,0)</f>
        <v/>
      </c>
    </row>
    <row r="5652">
      <c r="A5652" t="inlineStr">
        <is>
          <t>PF105643</t>
        </is>
      </c>
      <c r="B5652" s="68" t="n">
        <v>46341</v>
      </c>
      <c r="C5652" s="69" t="n">
        <v>2026</v>
      </c>
      <c r="D5652" t="inlineStr">
        <is>
          <t>Nov</t>
        </is>
      </c>
      <c r="E5652" t="inlineStr">
        <is>
          <t>Europe</t>
        </is>
      </c>
      <c r="F5652" t="inlineStr">
        <is>
          <t>UK</t>
        </is>
      </c>
      <c r="G5652" t="inlineStr">
        <is>
          <t>Abrysvo</t>
        </is>
      </c>
      <c r="H5652" t="inlineStr">
        <is>
          <t>Retail pharmacy</t>
        </is>
      </c>
      <c r="I5652" t="inlineStr">
        <is>
          <t>Public payer</t>
        </is>
      </c>
      <c r="J5652" t="inlineStr">
        <is>
          <t>Carlos Silva</t>
        </is>
      </c>
      <c r="K5652" s="70" t="n">
        <v>3133</v>
      </c>
      <c r="L5652" s="71" t="n">
        <v>298.97</v>
      </c>
      <c r="M5652" s="71" t="n">
        <v>936673.01</v>
      </c>
      <c r="N5652" s="71" t="n">
        <v>140500.95</v>
      </c>
      <c r="O5652" s="71" t="n">
        <v>796172.0600000001</v>
      </c>
      <c r="P5652" s="71" t="n">
        <v>266487.91</v>
      </c>
      <c r="Q5652" s="71" t="n">
        <v>529684.15</v>
      </c>
      <c r="R5652" t="inlineStr">
        <is>
          <t>Vaccines</t>
        </is>
      </c>
      <c r="S5652" s="70" t="n">
        <v>2988</v>
      </c>
      <c r="T5652" s="71" t="n">
        <v>155748.03</v>
      </c>
      <c r="U5652" t="inlineStr">
        <is>
          <t>Low</t>
        </is>
      </c>
      <c r="V5652">
        <f>IF(AND(OR(Dashboard!$C$6="All",E5652=Dashboard!$C$6),OR(Dashboard!$F$6="All",G5652=Dashboard!$F$6),OR(Dashboard!$I$6="All",H5652=Dashboard!$I$6)),1,0)</f>
        <v/>
      </c>
    </row>
    <row r="5653">
      <c r="A5653" t="inlineStr">
        <is>
          <t>PF105644</t>
        </is>
      </c>
      <c r="B5653" s="68" t="n">
        <v>46341</v>
      </c>
      <c r="C5653" s="69" t="n">
        <v>2026</v>
      </c>
      <c r="D5653" t="inlineStr">
        <is>
          <t>Nov</t>
        </is>
      </c>
      <c r="E5653" t="inlineStr">
        <is>
          <t>Emerging markets</t>
        </is>
      </c>
      <c r="F5653" t="inlineStr">
        <is>
          <t>Mexico</t>
        </is>
      </c>
      <c r="G5653" t="inlineStr">
        <is>
          <t>Prevnar 20</t>
        </is>
      </c>
      <c r="H5653" t="inlineStr">
        <is>
          <t>Government / tender</t>
        </is>
      </c>
      <c r="I5653" t="inlineStr">
        <is>
          <t>Private insurer</t>
        </is>
      </c>
      <c r="J5653" t="inlineStr">
        <is>
          <t>Wei Chen</t>
        </is>
      </c>
      <c r="K5653" s="70" t="n">
        <v>1189</v>
      </c>
      <c r="L5653" s="71" t="n">
        <v>251.66</v>
      </c>
      <c r="M5653" s="71" t="n">
        <v>299223.74</v>
      </c>
      <c r="N5653" s="71" t="n">
        <v>44883.56</v>
      </c>
      <c r="O5653" s="71" t="n">
        <v>254340.18</v>
      </c>
      <c r="P5653" s="71" t="n">
        <v>84923.27</v>
      </c>
      <c r="Q5653" s="71" t="n">
        <v>169416.91</v>
      </c>
      <c r="R5653" t="inlineStr">
        <is>
          <t>Vaccines</t>
        </is>
      </c>
      <c r="S5653" s="70" t="n">
        <v>1172</v>
      </c>
      <c r="T5653" s="71" t="n">
        <v>50740.66</v>
      </c>
      <c r="U5653" t="inlineStr">
        <is>
          <t>Low</t>
        </is>
      </c>
      <c r="V5653">
        <f>IF(AND(OR(Dashboard!$C$6="All",E5653=Dashboard!$C$6),OR(Dashboard!$F$6="All",G5653=Dashboard!$F$6),OR(Dashboard!$I$6="All",H5653=Dashboard!$I$6)),1,0)</f>
        <v/>
      </c>
    </row>
    <row r="5654">
      <c r="A5654" t="inlineStr">
        <is>
          <t>PF105645</t>
        </is>
      </c>
      <c r="B5654" s="68" t="n">
        <v>46341</v>
      </c>
      <c r="C5654" s="69" t="n">
        <v>2026</v>
      </c>
      <c r="D5654" t="inlineStr">
        <is>
          <t>Nov</t>
        </is>
      </c>
      <c r="E5654" t="inlineStr">
        <is>
          <t>United States</t>
        </is>
      </c>
      <c r="F5654" t="inlineStr">
        <is>
          <t>USA</t>
        </is>
      </c>
      <c r="G5654" t="inlineStr">
        <is>
          <t>Comirnaty</t>
        </is>
      </c>
      <c r="H5654" t="inlineStr">
        <is>
          <t>Hospital</t>
        </is>
      </c>
      <c r="I5654" t="inlineStr">
        <is>
          <t>Public payer</t>
        </is>
      </c>
      <c r="J5654" t="inlineStr">
        <is>
          <t>Noah Smith</t>
        </is>
      </c>
      <c r="K5654" s="70" t="n">
        <v>1123</v>
      </c>
      <c r="L5654" s="71" t="n">
        <v>149.78</v>
      </c>
      <c r="M5654" s="71" t="n">
        <v>168202.94</v>
      </c>
      <c r="N5654" s="71" t="n">
        <v>25230.44</v>
      </c>
      <c r="O5654" s="71" t="n">
        <v>142972.5</v>
      </c>
      <c r="P5654" s="71" t="n">
        <v>44500.75</v>
      </c>
      <c r="Q5654" s="71" t="n">
        <v>98471.75</v>
      </c>
      <c r="R5654" t="inlineStr">
        <is>
          <t>Vaccines</t>
        </is>
      </c>
      <c r="S5654" s="70" t="n">
        <v>878</v>
      </c>
      <c r="T5654" s="71" t="n">
        <v>29867.99</v>
      </c>
      <c r="U5654" t="inlineStr">
        <is>
          <t>Low</t>
        </is>
      </c>
      <c r="V5654">
        <f>IF(AND(OR(Dashboard!$C$6="All",E5654=Dashboard!$C$6),OR(Dashboard!$F$6="All",G5654=Dashboard!$F$6),OR(Dashboard!$I$6="All",H5654=Dashboard!$I$6)),1,0)</f>
        <v/>
      </c>
    </row>
    <row r="5655">
      <c r="A5655" t="inlineStr">
        <is>
          <t>PF105646</t>
        </is>
      </c>
      <c r="B5655" s="68" t="n">
        <v>46341</v>
      </c>
      <c r="C5655" s="69" t="n">
        <v>2026</v>
      </c>
      <c r="D5655" t="inlineStr">
        <is>
          <t>Nov</t>
        </is>
      </c>
      <c r="E5655" t="inlineStr">
        <is>
          <t>Europe</t>
        </is>
      </c>
      <c r="F5655" t="inlineStr">
        <is>
          <t>Spain</t>
        </is>
      </c>
      <c r="G5655" t="inlineStr">
        <is>
          <t>Eliquis</t>
        </is>
      </c>
      <c r="H5655" t="inlineStr">
        <is>
          <t>Government / tender</t>
        </is>
      </c>
      <c r="I5655" t="inlineStr">
        <is>
          <t>Public payer</t>
        </is>
      </c>
      <c r="J5655" t="inlineStr">
        <is>
          <t>Omar Haddad</t>
        </is>
      </c>
      <c r="K5655" s="70" t="n">
        <v>1998</v>
      </c>
      <c r="L5655" s="71" t="n">
        <v>441.16</v>
      </c>
      <c r="M5655" s="71" t="n">
        <v>881437.6800000001</v>
      </c>
      <c r="N5655" s="71" t="n">
        <v>44071.88</v>
      </c>
      <c r="O5655" s="71" t="n">
        <v>837365.8</v>
      </c>
      <c r="P5655" s="71" t="n">
        <v>146091.77</v>
      </c>
      <c r="Q5655" s="71" t="n">
        <v>691274.03</v>
      </c>
      <c r="R5655" t="inlineStr">
        <is>
          <t>Cardiology</t>
        </is>
      </c>
      <c r="S5655" s="70" t="n">
        <v>1941</v>
      </c>
      <c r="T5655" s="71" t="n">
        <v>115244.22</v>
      </c>
      <c r="U5655" t="inlineStr">
        <is>
          <t>High</t>
        </is>
      </c>
      <c r="V5655">
        <f>IF(AND(OR(Dashboard!$C$6="All",E5655=Dashboard!$C$6),OR(Dashboard!$F$6="All",G5655=Dashboard!$F$6),OR(Dashboard!$I$6="All",H5655=Dashboard!$I$6)),1,0)</f>
        <v/>
      </c>
    </row>
    <row r="5656">
      <c r="A5656" t="inlineStr">
        <is>
          <t>PF105647</t>
        </is>
      </c>
      <c r="B5656" s="68" t="n">
        <v>46342</v>
      </c>
      <c r="C5656" s="69" t="n">
        <v>2026</v>
      </c>
      <c r="D5656" t="inlineStr">
        <is>
          <t>Nov</t>
        </is>
      </c>
      <c r="E5656" t="inlineStr">
        <is>
          <t>Europe</t>
        </is>
      </c>
      <c r="F5656" t="inlineStr">
        <is>
          <t>Germany</t>
        </is>
      </c>
      <c r="G5656" t="inlineStr">
        <is>
          <t>Eliquis</t>
        </is>
      </c>
      <c r="H5656" t="inlineStr">
        <is>
          <t>Hospital</t>
        </is>
      </c>
      <c r="I5656" t="inlineStr">
        <is>
          <t>Self-pay</t>
        </is>
      </c>
      <c r="J5656" t="inlineStr">
        <is>
          <t>Liam O'Brien</t>
        </is>
      </c>
      <c r="K5656" s="70" t="n">
        <v>1256</v>
      </c>
      <c r="L5656" s="71" t="n">
        <v>443.38</v>
      </c>
      <c r="M5656" s="71" t="n">
        <v>556885.28</v>
      </c>
      <c r="N5656" s="71" t="n">
        <v>27844.26</v>
      </c>
      <c r="O5656" s="71" t="n">
        <v>529041.02</v>
      </c>
      <c r="P5656" s="71" t="n">
        <v>94307.92999999999</v>
      </c>
      <c r="Q5656" s="71" t="n">
        <v>434733.09</v>
      </c>
      <c r="R5656" t="inlineStr">
        <is>
          <t>Cardiology</t>
        </is>
      </c>
      <c r="S5656" s="70" t="n">
        <v>871</v>
      </c>
      <c r="T5656" s="71" t="n">
        <v>104438.21</v>
      </c>
      <c r="U5656" t="inlineStr">
        <is>
          <t>High</t>
        </is>
      </c>
      <c r="V5656">
        <f>IF(AND(OR(Dashboard!$C$6="All",E5656=Dashboard!$C$6),OR(Dashboard!$F$6="All",G5656=Dashboard!$F$6),OR(Dashboard!$I$6="All",H5656=Dashboard!$I$6)),1,0)</f>
        <v/>
      </c>
    </row>
    <row r="5657">
      <c r="A5657" t="inlineStr">
        <is>
          <t>PF105648</t>
        </is>
      </c>
      <c r="B5657" s="68" t="n">
        <v>46342</v>
      </c>
      <c r="C5657" s="69" t="n">
        <v>2026</v>
      </c>
      <c r="D5657" t="inlineStr">
        <is>
          <t>Nov</t>
        </is>
      </c>
      <c r="E5657" t="inlineStr">
        <is>
          <t>Emerging markets</t>
        </is>
      </c>
      <c r="F5657" t="inlineStr">
        <is>
          <t>India</t>
        </is>
      </c>
      <c r="G5657" t="inlineStr">
        <is>
          <t>Prevnar 20</t>
        </is>
      </c>
      <c r="H5657" t="inlineStr">
        <is>
          <t>Retail pharmacy</t>
        </is>
      </c>
      <c r="I5657" t="inlineStr">
        <is>
          <t>Public payer</t>
        </is>
      </c>
      <c r="J5657" t="inlineStr">
        <is>
          <t>Noah Smith</t>
        </is>
      </c>
      <c r="K5657" s="70" t="n">
        <v>2265</v>
      </c>
      <c r="L5657" s="71" t="n">
        <v>220.32</v>
      </c>
      <c r="M5657" s="71" t="n">
        <v>499024.8</v>
      </c>
      <c r="N5657" s="71" t="n">
        <v>74853.72</v>
      </c>
      <c r="O5657" s="71" t="n">
        <v>424171.08</v>
      </c>
      <c r="P5657" s="71" t="n">
        <v>155379.29</v>
      </c>
      <c r="Q5657" s="71" t="n">
        <v>268791.79</v>
      </c>
      <c r="R5657" t="inlineStr">
        <is>
          <t>Vaccines</t>
        </is>
      </c>
      <c r="S5657" s="70" t="n">
        <v>2060</v>
      </c>
      <c r="T5657" s="71" t="n">
        <v>67323.36</v>
      </c>
      <c r="U5657" t="inlineStr">
        <is>
          <t>Low</t>
        </is>
      </c>
      <c r="V5657">
        <f>IF(AND(OR(Dashboard!$C$6="All",E5657=Dashboard!$C$6),OR(Dashboard!$F$6="All",G5657=Dashboard!$F$6),OR(Dashboard!$I$6="All",H5657=Dashboard!$I$6)),1,0)</f>
        <v/>
      </c>
    </row>
    <row r="5658">
      <c r="A5658" t="inlineStr">
        <is>
          <t>PF105649</t>
        </is>
      </c>
      <c r="B5658" s="68" t="n">
        <v>46342</v>
      </c>
      <c r="C5658" s="69" t="n">
        <v>2026</v>
      </c>
      <c r="D5658" t="inlineStr">
        <is>
          <t>Nov</t>
        </is>
      </c>
      <c r="E5658" t="inlineStr">
        <is>
          <t>Emerging markets</t>
        </is>
      </c>
      <c r="F5658" t="inlineStr">
        <is>
          <t>Brazil</t>
        </is>
      </c>
      <c r="G5658" t="inlineStr">
        <is>
          <t>Abrysvo</t>
        </is>
      </c>
      <c r="H5658" t="inlineStr">
        <is>
          <t>Hospital</t>
        </is>
      </c>
      <c r="I5658" t="inlineStr">
        <is>
          <t>Self-pay</t>
        </is>
      </c>
      <c r="J5658" t="inlineStr">
        <is>
          <t>Ana Costa</t>
        </is>
      </c>
      <c r="K5658" s="70" t="n">
        <v>1658</v>
      </c>
      <c r="L5658" s="71" t="n">
        <v>289.4</v>
      </c>
      <c r="M5658" s="71" t="n">
        <v>479825.2</v>
      </c>
      <c r="N5658" s="71" t="n">
        <v>23991.26</v>
      </c>
      <c r="O5658" s="71" t="n">
        <v>455833.94</v>
      </c>
      <c r="P5658" s="71" t="n">
        <v>143328.45</v>
      </c>
      <c r="Q5658" s="71" t="n">
        <v>312505.49</v>
      </c>
      <c r="R5658" t="inlineStr">
        <is>
          <t>Vaccines</t>
        </is>
      </c>
      <c r="S5658" s="70" t="n">
        <v>1544</v>
      </c>
      <c r="T5658" s="71" t="n">
        <v>68442.64</v>
      </c>
      <c r="U5658" t="inlineStr">
        <is>
          <t>Low</t>
        </is>
      </c>
      <c r="V5658">
        <f>IF(AND(OR(Dashboard!$C$6="All",E5658=Dashboard!$C$6),OR(Dashboard!$F$6="All",G5658=Dashboard!$F$6),OR(Dashboard!$I$6="All",H5658=Dashboard!$I$6)),1,0)</f>
        <v/>
      </c>
    </row>
    <row r="5659">
      <c r="A5659" t="inlineStr">
        <is>
          <t>PF105650</t>
        </is>
      </c>
      <c r="B5659" s="68" t="n">
        <v>46342</v>
      </c>
      <c r="C5659" s="69" t="n">
        <v>2026</v>
      </c>
      <c r="D5659" t="inlineStr">
        <is>
          <t>Nov</t>
        </is>
      </c>
      <c r="E5659" t="inlineStr">
        <is>
          <t>United States</t>
        </is>
      </c>
      <c r="F5659" t="inlineStr">
        <is>
          <t>USA</t>
        </is>
      </c>
      <c r="G5659" t="inlineStr">
        <is>
          <t>Ibrance</t>
        </is>
      </c>
      <c r="H5659" t="inlineStr">
        <is>
          <t>Retail pharmacy</t>
        </is>
      </c>
      <c r="I5659" t="inlineStr">
        <is>
          <t>Private insurer</t>
        </is>
      </c>
      <c r="J5659" t="inlineStr">
        <is>
          <t>Emma Clarke</t>
        </is>
      </c>
      <c r="K5659" s="70" t="n">
        <v>1878</v>
      </c>
      <c r="L5659" s="71" t="n">
        <v>4775.67</v>
      </c>
      <c r="M5659" s="71" t="n">
        <v>8968708.26</v>
      </c>
      <c r="N5659" s="71" t="n">
        <v>2242177.06</v>
      </c>
      <c r="O5659" s="71" t="n">
        <v>6726531.2</v>
      </c>
      <c r="P5659" s="71" t="n">
        <v>826022.51</v>
      </c>
      <c r="Q5659" s="71" t="n">
        <v>5900508.69</v>
      </c>
      <c r="R5659" t="inlineStr">
        <is>
          <t>Oncology</t>
        </is>
      </c>
      <c r="S5659" s="70" t="n">
        <v>1306</v>
      </c>
      <c r="T5659" s="71" t="n">
        <v>1347692.46</v>
      </c>
      <c r="U5659" t="inlineStr">
        <is>
          <t>High</t>
        </is>
      </c>
      <c r="V5659">
        <f>IF(AND(OR(Dashboard!$C$6="All",E5659=Dashboard!$C$6),OR(Dashboard!$F$6="All",G5659=Dashboard!$F$6),OR(Dashboard!$I$6="All",H5659=Dashboard!$I$6)),1,0)</f>
        <v/>
      </c>
    </row>
    <row r="5660">
      <c r="A5660" t="inlineStr">
        <is>
          <t>PF105651</t>
        </is>
      </c>
      <c r="B5660" s="68" t="n">
        <v>46342</v>
      </c>
      <c r="C5660" s="69" t="n">
        <v>2026</v>
      </c>
      <c r="D5660" t="inlineStr">
        <is>
          <t>Nov</t>
        </is>
      </c>
      <c r="E5660" t="inlineStr">
        <is>
          <t>Europe</t>
        </is>
      </c>
      <c r="F5660" t="inlineStr">
        <is>
          <t>Germany</t>
        </is>
      </c>
      <c r="G5660" t="inlineStr">
        <is>
          <t>Ibrance</t>
        </is>
      </c>
      <c r="H5660" t="inlineStr">
        <is>
          <t>Government / tender</t>
        </is>
      </c>
      <c r="I5660" t="inlineStr">
        <is>
          <t>Private insurer</t>
        </is>
      </c>
      <c r="J5660" t="inlineStr">
        <is>
          <t>Carlos Silva</t>
        </is>
      </c>
      <c r="K5660" s="70" t="n">
        <v>2347</v>
      </c>
      <c r="L5660" s="71" t="n">
        <v>2696.29</v>
      </c>
      <c r="M5660" s="71" t="n">
        <v>6328192.63</v>
      </c>
      <c r="N5660" s="71" t="n">
        <v>316409.63</v>
      </c>
      <c r="O5660" s="71" t="n">
        <v>6011783</v>
      </c>
      <c r="P5660" s="71" t="n">
        <v>1034618.04</v>
      </c>
      <c r="Q5660" s="71" t="n">
        <v>4977164.96</v>
      </c>
      <c r="R5660" t="inlineStr">
        <is>
          <t>Oncology</t>
        </is>
      </c>
      <c r="S5660" s="70" t="n">
        <v>2093</v>
      </c>
      <c r="T5660" s="71" t="n">
        <v>887506.03</v>
      </c>
      <c r="U5660" t="inlineStr">
        <is>
          <t>High</t>
        </is>
      </c>
      <c r="V5660">
        <f>IF(AND(OR(Dashboard!$C$6="All",E5660=Dashboard!$C$6),OR(Dashboard!$F$6="All",G5660=Dashboard!$F$6),OR(Dashboard!$I$6="All",H5660=Dashboard!$I$6)),1,0)</f>
        <v/>
      </c>
    </row>
    <row r="5661">
      <c r="A5661" t="inlineStr">
        <is>
          <t>PF105652</t>
        </is>
      </c>
      <c r="B5661" s="68" t="n">
        <v>46343</v>
      </c>
      <c r="C5661" s="69" t="n">
        <v>2026</v>
      </c>
      <c r="D5661" t="inlineStr">
        <is>
          <t>Nov</t>
        </is>
      </c>
      <c r="E5661" t="inlineStr">
        <is>
          <t>United States</t>
        </is>
      </c>
      <c r="F5661" t="inlineStr">
        <is>
          <t>USA</t>
        </is>
      </c>
      <c r="G5661" t="inlineStr">
        <is>
          <t>Vyndaqel</t>
        </is>
      </c>
      <c r="H5661" t="inlineStr">
        <is>
          <t>Government / tender</t>
        </is>
      </c>
      <c r="I5661" t="inlineStr">
        <is>
          <t>Public payer</t>
        </is>
      </c>
      <c r="J5661" t="inlineStr">
        <is>
          <t>Arjun Mehta</t>
        </is>
      </c>
      <c r="K5661" s="70" t="n">
        <v>2061</v>
      </c>
      <c r="L5661" s="71" t="n">
        <v>8277.42</v>
      </c>
      <c r="M5661" s="71" t="n">
        <v>17059762.62</v>
      </c>
      <c r="N5661" s="71" t="n">
        <v>5117928.79</v>
      </c>
      <c r="O5661" s="71" t="n">
        <v>11941833.83</v>
      </c>
      <c r="P5661" s="71" t="n">
        <v>1295681.49</v>
      </c>
      <c r="Q5661" s="71" t="n">
        <v>10646152.34</v>
      </c>
      <c r="R5661" t="inlineStr">
        <is>
          <t>Rare disease</t>
        </is>
      </c>
      <c r="S5661" s="70" t="n">
        <v>2005</v>
      </c>
      <c r="T5661" s="71" t="n">
        <v>2567011.22</v>
      </c>
      <c r="U5661" t="inlineStr">
        <is>
          <t>Medium</t>
        </is>
      </c>
      <c r="V5661">
        <f>IF(AND(OR(Dashboard!$C$6="All",E5661=Dashboard!$C$6),OR(Dashboard!$F$6="All",G5661=Dashboard!$F$6),OR(Dashboard!$I$6="All",H5661=Dashboard!$I$6)),1,0)</f>
        <v/>
      </c>
    </row>
    <row r="5662">
      <c r="A5662" t="inlineStr">
        <is>
          <t>PF105653</t>
        </is>
      </c>
      <c r="B5662" s="68" t="n">
        <v>46343</v>
      </c>
      <c r="C5662" s="69" t="n">
        <v>2026</v>
      </c>
      <c r="D5662" t="inlineStr">
        <is>
          <t>Nov</t>
        </is>
      </c>
      <c r="E5662" t="inlineStr">
        <is>
          <t>United States</t>
        </is>
      </c>
      <c r="F5662" t="inlineStr">
        <is>
          <t>USA</t>
        </is>
      </c>
      <c r="G5662" t="inlineStr">
        <is>
          <t>Comirnaty</t>
        </is>
      </c>
      <c r="H5662" t="inlineStr">
        <is>
          <t>Retail pharmacy</t>
        </is>
      </c>
      <c r="I5662" t="inlineStr">
        <is>
          <t>Public payer</t>
        </is>
      </c>
      <c r="J5662" t="inlineStr">
        <is>
          <t>Kofi Mensah</t>
        </is>
      </c>
      <c r="K5662" s="70" t="n">
        <v>2532</v>
      </c>
      <c r="L5662" s="71" t="n">
        <v>130.67</v>
      </c>
      <c r="M5662" s="71" t="n">
        <v>330856.44</v>
      </c>
      <c r="N5662" s="71" t="n">
        <v>99256.92999999999</v>
      </c>
      <c r="O5662" s="71" t="n">
        <v>231599.51</v>
      </c>
      <c r="P5662" s="71" t="n">
        <v>94118.09</v>
      </c>
      <c r="Q5662" s="71" t="n">
        <v>137481.42</v>
      </c>
      <c r="R5662" t="inlineStr">
        <is>
          <t>Vaccines</t>
        </is>
      </c>
      <c r="S5662" s="70" t="n">
        <v>1696</v>
      </c>
      <c r="T5662" s="71" t="n">
        <v>87952.08</v>
      </c>
      <c r="U5662" t="inlineStr">
        <is>
          <t>Low</t>
        </is>
      </c>
      <c r="V5662">
        <f>IF(AND(OR(Dashboard!$C$6="All",E5662=Dashboard!$C$6),OR(Dashboard!$F$6="All",G5662=Dashboard!$F$6),OR(Dashboard!$I$6="All",H5662=Dashboard!$I$6)),1,0)</f>
        <v/>
      </c>
    </row>
    <row r="5663">
      <c r="A5663" t="inlineStr">
        <is>
          <t>PF105654</t>
        </is>
      </c>
      <c r="B5663" s="68" t="n">
        <v>46343</v>
      </c>
      <c r="C5663" s="69" t="n">
        <v>2026</v>
      </c>
      <c r="D5663" t="inlineStr">
        <is>
          <t>Nov</t>
        </is>
      </c>
      <c r="E5663" t="inlineStr">
        <is>
          <t>United States</t>
        </is>
      </c>
      <c r="F5663" t="inlineStr">
        <is>
          <t>USA</t>
        </is>
      </c>
      <c r="G5663" t="inlineStr">
        <is>
          <t>Vyndaqel</t>
        </is>
      </c>
      <c r="H5663" t="inlineStr">
        <is>
          <t>Retail pharmacy</t>
        </is>
      </c>
      <c r="I5663" t="inlineStr">
        <is>
          <t>Public payer</t>
        </is>
      </c>
      <c r="J5663" t="inlineStr">
        <is>
          <t>Ruhi Shaikh</t>
        </is>
      </c>
      <c r="K5663" s="70" t="n">
        <v>1905</v>
      </c>
      <c r="L5663" s="71" t="n">
        <v>8507.23</v>
      </c>
      <c r="M5663" s="71" t="n">
        <v>16206273.15</v>
      </c>
      <c r="N5663" s="71" t="n">
        <v>4861881.95</v>
      </c>
      <c r="O5663" s="71" t="n">
        <v>11344391.2</v>
      </c>
      <c r="P5663" s="71" t="n">
        <v>1236255.13</v>
      </c>
      <c r="Q5663" s="71" t="n">
        <v>10108136.07</v>
      </c>
      <c r="R5663" t="inlineStr">
        <is>
          <t>Rare disease</t>
        </is>
      </c>
      <c r="S5663" s="70" t="n">
        <v>1753</v>
      </c>
      <c r="T5663" s="71" t="n">
        <v>2799815.31</v>
      </c>
      <c r="U5663" t="inlineStr">
        <is>
          <t>Medium</t>
        </is>
      </c>
      <c r="V5663">
        <f>IF(AND(OR(Dashboard!$C$6="All",E5663=Dashboard!$C$6),OR(Dashboard!$F$6="All",G5663=Dashboard!$F$6),OR(Dashboard!$I$6="All",H5663=Dashboard!$I$6)),1,0)</f>
        <v/>
      </c>
    </row>
    <row r="5664">
      <c r="A5664" t="inlineStr">
        <is>
          <t>PF105655</t>
        </is>
      </c>
      <c r="B5664" s="68" t="n">
        <v>46343</v>
      </c>
      <c r="C5664" s="69" t="n">
        <v>2026</v>
      </c>
      <c r="D5664" t="inlineStr">
        <is>
          <t>Nov</t>
        </is>
      </c>
      <c r="E5664" t="inlineStr">
        <is>
          <t>Europe</t>
        </is>
      </c>
      <c r="F5664" t="inlineStr">
        <is>
          <t>Germany</t>
        </is>
      </c>
      <c r="G5664" t="inlineStr">
        <is>
          <t>Prevnar 20</t>
        </is>
      </c>
      <c r="H5664" t="inlineStr">
        <is>
          <t>Retail pharmacy</t>
        </is>
      </c>
      <c r="I5664" t="inlineStr">
        <is>
          <t>Public payer</t>
        </is>
      </c>
      <c r="J5664" t="inlineStr">
        <is>
          <t>Mei Lin</t>
        </is>
      </c>
      <c r="K5664" s="70" t="n">
        <v>2742</v>
      </c>
      <c r="L5664" s="71" t="n">
        <v>215.31</v>
      </c>
      <c r="M5664" s="71" t="n">
        <v>590380.02</v>
      </c>
      <c r="N5664" s="71" t="n">
        <v>147595.01</v>
      </c>
      <c r="O5664" s="71" t="n">
        <v>442785.01</v>
      </c>
      <c r="P5664" s="71" t="n">
        <v>189577.02</v>
      </c>
      <c r="Q5664" s="71" t="n">
        <v>253207.99</v>
      </c>
      <c r="R5664" t="inlineStr">
        <is>
          <t>Vaccines</t>
        </is>
      </c>
      <c r="S5664" s="70" t="n">
        <v>2006</v>
      </c>
      <c r="T5664" s="71" t="n">
        <v>94739.49000000001</v>
      </c>
      <c r="U5664" t="inlineStr">
        <is>
          <t>Low</t>
        </is>
      </c>
      <c r="V5664">
        <f>IF(AND(OR(Dashboard!$C$6="All",E5664=Dashboard!$C$6),OR(Dashboard!$F$6="All",G5664=Dashboard!$F$6),OR(Dashboard!$I$6="All",H5664=Dashboard!$I$6)),1,0)</f>
        <v/>
      </c>
    </row>
    <row r="5665">
      <c r="A5665" t="inlineStr">
        <is>
          <t>PF105656</t>
        </is>
      </c>
      <c r="B5665" s="68" t="n">
        <v>46343</v>
      </c>
      <c r="C5665" s="69" t="n">
        <v>2026</v>
      </c>
      <c r="D5665" t="inlineStr">
        <is>
          <t>Nov</t>
        </is>
      </c>
      <c r="E5665" t="inlineStr">
        <is>
          <t>International developed</t>
        </is>
      </c>
      <c r="F5665" t="inlineStr">
        <is>
          <t>Australia</t>
        </is>
      </c>
      <c r="G5665" t="inlineStr">
        <is>
          <t>Comirnaty</t>
        </is>
      </c>
      <c r="H5665" t="inlineStr">
        <is>
          <t>Retail pharmacy</t>
        </is>
      </c>
      <c r="I5665" t="inlineStr">
        <is>
          <t>Public payer</t>
        </is>
      </c>
      <c r="J5665" t="inlineStr">
        <is>
          <t>Ravindra Patil</t>
        </is>
      </c>
      <c r="K5665" s="70" t="n">
        <v>1386</v>
      </c>
      <c r="L5665" s="71" t="n">
        <v>92.03</v>
      </c>
      <c r="M5665" s="71" t="n">
        <v>127553.58</v>
      </c>
      <c r="N5665" s="71" t="n">
        <v>31888.4</v>
      </c>
      <c r="O5665" s="71" t="n">
        <v>95665.17999999999</v>
      </c>
      <c r="P5665" s="71" t="n">
        <v>51448.79</v>
      </c>
      <c r="Q5665" s="71" t="n">
        <v>44216.39</v>
      </c>
      <c r="R5665" t="inlineStr">
        <is>
          <t>Vaccines</t>
        </is>
      </c>
      <c r="S5665" s="70" t="n">
        <v>998</v>
      </c>
      <c r="T5665" s="71" t="n">
        <v>34638.15</v>
      </c>
      <c r="U5665" t="inlineStr">
        <is>
          <t>Low</t>
        </is>
      </c>
      <c r="V5665">
        <f>IF(AND(OR(Dashboard!$C$6="All",E5665=Dashboard!$C$6),OR(Dashboard!$F$6="All",G5665=Dashboard!$F$6),OR(Dashboard!$I$6="All",H5665=Dashboard!$I$6)),1,0)</f>
        <v/>
      </c>
    </row>
    <row r="5666">
      <c r="A5666" t="inlineStr">
        <is>
          <t>PF105657</t>
        </is>
      </c>
      <c r="B5666" s="68" t="n">
        <v>46343</v>
      </c>
      <c r="C5666" s="69" t="n">
        <v>2026</v>
      </c>
      <c r="D5666" t="inlineStr">
        <is>
          <t>Nov</t>
        </is>
      </c>
      <c r="E5666" t="inlineStr">
        <is>
          <t>Europe</t>
        </is>
      </c>
      <c r="F5666" t="inlineStr">
        <is>
          <t>Spain</t>
        </is>
      </c>
      <c r="G5666" t="inlineStr">
        <is>
          <t>Xeljanz</t>
        </is>
      </c>
      <c r="H5666" t="inlineStr">
        <is>
          <t>Hospital</t>
        </is>
      </c>
      <c r="I5666" t="inlineStr">
        <is>
          <t>Private insurer</t>
        </is>
      </c>
      <c r="J5666" t="inlineStr">
        <is>
          <t>Carlos Silva</t>
        </is>
      </c>
      <c r="K5666" s="70" t="n">
        <v>2826</v>
      </c>
      <c r="L5666" s="71" t="n">
        <v>1457.2</v>
      </c>
      <c r="M5666" s="71" t="n">
        <v>4118047.2</v>
      </c>
      <c r="N5666" s="71" t="n">
        <v>1029511.8</v>
      </c>
      <c r="O5666" s="71" t="n">
        <v>3088535.4</v>
      </c>
      <c r="P5666" s="71" t="n">
        <v>702627.5699999999</v>
      </c>
      <c r="Q5666" s="71" t="n">
        <v>2385907.83</v>
      </c>
      <c r="R5666" t="inlineStr">
        <is>
          <t>Inflammation</t>
        </is>
      </c>
      <c r="S5666" s="70" t="n">
        <v>2820</v>
      </c>
      <c r="T5666" s="71" t="n">
        <v>803679.3100000001</v>
      </c>
      <c r="U5666" t="inlineStr">
        <is>
          <t>High</t>
        </is>
      </c>
      <c r="V5666">
        <f>IF(AND(OR(Dashboard!$C$6="All",E5666=Dashboard!$C$6),OR(Dashboard!$F$6="All",G5666=Dashboard!$F$6),OR(Dashboard!$I$6="All",H5666=Dashboard!$I$6)),1,0)</f>
        <v/>
      </c>
    </row>
    <row r="5667">
      <c r="A5667" t="inlineStr">
        <is>
          <t>PF105658</t>
        </is>
      </c>
      <c r="B5667" s="68" t="n">
        <v>46343</v>
      </c>
      <c r="C5667" s="69" t="n">
        <v>2026</v>
      </c>
      <c r="D5667" t="inlineStr">
        <is>
          <t>Nov</t>
        </is>
      </c>
      <c r="E5667" t="inlineStr">
        <is>
          <t>United States</t>
        </is>
      </c>
      <c r="F5667" t="inlineStr">
        <is>
          <t>USA</t>
        </is>
      </c>
      <c r="G5667" t="inlineStr">
        <is>
          <t>Prevnar 20</t>
        </is>
      </c>
      <c r="H5667" t="inlineStr">
        <is>
          <t>Retail pharmacy</t>
        </is>
      </c>
      <c r="I5667" t="inlineStr">
        <is>
          <t>Public payer</t>
        </is>
      </c>
      <c r="J5667" t="inlineStr">
        <is>
          <t>Aisha Bello</t>
        </is>
      </c>
      <c r="K5667" s="70" t="n">
        <v>1103</v>
      </c>
      <c r="L5667" s="71" t="n">
        <v>400.64</v>
      </c>
      <c r="M5667" s="71" t="n">
        <v>441905.92</v>
      </c>
      <c r="N5667" s="71" t="n">
        <v>110476.48</v>
      </c>
      <c r="O5667" s="71" t="n">
        <v>331429.44</v>
      </c>
      <c r="P5667" s="71" t="n">
        <v>75055.3</v>
      </c>
      <c r="Q5667" s="71" t="n">
        <v>256374.14</v>
      </c>
      <c r="R5667" t="inlineStr">
        <is>
          <t>Vaccines</t>
        </is>
      </c>
      <c r="S5667" s="70" t="n">
        <v>711</v>
      </c>
      <c r="T5667" s="71" t="n">
        <v>87319.34</v>
      </c>
      <c r="U5667" t="inlineStr">
        <is>
          <t>Low</t>
        </is>
      </c>
      <c r="V5667">
        <f>IF(AND(OR(Dashboard!$C$6="All",E5667=Dashboard!$C$6),OR(Dashboard!$F$6="All",G5667=Dashboard!$F$6),OR(Dashboard!$I$6="All",H5667=Dashboard!$I$6)),1,0)</f>
        <v/>
      </c>
    </row>
    <row r="5668">
      <c r="A5668" t="inlineStr">
        <is>
          <t>PF105659</t>
        </is>
      </c>
      <c r="B5668" s="68" t="n">
        <v>46343</v>
      </c>
      <c r="C5668" s="69" t="n">
        <v>2026</v>
      </c>
      <c r="D5668" t="inlineStr">
        <is>
          <t>Nov</t>
        </is>
      </c>
      <c r="E5668" t="inlineStr">
        <is>
          <t>Europe</t>
        </is>
      </c>
      <c r="F5668" t="inlineStr">
        <is>
          <t>UK</t>
        </is>
      </c>
      <c r="G5668" t="inlineStr">
        <is>
          <t>Eliquis</t>
        </is>
      </c>
      <c r="H5668" t="inlineStr">
        <is>
          <t>Retail pharmacy</t>
        </is>
      </c>
      <c r="I5668" t="inlineStr">
        <is>
          <t>Private insurer</t>
        </is>
      </c>
      <c r="J5668" t="inlineStr">
        <is>
          <t>Lucas Martin</t>
        </is>
      </c>
      <c r="K5668" s="70" t="n">
        <v>1582</v>
      </c>
      <c r="L5668" s="71" t="n">
        <v>418.24</v>
      </c>
      <c r="M5668" s="71" t="n">
        <v>661655.6800000001</v>
      </c>
      <c r="N5668" s="71" t="n">
        <v>165413.92</v>
      </c>
      <c r="O5668" s="71" t="n">
        <v>496241.76</v>
      </c>
      <c r="P5668" s="71" t="n">
        <v>124145.11</v>
      </c>
      <c r="Q5668" s="71" t="n">
        <v>372096.65</v>
      </c>
      <c r="R5668" t="inlineStr">
        <is>
          <t>Cardiology</t>
        </is>
      </c>
      <c r="S5668" s="70" t="n">
        <v>1015</v>
      </c>
      <c r="T5668" s="71" t="n">
        <v>83223.83</v>
      </c>
      <c r="U5668" t="inlineStr">
        <is>
          <t>High</t>
        </is>
      </c>
      <c r="V5668">
        <f>IF(AND(OR(Dashboard!$C$6="All",E5668=Dashboard!$C$6),OR(Dashboard!$F$6="All",G5668=Dashboard!$F$6),OR(Dashboard!$I$6="All",H5668=Dashboard!$I$6)),1,0)</f>
        <v/>
      </c>
    </row>
    <row r="5669">
      <c r="A5669" t="inlineStr">
        <is>
          <t>PF105660</t>
        </is>
      </c>
      <c r="B5669" s="68" t="n">
        <v>46344</v>
      </c>
      <c r="C5669" s="69" t="n">
        <v>2026</v>
      </c>
      <c r="D5669" t="inlineStr">
        <is>
          <t>Nov</t>
        </is>
      </c>
      <c r="E5669" t="inlineStr">
        <is>
          <t>United States</t>
        </is>
      </c>
      <c r="F5669" t="inlineStr">
        <is>
          <t>USA</t>
        </is>
      </c>
      <c r="G5669" t="inlineStr">
        <is>
          <t>Prevnar 20</t>
        </is>
      </c>
      <c r="H5669" t="inlineStr">
        <is>
          <t>Hospital</t>
        </is>
      </c>
      <c r="I5669" t="inlineStr">
        <is>
          <t>Public payer</t>
        </is>
      </c>
      <c r="J5669" t="inlineStr">
        <is>
          <t>Priya Nair</t>
        </is>
      </c>
      <c r="K5669" s="70" t="n">
        <v>1518</v>
      </c>
      <c r="L5669" s="71" t="n">
        <v>355.81</v>
      </c>
      <c r="M5669" s="71" t="n">
        <v>540119.58</v>
      </c>
      <c r="N5669" s="71" t="n">
        <v>108023.92</v>
      </c>
      <c r="O5669" s="71" t="n">
        <v>432095.66</v>
      </c>
      <c r="P5669" s="71" t="n">
        <v>105080.88</v>
      </c>
      <c r="Q5669" s="71" t="n">
        <v>327014.78</v>
      </c>
      <c r="R5669" t="inlineStr">
        <is>
          <t>Vaccines</t>
        </is>
      </c>
      <c r="S5669" s="70" t="n">
        <v>1494</v>
      </c>
      <c r="T5669" s="71" t="n">
        <v>79239.17999999999</v>
      </c>
      <c r="U5669" t="inlineStr">
        <is>
          <t>Low</t>
        </is>
      </c>
      <c r="V5669">
        <f>IF(AND(OR(Dashboard!$C$6="All",E5669=Dashboard!$C$6),OR(Dashboard!$F$6="All",G5669=Dashboard!$F$6),OR(Dashboard!$I$6="All",H5669=Dashboard!$I$6)),1,0)</f>
        <v/>
      </c>
    </row>
    <row r="5670">
      <c r="A5670" t="inlineStr">
        <is>
          <t>PF105661</t>
        </is>
      </c>
      <c r="B5670" s="68" t="n">
        <v>46344</v>
      </c>
      <c r="C5670" s="69" t="n">
        <v>2026</v>
      </c>
      <c r="D5670" t="inlineStr">
        <is>
          <t>Nov</t>
        </is>
      </c>
      <c r="E5670" t="inlineStr">
        <is>
          <t>United States</t>
        </is>
      </c>
      <c r="F5670" t="inlineStr">
        <is>
          <t>USA</t>
        </is>
      </c>
      <c r="G5670" t="inlineStr">
        <is>
          <t>Abrysvo</t>
        </is>
      </c>
      <c r="H5670" t="inlineStr">
        <is>
          <t>Hospital</t>
        </is>
      </c>
      <c r="I5670" t="inlineStr">
        <is>
          <t>Public payer</t>
        </is>
      </c>
      <c r="J5670" t="inlineStr">
        <is>
          <t>Carlos Silva</t>
        </is>
      </c>
      <c r="K5670" s="70" t="n">
        <v>1859</v>
      </c>
      <c r="L5670" s="71" t="n">
        <v>486.9</v>
      </c>
      <c r="M5670" s="71" t="n">
        <v>905147.1</v>
      </c>
      <c r="N5670" s="71" t="n">
        <v>181029.42</v>
      </c>
      <c r="O5670" s="71" t="n">
        <v>724117.6800000001</v>
      </c>
      <c r="P5670" s="71" t="n">
        <v>158176.09</v>
      </c>
      <c r="Q5670" s="71" t="n">
        <v>565941.59</v>
      </c>
      <c r="R5670" t="inlineStr">
        <is>
          <t>Vaccines</t>
        </is>
      </c>
      <c r="S5670" s="70" t="n">
        <v>1550</v>
      </c>
      <c r="T5670" s="71" t="n">
        <v>109821.62</v>
      </c>
      <c r="U5670" t="inlineStr">
        <is>
          <t>Low</t>
        </is>
      </c>
      <c r="V5670">
        <f>IF(AND(OR(Dashboard!$C$6="All",E5670=Dashboard!$C$6),OR(Dashboard!$F$6="All",G5670=Dashboard!$F$6),OR(Dashboard!$I$6="All",H5670=Dashboard!$I$6)),1,0)</f>
        <v/>
      </c>
    </row>
    <row r="5671">
      <c r="A5671" t="inlineStr">
        <is>
          <t>PF105662</t>
        </is>
      </c>
      <c r="B5671" s="68" t="n">
        <v>46344</v>
      </c>
      <c r="C5671" s="69" t="n">
        <v>2026</v>
      </c>
      <c r="D5671" t="inlineStr">
        <is>
          <t>Nov</t>
        </is>
      </c>
      <c r="E5671" t="inlineStr">
        <is>
          <t>International developed</t>
        </is>
      </c>
      <c r="F5671" t="inlineStr">
        <is>
          <t>Canada</t>
        </is>
      </c>
      <c r="G5671" t="inlineStr">
        <is>
          <t>Xeljanz</t>
        </is>
      </c>
      <c r="H5671" t="inlineStr">
        <is>
          <t>Retail pharmacy</t>
        </is>
      </c>
      <c r="I5671" t="inlineStr">
        <is>
          <t>Private insurer</t>
        </is>
      </c>
      <c r="J5671" t="inlineStr">
        <is>
          <t>Arjun Mehta</t>
        </is>
      </c>
      <c r="K5671" s="70" t="n">
        <v>284</v>
      </c>
      <c r="L5671" s="71" t="n">
        <v>1295.54</v>
      </c>
      <c r="M5671" s="71" t="n">
        <v>367933.36</v>
      </c>
      <c r="N5671" s="71" t="n">
        <v>91983.34</v>
      </c>
      <c r="O5671" s="71" t="n">
        <v>275950.02</v>
      </c>
      <c r="P5671" s="71" t="n">
        <v>69351.78</v>
      </c>
      <c r="Q5671" s="71" t="n">
        <v>206598.24</v>
      </c>
      <c r="R5671" t="inlineStr">
        <is>
          <t>Inflammation</t>
        </is>
      </c>
      <c r="S5671" s="70" t="n">
        <v>191</v>
      </c>
      <c r="T5671" s="71" t="n">
        <v>63643.5</v>
      </c>
      <c r="U5671" t="inlineStr">
        <is>
          <t>High</t>
        </is>
      </c>
      <c r="V5671">
        <f>IF(AND(OR(Dashboard!$C$6="All",E5671=Dashboard!$C$6),OR(Dashboard!$F$6="All",G5671=Dashboard!$F$6),OR(Dashboard!$I$6="All",H5671=Dashboard!$I$6)),1,0)</f>
        <v/>
      </c>
    </row>
    <row r="5672">
      <c r="A5672" t="inlineStr">
        <is>
          <t>PF105663</t>
        </is>
      </c>
      <c r="B5672" s="68" t="n">
        <v>46344</v>
      </c>
      <c r="C5672" s="69" t="n">
        <v>2026</v>
      </c>
      <c r="D5672" t="inlineStr">
        <is>
          <t>Nov</t>
        </is>
      </c>
      <c r="E5672" t="inlineStr">
        <is>
          <t>Emerging markets</t>
        </is>
      </c>
      <c r="F5672" t="inlineStr">
        <is>
          <t>India</t>
        </is>
      </c>
      <c r="G5672" t="inlineStr">
        <is>
          <t>Xeljanz</t>
        </is>
      </c>
      <c r="H5672" t="inlineStr">
        <is>
          <t>Government / tender</t>
        </is>
      </c>
      <c r="I5672" t="inlineStr">
        <is>
          <t>Self-pay</t>
        </is>
      </c>
      <c r="J5672" t="inlineStr">
        <is>
          <t>Wei Chen</t>
        </is>
      </c>
      <c r="K5672" s="70" t="n">
        <v>996</v>
      </c>
      <c r="L5672" s="71" t="n">
        <v>1291.5</v>
      </c>
      <c r="M5672" s="71" t="n">
        <v>1286334</v>
      </c>
      <c r="N5672" s="71" t="n">
        <v>321583.5</v>
      </c>
      <c r="O5672" s="71" t="n">
        <v>964750.5</v>
      </c>
      <c r="P5672" s="71" t="n">
        <v>253968.8</v>
      </c>
      <c r="Q5672" s="71" t="n">
        <v>710781.7</v>
      </c>
      <c r="R5672" t="inlineStr">
        <is>
          <t>Inflammation</t>
        </is>
      </c>
      <c r="S5672" s="70" t="n">
        <v>794</v>
      </c>
      <c r="T5672" s="71" t="n">
        <v>249495.4</v>
      </c>
      <c r="U5672" t="inlineStr">
        <is>
          <t>High</t>
        </is>
      </c>
      <c r="V5672">
        <f>IF(AND(OR(Dashboard!$C$6="All",E5672=Dashboard!$C$6),OR(Dashboard!$F$6="All",G5672=Dashboard!$F$6),OR(Dashboard!$I$6="All",H5672=Dashboard!$I$6)),1,0)</f>
        <v/>
      </c>
    </row>
    <row r="5673">
      <c r="A5673" t="inlineStr">
        <is>
          <t>PF105664</t>
        </is>
      </c>
      <c r="B5673" s="68" t="n">
        <v>46345</v>
      </c>
      <c r="C5673" s="69" t="n">
        <v>2026</v>
      </c>
      <c r="D5673" t="inlineStr">
        <is>
          <t>Nov</t>
        </is>
      </c>
      <c r="E5673" t="inlineStr">
        <is>
          <t>Europe</t>
        </is>
      </c>
      <c r="F5673" t="inlineStr">
        <is>
          <t>UK</t>
        </is>
      </c>
      <c r="G5673" t="inlineStr">
        <is>
          <t>Vyndaqel</t>
        </is>
      </c>
      <c r="H5673" t="inlineStr">
        <is>
          <t>Hospital</t>
        </is>
      </c>
      <c r="I5673" t="inlineStr">
        <is>
          <t>Private insurer</t>
        </is>
      </c>
      <c r="J5673" t="inlineStr">
        <is>
          <t>Olivia Brown</t>
        </is>
      </c>
      <c r="K5673" s="70" t="n">
        <v>1829</v>
      </c>
      <c r="L5673" s="71" t="n">
        <v>5733.25</v>
      </c>
      <c r="M5673" s="71" t="n">
        <v>10486114.25</v>
      </c>
      <c r="N5673" s="71" t="n">
        <v>1048611.43</v>
      </c>
      <c r="O5673" s="71" t="n">
        <v>9437502.82</v>
      </c>
      <c r="P5673" s="71" t="n">
        <v>1158455.74</v>
      </c>
      <c r="Q5673" s="71" t="n">
        <v>8279047.08</v>
      </c>
      <c r="R5673" t="inlineStr">
        <is>
          <t>Rare disease</t>
        </is>
      </c>
      <c r="S5673" s="70" t="n">
        <v>1404</v>
      </c>
      <c r="T5673" s="71" t="n">
        <v>1369889.99</v>
      </c>
      <c r="U5673" t="inlineStr">
        <is>
          <t>Medium</t>
        </is>
      </c>
      <c r="V5673">
        <f>IF(AND(OR(Dashboard!$C$6="All",E5673=Dashboard!$C$6),OR(Dashboard!$F$6="All",G5673=Dashboard!$F$6),OR(Dashboard!$I$6="All",H5673=Dashboard!$I$6)),1,0)</f>
        <v/>
      </c>
    </row>
    <row r="5674">
      <c r="A5674" t="inlineStr">
        <is>
          <t>PF105665</t>
        </is>
      </c>
      <c r="B5674" s="68" t="n">
        <v>46345</v>
      </c>
      <c r="C5674" s="69" t="n">
        <v>2026</v>
      </c>
      <c r="D5674" t="inlineStr">
        <is>
          <t>Nov</t>
        </is>
      </c>
      <c r="E5674" t="inlineStr">
        <is>
          <t>Emerging markets</t>
        </is>
      </c>
      <c r="F5674" t="inlineStr">
        <is>
          <t>Brazil</t>
        </is>
      </c>
      <c r="G5674" t="inlineStr">
        <is>
          <t>Paxlovid</t>
        </is>
      </c>
      <c r="H5674" t="inlineStr">
        <is>
          <t>Hospital</t>
        </is>
      </c>
      <c r="I5674" t="inlineStr">
        <is>
          <t>Public payer</t>
        </is>
      </c>
      <c r="J5674" t="inlineStr">
        <is>
          <t>Liam O'Brien</t>
        </is>
      </c>
      <c r="K5674" s="70" t="n">
        <v>336</v>
      </c>
      <c r="L5674" s="71" t="n">
        <v>862.96</v>
      </c>
      <c r="M5674" s="71" t="n">
        <v>289954.56</v>
      </c>
      <c r="N5674" s="71" t="n">
        <v>57990.91</v>
      </c>
      <c r="O5674" s="71" t="n">
        <v>231963.65</v>
      </c>
      <c r="P5674" s="71" t="n">
        <v>91640.60000000001</v>
      </c>
      <c r="Q5674" s="71" t="n">
        <v>140323.05</v>
      </c>
      <c r="R5674" t="inlineStr">
        <is>
          <t>Antiviral</t>
        </is>
      </c>
      <c r="S5674" s="70" t="n">
        <v>294</v>
      </c>
      <c r="T5674" s="71" t="n">
        <v>56998.35</v>
      </c>
      <c r="U5674" t="inlineStr">
        <is>
          <t>Low</t>
        </is>
      </c>
      <c r="V5674">
        <f>IF(AND(OR(Dashboard!$C$6="All",E5674=Dashboard!$C$6),OR(Dashboard!$F$6="All",G5674=Dashboard!$F$6),OR(Dashboard!$I$6="All",H5674=Dashboard!$I$6)),1,0)</f>
        <v/>
      </c>
    </row>
    <row r="5675">
      <c r="A5675" t="inlineStr">
        <is>
          <t>PF105666</t>
        </is>
      </c>
      <c r="B5675" s="68" t="n">
        <v>46345</v>
      </c>
      <c r="C5675" s="69" t="n">
        <v>2026</v>
      </c>
      <c r="D5675" t="inlineStr">
        <is>
          <t>Nov</t>
        </is>
      </c>
      <c r="E5675" t="inlineStr">
        <is>
          <t>United States</t>
        </is>
      </c>
      <c r="F5675" t="inlineStr">
        <is>
          <t>USA</t>
        </is>
      </c>
      <c r="G5675" t="inlineStr">
        <is>
          <t>Paxlovid</t>
        </is>
      </c>
      <c r="H5675" t="inlineStr">
        <is>
          <t>Retail pharmacy</t>
        </is>
      </c>
      <c r="I5675" t="inlineStr">
        <is>
          <t>Public payer</t>
        </is>
      </c>
      <c r="J5675" t="inlineStr">
        <is>
          <t>Ravindra Patil</t>
        </is>
      </c>
      <c r="K5675" s="70" t="n">
        <v>819</v>
      </c>
      <c r="L5675" s="71" t="n">
        <v>1401.09</v>
      </c>
      <c r="M5675" s="71" t="n">
        <v>1147492.71</v>
      </c>
      <c r="N5675" s="71" t="n">
        <v>286873.18</v>
      </c>
      <c r="O5675" s="71" t="n">
        <v>860619.53</v>
      </c>
      <c r="P5675" s="71" t="n">
        <v>218571.13</v>
      </c>
      <c r="Q5675" s="71" t="n">
        <v>642048.4</v>
      </c>
      <c r="R5675" t="inlineStr">
        <is>
          <t>Antiviral</t>
        </is>
      </c>
      <c r="S5675" s="70" t="n">
        <v>641</v>
      </c>
      <c r="T5675" s="71" t="n">
        <v>196884.83</v>
      </c>
      <c r="U5675" t="inlineStr">
        <is>
          <t>Low</t>
        </is>
      </c>
      <c r="V5675">
        <f>IF(AND(OR(Dashboard!$C$6="All",E5675=Dashboard!$C$6),OR(Dashboard!$F$6="All",G5675=Dashboard!$F$6),OR(Dashboard!$I$6="All",H5675=Dashboard!$I$6)),1,0)</f>
        <v/>
      </c>
    </row>
    <row r="5676">
      <c r="A5676" t="inlineStr">
        <is>
          <t>PF105667</t>
        </is>
      </c>
      <c r="B5676" s="68" t="n">
        <v>46345</v>
      </c>
      <c r="C5676" s="69" t="n">
        <v>2026</v>
      </c>
      <c r="D5676" t="inlineStr">
        <is>
          <t>Nov</t>
        </is>
      </c>
      <c r="E5676" t="inlineStr">
        <is>
          <t>Europe</t>
        </is>
      </c>
      <c r="F5676" t="inlineStr">
        <is>
          <t>Italy</t>
        </is>
      </c>
      <c r="G5676" t="inlineStr">
        <is>
          <t>Eliquis</t>
        </is>
      </c>
      <c r="H5676" t="inlineStr">
        <is>
          <t>Retail pharmacy</t>
        </is>
      </c>
      <c r="I5676" t="inlineStr">
        <is>
          <t>Private insurer</t>
        </is>
      </c>
      <c r="J5676" t="inlineStr">
        <is>
          <t>Lucas Martin</t>
        </is>
      </c>
      <c r="K5676" s="70" t="n">
        <v>1195</v>
      </c>
      <c r="L5676" s="71" t="n">
        <v>398.03</v>
      </c>
      <c r="M5676" s="71" t="n">
        <v>475645.85</v>
      </c>
      <c r="N5676" s="71" t="n">
        <v>71346.88</v>
      </c>
      <c r="O5676" s="71" t="n">
        <v>404298.97</v>
      </c>
      <c r="P5676" s="71" t="n">
        <v>92697.44</v>
      </c>
      <c r="Q5676" s="71" t="n">
        <v>311601.53</v>
      </c>
      <c r="R5676" t="inlineStr">
        <is>
          <t>Cardiology</t>
        </is>
      </c>
      <c r="S5676" s="70" t="n">
        <v>1050</v>
      </c>
      <c r="T5676" s="71" t="n">
        <v>79055.14</v>
      </c>
      <c r="U5676" t="inlineStr">
        <is>
          <t>High</t>
        </is>
      </c>
      <c r="V5676">
        <f>IF(AND(OR(Dashboard!$C$6="All",E5676=Dashboard!$C$6),OR(Dashboard!$F$6="All",G5676=Dashboard!$F$6),OR(Dashboard!$I$6="All",H5676=Dashboard!$I$6)),1,0)</f>
        <v/>
      </c>
    </row>
    <row r="5677">
      <c r="A5677" t="inlineStr">
        <is>
          <t>PF105668</t>
        </is>
      </c>
      <c r="B5677" s="68" t="n">
        <v>46345</v>
      </c>
      <c r="C5677" s="69" t="n">
        <v>2026</v>
      </c>
      <c r="D5677" t="inlineStr">
        <is>
          <t>Nov</t>
        </is>
      </c>
      <c r="E5677" t="inlineStr">
        <is>
          <t>United States</t>
        </is>
      </c>
      <c r="F5677" t="inlineStr">
        <is>
          <t>USA</t>
        </is>
      </c>
      <c r="G5677" t="inlineStr">
        <is>
          <t>Eliquis</t>
        </is>
      </c>
      <c r="H5677" t="inlineStr">
        <is>
          <t>Retail pharmacy</t>
        </is>
      </c>
      <c r="I5677" t="inlineStr">
        <is>
          <t>Public payer</t>
        </is>
      </c>
      <c r="J5677" t="inlineStr">
        <is>
          <t>Aisha Bello</t>
        </is>
      </c>
      <c r="K5677" s="70" t="n">
        <v>1009</v>
      </c>
      <c r="L5677" s="71" t="n">
        <v>759.49</v>
      </c>
      <c r="M5677" s="71" t="n">
        <v>766325.41</v>
      </c>
      <c r="N5677" s="71" t="n">
        <v>191581.35</v>
      </c>
      <c r="O5677" s="71" t="n">
        <v>574744.0600000001</v>
      </c>
      <c r="P5677" s="71" t="n">
        <v>74125.3</v>
      </c>
      <c r="Q5677" s="71" t="n">
        <v>500618.76</v>
      </c>
      <c r="R5677" t="inlineStr">
        <is>
          <t>Cardiology</t>
        </is>
      </c>
      <c r="S5677" s="70" t="n">
        <v>789</v>
      </c>
      <c r="T5677" s="71" t="n">
        <v>92938.53</v>
      </c>
      <c r="U5677" t="inlineStr">
        <is>
          <t>High</t>
        </is>
      </c>
      <c r="V5677">
        <f>IF(AND(OR(Dashboard!$C$6="All",E5677=Dashboard!$C$6),OR(Dashboard!$F$6="All",G5677=Dashboard!$F$6),OR(Dashboard!$I$6="All",H5677=Dashboard!$I$6)),1,0)</f>
        <v/>
      </c>
    </row>
    <row r="5678">
      <c r="A5678" t="inlineStr">
        <is>
          <t>PF105669</t>
        </is>
      </c>
      <c r="B5678" s="68" t="n">
        <v>46345</v>
      </c>
      <c r="C5678" s="69" t="n">
        <v>2026</v>
      </c>
      <c r="D5678" t="inlineStr">
        <is>
          <t>Nov</t>
        </is>
      </c>
      <c r="E5678" t="inlineStr">
        <is>
          <t>Europe</t>
        </is>
      </c>
      <c r="F5678" t="inlineStr">
        <is>
          <t>Germany</t>
        </is>
      </c>
      <c r="G5678" t="inlineStr">
        <is>
          <t>Eliquis</t>
        </is>
      </c>
      <c r="H5678" t="inlineStr">
        <is>
          <t>Retail pharmacy</t>
        </is>
      </c>
      <c r="I5678" t="inlineStr">
        <is>
          <t>Public payer</t>
        </is>
      </c>
      <c r="J5678" t="inlineStr">
        <is>
          <t>Sara Rossi</t>
        </is>
      </c>
      <c r="K5678" s="70" t="n">
        <v>730</v>
      </c>
      <c r="L5678" s="71" t="n">
        <v>396.5</v>
      </c>
      <c r="M5678" s="71" t="n">
        <v>289445</v>
      </c>
      <c r="N5678" s="71" t="n">
        <v>28944.5</v>
      </c>
      <c r="O5678" s="71" t="n">
        <v>260500.5</v>
      </c>
      <c r="P5678" s="71" t="n">
        <v>55840.84</v>
      </c>
      <c r="Q5678" s="71" t="n">
        <v>204659.66</v>
      </c>
      <c r="R5678" t="inlineStr">
        <is>
          <t>Cardiology</t>
        </is>
      </c>
      <c r="S5678" s="70" t="n">
        <v>568</v>
      </c>
      <c r="T5678" s="71" t="n">
        <v>60147.6</v>
      </c>
      <c r="U5678" t="inlineStr">
        <is>
          <t>High</t>
        </is>
      </c>
      <c r="V5678">
        <f>IF(AND(OR(Dashboard!$C$6="All",E5678=Dashboard!$C$6),OR(Dashboard!$F$6="All",G5678=Dashboard!$F$6),OR(Dashboard!$I$6="All",H5678=Dashboard!$I$6)),1,0)</f>
        <v/>
      </c>
    </row>
    <row r="5679">
      <c r="A5679" t="inlineStr">
        <is>
          <t>PF105670</t>
        </is>
      </c>
      <c r="B5679" s="68" t="n">
        <v>46345</v>
      </c>
      <c r="C5679" s="69" t="n">
        <v>2026</v>
      </c>
      <c r="D5679" t="inlineStr">
        <is>
          <t>Nov</t>
        </is>
      </c>
      <c r="E5679" t="inlineStr">
        <is>
          <t>Europe</t>
        </is>
      </c>
      <c r="F5679" t="inlineStr">
        <is>
          <t>Germany</t>
        </is>
      </c>
      <c r="G5679" t="inlineStr">
        <is>
          <t>Prevnar 20</t>
        </is>
      </c>
      <c r="H5679" t="inlineStr">
        <is>
          <t>Retail pharmacy</t>
        </is>
      </c>
      <c r="I5679" t="inlineStr">
        <is>
          <t>Self-pay</t>
        </is>
      </c>
      <c r="J5679" t="inlineStr">
        <is>
          <t>Zoya Ahmed</t>
        </is>
      </c>
      <c r="K5679" s="70" t="n">
        <v>2066</v>
      </c>
      <c r="L5679" s="71" t="n">
        <v>230.24</v>
      </c>
      <c r="M5679" s="71" t="n">
        <v>475675.84</v>
      </c>
      <c r="N5679" s="71" t="n">
        <v>47567.58</v>
      </c>
      <c r="O5679" s="71" t="n">
        <v>428108.26</v>
      </c>
      <c r="P5679" s="71" t="n">
        <v>145333.32</v>
      </c>
      <c r="Q5679" s="71" t="n">
        <v>282774.94</v>
      </c>
      <c r="R5679" t="inlineStr">
        <is>
          <t>Vaccines</t>
        </is>
      </c>
      <c r="S5679" s="70" t="n">
        <v>1924</v>
      </c>
      <c r="T5679" s="71" t="n">
        <v>97269.97</v>
      </c>
      <c r="U5679" t="inlineStr">
        <is>
          <t>Low</t>
        </is>
      </c>
      <c r="V5679">
        <f>IF(AND(OR(Dashboard!$C$6="All",E5679=Dashboard!$C$6),OR(Dashboard!$F$6="All",G5679=Dashboard!$F$6),OR(Dashboard!$I$6="All",H5679=Dashboard!$I$6)),1,0)</f>
        <v/>
      </c>
    </row>
    <row r="5680">
      <c r="A5680" t="inlineStr">
        <is>
          <t>PF105671</t>
        </is>
      </c>
      <c r="B5680" s="68" t="n">
        <v>46345</v>
      </c>
      <c r="C5680" s="69" t="n">
        <v>2026</v>
      </c>
      <c r="D5680" t="inlineStr">
        <is>
          <t>Nov</t>
        </is>
      </c>
      <c r="E5680" t="inlineStr">
        <is>
          <t>Emerging markets</t>
        </is>
      </c>
      <c r="F5680" t="inlineStr">
        <is>
          <t>Brazil</t>
        </is>
      </c>
      <c r="G5680" t="inlineStr">
        <is>
          <t>Eliquis</t>
        </is>
      </c>
      <c r="H5680" t="inlineStr">
        <is>
          <t>Retail pharmacy</t>
        </is>
      </c>
      <c r="I5680" t="inlineStr">
        <is>
          <t>Public payer</t>
        </is>
      </c>
      <c r="J5680" t="inlineStr">
        <is>
          <t>Olivia Brown</t>
        </is>
      </c>
      <c r="K5680" s="70" t="n">
        <v>383</v>
      </c>
      <c r="L5680" s="71" t="n">
        <v>461.09</v>
      </c>
      <c r="M5680" s="71" t="n">
        <v>176597.47</v>
      </c>
      <c r="N5680" s="71" t="n">
        <v>35319.49</v>
      </c>
      <c r="O5680" s="71" t="n">
        <v>141277.98</v>
      </c>
      <c r="P5680" s="71" t="n">
        <v>29031.05</v>
      </c>
      <c r="Q5680" s="71" t="n">
        <v>112246.93</v>
      </c>
      <c r="R5680" t="inlineStr">
        <is>
          <t>Cardiology</t>
        </is>
      </c>
      <c r="S5680" s="70" t="n">
        <v>299</v>
      </c>
      <c r="T5680" s="71" t="n">
        <v>28379.87</v>
      </c>
      <c r="U5680" t="inlineStr">
        <is>
          <t>High</t>
        </is>
      </c>
      <c r="V5680">
        <f>IF(AND(OR(Dashboard!$C$6="All",E5680=Dashboard!$C$6),OR(Dashboard!$F$6="All",G5680=Dashboard!$F$6),OR(Dashboard!$I$6="All",H5680=Dashboard!$I$6)),1,0)</f>
        <v/>
      </c>
    </row>
    <row r="5681">
      <c r="A5681" t="inlineStr">
        <is>
          <t>PF105672</t>
        </is>
      </c>
      <c r="B5681" s="68" t="n">
        <v>46345</v>
      </c>
      <c r="C5681" s="69" t="n">
        <v>2026</v>
      </c>
      <c r="D5681" t="inlineStr">
        <is>
          <t>Nov</t>
        </is>
      </c>
      <c r="E5681" t="inlineStr">
        <is>
          <t>United States</t>
        </is>
      </c>
      <c r="F5681" t="inlineStr">
        <is>
          <t>USA</t>
        </is>
      </c>
      <c r="G5681" t="inlineStr">
        <is>
          <t>Vyndaqel</t>
        </is>
      </c>
      <c r="H5681" t="inlineStr">
        <is>
          <t>Hospital</t>
        </is>
      </c>
      <c r="I5681" t="inlineStr">
        <is>
          <t>Private insurer</t>
        </is>
      </c>
      <c r="J5681" t="inlineStr">
        <is>
          <t>Mei Lin</t>
        </is>
      </c>
      <c r="K5681" s="70" t="n">
        <v>234</v>
      </c>
      <c r="L5681" s="71" t="n">
        <v>9497.360000000001</v>
      </c>
      <c r="M5681" s="71" t="n">
        <v>2222382.24</v>
      </c>
      <c r="N5681" s="71" t="n">
        <v>555595.5600000001</v>
      </c>
      <c r="O5681" s="71" t="n">
        <v>1666786.68</v>
      </c>
      <c r="P5681" s="71" t="n">
        <v>143659.53</v>
      </c>
      <c r="Q5681" s="71" t="n">
        <v>1523127.15</v>
      </c>
      <c r="R5681" t="inlineStr">
        <is>
          <t>Rare disease</t>
        </is>
      </c>
      <c r="S5681" s="70" t="n">
        <v>207</v>
      </c>
      <c r="T5681" s="71" t="n">
        <v>299418.79</v>
      </c>
      <c r="U5681" t="inlineStr">
        <is>
          <t>Medium</t>
        </is>
      </c>
      <c r="V5681">
        <f>IF(AND(OR(Dashboard!$C$6="All",E5681=Dashboard!$C$6),OR(Dashboard!$F$6="All",G5681=Dashboard!$F$6),OR(Dashboard!$I$6="All",H5681=Dashboard!$I$6)),1,0)</f>
        <v/>
      </c>
    </row>
    <row r="5682">
      <c r="A5682" t="inlineStr">
        <is>
          <t>PF105673</t>
        </is>
      </c>
      <c r="B5682" s="68" t="n">
        <v>46345</v>
      </c>
      <c r="C5682" s="69" t="n">
        <v>2026</v>
      </c>
      <c r="D5682" t="inlineStr">
        <is>
          <t>Nov</t>
        </is>
      </c>
      <c r="E5682" t="inlineStr">
        <is>
          <t>Emerging markets</t>
        </is>
      </c>
      <c r="F5682" t="inlineStr">
        <is>
          <t>India</t>
        </is>
      </c>
      <c r="G5682" t="inlineStr">
        <is>
          <t>Ibrance</t>
        </is>
      </c>
      <c r="H5682" t="inlineStr">
        <is>
          <t>Government / tender</t>
        </is>
      </c>
      <c r="I5682" t="inlineStr">
        <is>
          <t>Self-pay</t>
        </is>
      </c>
      <c r="J5682" t="inlineStr">
        <is>
          <t>Hiroshi Tanaka</t>
        </is>
      </c>
      <c r="K5682" s="70" t="n">
        <v>1683</v>
      </c>
      <c r="L5682" s="71" t="n">
        <v>2806.08</v>
      </c>
      <c r="M5682" s="71" t="n">
        <v>4722632.64</v>
      </c>
      <c r="N5682" s="71" t="n">
        <v>944526.53</v>
      </c>
      <c r="O5682" s="71" t="n">
        <v>3778106.11</v>
      </c>
      <c r="P5682" s="71" t="n">
        <v>737142.65</v>
      </c>
      <c r="Q5682" s="71" t="n">
        <v>3040963.46</v>
      </c>
      <c r="R5682" t="inlineStr">
        <is>
          <t>Oncology</t>
        </is>
      </c>
      <c r="S5682" s="70" t="n">
        <v>1098</v>
      </c>
      <c r="T5682" s="71" t="n">
        <v>781403.6</v>
      </c>
      <c r="U5682" t="inlineStr">
        <is>
          <t>High</t>
        </is>
      </c>
      <c r="V5682">
        <f>IF(AND(OR(Dashboard!$C$6="All",E5682=Dashboard!$C$6),OR(Dashboard!$F$6="All",G5682=Dashboard!$F$6),OR(Dashboard!$I$6="All",H5682=Dashboard!$I$6)),1,0)</f>
        <v/>
      </c>
    </row>
    <row r="5683">
      <c r="A5683" t="inlineStr">
        <is>
          <t>PF105674</t>
        </is>
      </c>
      <c r="B5683" s="68" t="n">
        <v>46345</v>
      </c>
      <c r="C5683" s="69" t="n">
        <v>2026</v>
      </c>
      <c r="D5683" t="inlineStr">
        <is>
          <t>Nov</t>
        </is>
      </c>
      <c r="E5683" t="inlineStr">
        <is>
          <t>Europe</t>
        </is>
      </c>
      <c r="F5683" t="inlineStr">
        <is>
          <t>UK</t>
        </is>
      </c>
      <c r="G5683" t="inlineStr">
        <is>
          <t>Abrysvo</t>
        </is>
      </c>
      <c r="H5683" t="inlineStr">
        <is>
          <t>Hospital</t>
        </is>
      </c>
      <c r="I5683" t="inlineStr">
        <is>
          <t>Private insurer</t>
        </is>
      </c>
      <c r="J5683" t="inlineStr">
        <is>
          <t>Wei Chen</t>
        </is>
      </c>
      <c r="K5683" s="70" t="n">
        <v>1432</v>
      </c>
      <c r="L5683" s="71" t="n">
        <v>292.42</v>
      </c>
      <c r="M5683" s="71" t="n">
        <v>418745.44</v>
      </c>
      <c r="N5683" s="71" t="n">
        <v>62811.82</v>
      </c>
      <c r="O5683" s="71" t="n">
        <v>355933.62</v>
      </c>
      <c r="P5683" s="71" t="n">
        <v>124752.61</v>
      </c>
      <c r="Q5683" s="71" t="n">
        <v>231181.01</v>
      </c>
      <c r="R5683" t="inlineStr">
        <is>
          <t>Vaccines</t>
        </is>
      </c>
      <c r="S5683" s="70" t="n">
        <v>1413</v>
      </c>
      <c r="T5683" s="71" t="n">
        <v>76029.95</v>
      </c>
      <c r="U5683" t="inlineStr">
        <is>
          <t>Low</t>
        </is>
      </c>
      <c r="V5683">
        <f>IF(AND(OR(Dashboard!$C$6="All",E5683=Dashboard!$C$6),OR(Dashboard!$F$6="All",G5683=Dashboard!$F$6),OR(Dashboard!$I$6="All",H5683=Dashboard!$I$6)),1,0)</f>
        <v/>
      </c>
    </row>
    <row r="5684">
      <c r="A5684" t="inlineStr">
        <is>
          <t>PF105675</t>
        </is>
      </c>
      <c r="B5684" s="68" t="n">
        <v>46346</v>
      </c>
      <c r="C5684" s="69" t="n">
        <v>2026</v>
      </c>
      <c r="D5684" t="inlineStr">
        <is>
          <t>Nov</t>
        </is>
      </c>
      <c r="E5684" t="inlineStr">
        <is>
          <t>Europe</t>
        </is>
      </c>
      <c r="F5684" t="inlineStr">
        <is>
          <t>Spain</t>
        </is>
      </c>
      <c r="G5684" t="inlineStr">
        <is>
          <t>Eliquis</t>
        </is>
      </c>
      <c r="H5684" t="inlineStr">
        <is>
          <t>Government / tender</t>
        </is>
      </c>
      <c r="I5684" t="inlineStr">
        <is>
          <t>Private insurer</t>
        </is>
      </c>
      <c r="J5684" t="inlineStr">
        <is>
          <t>Kofi Mensah</t>
        </is>
      </c>
      <c r="K5684" s="70" t="n">
        <v>439</v>
      </c>
      <c r="L5684" s="71" t="n">
        <v>445.65</v>
      </c>
      <c r="M5684" s="71" t="n">
        <v>195640.35</v>
      </c>
      <c r="N5684" s="71" t="n">
        <v>19564.03</v>
      </c>
      <c r="O5684" s="71" t="n">
        <v>176076.32</v>
      </c>
      <c r="P5684" s="71" t="n">
        <v>32535.7</v>
      </c>
      <c r="Q5684" s="71" t="n">
        <v>143540.62</v>
      </c>
      <c r="R5684" t="inlineStr">
        <is>
          <t>Cardiology</t>
        </is>
      </c>
      <c r="S5684" s="70" t="n">
        <v>328</v>
      </c>
      <c r="T5684" s="71" t="n">
        <v>38866.33</v>
      </c>
      <c r="U5684" t="inlineStr">
        <is>
          <t>High</t>
        </is>
      </c>
      <c r="V5684">
        <f>IF(AND(OR(Dashboard!$C$6="All",E5684=Dashboard!$C$6),OR(Dashboard!$F$6="All",G5684=Dashboard!$F$6),OR(Dashboard!$I$6="All",H5684=Dashboard!$I$6)),1,0)</f>
        <v/>
      </c>
    </row>
    <row r="5685">
      <c r="A5685" t="inlineStr">
        <is>
          <t>PF105676</t>
        </is>
      </c>
      <c r="B5685" s="68" t="n">
        <v>46346</v>
      </c>
      <c r="C5685" s="69" t="n">
        <v>2026</v>
      </c>
      <c r="D5685" t="inlineStr">
        <is>
          <t>Nov</t>
        </is>
      </c>
      <c r="E5685" t="inlineStr">
        <is>
          <t>Europe</t>
        </is>
      </c>
      <c r="F5685" t="inlineStr">
        <is>
          <t>Germany</t>
        </is>
      </c>
      <c r="G5685" t="inlineStr">
        <is>
          <t>Vyndaqel</t>
        </is>
      </c>
      <c r="H5685" t="inlineStr">
        <is>
          <t>Government / tender</t>
        </is>
      </c>
      <c r="I5685" t="inlineStr">
        <is>
          <t>Private insurer</t>
        </is>
      </c>
      <c r="J5685" t="inlineStr">
        <is>
          <t>Noah Smith</t>
        </is>
      </c>
      <c r="K5685" s="70" t="n">
        <v>2194</v>
      </c>
      <c r="L5685" s="71" t="n">
        <v>5749.33</v>
      </c>
      <c r="M5685" s="71" t="n">
        <v>12614030.02</v>
      </c>
      <c r="N5685" s="71" t="n">
        <v>630701.5</v>
      </c>
      <c r="O5685" s="71" t="n">
        <v>11983328.52</v>
      </c>
      <c r="P5685" s="71" t="n">
        <v>1399711.47</v>
      </c>
      <c r="Q5685" s="71" t="n">
        <v>10583617.05</v>
      </c>
      <c r="R5685" t="inlineStr">
        <is>
          <t>Rare disease</t>
        </is>
      </c>
      <c r="S5685" s="70" t="n">
        <v>1630</v>
      </c>
      <c r="T5685" s="71" t="n">
        <v>1832071.07</v>
      </c>
      <c r="U5685" t="inlineStr">
        <is>
          <t>Medium</t>
        </is>
      </c>
      <c r="V5685">
        <f>IF(AND(OR(Dashboard!$C$6="All",E5685=Dashboard!$C$6),OR(Dashboard!$F$6="All",G5685=Dashboard!$F$6),OR(Dashboard!$I$6="All",H5685=Dashboard!$I$6)),1,0)</f>
        <v/>
      </c>
    </row>
    <row r="5686">
      <c r="A5686" t="inlineStr">
        <is>
          <t>PF105677</t>
        </is>
      </c>
      <c r="B5686" s="68" t="n">
        <v>46346</v>
      </c>
      <c r="C5686" s="69" t="n">
        <v>2026</v>
      </c>
      <c r="D5686" t="inlineStr">
        <is>
          <t>Nov</t>
        </is>
      </c>
      <c r="E5686" t="inlineStr">
        <is>
          <t>International developed</t>
        </is>
      </c>
      <c r="F5686" t="inlineStr">
        <is>
          <t>Canada</t>
        </is>
      </c>
      <c r="G5686" t="inlineStr">
        <is>
          <t>Xeljanz</t>
        </is>
      </c>
      <c r="H5686" t="inlineStr">
        <is>
          <t>Hospital</t>
        </is>
      </c>
      <c r="I5686" t="inlineStr">
        <is>
          <t>Public payer</t>
        </is>
      </c>
      <c r="J5686" t="inlineStr">
        <is>
          <t>Olivia Brown</t>
        </is>
      </c>
      <c r="K5686" s="70" t="n">
        <v>3156</v>
      </c>
      <c r="L5686" s="71" t="n">
        <v>1257.44</v>
      </c>
      <c r="M5686" s="71" t="n">
        <v>3968480.64</v>
      </c>
      <c r="N5686" s="71" t="n">
        <v>793696.13</v>
      </c>
      <c r="O5686" s="71" t="n">
        <v>3174784.51</v>
      </c>
      <c r="P5686" s="71" t="n">
        <v>770015.36</v>
      </c>
      <c r="Q5686" s="71" t="n">
        <v>2404769.15</v>
      </c>
      <c r="R5686" t="inlineStr">
        <is>
          <t>Inflammation</t>
        </is>
      </c>
      <c r="S5686" s="70" t="n">
        <v>2624</v>
      </c>
      <c r="T5686" s="71" t="n">
        <v>887613.36</v>
      </c>
      <c r="U5686" t="inlineStr">
        <is>
          <t>High</t>
        </is>
      </c>
      <c r="V5686">
        <f>IF(AND(OR(Dashboard!$C$6="All",E5686=Dashboard!$C$6),OR(Dashboard!$F$6="All",G5686=Dashboard!$F$6),OR(Dashboard!$I$6="All",H5686=Dashboard!$I$6)),1,0)</f>
        <v/>
      </c>
    </row>
    <row r="5687">
      <c r="A5687" t="inlineStr">
        <is>
          <t>PF105678</t>
        </is>
      </c>
      <c r="B5687" s="68" t="n">
        <v>46346</v>
      </c>
      <c r="C5687" s="69" t="n">
        <v>2026</v>
      </c>
      <c r="D5687" t="inlineStr">
        <is>
          <t>Nov</t>
        </is>
      </c>
      <c r="E5687" t="inlineStr">
        <is>
          <t>United States</t>
        </is>
      </c>
      <c r="F5687" t="inlineStr">
        <is>
          <t>USA</t>
        </is>
      </c>
      <c r="G5687" t="inlineStr">
        <is>
          <t>Vyndaqel</t>
        </is>
      </c>
      <c r="H5687" t="inlineStr">
        <is>
          <t>Retail pharmacy</t>
        </is>
      </c>
      <c r="I5687" t="inlineStr">
        <is>
          <t>Self-pay</t>
        </is>
      </c>
      <c r="J5687" t="inlineStr">
        <is>
          <t>Liam O'Brien</t>
        </is>
      </c>
      <c r="K5687" s="70" t="n">
        <v>2858</v>
      </c>
      <c r="L5687" s="71" t="n">
        <v>8317.889999999999</v>
      </c>
      <c r="M5687" s="71" t="n">
        <v>23772529.62</v>
      </c>
      <c r="N5687" s="71" t="n">
        <v>4754505.92</v>
      </c>
      <c r="O5687" s="71" t="n">
        <v>19018023.7</v>
      </c>
      <c r="P5687" s="71" t="n">
        <v>1844542.9</v>
      </c>
      <c r="Q5687" s="71" t="n">
        <v>17173480.8</v>
      </c>
      <c r="R5687" t="inlineStr">
        <is>
          <t>Rare disease</t>
        </is>
      </c>
      <c r="S5687" s="70" t="n">
        <v>2145</v>
      </c>
      <c r="T5687" s="71" t="n">
        <v>3915419.33</v>
      </c>
      <c r="U5687" t="inlineStr">
        <is>
          <t>Medium</t>
        </is>
      </c>
      <c r="V5687">
        <f>IF(AND(OR(Dashboard!$C$6="All",E5687=Dashboard!$C$6),OR(Dashboard!$F$6="All",G5687=Dashboard!$F$6),OR(Dashboard!$I$6="All",H5687=Dashboard!$I$6)),1,0)</f>
        <v/>
      </c>
    </row>
    <row r="5688">
      <c r="A5688" t="inlineStr">
        <is>
          <t>PF105679</t>
        </is>
      </c>
      <c r="B5688" s="68" t="n">
        <v>46347</v>
      </c>
      <c r="C5688" s="69" t="n">
        <v>2026</v>
      </c>
      <c r="D5688" t="inlineStr">
        <is>
          <t>Nov</t>
        </is>
      </c>
      <c r="E5688" t="inlineStr">
        <is>
          <t>Europe</t>
        </is>
      </c>
      <c r="F5688" t="inlineStr">
        <is>
          <t>UK</t>
        </is>
      </c>
      <c r="G5688" t="inlineStr">
        <is>
          <t>Abrysvo</t>
        </is>
      </c>
      <c r="H5688" t="inlineStr">
        <is>
          <t>Hospital</t>
        </is>
      </c>
      <c r="I5688" t="inlineStr">
        <is>
          <t>Public payer</t>
        </is>
      </c>
      <c r="J5688" t="inlineStr">
        <is>
          <t>Wei Chen</t>
        </is>
      </c>
      <c r="K5688" s="70" t="n">
        <v>3452</v>
      </c>
      <c r="L5688" s="71" t="n">
        <v>317.04</v>
      </c>
      <c r="M5688" s="71" t="n">
        <v>1094422.08</v>
      </c>
      <c r="N5688" s="71" t="n">
        <v>273605.52</v>
      </c>
      <c r="O5688" s="71" t="n">
        <v>820816.5600000001</v>
      </c>
      <c r="P5688" s="71" t="n">
        <v>301440.31</v>
      </c>
      <c r="Q5688" s="71" t="n">
        <v>519376.25</v>
      </c>
      <c r="R5688" t="inlineStr">
        <is>
          <t>Vaccines</t>
        </is>
      </c>
      <c r="S5688" s="70" t="n">
        <v>3105</v>
      </c>
      <c r="T5688" s="71" t="n">
        <v>155797.85</v>
      </c>
      <c r="U5688" t="inlineStr">
        <is>
          <t>Low</t>
        </is>
      </c>
      <c r="V5688">
        <f>IF(AND(OR(Dashboard!$C$6="All",E5688=Dashboard!$C$6),OR(Dashboard!$F$6="All",G5688=Dashboard!$F$6),OR(Dashboard!$I$6="All",H5688=Dashboard!$I$6)),1,0)</f>
        <v/>
      </c>
    </row>
    <row r="5689">
      <c r="A5689" t="inlineStr">
        <is>
          <t>PF105680</t>
        </is>
      </c>
      <c r="B5689" s="68" t="n">
        <v>46347</v>
      </c>
      <c r="C5689" s="69" t="n">
        <v>2026</v>
      </c>
      <c r="D5689" t="inlineStr">
        <is>
          <t>Nov</t>
        </is>
      </c>
      <c r="E5689" t="inlineStr">
        <is>
          <t>United States</t>
        </is>
      </c>
      <c r="F5689" t="inlineStr">
        <is>
          <t>USA</t>
        </is>
      </c>
      <c r="G5689" t="inlineStr">
        <is>
          <t>Comirnaty</t>
        </is>
      </c>
      <c r="H5689" t="inlineStr">
        <is>
          <t>Hospital</t>
        </is>
      </c>
      <c r="I5689" t="inlineStr">
        <is>
          <t>Private insurer</t>
        </is>
      </c>
      <c r="J5689" t="inlineStr">
        <is>
          <t>Sophie Müller</t>
        </is>
      </c>
      <c r="K5689" s="70" t="n">
        <v>78</v>
      </c>
      <c r="L5689" s="71" t="n">
        <v>139.03</v>
      </c>
      <c r="M5689" s="71" t="n">
        <v>10844.34</v>
      </c>
      <c r="N5689" s="71" t="n">
        <v>2168.87</v>
      </c>
      <c r="O5689" s="71" t="n">
        <v>8675.469999999999</v>
      </c>
      <c r="P5689" s="71" t="n">
        <v>3016.79</v>
      </c>
      <c r="Q5689" s="71" t="n">
        <v>5658.68</v>
      </c>
      <c r="R5689" t="inlineStr">
        <is>
          <t>Vaccines</t>
        </is>
      </c>
      <c r="S5689" s="70" t="n">
        <v>68</v>
      </c>
      <c r="T5689" s="71" t="n">
        <v>2244.57</v>
      </c>
      <c r="U5689" t="inlineStr">
        <is>
          <t>Low</t>
        </is>
      </c>
      <c r="V5689">
        <f>IF(AND(OR(Dashboard!$C$6="All",E5689=Dashboard!$C$6),OR(Dashboard!$F$6="All",G5689=Dashboard!$F$6),OR(Dashboard!$I$6="All",H5689=Dashboard!$I$6)),1,0)</f>
        <v/>
      </c>
    </row>
    <row r="5690">
      <c r="A5690" t="inlineStr">
        <is>
          <t>PF105681</t>
        </is>
      </c>
      <c r="B5690" s="68" t="n">
        <v>46347</v>
      </c>
      <c r="C5690" s="69" t="n">
        <v>2026</v>
      </c>
      <c r="D5690" t="inlineStr">
        <is>
          <t>Nov</t>
        </is>
      </c>
      <c r="E5690" t="inlineStr">
        <is>
          <t>Europe</t>
        </is>
      </c>
      <c r="F5690" t="inlineStr">
        <is>
          <t>UK</t>
        </is>
      </c>
      <c r="G5690" t="inlineStr">
        <is>
          <t>Prevnar 20</t>
        </is>
      </c>
      <c r="H5690" t="inlineStr">
        <is>
          <t>Government / tender</t>
        </is>
      </c>
      <c r="I5690" t="inlineStr">
        <is>
          <t>Public payer</t>
        </is>
      </c>
      <c r="J5690" t="inlineStr">
        <is>
          <t>Olivia Brown</t>
        </is>
      </c>
      <c r="K5690" s="70" t="n">
        <v>2904</v>
      </c>
      <c r="L5690" s="71" t="n">
        <v>215.56</v>
      </c>
      <c r="M5690" s="71" t="n">
        <v>625986.24</v>
      </c>
      <c r="N5690" s="71" t="n">
        <v>31299.31</v>
      </c>
      <c r="O5690" s="71" t="n">
        <v>594686.9300000001</v>
      </c>
      <c r="P5690" s="71" t="n">
        <v>196849.51</v>
      </c>
      <c r="Q5690" s="71" t="n">
        <v>397837.42</v>
      </c>
      <c r="R5690" t="inlineStr">
        <is>
          <t>Vaccines</t>
        </is>
      </c>
      <c r="S5690" s="70" t="n">
        <v>1999</v>
      </c>
      <c r="T5690" s="71" t="n">
        <v>82389.36</v>
      </c>
      <c r="U5690" t="inlineStr">
        <is>
          <t>Low</t>
        </is>
      </c>
      <c r="V5690">
        <f>IF(AND(OR(Dashboard!$C$6="All",E5690=Dashboard!$C$6),OR(Dashboard!$F$6="All",G5690=Dashboard!$F$6),OR(Dashboard!$I$6="All",H5690=Dashboard!$I$6)),1,0)</f>
        <v/>
      </c>
    </row>
    <row r="5691">
      <c r="A5691" t="inlineStr">
        <is>
          <t>PF105682</t>
        </is>
      </c>
      <c r="B5691" s="68" t="n">
        <v>46347</v>
      </c>
      <c r="C5691" s="69" t="n">
        <v>2026</v>
      </c>
      <c r="D5691" t="inlineStr">
        <is>
          <t>Nov</t>
        </is>
      </c>
      <c r="E5691" t="inlineStr">
        <is>
          <t>United States</t>
        </is>
      </c>
      <c r="F5691" t="inlineStr">
        <is>
          <t>USA</t>
        </is>
      </c>
      <c r="G5691" t="inlineStr">
        <is>
          <t>Vyndaqel</t>
        </is>
      </c>
      <c r="H5691" t="inlineStr">
        <is>
          <t>Government / tender</t>
        </is>
      </c>
      <c r="I5691" t="inlineStr">
        <is>
          <t>Private insurer</t>
        </is>
      </c>
      <c r="J5691" t="inlineStr">
        <is>
          <t>Ruhi Shaikh</t>
        </is>
      </c>
      <c r="K5691" s="70" t="n">
        <v>196</v>
      </c>
      <c r="L5691" s="71" t="n">
        <v>8348.59</v>
      </c>
      <c r="M5691" s="71" t="n">
        <v>1636323.64</v>
      </c>
      <c r="N5691" s="71" t="n">
        <v>327264.73</v>
      </c>
      <c r="O5691" s="71" t="n">
        <v>1309058.91</v>
      </c>
      <c r="P5691" s="71" t="n">
        <v>122032.49</v>
      </c>
      <c r="Q5691" s="71" t="n">
        <v>1187026.42</v>
      </c>
      <c r="R5691" t="inlineStr">
        <is>
          <t>Rare disease</t>
        </is>
      </c>
      <c r="S5691" s="70" t="n">
        <v>128</v>
      </c>
      <c r="T5691" s="71" t="n">
        <v>314278.66</v>
      </c>
      <c r="U5691" t="inlineStr">
        <is>
          <t>Medium</t>
        </is>
      </c>
      <c r="V5691">
        <f>IF(AND(OR(Dashboard!$C$6="All",E5691=Dashboard!$C$6),OR(Dashboard!$F$6="All",G5691=Dashboard!$F$6),OR(Dashboard!$I$6="All",H5691=Dashboard!$I$6)),1,0)</f>
        <v/>
      </c>
    </row>
    <row r="5692">
      <c r="A5692" t="inlineStr">
        <is>
          <t>PF105683</t>
        </is>
      </c>
      <c r="B5692" s="68" t="n">
        <v>46347</v>
      </c>
      <c r="C5692" s="69" t="n">
        <v>2026</v>
      </c>
      <c r="D5692" t="inlineStr">
        <is>
          <t>Nov</t>
        </is>
      </c>
      <c r="E5692" t="inlineStr">
        <is>
          <t>Europe</t>
        </is>
      </c>
      <c r="F5692" t="inlineStr">
        <is>
          <t>UK</t>
        </is>
      </c>
      <c r="G5692" t="inlineStr">
        <is>
          <t>Eliquis</t>
        </is>
      </c>
      <c r="H5692" t="inlineStr">
        <is>
          <t>Retail pharmacy</t>
        </is>
      </c>
      <c r="I5692" t="inlineStr">
        <is>
          <t>Private insurer</t>
        </is>
      </c>
      <c r="J5692" t="inlineStr">
        <is>
          <t>Liam O'Brien</t>
        </is>
      </c>
      <c r="K5692" s="70" t="n">
        <v>2672</v>
      </c>
      <c r="L5692" s="71" t="n">
        <v>429.19</v>
      </c>
      <c r="M5692" s="71" t="n">
        <v>1146795.68</v>
      </c>
      <c r="N5692" s="71" t="n">
        <v>114679.57</v>
      </c>
      <c r="O5692" s="71" t="n">
        <v>1032116.11</v>
      </c>
      <c r="P5692" s="71" t="n">
        <v>197809.24</v>
      </c>
      <c r="Q5692" s="71" t="n">
        <v>834306.87</v>
      </c>
      <c r="R5692" t="inlineStr">
        <is>
          <t>Cardiology</t>
        </is>
      </c>
      <c r="S5692" s="70" t="n">
        <v>1922</v>
      </c>
      <c r="T5692" s="71" t="n">
        <v>220339.58</v>
      </c>
      <c r="U5692" t="inlineStr">
        <is>
          <t>High</t>
        </is>
      </c>
      <c r="V5692">
        <f>IF(AND(OR(Dashboard!$C$6="All",E5692=Dashboard!$C$6),OR(Dashboard!$F$6="All",G5692=Dashboard!$F$6),OR(Dashboard!$I$6="All",H5692=Dashboard!$I$6)),1,0)</f>
        <v/>
      </c>
    </row>
    <row r="5693">
      <c r="A5693" t="inlineStr">
        <is>
          <t>PF105684</t>
        </is>
      </c>
      <c r="B5693" s="68" t="n">
        <v>46347</v>
      </c>
      <c r="C5693" s="69" t="n">
        <v>2026</v>
      </c>
      <c r="D5693" t="inlineStr">
        <is>
          <t>Nov</t>
        </is>
      </c>
      <c r="E5693" t="inlineStr">
        <is>
          <t>International developed</t>
        </is>
      </c>
      <c r="F5693" t="inlineStr">
        <is>
          <t>Japan</t>
        </is>
      </c>
      <c r="G5693" t="inlineStr">
        <is>
          <t>Eliquis</t>
        </is>
      </c>
      <c r="H5693" t="inlineStr">
        <is>
          <t>Hospital</t>
        </is>
      </c>
      <c r="I5693" t="inlineStr">
        <is>
          <t>Self-pay</t>
        </is>
      </c>
      <c r="J5693" t="inlineStr">
        <is>
          <t>Sophie Müller</t>
        </is>
      </c>
      <c r="K5693" s="70" t="n">
        <v>2279</v>
      </c>
      <c r="L5693" s="71" t="n">
        <v>393.2</v>
      </c>
      <c r="M5693" s="71" t="n">
        <v>896102.8</v>
      </c>
      <c r="N5693" s="71" t="n">
        <v>134415.42</v>
      </c>
      <c r="O5693" s="71" t="n">
        <v>761687.38</v>
      </c>
      <c r="P5693" s="71" t="n">
        <v>175925.45</v>
      </c>
      <c r="Q5693" s="71" t="n">
        <v>585761.9300000001</v>
      </c>
      <c r="R5693" t="inlineStr">
        <is>
          <t>Cardiology</t>
        </is>
      </c>
      <c r="S5693" s="70" t="n">
        <v>2143</v>
      </c>
      <c r="T5693" s="71" t="n">
        <v>140711.75</v>
      </c>
      <c r="U5693" t="inlineStr">
        <is>
          <t>High</t>
        </is>
      </c>
      <c r="V5693">
        <f>IF(AND(OR(Dashboard!$C$6="All",E5693=Dashboard!$C$6),OR(Dashboard!$F$6="All",G5693=Dashboard!$F$6),OR(Dashboard!$I$6="All",H5693=Dashboard!$I$6)),1,0)</f>
        <v/>
      </c>
    </row>
    <row r="5694">
      <c r="A5694" t="inlineStr">
        <is>
          <t>PF105685</t>
        </is>
      </c>
      <c r="B5694" s="68" t="n">
        <v>46347</v>
      </c>
      <c r="C5694" s="69" t="n">
        <v>2026</v>
      </c>
      <c r="D5694" t="inlineStr">
        <is>
          <t>Nov</t>
        </is>
      </c>
      <c r="E5694" t="inlineStr">
        <is>
          <t>United States</t>
        </is>
      </c>
      <c r="F5694" t="inlineStr">
        <is>
          <t>USA</t>
        </is>
      </c>
      <c r="G5694" t="inlineStr">
        <is>
          <t>Paxlovid</t>
        </is>
      </c>
      <c r="H5694" t="inlineStr">
        <is>
          <t>Retail pharmacy</t>
        </is>
      </c>
      <c r="I5694" t="inlineStr">
        <is>
          <t>Private insurer</t>
        </is>
      </c>
      <c r="J5694" t="inlineStr">
        <is>
          <t>Arjun Mehta</t>
        </is>
      </c>
      <c r="K5694" s="70" t="n">
        <v>1530</v>
      </c>
      <c r="L5694" s="71" t="n">
        <v>1345.46</v>
      </c>
      <c r="M5694" s="71" t="n">
        <v>2058553.8</v>
      </c>
      <c r="N5694" s="71" t="n">
        <v>617566.14</v>
      </c>
      <c r="O5694" s="71" t="n">
        <v>1440987.66</v>
      </c>
      <c r="P5694" s="71" t="n">
        <v>406114.32</v>
      </c>
      <c r="Q5694" s="71" t="n">
        <v>1034873.34</v>
      </c>
      <c r="R5694" t="inlineStr">
        <is>
          <t>Antiviral</t>
        </is>
      </c>
      <c r="S5694" s="70" t="n">
        <v>1231</v>
      </c>
      <c r="T5694" s="71" t="n">
        <v>316021.74</v>
      </c>
      <c r="U5694" t="inlineStr">
        <is>
          <t>Low</t>
        </is>
      </c>
      <c r="V5694">
        <f>IF(AND(OR(Dashboard!$C$6="All",E5694=Dashboard!$C$6),OR(Dashboard!$F$6="All",G5694=Dashboard!$F$6),OR(Dashboard!$I$6="All",H5694=Dashboard!$I$6)),1,0)</f>
        <v/>
      </c>
    </row>
    <row r="5695">
      <c r="A5695" t="inlineStr">
        <is>
          <t>PF105686</t>
        </is>
      </c>
      <c r="B5695" s="68" t="n">
        <v>46348</v>
      </c>
      <c r="C5695" s="69" t="n">
        <v>2026</v>
      </c>
      <c r="D5695" t="inlineStr">
        <is>
          <t>Nov</t>
        </is>
      </c>
      <c r="E5695" t="inlineStr">
        <is>
          <t>International developed</t>
        </is>
      </c>
      <c r="F5695" t="inlineStr">
        <is>
          <t>Japan</t>
        </is>
      </c>
      <c r="G5695" t="inlineStr">
        <is>
          <t>Comirnaty</t>
        </is>
      </c>
      <c r="H5695" t="inlineStr">
        <is>
          <t>Hospital</t>
        </is>
      </c>
      <c r="I5695" t="inlineStr">
        <is>
          <t>Self-pay</t>
        </is>
      </c>
      <c r="J5695" t="inlineStr">
        <is>
          <t>Olivia Brown</t>
        </is>
      </c>
      <c r="K5695" s="70" t="n">
        <v>584</v>
      </c>
      <c r="L5695" s="71" t="n">
        <v>96.2</v>
      </c>
      <c r="M5695" s="71" t="n">
        <v>56180.8</v>
      </c>
      <c r="N5695" s="71" t="n">
        <v>11236.16</v>
      </c>
      <c r="O5695" s="71" t="n">
        <v>44944.64</v>
      </c>
      <c r="P5695" s="71" t="n">
        <v>21932.77</v>
      </c>
      <c r="Q5695" s="71" t="n">
        <v>23011.87</v>
      </c>
      <c r="R5695" t="inlineStr">
        <is>
          <t>Vaccines</t>
        </is>
      </c>
      <c r="S5695" s="70" t="n">
        <v>438</v>
      </c>
      <c r="T5695" s="71" t="n">
        <v>14825.98</v>
      </c>
      <c r="U5695" t="inlineStr">
        <is>
          <t>Low</t>
        </is>
      </c>
      <c r="V5695">
        <f>IF(AND(OR(Dashboard!$C$6="All",E5695=Dashboard!$C$6),OR(Dashboard!$F$6="All",G5695=Dashboard!$F$6),OR(Dashboard!$I$6="All",H5695=Dashboard!$I$6)),1,0)</f>
        <v/>
      </c>
    </row>
    <row r="5696">
      <c r="A5696" t="inlineStr">
        <is>
          <t>PF105687</t>
        </is>
      </c>
      <c r="B5696" s="68" t="n">
        <v>46348</v>
      </c>
      <c r="C5696" s="69" t="n">
        <v>2026</v>
      </c>
      <c r="D5696" t="inlineStr">
        <is>
          <t>Nov</t>
        </is>
      </c>
      <c r="E5696" t="inlineStr">
        <is>
          <t>Emerging markets</t>
        </is>
      </c>
      <c r="F5696" t="inlineStr">
        <is>
          <t>China</t>
        </is>
      </c>
      <c r="G5696" t="inlineStr">
        <is>
          <t>Prevnar 20</t>
        </is>
      </c>
      <c r="H5696" t="inlineStr">
        <is>
          <t>Retail pharmacy</t>
        </is>
      </c>
      <c r="I5696" t="inlineStr">
        <is>
          <t>Public payer</t>
        </is>
      </c>
      <c r="J5696" t="inlineStr">
        <is>
          <t>Ana Costa</t>
        </is>
      </c>
      <c r="K5696" s="70" t="n">
        <v>2232</v>
      </c>
      <c r="L5696" s="71" t="n">
        <v>248.82</v>
      </c>
      <c r="M5696" s="71" t="n">
        <v>555366.24</v>
      </c>
      <c r="N5696" s="71" t="n">
        <v>55536.62</v>
      </c>
      <c r="O5696" s="71" t="n">
        <v>499829.62</v>
      </c>
      <c r="P5696" s="71" t="n">
        <v>157190.92</v>
      </c>
      <c r="Q5696" s="71" t="n">
        <v>342638.7</v>
      </c>
      <c r="R5696" t="inlineStr">
        <is>
          <t>Vaccines</t>
        </is>
      </c>
      <c r="S5696" s="70" t="n">
        <v>1708</v>
      </c>
      <c r="T5696" s="71" t="n">
        <v>108196.19</v>
      </c>
      <c r="U5696" t="inlineStr">
        <is>
          <t>Low</t>
        </is>
      </c>
      <c r="V5696">
        <f>IF(AND(OR(Dashboard!$C$6="All",E5696=Dashboard!$C$6),OR(Dashboard!$F$6="All",G5696=Dashboard!$F$6),OR(Dashboard!$I$6="All",H5696=Dashboard!$I$6)),1,0)</f>
        <v/>
      </c>
    </row>
    <row r="5697">
      <c r="A5697" t="inlineStr">
        <is>
          <t>PF105688</t>
        </is>
      </c>
      <c r="B5697" s="68" t="n">
        <v>46348</v>
      </c>
      <c r="C5697" s="69" t="n">
        <v>2026</v>
      </c>
      <c r="D5697" t="inlineStr">
        <is>
          <t>Nov</t>
        </is>
      </c>
      <c r="E5697" t="inlineStr">
        <is>
          <t>United States</t>
        </is>
      </c>
      <c r="F5697" t="inlineStr">
        <is>
          <t>USA</t>
        </is>
      </c>
      <c r="G5697" t="inlineStr">
        <is>
          <t>Comirnaty</t>
        </is>
      </c>
      <c r="H5697" t="inlineStr">
        <is>
          <t>Hospital</t>
        </is>
      </c>
      <c r="I5697" t="inlineStr">
        <is>
          <t>Private insurer</t>
        </is>
      </c>
      <c r="J5697" t="inlineStr">
        <is>
          <t>Mei Lin</t>
        </is>
      </c>
      <c r="K5697" s="70" t="n">
        <v>662</v>
      </c>
      <c r="L5697" s="71" t="n">
        <v>156</v>
      </c>
      <c r="M5697" s="71" t="n">
        <v>103272</v>
      </c>
      <c r="N5697" s="71" t="n">
        <v>20654.4</v>
      </c>
      <c r="O5697" s="71" t="n">
        <v>82617.60000000001</v>
      </c>
      <c r="P5697" s="71" t="n">
        <v>25664.22</v>
      </c>
      <c r="Q5697" s="71" t="n">
        <v>56953.38</v>
      </c>
      <c r="R5697" t="inlineStr">
        <is>
          <t>Vaccines</t>
        </is>
      </c>
      <c r="S5697" s="70" t="n">
        <v>442</v>
      </c>
      <c r="T5697" s="71" t="n">
        <v>22455.3</v>
      </c>
      <c r="U5697" t="inlineStr">
        <is>
          <t>Low</t>
        </is>
      </c>
      <c r="V5697">
        <f>IF(AND(OR(Dashboard!$C$6="All",E5697=Dashboard!$C$6),OR(Dashboard!$F$6="All",G5697=Dashboard!$F$6),OR(Dashboard!$I$6="All",H5697=Dashboard!$I$6)),1,0)</f>
        <v/>
      </c>
    </row>
    <row r="5698">
      <c r="A5698" t="inlineStr">
        <is>
          <t>PF105689</t>
        </is>
      </c>
      <c r="B5698" s="68" t="n">
        <v>46349</v>
      </c>
      <c r="C5698" s="69" t="n">
        <v>2026</v>
      </c>
      <c r="D5698" t="inlineStr">
        <is>
          <t>Nov</t>
        </is>
      </c>
      <c r="E5698" t="inlineStr">
        <is>
          <t>United States</t>
        </is>
      </c>
      <c r="F5698" t="inlineStr">
        <is>
          <t>USA</t>
        </is>
      </c>
      <c r="G5698" t="inlineStr">
        <is>
          <t>Xeljanz</t>
        </is>
      </c>
      <c r="H5698" t="inlineStr">
        <is>
          <t>Retail pharmacy</t>
        </is>
      </c>
      <c r="I5698" t="inlineStr">
        <is>
          <t>Self-pay</t>
        </is>
      </c>
      <c r="J5698" t="inlineStr">
        <is>
          <t>Omar Haddad</t>
        </is>
      </c>
      <c r="K5698" s="70" t="n">
        <v>1059</v>
      </c>
      <c r="L5698" s="71" t="n">
        <v>1944.6</v>
      </c>
      <c r="M5698" s="71" t="n">
        <v>2059331.4</v>
      </c>
      <c r="N5698" s="71" t="n">
        <v>411866.28</v>
      </c>
      <c r="O5698" s="71" t="n">
        <v>1647465.12</v>
      </c>
      <c r="P5698" s="71" t="n">
        <v>269574.62</v>
      </c>
      <c r="Q5698" s="71" t="n">
        <v>1377890.5</v>
      </c>
      <c r="R5698" t="inlineStr">
        <is>
          <t>Inflammation</t>
        </is>
      </c>
      <c r="S5698" s="70" t="n">
        <v>948</v>
      </c>
      <c r="T5698" s="71" t="n">
        <v>466856.07</v>
      </c>
      <c r="U5698" t="inlineStr">
        <is>
          <t>High</t>
        </is>
      </c>
      <c r="V5698">
        <f>IF(AND(OR(Dashboard!$C$6="All",E5698=Dashboard!$C$6),OR(Dashboard!$F$6="All",G5698=Dashboard!$F$6),OR(Dashboard!$I$6="All",H5698=Dashboard!$I$6)),1,0)</f>
        <v/>
      </c>
    </row>
    <row r="5699">
      <c r="A5699" t="inlineStr">
        <is>
          <t>PF105690</t>
        </is>
      </c>
      <c r="B5699" s="68" t="n">
        <v>46349</v>
      </c>
      <c r="C5699" s="69" t="n">
        <v>2026</v>
      </c>
      <c r="D5699" t="inlineStr">
        <is>
          <t>Nov</t>
        </is>
      </c>
      <c r="E5699" t="inlineStr">
        <is>
          <t>United States</t>
        </is>
      </c>
      <c r="F5699" t="inlineStr">
        <is>
          <t>USA</t>
        </is>
      </c>
      <c r="G5699" t="inlineStr">
        <is>
          <t>Paxlovid</t>
        </is>
      </c>
      <c r="H5699" t="inlineStr">
        <is>
          <t>Retail pharmacy</t>
        </is>
      </c>
      <c r="I5699" t="inlineStr">
        <is>
          <t>Public payer</t>
        </is>
      </c>
      <c r="J5699" t="inlineStr">
        <is>
          <t>Zoya Ahmed</t>
        </is>
      </c>
      <c r="K5699" s="70" t="n">
        <v>1604</v>
      </c>
      <c r="L5699" s="71" t="n">
        <v>1560.67</v>
      </c>
      <c r="M5699" s="71" t="n">
        <v>2503314.68</v>
      </c>
      <c r="N5699" s="71" t="n">
        <v>375497.2</v>
      </c>
      <c r="O5699" s="71" t="n">
        <v>2127817.48</v>
      </c>
      <c r="P5699" s="71" t="n">
        <v>438638.66</v>
      </c>
      <c r="Q5699" s="71" t="n">
        <v>1689178.82</v>
      </c>
      <c r="R5699" t="inlineStr">
        <is>
          <t>Antiviral</t>
        </is>
      </c>
      <c r="S5699" s="70" t="n">
        <v>1127</v>
      </c>
      <c r="T5699" s="71" t="n">
        <v>460379.93</v>
      </c>
      <c r="U5699" t="inlineStr">
        <is>
          <t>Low</t>
        </is>
      </c>
      <c r="V5699">
        <f>IF(AND(OR(Dashboard!$C$6="All",E5699=Dashboard!$C$6),OR(Dashboard!$F$6="All",G5699=Dashboard!$F$6),OR(Dashboard!$I$6="All",H5699=Dashboard!$I$6)),1,0)</f>
        <v/>
      </c>
    </row>
    <row r="5700">
      <c r="A5700" t="inlineStr">
        <is>
          <t>PF105691</t>
        </is>
      </c>
      <c r="B5700" s="68" t="n">
        <v>46349</v>
      </c>
      <c r="C5700" s="69" t="n">
        <v>2026</v>
      </c>
      <c r="D5700" t="inlineStr">
        <is>
          <t>Nov</t>
        </is>
      </c>
      <c r="E5700" t="inlineStr">
        <is>
          <t>Europe</t>
        </is>
      </c>
      <c r="F5700" t="inlineStr">
        <is>
          <t>UK</t>
        </is>
      </c>
      <c r="G5700" t="inlineStr">
        <is>
          <t>Paxlovid</t>
        </is>
      </c>
      <c r="H5700" t="inlineStr">
        <is>
          <t>Retail pharmacy</t>
        </is>
      </c>
      <c r="I5700" t="inlineStr">
        <is>
          <t>Private insurer</t>
        </is>
      </c>
      <c r="J5700" t="inlineStr">
        <is>
          <t>Noah Smith</t>
        </is>
      </c>
      <c r="K5700" s="70" t="n">
        <v>2452</v>
      </c>
      <c r="L5700" s="71" t="n">
        <v>1011.69</v>
      </c>
      <c r="M5700" s="71" t="n">
        <v>2480663.88</v>
      </c>
      <c r="N5700" s="71" t="n">
        <v>496132.78</v>
      </c>
      <c r="O5700" s="71" t="n">
        <v>1984531.1</v>
      </c>
      <c r="P5700" s="71" t="n">
        <v>678245.98</v>
      </c>
      <c r="Q5700" s="71" t="n">
        <v>1306285.12</v>
      </c>
      <c r="R5700" t="inlineStr">
        <is>
          <t>Antiviral</t>
        </is>
      </c>
      <c r="S5700" s="70" t="n">
        <v>1587</v>
      </c>
      <c r="T5700" s="71" t="n">
        <v>644565.91</v>
      </c>
      <c r="U5700" t="inlineStr">
        <is>
          <t>Low</t>
        </is>
      </c>
      <c r="V5700">
        <f>IF(AND(OR(Dashboard!$C$6="All",E5700=Dashboard!$C$6),OR(Dashboard!$F$6="All",G5700=Dashboard!$F$6),OR(Dashboard!$I$6="All",H5700=Dashboard!$I$6)),1,0)</f>
        <v/>
      </c>
    </row>
    <row r="5701">
      <c r="A5701" t="inlineStr">
        <is>
          <t>PF105692</t>
        </is>
      </c>
      <c r="B5701" s="68" t="n">
        <v>46349</v>
      </c>
      <c r="C5701" s="69" t="n">
        <v>2026</v>
      </c>
      <c r="D5701" t="inlineStr">
        <is>
          <t>Nov</t>
        </is>
      </c>
      <c r="E5701" t="inlineStr">
        <is>
          <t>United States</t>
        </is>
      </c>
      <c r="F5701" t="inlineStr">
        <is>
          <t>USA</t>
        </is>
      </c>
      <c r="G5701" t="inlineStr">
        <is>
          <t>Vyndaqel</t>
        </is>
      </c>
      <c r="H5701" t="inlineStr">
        <is>
          <t>Retail pharmacy</t>
        </is>
      </c>
      <c r="I5701" t="inlineStr">
        <is>
          <t>Public payer</t>
        </is>
      </c>
      <c r="J5701" t="inlineStr">
        <is>
          <t>Sophie Müller</t>
        </is>
      </c>
      <c r="K5701" s="70" t="n">
        <v>2411</v>
      </c>
      <c r="L5701" s="71" t="n">
        <v>9233.889999999999</v>
      </c>
      <c r="M5701" s="71" t="n">
        <v>22262908.79</v>
      </c>
      <c r="N5701" s="71" t="n">
        <v>3339436.32</v>
      </c>
      <c r="O5701" s="71" t="n">
        <v>18923472.47</v>
      </c>
      <c r="P5701" s="71" t="n">
        <v>1458464.56</v>
      </c>
      <c r="Q5701" s="71" t="n">
        <v>17465007.91</v>
      </c>
      <c r="R5701" t="inlineStr">
        <is>
          <t>Rare disease</t>
        </is>
      </c>
      <c r="S5701" s="70" t="n">
        <v>2354</v>
      </c>
      <c r="T5701" s="71" t="n">
        <v>2719498.07</v>
      </c>
      <c r="U5701" t="inlineStr">
        <is>
          <t>Medium</t>
        </is>
      </c>
      <c r="V5701">
        <f>IF(AND(OR(Dashboard!$C$6="All",E5701=Dashboard!$C$6),OR(Dashboard!$F$6="All",G5701=Dashboard!$F$6),OR(Dashboard!$I$6="All",H5701=Dashboard!$I$6)),1,0)</f>
        <v/>
      </c>
    </row>
    <row r="5702">
      <c r="A5702" t="inlineStr">
        <is>
          <t>PF105693</t>
        </is>
      </c>
      <c r="B5702" s="68" t="n">
        <v>46349</v>
      </c>
      <c r="C5702" s="69" t="n">
        <v>2026</v>
      </c>
      <c r="D5702" t="inlineStr">
        <is>
          <t>Nov</t>
        </is>
      </c>
      <c r="E5702" t="inlineStr">
        <is>
          <t>International developed</t>
        </is>
      </c>
      <c r="F5702" t="inlineStr">
        <is>
          <t>Australia</t>
        </is>
      </c>
      <c r="G5702" t="inlineStr">
        <is>
          <t>Paxlovid</t>
        </is>
      </c>
      <c r="H5702" t="inlineStr">
        <is>
          <t>Retail pharmacy</t>
        </is>
      </c>
      <c r="I5702" t="inlineStr">
        <is>
          <t>Private insurer</t>
        </is>
      </c>
      <c r="J5702" t="inlineStr">
        <is>
          <t>Wei Chen</t>
        </is>
      </c>
      <c r="K5702" s="70" t="n">
        <v>1959</v>
      </c>
      <c r="L5702" s="71" t="n">
        <v>834.45</v>
      </c>
      <c r="M5702" s="71" t="n">
        <v>1634687.55</v>
      </c>
      <c r="N5702" s="71" t="n">
        <v>326937.51</v>
      </c>
      <c r="O5702" s="71" t="n">
        <v>1307750.04</v>
      </c>
      <c r="P5702" s="71" t="n">
        <v>528859.42</v>
      </c>
      <c r="Q5702" s="71" t="n">
        <v>778890.62</v>
      </c>
      <c r="R5702" t="inlineStr">
        <is>
          <t>Antiviral</t>
        </is>
      </c>
      <c r="S5702" s="70" t="n">
        <v>1320</v>
      </c>
      <c r="T5702" s="71" t="n">
        <v>369656.3</v>
      </c>
      <c r="U5702" t="inlineStr">
        <is>
          <t>Low</t>
        </is>
      </c>
      <c r="V5702">
        <f>IF(AND(OR(Dashboard!$C$6="All",E5702=Dashboard!$C$6),OR(Dashboard!$F$6="All",G5702=Dashboard!$F$6),OR(Dashboard!$I$6="All",H5702=Dashboard!$I$6)),1,0)</f>
        <v/>
      </c>
    </row>
    <row r="5703">
      <c r="A5703" t="inlineStr">
        <is>
          <t>PF105694</t>
        </is>
      </c>
      <c r="B5703" s="68" t="n">
        <v>46349</v>
      </c>
      <c r="C5703" s="69" t="n">
        <v>2026</v>
      </c>
      <c r="D5703" t="inlineStr">
        <is>
          <t>Nov</t>
        </is>
      </c>
      <c r="E5703" t="inlineStr">
        <is>
          <t>United States</t>
        </is>
      </c>
      <c r="F5703" t="inlineStr">
        <is>
          <t>USA</t>
        </is>
      </c>
      <c r="G5703" t="inlineStr">
        <is>
          <t>Xeljanz</t>
        </is>
      </c>
      <c r="H5703" t="inlineStr">
        <is>
          <t>Hospital</t>
        </is>
      </c>
      <c r="I5703" t="inlineStr">
        <is>
          <t>Public payer</t>
        </is>
      </c>
      <c r="J5703" t="inlineStr">
        <is>
          <t>Ruhi Shaikh</t>
        </is>
      </c>
      <c r="K5703" s="70" t="n">
        <v>121</v>
      </c>
      <c r="L5703" s="71" t="n">
        <v>2292.41</v>
      </c>
      <c r="M5703" s="71" t="n">
        <v>277381.61</v>
      </c>
      <c r="N5703" s="71" t="n">
        <v>41607.24</v>
      </c>
      <c r="O5703" s="71" t="n">
        <v>235774.37</v>
      </c>
      <c r="P5703" s="71" t="n">
        <v>30175.42</v>
      </c>
      <c r="Q5703" s="71" t="n">
        <v>205598.95</v>
      </c>
      <c r="R5703" t="inlineStr">
        <is>
          <t>Inflammation</t>
        </is>
      </c>
      <c r="S5703" s="70" t="n">
        <v>80</v>
      </c>
      <c r="T5703" s="71" t="n">
        <v>37774.76</v>
      </c>
      <c r="U5703" t="inlineStr">
        <is>
          <t>High</t>
        </is>
      </c>
      <c r="V5703">
        <f>IF(AND(OR(Dashboard!$C$6="All",E5703=Dashboard!$C$6),OR(Dashboard!$F$6="All",G5703=Dashboard!$F$6),OR(Dashboard!$I$6="All",H5703=Dashboard!$I$6)),1,0)</f>
        <v/>
      </c>
    </row>
    <row r="5704">
      <c r="A5704" t="inlineStr">
        <is>
          <t>PF105695</t>
        </is>
      </c>
      <c r="B5704" s="68" t="n">
        <v>46349</v>
      </c>
      <c r="C5704" s="69" t="n">
        <v>2026</v>
      </c>
      <c r="D5704" t="inlineStr">
        <is>
          <t>Nov</t>
        </is>
      </c>
      <c r="E5704" t="inlineStr">
        <is>
          <t>United States</t>
        </is>
      </c>
      <c r="F5704" t="inlineStr">
        <is>
          <t>USA</t>
        </is>
      </c>
      <c r="G5704" t="inlineStr">
        <is>
          <t>Eliquis</t>
        </is>
      </c>
      <c r="H5704" t="inlineStr">
        <is>
          <t>Retail pharmacy</t>
        </is>
      </c>
      <c r="I5704" t="inlineStr">
        <is>
          <t>Private insurer</t>
        </is>
      </c>
      <c r="J5704" t="inlineStr">
        <is>
          <t>Zoya Ahmed</t>
        </is>
      </c>
      <c r="K5704" s="70" t="n">
        <v>1488</v>
      </c>
      <c r="L5704" s="71" t="n">
        <v>680.4</v>
      </c>
      <c r="M5704" s="71" t="n">
        <v>1012435.2</v>
      </c>
      <c r="N5704" s="71" t="n">
        <v>354352.32</v>
      </c>
      <c r="O5704" s="71" t="n">
        <v>658082.88</v>
      </c>
      <c r="P5704" s="71" t="n">
        <v>113014.61</v>
      </c>
      <c r="Q5704" s="71" t="n">
        <v>545068.27</v>
      </c>
      <c r="R5704" t="inlineStr">
        <is>
          <t>Cardiology</t>
        </is>
      </c>
      <c r="S5704" s="70" t="n">
        <v>1028</v>
      </c>
      <c r="T5704" s="71" t="n">
        <v>211247.69</v>
      </c>
      <c r="U5704" t="inlineStr">
        <is>
          <t>High</t>
        </is>
      </c>
      <c r="V5704">
        <f>IF(AND(OR(Dashboard!$C$6="All",E5704=Dashboard!$C$6),OR(Dashboard!$F$6="All",G5704=Dashboard!$F$6),OR(Dashboard!$I$6="All",H5704=Dashboard!$I$6)),1,0)</f>
        <v/>
      </c>
    </row>
    <row r="5705">
      <c r="A5705" t="inlineStr">
        <is>
          <t>PF105696</t>
        </is>
      </c>
      <c r="B5705" s="68" t="n">
        <v>46349</v>
      </c>
      <c r="C5705" s="69" t="n">
        <v>2026</v>
      </c>
      <c r="D5705" t="inlineStr">
        <is>
          <t>Nov</t>
        </is>
      </c>
      <c r="E5705" t="inlineStr">
        <is>
          <t>Emerging markets</t>
        </is>
      </c>
      <c r="F5705" t="inlineStr">
        <is>
          <t>Brazil</t>
        </is>
      </c>
      <c r="G5705" t="inlineStr">
        <is>
          <t>Paxlovid</t>
        </is>
      </c>
      <c r="H5705" t="inlineStr">
        <is>
          <t>Hospital</t>
        </is>
      </c>
      <c r="I5705" t="inlineStr">
        <is>
          <t>Public payer</t>
        </is>
      </c>
      <c r="J5705" t="inlineStr">
        <is>
          <t>Priya Nair</t>
        </is>
      </c>
      <c r="K5705" s="70" t="n">
        <v>1167</v>
      </c>
      <c r="L5705" s="71" t="n">
        <v>1006.07</v>
      </c>
      <c r="M5705" s="71" t="n">
        <v>1174083.69</v>
      </c>
      <c r="N5705" s="71" t="n">
        <v>293520.92</v>
      </c>
      <c r="O5705" s="71" t="n">
        <v>880562.77</v>
      </c>
      <c r="P5705" s="71" t="n">
        <v>318728.4</v>
      </c>
      <c r="Q5705" s="71" t="n">
        <v>561834.37</v>
      </c>
      <c r="R5705" t="inlineStr">
        <is>
          <t>Antiviral</t>
        </is>
      </c>
      <c r="S5705" s="70" t="n">
        <v>1106</v>
      </c>
      <c r="T5705" s="71" t="n">
        <v>283661.31</v>
      </c>
      <c r="U5705" t="inlineStr">
        <is>
          <t>Low</t>
        </is>
      </c>
      <c r="V5705">
        <f>IF(AND(OR(Dashboard!$C$6="All",E5705=Dashboard!$C$6),OR(Dashboard!$F$6="All",G5705=Dashboard!$F$6),OR(Dashboard!$I$6="All",H5705=Dashboard!$I$6)),1,0)</f>
        <v/>
      </c>
    </row>
    <row r="5706">
      <c r="A5706" t="inlineStr">
        <is>
          <t>PF105697</t>
        </is>
      </c>
      <c r="B5706" s="68" t="n">
        <v>46349</v>
      </c>
      <c r="C5706" s="69" t="n">
        <v>2026</v>
      </c>
      <c r="D5706" t="inlineStr">
        <is>
          <t>Nov</t>
        </is>
      </c>
      <c r="E5706" t="inlineStr">
        <is>
          <t>United States</t>
        </is>
      </c>
      <c r="F5706" t="inlineStr">
        <is>
          <t>USA</t>
        </is>
      </c>
      <c r="G5706" t="inlineStr">
        <is>
          <t>Eliquis</t>
        </is>
      </c>
      <c r="H5706" t="inlineStr">
        <is>
          <t>Hospital</t>
        </is>
      </c>
      <c r="I5706" t="inlineStr">
        <is>
          <t>Public payer</t>
        </is>
      </c>
      <c r="J5706" t="inlineStr">
        <is>
          <t>Mei Lin</t>
        </is>
      </c>
      <c r="K5706" s="70" t="n">
        <v>2959</v>
      </c>
      <c r="L5706" s="71" t="n">
        <v>666.61</v>
      </c>
      <c r="M5706" s="71" t="n">
        <v>1972498.99</v>
      </c>
      <c r="N5706" s="71" t="n">
        <v>295874.85</v>
      </c>
      <c r="O5706" s="71" t="n">
        <v>1676624.14</v>
      </c>
      <c r="P5706" s="71" t="n">
        <v>221935.71</v>
      </c>
      <c r="Q5706" s="71" t="n">
        <v>1454688.43</v>
      </c>
      <c r="R5706" t="inlineStr">
        <is>
          <t>Cardiology</t>
        </is>
      </c>
      <c r="S5706" s="70" t="n">
        <v>1876</v>
      </c>
      <c r="T5706" s="71" t="n">
        <v>344421.46</v>
      </c>
      <c r="U5706" t="inlineStr">
        <is>
          <t>High</t>
        </is>
      </c>
      <c r="V5706">
        <f>IF(AND(OR(Dashboard!$C$6="All",E5706=Dashboard!$C$6),OR(Dashboard!$F$6="All",G5706=Dashboard!$F$6),OR(Dashboard!$I$6="All",H5706=Dashboard!$I$6)),1,0)</f>
        <v/>
      </c>
    </row>
    <row r="5707">
      <c r="A5707" t="inlineStr">
        <is>
          <t>PF105698</t>
        </is>
      </c>
      <c r="B5707" s="68" t="n">
        <v>46349</v>
      </c>
      <c r="C5707" s="69" t="n">
        <v>2026</v>
      </c>
      <c r="D5707" t="inlineStr">
        <is>
          <t>Nov</t>
        </is>
      </c>
      <c r="E5707" t="inlineStr">
        <is>
          <t>Europe</t>
        </is>
      </c>
      <c r="F5707" t="inlineStr">
        <is>
          <t>France</t>
        </is>
      </c>
      <c r="G5707" t="inlineStr">
        <is>
          <t>Paxlovid</t>
        </is>
      </c>
      <c r="H5707" t="inlineStr">
        <is>
          <t>Retail pharmacy</t>
        </is>
      </c>
      <c r="I5707" t="inlineStr">
        <is>
          <t>Private insurer</t>
        </is>
      </c>
      <c r="J5707" t="inlineStr">
        <is>
          <t>Ravindra Patil</t>
        </is>
      </c>
      <c r="K5707" s="70" t="n">
        <v>2408</v>
      </c>
      <c r="L5707" s="71" t="n">
        <v>910.29</v>
      </c>
      <c r="M5707" s="71" t="n">
        <v>2191978.32</v>
      </c>
      <c r="N5707" s="71" t="n">
        <v>438395.66</v>
      </c>
      <c r="O5707" s="71" t="n">
        <v>1753582.66</v>
      </c>
      <c r="P5707" s="71" t="n">
        <v>683083.4</v>
      </c>
      <c r="Q5707" s="71" t="n">
        <v>1070499.26</v>
      </c>
      <c r="R5707" t="inlineStr">
        <is>
          <t>Antiviral</t>
        </is>
      </c>
      <c r="S5707" s="70" t="n">
        <v>1606</v>
      </c>
      <c r="T5707" s="71" t="n">
        <v>482959.72</v>
      </c>
      <c r="U5707" t="inlineStr">
        <is>
          <t>Low</t>
        </is>
      </c>
      <c r="V5707">
        <f>IF(AND(OR(Dashboard!$C$6="All",E5707=Dashboard!$C$6),OR(Dashboard!$F$6="All",G5707=Dashboard!$F$6),OR(Dashboard!$I$6="All",H5707=Dashboard!$I$6)),1,0)</f>
        <v/>
      </c>
    </row>
    <row r="5708">
      <c r="A5708" t="inlineStr">
        <is>
          <t>PF105699</t>
        </is>
      </c>
      <c r="B5708" s="68" t="n">
        <v>46349</v>
      </c>
      <c r="C5708" s="69" t="n">
        <v>2026</v>
      </c>
      <c r="D5708" t="inlineStr">
        <is>
          <t>Nov</t>
        </is>
      </c>
      <c r="E5708" t="inlineStr">
        <is>
          <t>Emerging markets</t>
        </is>
      </c>
      <c r="F5708" t="inlineStr">
        <is>
          <t>India</t>
        </is>
      </c>
      <c r="G5708" t="inlineStr">
        <is>
          <t>Paxlovid</t>
        </is>
      </c>
      <c r="H5708" t="inlineStr">
        <is>
          <t>Hospital</t>
        </is>
      </c>
      <c r="I5708" t="inlineStr">
        <is>
          <t>Public payer</t>
        </is>
      </c>
      <c r="J5708" t="inlineStr">
        <is>
          <t>Hiroshi Tanaka</t>
        </is>
      </c>
      <c r="K5708" s="70" t="n">
        <v>1164</v>
      </c>
      <c r="L5708" s="71" t="n">
        <v>996.1900000000001</v>
      </c>
      <c r="M5708" s="71" t="n">
        <v>1159565.16</v>
      </c>
      <c r="N5708" s="71" t="n">
        <v>231913.03</v>
      </c>
      <c r="O5708" s="71" t="n">
        <v>927652.13</v>
      </c>
      <c r="P5708" s="71" t="n">
        <v>330537.47</v>
      </c>
      <c r="Q5708" s="71" t="n">
        <v>597114.66</v>
      </c>
      <c r="R5708" t="inlineStr">
        <is>
          <t>Antiviral</t>
        </is>
      </c>
      <c r="S5708" s="70" t="n">
        <v>1062</v>
      </c>
      <c r="T5708" s="71" t="n">
        <v>218679.93</v>
      </c>
      <c r="U5708" t="inlineStr">
        <is>
          <t>Low</t>
        </is>
      </c>
      <c r="V5708">
        <f>IF(AND(OR(Dashboard!$C$6="All",E5708=Dashboard!$C$6),OR(Dashboard!$F$6="All",G5708=Dashboard!$F$6),OR(Dashboard!$I$6="All",H5708=Dashboard!$I$6)),1,0)</f>
        <v/>
      </c>
    </row>
    <row r="5709">
      <c r="A5709" t="inlineStr">
        <is>
          <t>PF105700</t>
        </is>
      </c>
      <c r="B5709" s="68" t="n">
        <v>46350</v>
      </c>
      <c r="C5709" s="69" t="n">
        <v>2026</v>
      </c>
      <c r="D5709" t="inlineStr">
        <is>
          <t>Nov</t>
        </is>
      </c>
      <c r="E5709" t="inlineStr">
        <is>
          <t>United States</t>
        </is>
      </c>
      <c r="F5709" t="inlineStr">
        <is>
          <t>USA</t>
        </is>
      </c>
      <c r="G5709" t="inlineStr">
        <is>
          <t>Eliquis</t>
        </is>
      </c>
      <c r="H5709" t="inlineStr">
        <is>
          <t>Retail pharmacy</t>
        </is>
      </c>
      <c r="I5709" t="inlineStr">
        <is>
          <t>Public payer</t>
        </is>
      </c>
      <c r="J5709" t="inlineStr">
        <is>
          <t>Fatima Al-Saud</t>
        </is>
      </c>
      <c r="K5709" s="70" t="n">
        <v>2527</v>
      </c>
      <c r="L5709" s="71" t="n">
        <v>720.78</v>
      </c>
      <c r="M5709" s="71" t="n">
        <v>1821411.06</v>
      </c>
      <c r="N5709" s="71" t="n">
        <v>364282.21</v>
      </c>
      <c r="O5709" s="71" t="n">
        <v>1457128.85</v>
      </c>
      <c r="P5709" s="71" t="n">
        <v>188146.36</v>
      </c>
      <c r="Q5709" s="71" t="n">
        <v>1268982.49</v>
      </c>
      <c r="R5709" t="inlineStr">
        <is>
          <t>Cardiology</t>
        </is>
      </c>
      <c r="S5709" s="70" t="n">
        <v>2371</v>
      </c>
      <c r="T5709" s="71" t="n">
        <v>227898.1</v>
      </c>
      <c r="U5709" t="inlineStr">
        <is>
          <t>High</t>
        </is>
      </c>
      <c r="V5709">
        <f>IF(AND(OR(Dashboard!$C$6="All",E5709=Dashboard!$C$6),OR(Dashboard!$F$6="All",G5709=Dashboard!$F$6),OR(Dashboard!$I$6="All",H5709=Dashboard!$I$6)),1,0)</f>
        <v/>
      </c>
    </row>
    <row r="5710">
      <c r="A5710" t="inlineStr">
        <is>
          <t>PF105701</t>
        </is>
      </c>
      <c r="B5710" s="68" t="n">
        <v>46350</v>
      </c>
      <c r="C5710" s="69" t="n">
        <v>2026</v>
      </c>
      <c r="D5710" t="inlineStr">
        <is>
          <t>Nov</t>
        </is>
      </c>
      <c r="E5710" t="inlineStr">
        <is>
          <t>United States</t>
        </is>
      </c>
      <c r="F5710" t="inlineStr">
        <is>
          <t>USA</t>
        </is>
      </c>
      <c r="G5710" t="inlineStr">
        <is>
          <t>Prevnar 20</t>
        </is>
      </c>
      <c r="H5710" t="inlineStr">
        <is>
          <t>Retail pharmacy</t>
        </is>
      </c>
      <c r="I5710" t="inlineStr">
        <is>
          <t>Public payer</t>
        </is>
      </c>
      <c r="J5710" t="inlineStr">
        <is>
          <t>Zoya Ahmed</t>
        </is>
      </c>
      <c r="K5710" s="70" t="n">
        <v>2784</v>
      </c>
      <c r="L5710" s="71" t="n">
        <v>396.71</v>
      </c>
      <c r="M5710" s="71" t="n">
        <v>1104440.64</v>
      </c>
      <c r="N5710" s="71" t="n">
        <v>386554.22</v>
      </c>
      <c r="O5710" s="71" t="n">
        <v>717886.42</v>
      </c>
      <c r="P5710" s="71" t="n">
        <v>195270.17</v>
      </c>
      <c r="Q5710" s="71" t="n">
        <v>522616.25</v>
      </c>
      <c r="R5710" t="inlineStr">
        <is>
          <t>Vaccines</t>
        </is>
      </c>
      <c r="S5710" s="70" t="n">
        <v>2096</v>
      </c>
      <c r="T5710" s="71" t="n">
        <v>135495.79</v>
      </c>
      <c r="U5710" t="inlineStr">
        <is>
          <t>Low</t>
        </is>
      </c>
      <c r="V5710">
        <f>IF(AND(OR(Dashboard!$C$6="All",E5710=Dashboard!$C$6),OR(Dashboard!$F$6="All",G5710=Dashboard!$F$6),OR(Dashboard!$I$6="All",H5710=Dashboard!$I$6)),1,0)</f>
        <v/>
      </c>
    </row>
    <row r="5711">
      <c r="A5711" t="inlineStr">
        <is>
          <t>PF105702</t>
        </is>
      </c>
      <c r="B5711" s="68" t="n">
        <v>46350</v>
      </c>
      <c r="C5711" s="69" t="n">
        <v>2026</v>
      </c>
      <c r="D5711" t="inlineStr">
        <is>
          <t>Nov</t>
        </is>
      </c>
      <c r="E5711" t="inlineStr">
        <is>
          <t>Europe</t>
        </is>
      </c>
      <c r="F5711" t="inlineStr">
        <is>
          <t>Spain</t>
        </is>
      </c>
      <c r="G5711" t="inlineStr">
        <is>
          <t>Abrysvo</t>
        </is>
      </c>
      <c r="H5711" t="inlineStr">
        <is>
          <t>Retail pharmacy</t>
        </is>
      </c>
      <c r="I5711" t="inlineStr">
        <is>
          <t>Private insurer</t>
        </is>
      </c>
      <c r="J5711" t="inlineStr">
        <is>
          <t>Olivia Brown</t>
        </is>
      </c>
      <c r="K5711" s="70" t="n">
        <v>3092</v>
      </c>
      <c r="L5711" s="71" t="n">
        <v>347.61</v>
      </c>
      <c r="M5711" s="71" t="n">
        <v>1074810.12</v>
      </c>
      <c r="N5711" s="71" t="n">
        <v>107481.01</v>
      </c>
      <c r="O5711" s="71" t="n">
        <v>967329.11</v>
      </c>
      <c r="P5711" s="71" t="n">
        <v>252362.69</v>
      </c>
      <c r="Q5711" s="71" t="n">
        <v>714966.42</v>
      </c>
      <c r="R5711" t="inlineStr">
        <is>
          <t>Vaccines</t>
        </is>
      </c>
      <c r="S5711" s="70" t="n">
        <v>2679</v>
      </c>
      <c r="T5711" s="71" t="n">
        <v>145294.08</v>
      </c>
      <c r="U5711" t="inlineStr">
        <is>
          <t>Low</t>
        </is>
      </c>
      <c r="V5711">
        <f>IF(AND(OR(Dashboard!$C$6="All",E5711=Dashboard!$C$6),OR(Dashboard!$F$6="All",G5711=Dashboard!$F$6),OR(Dashboard!$I$6="All",H5711=Dashboard!$I$6)),1,0)</f>
        <v/>
      </c>
    </row>
    <row r="5712">
      <c r="A5712" t="inlineStr">
        <is>
          <t>PF105703</t>
        </is>
      </c>
      <c r="B5712" s="68" t="n">
        <v>46350</v>
      </c>
      <c r="C5712" s="69" t="n">
        <v>2026</v>
      </c>
      <c r="D5712" t="inlineStr">
        <is>
          <t>Nov</t>
        </is>
      </c>
      <c r="E5712" t="inlineStr">
        <is>
          <t>Europe</t>
        </is>
      </c>
      <c r="F5712" t="inlineStr">
        <is>
          <t>Spain</t>
        </is>
      </c>
      <c r="G5712" t="inlineStr">
        <is>
          <t>Eliquis</t>
        </is>
      </c>
      <c r="H5712" t="inlineStr">
        <is>
          <t>Retail pharmacy</t>
        </is>
      </c>
      <c r="I5712" t="inlineStr">
        <is>
          <t>Self-pay</t>
        </is>
      </c>
      <c r="J5712" t="inlineStr">
        <is>
          <t>Yuki Sato</t>
        </is>
      </c>
      <c r="K5712" s="70" t="n">
        <v>2323</v>
      </c>
      <c r="L5712" s="71" t="n">
        <v>410.05</v>
      </c>
      <c r="M5712" s="71" t="n">
        <v>952546.15</v>
      </c>
      <c r="N5712" s="71" t="n">
        <v>47627.31</v>
      </c>
      <c r="O5712" s="71" t="n">
        <v>904918.84</v>
      </c>
      <c r="P5712" s="71" t="n">
        <v>174694.79</v>
      </c>
      <c r="Q5712" s="71" t="n">
        <v>730224.05</v>
      </c>
      <c r="R5712" t="inlineStr">
        <is>
          <t>Cardiology</t>
        </is>
      </c>
      <c r="S5712" s="70" t="n">
        <v>1505</v>
      </c>
      <c r="T5712" s="71" t="n">
        <v>194023.52</v>
      </c>
      <c r="U5712" t="inlineStr">
        <is>
          <t>High</t>
        </is>
      </c>
      <c r="V5712">
        <f>IF(AND(OR(Dashboard!$C$6="All",E5712=Dashboard!$C$6),OR(Dashboard!$F$6="All",G5712=Dashboard!$F$6),OR(Dashboard!$I$6="All",H5712=Dashboard!$I$6)),1,0)</f>
        <v/>
      </c>
    </row>
    <row r="5713">
      <c r="A5713" t="inlineStr">
        <is>
          <t>PF105704</t>
        </is>
      </c>
      <c r="B5713" s="68" t="n">
        <v>46350</v>
      </c>
      <c r="C5713" s="69" t="n">
        <v>2026</v>
      </c>
      <c r="D5713" t="inlineStr">
        <is>
          <t>Nov</t>
        </is>
      </c>
      <c r="E5713" t="inlineStr">
        <is>
          <t>United States</t>
        </is>
      </c>
      <c r="F5713" t="inlineStr">
        <is>
          <t>USA</t>
        </is>
      </c>
      <c r="G5713" t="inlineStr">
        <is>
          <t>Ibrance</t>
        </is>
      </c>
      <c r="H5713" t="inlineStr">
        <is>
          <t>Hospital</t>
        </is>
      </c>
      <c r="I5713" t="inlineStr">
        <is>
          <t>Self-pay</t>
        </is>
      </c>
      <c r="J5713" t="inlineStr">
        <is>
          <t>Arjun Mehta</t>
        </is>
      </c>
      <c r="K5713" s="70" t="n">
        <v>2123</v>
      </c>
      <c r="L5713" s="71" t="n">
        <v>4514.81</v>
      </c>
      <c r="M5713" s="71" t="n">
        <v>9584941.630000001</v>
      </c>
      <c r="N5713" s="71" t="n">
        <v>2396235.41</v>
      </c>
      <c r="O5713" s="71" t="n">
        <v>7188706.22</v>
      </c>
      <c r="P5713" s="71" t="n">
        <v>931376.13</v>
      </c>
      <c r="Q5713" s="71" t="n">
        <v>6257330.09</v>
      </c>
      <c r="R5713" t="inlineStr">
        <is>
          <t>Oncology</t>
        </is>
      </c>
      <c r="S5713" s="70" t="n">
        <v>1456</v>
      </c>
      <c r="T5713" s="71" t="n">
        <v>1240781.82</v>
      </c>
      <c r="U5713" t="inlineStr">
        <is>
          <t>High</t>
        </is>
      </c>
      <c r="V5713">
        <f>IF(AND(OR(Dashboard!$C$6="All",E5713=Dashboard!$C$6),OR(Dashboard!$F$6="All",G5713=Dashboard!$F$6),OR(Dashboard!$I$6="All",H5713=Dashboard!$I$6)),1,0)</f>
        <v/>
      </c>
    </row>
    <row r="5714">
      <c r="A5714" t="inlineStr">
        <is>
          <t>PF105705</t>
        </is>
      </c>
      <c r="B5714" s="68" t="n">
        <v>46350</v>
      </c>
      <c r="C5714" s="69" t="n">
        <v>2026</v>
      </c>
      <c r="D5714" t="inlineStr">
        <is>
          <t>Nov</t>
        </is>
      </c>
      <c r="E5714" t="inlineStr">
        <is>
          <t>United States</t>
        </is>
      </c>
      <c r="F5714" t="inlineStr">
        <is>
          <t>USA</t>
        </is>
      </c>
      <c r="G5714" t="inlineStr">
        <is>
          <t>Prevnar 20</t>
        </is>
      </c>
      <c r="H5714" t="inlineStr">
        <is>
          <t>Retail pharmacy</t>
        </is>
      </c>
      <c r="I5714" t="inlineStr">
        <is>
          <t>Private insurer</t>
        </is>
      </c>
      <c r="J5714" t="inlineStr">
        <is>
          <t>Aisha Bello</t>
        </is>
      </c>
      <c r="K5714" s="70" t="n">
        <v>2194</v>
      </c>
      <c r="L5714" s="71" t="n">
        <v>391.83</v>
      </c>
      <c r="M5714" s="71" t="n">
        <v>859675.02</v>
      </c>
      <c r="N5714" s="71" t="n">
        <v>214918.76</v>
      </c>
      <c r="O5714" s="71" t="n">
        <v>644756.26</v>
      </c>
      <c r="P5714" s="71" t="n">
        <v>151613.5</v>
      </c>
      <c r="Q5714" s="71" t="n">
        <v>493142.76</v>
      </c>
      <c r="R5714" t="inlineStr">
        <is>
          <t>Vaccines</t>
        </is>
      </c>
      <c r="S5714" s="70" t="n">
        <v>1383</v>
      </c>
      <c r="T5714" s="71" t="n">
        <v>115133.25</v>
      </c>
      <c r="U5714" t="inlineStr">
        <is>
          <t>Low</t>
        </is>
      </c>
      <c r="V5714">
        <f>IF(AND(OR(Dashboard!$C$6="All",E5714=Dashboard!$C$6),OR(Dashboard!$F$6="All",G5714=Dashboard!$F$6),OR(Dashboard!$I$6="All",H5714=Dashboard!$I$6)),1,0)</f>
        <v/>
      </c>
    </row>
    <row r="5715">
      <c r="A5715" t="inlineStr">
        <is>
          <t>PF105706</t>
        </is>
      </c>
      <c r="B5715" s="68" t="n">
        <v>46350</v>
      </c>
      <c r="C5715" s="69" t="n">
        <v>2026</v>
      </c>
      <c r="D5715" t="inlineStr">
        <is>
          <t>Nov</t>
        </is>
      </c>
      <c r="E5715" t="inlineStr">
        <is>
          <t>Europe</t>
        </is>
      </c>
      <c r="F5715" t="inlineStr">
        <is>
          <t>Italy</t>
        </is>
      </c>
      <c r="G5715" t="inlineStr">
        <is>
          <t>Vyndaqel</t>
        </is>
      </c>
      <c r="H5715" t="inlineStr">
        <is>
          <t>Government / tender</t>
        </is>
      </c>
      <c r="I5715" t="inlineStr">
        <is>
          <t>Private insurer</t>
        </is>
      </c>
      <c r="J5715" t="inlineStr">
        <is>
          <t>Liam O'Brien</t>
        </is>
      </c>
      <c r="K5715" s="70" t="n">
        <v>1155</v>
      </c>
      <c r="L5715" s="71" t="n">
        <v>6266.12</v>
      </c>
      <c r="M5715" s="71" t="n">
        <v>7237368.6</v>
      </c>
      <c r="N5715" s="71" t="n">
        <v>361868.43</v>
      </c>
      <c r="O5715" s="71" t="n">
        <v>6875500.17</v>
      </c>
      <c r="P5715" s="71" t="n">
        <v>695239.99</v>
      </c>
      <c r="Q5715" s="71" t="n">
        <v>6180260.18</v>
      </c>
      <c r="R5715" t="inlineStr">
        <is>
          <t>Rare disease</t>
        </is>
      </c>
      <c r="S5715" s="70" t="n">
        <v>862</v>
      </c>
      <c r="T5715" s="71" t="n">
        <v>1071243.98</v>
      </c>
      <c r="U5715" t="inlineStr">
        <is>
          <t>Medium</t>
        </is>
      </c>
      <c r="V5715">
        <f>IF(AND(OR(Dashboard!$C$6="All",E5715=Dashboard!$C$6),OR(Dashboard!$F$6="All",G5715=Dashboard!$F$6),OR(Dashboard!$I$6="All",H5715=Dashboard!$I$6)),1,0)</f>
        <v/>
      </c>
    </row>
    <row r="5716">
      <c r="A5716" t="inlineStr">
        <is>
          <t>PF105707</t>
        </is>
      </c>
      <c r="B5716" s="68" t="n">
        <v>46350</v>
      </c>
      <c r="C5716" s="69" t="n">
        <v>2026</v>
      </c>
      <c r="D5716" t="inlineStr">
        <is>
          <t>Nov</t>
        </is>
      </c>
      <c r="E5716" t="inlineStr">
        <is>
          <t>United States</t>
        </is>
      </c>
      <c r="F5716" t="inlineStr">
        <is>
          <t>USA</t>
        </is>
      </c>
      <c r="G5716" t="inlineStr">
        <is>
          <t>Comirnaty</t>
        </is>
      </c>
      <c r="H5716" t="inlineStr">
        <is>
          <t>Hospital</t>
        </is>
      </c>
      <c r="I5716" t="inlineStr">
        <is>
          <t>Public payer</t>
        </is>
      </c>
      <c r="J5716" t="inlineStr">
        <is>
          <t>Lucas Martin</t>
        </is>
      </c>
      <c r="K5716" s="70" t="n">
        <v>341</v>
      </c>
      <c r="L5716" s="71" t="n">
        <v>132.62</v>
      </c>
      <c r="M5716" s="71" t="n">
        <v>45223.42</v>
      </c>
      <c r="N5716" s="71" t="n">
        <v>15828.2</v>
      </c>
      <c r="O5716" s="71" t="n">
        <v>29395.22</v>
      </c>
      <c r="P5716" s="71" t="n">
        <v>12737.66</v>
      </c>
      <c r="Q5716" s="71" t="n">
        <v>16657.56</v>
      </c>
      <c r="R5716" t="inlineStr">
        <is>
          <t>Vaccines</t>
        </is>
      </c>
      <c r="S5716" s="70" t="n">
        <v>230</v>
      </c>
      <c r="T5716" s="71" t="n">
        <v>7446.4</v>
      </c>
      <c r="U5716" t="inlineStr">
        <is>
          <t>Low</t>
        </is>
      </c>
      <c r="V5716">
        <f>IF(AND(OR(Dashboard!$C$6="All",E5716=Dashboard!$C$6),OR(Dashboard!$F$6="All",G5716=Dashboard!$F$6),OR(Dashboard!$I$6="All",H5716=Dashboard!$I$6)),1,0)</f>
        <v/>
      </c>
    </row>
    <row r="5717">
      <c r="A5717" t="inlineStr">
        <is>
          <t>PF105708</t>
        </is>
      </c>
      <c r="B5717" s="68" t="n">
        <v>46350</v>
      </c>
      <c r="C5717" s="69" t="n">
        <v>2026</v>
      </c>
      <c r="D5717" t="inlineStr">
        <is>
          <t>Nov</t>
        </is>
      </c>
      <c r="E5717" t="inlineStr">
        <is>
          <t>International developed</t>
        </is>
      </c>
      <c r="F5717" t="inlineStr">
        <is>
          <t>Japan</t>
        </is>
      </c>
      <c r="G5717" t="inlineStr">
        <is>
          <t>Abrysvo</t>
        </is>
      </c>
      <c r="H5717" t="inlineStr">
        <is>
          <t>Government / tender</t>
        </is>
      </c>
      <c r="I5717" t="inlineStr">
        <is>
          <t>Private insurer</t>
        </is>
      </c>
      <c r="J5717" t="inlineStr">
        <is>
          <t>Kofi Mensah</t>
        </is>
      </c>
      <c r="K5717" s="70" t="n">
        <v>3233</v>
      </c>
      <c r="L5717" s="71" t="n">
        <v>294.05</v>
      </c>
      <c r="M5717" s="71" t="n">
        <v>950663.65</v>
      </c>
      <c r="N5717" s="71" t="n">
        <v>142599.55</v>
      </c>
      <c r="O5717" s="71" t="n">
        <v>808064.1</v>
      </c>
      <c r="P5717" s="71" t="n">
        <v>278101.56</v>
      </c>
      <c r="Q5717" s="71" t="n">
        <v>529962.54</v>
      </c>
      <c r="R5717" t="inlineStr">
        <is>
          <t>Vaccines</t>
        </is>
      </c>
      <c r="S5717" s="70" t="n">
        <v>3005</v>
      </c>
      <c r="T5717" s="71" t="n">
        <v>178191.22</v>
      </c>
      <c r="U5717" t="inlineStr">
        <is>
          <t>Low</t>
        </is>
      </c>
      <c r="V5717">
        <f>IF(AND(OR(Dashboard!$C$6="All",E5717=Dashboard!$C$6),OR(Dashboard!$F$6="All",G5717=Dashboard!$F$6),OR(Dashboard!$I$6="All",H5717=Dashboard!$I$6)),1,0)</f>
        <v/>
      </c>
    </row>
    <row r="5718">
      <c r="A5718" t="inlineStr">
        <is>
          <t>PF105709</t>
        </is>
      </c>
      <c r="B5718" s="68" t="n">
        <v>46350</v>
      </c>
      <c r="C5718" s="69" t="n">
        <v>2026</v>
      </c>
      <c r="D5718" t="inlineStr">
        <is>
          <t>Nov</t>
        </is>
      </c>
      <c r="E5718" t="inlineStr">
        <is>
          <t>Europe</t>
        </is>
      </c>
      <c r="F5718" t="inlineStr">
        <is>
          <t>UK</t>
        </is>
      </c>
      <c r="G5718" t="inlineStr">
        <is>
          <t>Eliquis</t>
        </is>
      </c>
      <c r="H5718" t="inlineStr">
        <is>
          <t>Government / tender</t>
        </is>
      </c>
      <c r="I5718" t="inlineStr">
        <is>
          <t>Private insurer</t>
        </is>
      </c>
      <c r="J5718" t="inlineStr">
        <is>
          <t>Noah Smith</t>
        </is>
      </c>
      <c r="K5718" s="70" t="n">
        <v>962</v>
      </c>
      <c r="L5718" s="71" t="n">
        <v>456.77</v>
      </c>
      <c r="M5718" s="71" t="n">
        <v>439412.74</v>
      </c>
      <c r="N5718" s="71" t="n">
        <v>65911.91</v>
      </c>
      <c r="O5718" s="71" t="n">
        <v>373500.83</v>
      </c>
      <c r="P5718" s="71" t="n">
        <v>71747.39999999999</v>
      </c>
      <c r="Q5718" s="71" t="n">
        <v>301753.43</v>
      </c>
      <c r="R5718" t="inlineStr">
        <is>
          <t>Cardiology</t>
        </is>
      </c>
      <c r="S5718" s="70" t="n">
        <v>843</v>
      </c>
      <c r="T5718" s="71" t="n">
        <v>63243.84</v>
      </c>
      <c r="U5718" t="inlineStr">
        <is>
          <t>High</t>
        </is>
      </c>
      <c r="V5718">
        <f>IF(AND(OR(Dashboard!$C$6="All",E5718=Dashboard!$C$6),OR(Dashboard!$F$6="All",G5718=Dashboard!$F$6),OR(Dashboard!$I$6="All",H5718=Dashboard!$I$6)),1,0)</f>
        <v/>
      </c>
    </row>
    <row r="5719">
      <c r="A5719" t="inlineStr">
        <is>
          <t>PF105710</t>
        </is>
      </c>
      <c r="B5719" s="68" t="n">
        <v>46350</v>
      </c>
      <c r="C5719" s="69" t="n">
        <v>2026</v>
      </c>
      <c r="D5719" t="inlineStr">
        <is>
          <t>Nov</t>
        </is>
      </c>
      <c r="E5719" t="inlineStr">
        <is>
          <t>Europe</t>
        </is>
      </c>
      <c r="F5719" t="inlineStr">
        <is>
          <t>Germany</t>
        </is>
      </c>
      <c r="G5719" t="inlineStr">
        <is>
          <t>Eliquis</t>
        </is>
      </c>
      <c r="H5719" t="inlineStr">
        <is>
          <t>Retail pharmacy</t>
        </is>
      </c>
      <c r="I5719" t="inlineStr">
        <is>
          <t>Public payer</t>
        </is>
      </c>
      <c r="J5719" t="inlineStr">
        <is>
          <t>Priya Nair</t>
        </is>
      </c>
      <c r="K5719" s="70" t="n">
        <v>1880</v>
      </c>
      <c r="L5719" s="71" t="n">
        <v>437.14</v>
      </c>
      <c r="M5719" s="71" t="n">
        <v>821823.2</v>
      </c>
      <c r="N5719" s="71" t="n">
        <v>41091.16</v>
      </c>
      <c r="O5719" s="71" t="n">
        <v>780732.04</v>
      </c>
      <c r="P5719" s="71" t="n">
        <v>141485.87</v>
      </c>
      <c r="Q5719" s="71" t="n">
        <v>639246.17</v>
      </c>
      <c r="R5719" t="inlineStr">
        <is>
          <t>Cardiology</t>
        </is>
      </c>
      <c r="S5719" s="70" t="n">
        <v>1639</v>
      </c>
      <c r="T5719" s="71" t="n">
        <v>152057.8</v>
      </c>
      <c r="U5719" t="inlineStr">
        <is>
          <t>High</t>
        </is>
      </c>
      <c r="V5719">
        <f>IF(AND(OR(Dashboard!$C$6="All",E5719=Dashboard!$C$6),OR(Dashboard!$F$6="All",G5719=Dashboard!$F$6),OR(Dashboard!$I$6="All",H5719=Dashboard!$I$6)),1,0)</f>
        <v/>
      </c>
    </row>
    <row r="5720">
      <c r="A5720" t="inlineStr">
        <is>
          <t>PF105711</t>
        </is>
      </c>
      <c r="B5720" s="68" t="n">
        <v>46350</v>
      </c>
      <c r="C5720" s="69" t="n">
        <v>2026</v>
      </c>
      <c r="D5720" t="inlineStr">
        <is>
          <t>Nov</t>
        </is>
      </c>
      <c r="E5720" t="inlineStr">
        <is>
          <t>Europe</t>
        </is>
      </c>
      <c r="F5720" t="inlineStr">
        <is>
          <t>Italy</t>
        </is>
      </c>
      <c r="G5720" t="inlineStr">
        <is>
          <t>Ibrance</t>
        </is>
      </c>
      <c r="H5720" t="inlineStr">
        <is>
          <t>Government / tender</t>
        </is>
      </c>
      <c r="I5720" t="inlineStr">
        <is>
          <t>Public payer</t>
        </is>
      </c>
      <c r="J5720" t="inlineStr">
        <is>
          <t>Arjun Mehta</t>
        </is>
      </c>
      <c r="K5720" s="70" t="n">
        <v>2247</v>
      </c>
      <c r="L5720" s="71" t="n">
        <v>2659</v>
      </c>
      <c r="M5720" s="71" t="n">
        <v>5974773</v>
      </c>
      <c r="N5720" s="71" t="n">
        <v>298738.65</v>
      </c>
      <c r="O5720" s="71" t="n">
        <v>5676034.35</v>
      </c>
      <c r="P5720" s="71" t="n">
        <v>1002059.01</v>
      </c>
      <c r="Q5720" s="71" t="n">
        <v>4673975.34</v>
      </c>
      <c r="R5720" t="inlineStr">
        <is>
          <t>Oncology</t>
        </is>
      </c>
      <c r="S5720" s="70" t="n">
        <v>1696</v>
      </c>
      <c r="T5720" s="71" t="n">
        <v>1341797.22</v>
      </c>
      <c r="U5720" t="inlineStr">
        <is>
          <t>High</t>
        </is>
      </c>
      <c r="V5720">
        <f>IF(AND(OR(Dashboard!$C$6="All",E5720=Dashboard!$C$6),OR(Dashboard!$F$6="All",G5720=Dashboard!$F$6),OR(Dashboard!$I$6="All",H5720=Dashboard!$I$6)),1,0)</f>
        <v/>
      </c>
    </row>
    <row r="5721">
      <c r="A5721" t="inlineStr">
        <is>
          <t>PF105712</t>
        </is>
      </c>
      <c r="B5721" s="68" t="n">
        <v>46351</v>
      </c>
      <c r="C5721" s="69" t="n">
        <v>2026</v>
      </c>
      <c r="D5721" t="inlineStr">
        <is>
          <t>Nov</t>
        </is>
      </c>
      <c r="E5721" t="inlineStr">
        <is>
          <t>United States</t>
        </is>
      </c>
      <c r="F5721" t="inlineStr">
        <is>
          <t>USA</t>
        </is>
      </c>
      <c r="G5721" t="inlineStr">
        <is>
          <t>Eliquis</t>
        </is>
      </c>
      <c r="H5721" t="inlineStr">
        <is>
          <t>Retail pharmacy</t>
        </is>
      </c>
      <c r="I5721" t="inlineStr">
        <is>
          <t>Public payer</t>
        </is>
      </c>
      <c r="J5721" t="inlineStr">
        <is>
          <t>Amir Khan</t>
        </is>
      </c>
      <c r="K5721" s="70" t="n">
        <v>3304</v>
      </c>
      <c r="L5721" s="71" t="n">
        <v>650.27</v>
      </c>
      <c r="M5721" s="71" t="n">
        <v>2148492.08</v>
      </c>
      <c r="N5721" s="71" t="n">
        <v>644547.62</v>
      </c>
      <c r="O5721" s="71" t="n">
        <v>1503944.46</v>
      </c>
      <c r="P5721" s="71" t="n">
        <v>252850.55</v>
      </c>
      <c r="Q5721" s="71" t="n">
        <v>1251093.91</v>
      </c>
      <c r="R5721" t="inlineStr">
        <is>
          <t>Cardiology</t>
        </is>
      </c>
      <c r="S5721" s="70" t="n">
        <v>3025</v>
      </c>
      <c r="T5721" s="71" t="n">
        <v>366329.31</v>
      </c>
      <c r="U5721" t="inlineStr">
        <is>
          <t>High</t>
        </is>
      </c>
      <c r="V5721">
        <f>IF(AND(OR(Dashboard!$C$6="All",E5721=Dashboard!$C$6),OR(Dashboard!$F$6="All",G5721=Dashboard!$F$6),OR(Dashboard!$I$6="All",H5721=Dashboard!$I$6)),1,0)</f>
        <v/>
      </c>
    </row>
    <row r="5722">
      <c r="A5722" t="inlineStr">
        <is>
          <t>PF105713</t>
        </is>
      </c>
      <c r="B5722" s="68" t="n">
        <v>46351</v>
      </c>
      <c r="C5722" s="69" t="n">
        <v>2026</v>
      </c>
      <c r="D5722" t="inlineStr">
        <is>
          <t>Nov</t>
        </is>
      </c>
      <c r="E5722" t="inlineStr">
        <is>
          <t>United States</t>
        </is>
      </c>
      <c r="F5722" t="inlineStr">
        <is>
          <t>USA</t>
        </is>
      </c>
      <c r="G5722" t="inlineStr">
        <is>
          <t>Comirnaty</t>
        </is>
      </c>
      <c r="H5722" t="inlineStr">
        <is>
          <t>Government / tender</t>
        </is>
      </c>
      <c r="I5722" t="inlineStr">
        <is>
          <t>Public payer</t>
        </is>
      </c>
      <c r="J5722" t="inlineStr">
        <is>
          <t>Priya Nair</t>
        </is>
      </c>
      <c r="K5722" s="70" t="n">
        <v>2529</v>
      </c>
      <c r="L5722" s="71" t="n">
        <v>141.21</v>
      </c>
      <c r="M5722" s="71" t="n">
        <v>357120.09</v>
      </c>
      <c r="N5722" s="71" t="n">
        <v>89280.02</v>
      </c>
      <c r="O5722" s="71" t="n">
        <v>267840.07</v>
      </c>
      <c r="P5722" s="71" t="n">
        <v>96586.66</v>
      </c>
      <c r="Q5722" s="71" t="n">
        <v>171253.41</v>
      </c>
      <c r="R5722" t="inlineStr">
        <is>
          <t>Vaccines</t>
        </is>
      </c>
      <c r="S5722" s="70" t="n">
        <v>2018</v>
      </c>
      <c r="T5722" s="71" t="n">
        <v>77702.78999999999</v>
      </c>
      <c r="U5722" t="inlineStr">
        <is>
          <t>Low</t>
        </is>
      </c>
      <c r="V5722">
        <f>IF(AND(OR(Dashboard!$C$6="All",E5722=Dashboard!$C$6),OR(Dashboard!$F$6="All",G5722=Dashboard!$F$6),OR(Dashboard!$I$6="All",H5722=Dashboard!$I$6)),1,0)</f>
        <v/>
      </c>
    </row>
    <row r="5723">
      <c r="A5723" t="inlineStr">
        <is>
          <t>PF105714</t>
        </is>
      </c>
      <c r="B5723" s="68" t="n">
        <v>46351</v>
      </c>
      <c r="C5723" s="69" t="n">
        <v>2026</v>
      </c>
      <c r="D5723" t="inlineStr">
        <is>
          <t>Nov</t>
        </is>
      </c>
      <c r="E5723" t="inlineStr">
        <is>
          <t>United States</t>
        </is>
      </c>
      <c r="F5723" t="inlineStr">
        <is>
          <t>USA</t>
        </is>
      </c>
      <c r="G5723" t="inlineStr">
        <is>
          <t>Eliquis</t>
        </is>
      </c>
      <c r="H5723" t="inlineStr">
        <is>
          <t>Retail pharmacy</t>
        </is>
      </c>
      <c r="I5723" t="inlineStr">
        <is>
          <t>Self-pay</t>
        </is>
      </c>
      <c r="J5723" t="inlineStr">
        <is>
          <t>Ana Costa</t>
        </is>
      </c>
      <c r="K5723" s="70" t="n">
        <v>729</v>
      </c>
      <c r="L5723" s="71" t="n">
        <v>734.04</v>
      </c>
      <c r="M5723" s="71" t="n">
        <v>535115.16</v>
      </c>
      <c r="N5723" s="71" t="n">
        <v>133778.79</v>
      </c>
      <c r="O5723" s="71" t="n">
        <v>401336.37</v>
      </c>
      <c r="P5723" s="71" t="n">
        <v>55315.16</v>
      </c>
      <c r="Q5723" s="71" t="n">
        <v>346021.21</v>
      </c>
      <c r="R5723" t="inlineStr">
        <is>
          <t>Cardiology</t>
        </is>
      </c>
      <c r="S5723" s="70" t="n">
        <v>529</v>
      </c>
      <c r="T5723" s="71" t="n">
        <v>113833.34</v>
      </c>
      <c r="U5723" t="inlineStr">
        <is>
          <t>High</t>
        </is>
      </c>
      <c r="V5723">
        <f>IF(AND(OR(Dashboard!$C$6="All",E5723=Dashboard!$C$6),OR(Dashboard!$F$6="All",G5723=Dashboard!$F$6),OR(Dashboard!$I$6="All",H5723=Dashboard!$I$6)),1,0)</f>
        <v/>
      </c>
    </row>
    <row r="5724">
      <c r="A5724" t="inlineStr">
        <is>
          <t>PF105715</t>
        </is>
      </c>
      <c r="B5724" s="68" t="n">
        <v>46351</v>
      </c>
      <c r="C5724" s="69" t="n">
        <v>2026</v>
      </c>
      <c r="D5724" t="inlineStr">
        <is>
          <t>Nov</t>
        </is>
      </c>
      <c r="E5724" t="inlineStr">
        <is>
          <t>Emerging markets</t>
        </is>
      </c>
      <c r="F5724" t="inlineStr">
        <is>
          <t>China</t>
        </is>
      </c>
      <c r="G5724" t="inlineStr">
        <is>
          <t>Prevnar 20</t>
        </is>
      </c>
      <c r="H5724" t="inlineStr">
        <is>
          <t>Retail pharmacy</t>
        </is>
      </c>
      <c r="I5724" t="inlineStr">
        <is>
          <t>Public payer</t>
        </is>
      </c>
      <c r="J5724" t="inlineStr">
        <is>
          <t>Yuki Sato</t>
        </is>
      </c>
      <c r="K5724" s="70" t="n">
        <v>846</v>
      </c>
      <c r="L5724" s="71" t="n">
        <v>234.37</v>
      </c>
      <c r="M5724" s="71" t="n">
        <v>198277.02</v>
      </c>
      <c r="N5724" s="71" t="n">
        <v>19827.7</v>
      </c>
      <c r="O5724" s="71" t="n">
        <v>178449.32</v>
      </c>
      <c r="P5724" s="71" t="n">
        <v>56483.12</v>
      </c>
      <c r="Q5724" s="71" t="n">
        <v>121966.2</v>
      </c>
      <c r="R5724" t="inlineStr">
        <is>
          <t>Vaccines</t>
        </is>
      </c>
      <c r="S5724" s="70" t="n">
        <v>636</v>
      </c>
      <c r="T5724" s="71" t="n">
        <v>35670.31</v>
      </c>
      <c r="U5724" t="inlineStr">
        <is>
          <t>Low</t>
        </is>
      </c>
      <c r="V5724">
        <f>IF(AND(OR(Dashboard!$C$6="All",E5724=Dashboard!$C$6),OR(Dashboard!$F$6="All",G5724=Dashboard!$F$6),OR(Dashboard!$I$6="All",H5724=Dashboard!$I$6)),1,0)</f>
        <v/>
      </c>
    </row>
    <row r="5725">
      <c r="A5725" t="inlineStr">
        <is>
          <t>PF105716</t>
        </is>
      </c>
      <c r="B5725" s="68" t="n">
        <v>46351</v>
      </c>
      <c r="C5725" s="69" t="n">
        <v>2026</v>
      </c>
      <c r="D5725" t="inlineStr">
        <is>
          <t>Nov</t>
        </is>
      </c>
      <c r="E5725" t="inlineStr">
        <is>
          <t>Emerging markets</t>
        </is>
      </c>
      <c r="F5725" t="inlineStr">
        <is>
          <t>China</t>
        </is>
      </c>
      <c r="G5725" t="inlineStr">
        <is>
          <t>Prevnar 20</t>
        </is>
      </c>
      <c r="H5725" t="inlineStr">
        <is>
          <t>Government / tender</t>
        </is>
      </c>
      <c r="I5725" t="inlineStr">
        <is>
          <t>Private insurer</t>
        </is>
      </c>
      <c r="J5725" t="inlineStr">
        <is>
          <t>Carlos Silva</t>
        </is>
      </c>
      <c r="K5725" s="70" t="n">
        <v>3250</v>
      </c>
      <c r="L5725" s="71" t="n">
        <v>233.74</v>
      </c>
      <c r="M5725" s="71" t="n">
        <v>759655</v>
      </c>
      <c r="N5725" s="71" t="n">
        <v>113948.25</v>
      </c>
      <c r="O5725" s="71" t="n">
        <v>645706.75</v>
      </c>
      <c r="P5725" s="71" t="n">
        <v>221991.02</v>
      </c>
      <c r="Q5725" s="71" t="n">
        <v>423715.73</v>
      </c>
      <c r="R5725" t="inlineStr">
        <is>
          <t>Vaccines</t>
        </is>
      </c>
      <c r="S5725" s="70" t="n">
        <v>2443</v>
      </c>
      <c r="T5725" s="71" t="n">
        <v>132264.2</v>
      </c>
      <c r="U5725" t="inlineStr">
        <is>
          <t>Low</t>
        </is>
      </c>
      <c r="V5725">
        <f>IF(AND(OR(Dashboard!$C$6="All",E5725=Dashboard!$C$6),OR(Dashboard!$F$6="All",G5725=Dashboard!$F$6),OR(Dashboard!$I$6="All",H5725=Dashboard!$I$6)),1,0)</f>
        <v/>
      </c>
    </row>
    <row r="5726">
      <c r="A5726" t="inlineStr">
        <is>
          <t>PF105717</t>
        </is>
      </c>
      <c r="B5726" s="68" t="n">
        <v>46351</v>
      </c>
      <c r="C5726" s="69" t="n">
        <v>2026</v>
      </c>
      <c r="D5726" t="inlineStr">
        <is>
          <t>Nov</t>
        </is>
      </c>
      <c r="E5726" t="inlineStr">
        <is>
          <t>International developed</t>
        </is>
      </c>
      <c r="F5726" t="inlineStr">
        <is>
          <t>Japan</t>
        </is>
      </c>
      <c r="G5726" t="inlineStr">
        <is>
          <t>Paxlovid</t>
        </is>
      </c>
      <c r="H5726" t="inlineStr">
        <is>
          <t>Retail pharmacy</t>
        </is>
      </c>
      <c r="I5726" t="inlineStr">
        <is>
          <t>Public payer</t>
        </is>
      </c>
      <c r="J5726" t="inlineStr">
        <is>
          <t>Mei Lin</t>
        </is>
      </c>
      <c r="K5726" s="70" t="n">
        <v>2613</v>
      </c>
      <c r="L5726" s="71" t="n">
        <v>898.21</v>
      </c>
      <c r="M5726" s="71" t="n">
        <v>2347022.73</v>
      </c>
      <c r="N5726" s="71" t="n">
        <v>469404.55</v>
      </c>
      <c r="O5726" s="71" t="n">
        <v>1877618.18</v>
      </c>
      <c r="P5726" s="71" t="n">
        <v>701699.8100000001</v>
      </c>
      <c r="Q5726" s="71" t="n">
        <v>1175918.37</v>
      </c>
      <c r="R5726" t="inlineStr">
        <is>
          <t>Antiviral</t>
        </is>
      </c>
      <c r="S5726" s="70" t="n">
        <v>2113</v>
      </c>
      <c r="T5726" s="71" t="n">
        <v>516598.36</v>
      </c>
      <c r="U5726" t="inlineStr">
        <is>
          <t>Low</t>
        </is>
      </c>
      <c r="V5726">
        <f>IF(AND(OR(Dashboard!$C$6="All",E5726=Dashboard!$C$6),OR(Dashboard!$F$6="All",G5726=Dashboard!$F$6),OR(Dashboard!$I$6="All",H5726=Dashboard!$I$6)),1,0)</f>
        <v/>
      </c>
    </row>
    <row r="5727">
      <c r="A5727" t="inlineStr">
        <is>
          <t>PF105718</t>
        </is>
      </c>
      <c r="B5727" s="68" t="n">
        <v>46352</v>
      </c>
      <c r="C5727" s="69" t="n">
        <v>2026</v>
      </c>
      <c r="D5727" t="inlineStr">
        <is>
          <t>Nov</t>
        </is>
      </c>
      <c r="E5727" t="inlineStr">
        <is>
          <t>United States</t>
        </is>
      </c>
      <c r="F5727" t="inlineStr">
        <is>
          <t>USA</t>
        </is>
      </c>
      <c r="G5727" t="inlineStr">
        <is>
          <t>Prevnar 20</t>
        </is>
      </c>
      <c r="H5727" t="inlineStr">
        <is>
          <t>Retail pharmacy</t>
        </is>
      </c>
      <c r="I5727" t="inlineStr">
        <is>
          <t>Private insurer</t>
        </is>
      </c>
      <c r="J5727" t="inlineStr">
        <is>
          <t>Priya Nair</t>
        </is>
      </c>
      <c r="K5727" s="70" t="n">
        <v>332</v>
      </c>
      <c r="L5727" s="71" t="n">
        <v>390.19</v>
      </c>
      <c r="M5727" s="71" t="n">
        <v>129543.08</v>
      </c>
      <c r="N5727" s="71" t="n">
        <v>45340.08</v>
      </c>
      <c r="O5727" s="71" t="n">
        <v>84203</v>
      </c>
      <c r="P5727" s="71" t="n">
        <v>23696.09</v>
      </c>
      <c r="Q5727" s="71" t="n">
        <v>60506.91</v>
      </c>
      <c r="R5727" t="inlineStr">
        <is>
          <t>Vaccines</t>
        </is>
      </c>
      <c r="S5727" s="70" t="n">
        <v>269</v>
      </c>
      <c r="T5727" s="71" t="n">
        <v>20515.67</v>
      </c>
      <c r="U5727" t="inlineStr">
        <is>
          <t>Low</t>
        </is>
      </c>
      <c r="V5727">
        <f>IF(AND(OR(Dashboard!$C$6="All",E5727=Dashboard!$C$6),OR(Dashboard!$F$6="All",G5727=Dashboard!$F$6),OR(Dashboard!$I$6="All",H5727=Dashboard!$I$6)),1,0)</f>
        <v/>
      </c>
    </row>
    <row r="5728">
      <c r="A5728" t="inlineStr">
        <is>
          <t>PF105719</t>
        </is>
      </c>
      <c r="B5728" s="68" t="n">
        <v>46352</v>
      </c>
      <c r="C5728" s="69" t="n">
        <v>2026</v>
      </c>
      <c r="D5728" t="inlineStr">
        <is>
          <t>Nov</t>
        </is>
      </c>
      <c r="E5728" t="inlineStr">
        <is>
          <t>Europe</t>
        </is>
      </c>
      <c r="F5728" t="inlineStr">
        <is>
          <t>Italy</t>
        </is>
      </c>
      <c r="G5728" t="inlineStr">
        <is>
          <t>Eliquis</t>
        </is>
      </c>
      <c r="H5728" t="inlineStr">
        <is>
          <t>Government / tender</t>
        </is>
      </c>
      <c r="I5728" t="inlineStr">
        <is>
          <t>Private insurer</t>
        </is>
      </c>
      <c r="J5728" t="inlineStr">
        <is>
          <t>Mei Lin</t>
        </is>
      </c>
      <c r="K5728" s="70" t="n">
        <v>104</v>
      </c>
      <c r="L5728" s="71" t="n">
        <v>412.22</v>
      </c>
      <c r="M5728" s="71" t="n">
        <v>42870.88</v>
      </c>
      <c r="N5728" s="71" t="n">
        <v>6430.63</v>
      </c>
      <c r="O5728" s="71" t="n">
        <v>36440.25</v>
      </c>
      <c r="P5728" s="71" t="n">
        <v>8159.7</v>
      </c>
      <c r="Q5728" s="71" t="n">
        <v>28280.55</v>
      </c>
      <c r="R5728" t="inlineStr">
        <is>
          <t>Cardiology</t>
        </is>
      </c>
      <c r="S5728" s="70" t="n">
        <v>102</v>
      </c>
      <c r="T5728" s="71" t="n">
        <v>5898.34</v>
      </c>
      <c r="U5728" t="inlineStr">
        <is>
          <t>High</t>
        </is>
      </c>
      <c r="V5728">
        <f>IF(AND(OR(Dashboard!$C$6="All",E5728=Dashboard!$C$6),OR(Dashboard!$F$6="All",G5728=Dashboard!$F$6),OR(Dashboard!$I$6="All",H5728=Dashboard!$I$6)),1,0)</f>
        <v/>
      </c>
    </row>
    <row r="5729">
      <c r="A5729" t="inlineStr">
        <is>
          <t>PF105720</t>
        </is>
      </c>
      <c r="B5729" s="68" t="n">
        <v>46352</v>
      </c>
      <c r="C5729" s="69" t="n">
        <v>2026</v>
      </c>
      <c r="D5729" t="inlineStr">
        <is>
          <t>Nov</t>
        </is>
      </c>
      <c r="E5729" t="inlineStr">
        <is>
          <t>Europe</t>
        </is>
      </c>
      <c r="F5729" t="inlineStr">
        <is>
          <t>Italy</t>
        </is>
      </c>
      <c r="G5729" t="inlineStr">
        <is>
          <t>Eliquis</t>
        </is>
      </c>
      <c r="H5729" t="inlineStr">
        <is>
          <t>Hospital</t>
        </is>
      </c>
      <c r="I5729" t="inlineStr">
        <is>
          <t>Self-pay</t>
        </is>
      </c>
      <c r="J5729" t="inlineStr">
        <is>
          <t>Noah Smith</t>
        </is>
      </c>
      <c r="K5729" s="70" t="n">
        <v>3396</v>
      </c>
      <c r="L5729" s="71" t="n">
        <v>421.74</v>
      </c>
      <c r="M5729" s="71" t="n">
        <v>1432229.04</v>
      </c>
      <c r="N5729" s="71" t="n">
        <v>358057.26</v>
      </c>
      <c r="O5729" s="71" t="n">
        <v>1074171.78</v>
      </c>
      <c r="P5729" s="71" t="n">
        <v>255632.89</v>
      </c>
      <c r="Q5729" s="71" t="n">
        <v>818538.89</v>
      </c>
      <c r="R5729" t="inlineStr">
        <is>
          <t>Cardiology</t>
        </is>
      </c>
      <c r="S5729" s="70" t="n">
        <v>2787</v>
      </c>
      <c r="T5729" s="71" t="n">
        <v>172769.26</v>
      </c>
      <c r="U5729" t="inlineStr">
        <is>
          <t>High</t>
        </is>
      </c>
      <c r="V5729">
        <f>IF(AND(OR(Dashboard!$C$6="All",E5729=Dashboard!$C$6),OR(Dashboard!$F$6="All",G5729=Dashboard!$F$6),OR(Dashboard!$I$6="All",H5729=Dashboard!$I$6)),1,0)</f>
        <v/>
      </c>
    </row>
    <row r="5730">
      <c r="A5730" t="inlineStr">
        <is>
          <t>PF105721</t>
        </is>
      </c>
      <c r="B5730" s="68" t="n">
        <v>46352</v>
      </c>
      <c r="C5730" s="69" t="n">
        <v>2026</v>
      </c>
      <c r="D5730" t="inlineStr">
        <is>
          <t>Nov</t>
        </is>
      </c>
      <c r="E5730" t="inlineStr">
        <is>
          <t>Europe</t>
        </is>
      </c>
      <c r="F5730" t="inlineStr">
        <is>
          <t>Germany</t>
        </is>
      </c>
      <c r="G5730" t="inlineStr">
        <is>
          <t>Paxlovid</t>
        </is>
      </c>
      <c r="H5730" t="inlineStr">
        <is>
          <t>Retail pharmacy</t>
        </is>
      </c>
      <c r="I5730" t="inlineStr">
        <is>
          <t>Public payer</t>
        </is>
      </c>
      <c r="J5730" t="inlineStr">
        <is>
          <t>Kofi Mensah</t>
        </is>
      </c>
      <c r="K5730" s="70" t="n">
        <v>2699</v>
      </c>
      <c r="L5730" s="71" t="n">
        <v>982.16</v>
      </c>
      <c r="M5730" s="71" t="n">
        <v>2650849.84</v>
      </c>
      <c r="N5730" s="71" t="n">
        <v>265084.98</v>
      </c>
      <c r="O5730" s="71" t="n">
        <v>2385764.86</v>
      </c>
      <c r="P5730" s="71" t="n">
        <v>724516.39</v>
      </c>
      <c r="Q5730" s="71" t="n">
        <v>1661248.47</v>
      </c>
      <c r="R5730" t="inlineStr">
        <is>
          <t>Antiviral</t>
        </is>
      </c>
      <c r="S5730" s="70" t="n">
        <v>1989</v>
      </c>
      <c r="T5730" s="71" t="n">
        <v>602404.11</v>
      </c>
      <c r="U5730" t="inlineStr">
        <is>
          <t>Low</t>
        </is>
      </c>
      <c r="V5730">
        <f>IF(AND(OR(Dashboard!$C$6="All",E5730=Dashboard!$C$6),OR(Dashboard!$F$6="All",G5730=Dashboard!$F$6),OR(Dashboard!$I$6="All",H5730=Dashboard!$I$6)),1,0)</f>
        <v/>
      </c>
    </row>
    <row r="5731">
      <c r="A5731" t="inlineStr">
        <is>
          <t>PF105722</t>
        </is>
      </c>
      <c r="B5731" s="68" t="n">
        <v>46352</v>
      </c>
      <c r="C5731" s="69" t="n">
        <v>2026</v>
      </c>
      <c r="D5731" t="inlineStr">
        <is>
          <t>Nov</t>
        </is>
      </c>
      <c r="E5731" t="inlineStr">
        <is>
          <t>Europe</t>
        </is>
      </c>
      <c r="F5731" t="inlineStr">
        <is>
          <t>Spain</t>
        </is>
      </c>
      <c r="G5731" t="inlineStr">
        <is>
          <t>Ibrance</t>
        </is>
      </c>
      <c r="H5731" t="inlineStr">
        <is>
          <t>Hospital</t>
        </is>
      </c>
      <c r="I5731" t="inlineStr">
        <is>
          <t>Private insurer</t>
        </is>
      </c>
      <c r="J5731" t="inlineStr">
        <is>
          <t>Yuki Sato</t>
        </is>
      </c>
      <c r="K5731" s="70" t="n">
        <v>1121</v>
      </c>
      <c r="L5731" s="71" t="n">
        <v>2625.49</v>
      </c>
      <c r="M5731" s="71" t="n">
        <v>2943174.29</v>
      </c>
      <c r="N5731" s="71" t="n">
        <v>588634.86</v>
      </c>
      <c r="O5731" s="71" t="n">
        <v>2354539.43</v>
      </c>
      <c r="P5731" s="71" t="n">
        <v>503895.07</v>
      </c>
      <c r="Q5731" s="71" t="n">
        <v>1850644.36</v>
      </c>
      <c r="R5731" t="inlineStr">
        <is>
          <t>Oncology</t>
        </is>
      </c>
      <c r="S5731" s="70" t="n">
        <v>957</v>
      </c>
      <c r="T5731" s="71" t="n">
        <v>541483.38</v>
      </c>
      <c r="U5731" t="inlineStr">
        <is>
          <t>High</t>
        </is>
      </c>
      <c r="V5731">
        <f>IF(AND(OR(Dashboard!$C$6="All",E5731=Dashboard!$C$6),OR(Dashboard!$F$6="All",G5731=Dashboard!$F$6),OR(Dashboard!$I$6="All",H5731=Dashboard!$I$6)),1,0)</f>
        <v/>
      </c>
    </row>
    <row r="5732">
      <c r="A5732" t="inlineStr">
        <is>
          <t>PF105723</t>
        </is>
      </c>
      <c r="B5732" s="68" t="n">
        <v>46352</v>
      </c>
      <c r="C5732" s="69" t="n">
        <v>2026</v>
      </c>
      <c r="D5732" t="inlineStr">
        <is>
          <t>Nov</t>
        </is>
      </c>
      <c r="E5732" t="inlineStr">
        <is>
          <t>Europe</t>
        </is>
      </c>
      <c r="F5732" t="inlineStr">
        <is>
          <t>Italy</t>
        </is>
      </c>
      <c r="G5732" t="inlineStr">
        <is>
          <t>Ibrance</t>
        </is>
      </c>
      <c r="H5732" t="inlineStr">
        <is>
          <t>Retail pharmacy</t>
        </is>
      </c>
      <c r="I5732" t="inlineStr">
        <is>
          <t>Private insurer</t>
        </is>
      </c>
      <c r="J5732" t="inlineStr">
        <is>
          <t>Mei Lin</t>
        </is>
      </c>
      <c r="K5732" s="70" t="n">
        <v>407</v>
      </c>
      <c r="L5732" s="71" t="n">
        <v>2879.05</v>
      </c>
      <c r="M5732" s="71" t="n">
        <v>1171773.35</v>
      </c>
      <c r="N5732" s="71" t="n">
        <v>292943.34</v>
      </c>
      <c r="O5732" s="71" t="n">
        <v>878830.01</v>
      </c>
      <c r="P5732" s="71" t="n">
        <v>178085.98</v>
      </c>
      <c r="Q5732" s="71" t="n">
        <v>700744.03</v>
      </c>
      <c r="R5732" t="inlineStr">
        <is>
          <t>Oncology</t>
        </is>
      </c>
      <c r="S5732" s="70" t="n">
        <v>328</v>
      </c>
      <c r="T5732" s="71" t="n">
        <v>249244.94</v>
      </c>
      <c r="U5732" t="inlineStr">
        <is>
          <t>High</t>
        </is>
      </c>
      <c r="V5732">
        <f>IF(AND(OR(Dashboard!$C$6="All",E5732=Dashboard!$C$6),OR(Dashboard!$F$6="All",G5732=Dashboard!$F$6),OR(Dashboard!$I$6="All",H5732=Dashboard!$I$6)),1,0)</f>
        <v/>
      </c>
    </row>
    <row r="5733">
      <c r="A5733" t="inlineStr">
        <is>
          <t>PF105724</t>
        </is>
      </c>
      <c r="B5733" s="68" t="n">
        <v>46353</v>
      </c>
      <c r="C5733" s="69" t="n">
        <v>2026</v>
      </c>
      <c r="D5733" t="inlineStr">
        <is>
          <t>Nov</t>
        </is>
      </c>
      <c r="E5733" t="inlineStr">
        <is>
          <t>Europe</t>
        </is>
      </c>
      <c r="F5733" t="inlineStr">
        <is>
          <t>France</t>
        </is>
      </c>
      <c r="G5733" t="inlineStr">
        <is>
          <t>Ibrance</t>
        </is>
      </c>
      <c r="H5733" t="inlineStr">
        <is>
          <t>Retail pharmacy</t>
        </is>
      </c>
      <c r="I5733" t="inlineStr">
        <is>
          <t>Private insurer</t>
        </is>
      </c>
      <c r="J5733" t="inlineStr">
        <is>
          <t>Noah Smith</t>
        </is>
      </c>
      <c r="K5733" s="70" t="n">
        <v>3080</v>
      </c>
      <c r="L5733" s="71" t="n">
        <v>2732.34</v>
      </c>
      <c r="M5733" s="71" t="n">
        <v>8415607.199999999</v>
      </c>
      <c r="N5733" s="71" t="n">
        <v>841560.72</v>
      </c>
      <c r="O5733" s="71" t="n">
        <v>7574046.48</v>
      </c>
      <c r="P5733" s="71" t="n">
        <v>1323791.45</v>
      </c>
      <c r="Q5733" s="71" t="n">
        <v>6250255.03</v>
      </c>
      <c r="R5733" t="inlineStr">
        <is>
          <t>Oncology</t>
        </is>
      </c>
      <c r="S5733" s="70" t="n">
        <v>1963</v>
      </c>
      <c r="T5733" s="71" t="n">
        <v>1217644.28</v>
      </c>
      <c r="U5733" t="inlineStr">
        <is>
          <t>High</t>
        </is>
      </c>
      <c r="V5733">
        <f>IF(AND(OR(Dashboard!$C$6="All",E5733=Dashboard!$C$6),OR(Dashboard!$F$6="All",G5733=Dashboard!$F$6),OR(Dashboard!$I$6="All",H5733=Dashboard!$I$6)),1,0)</f>
        <v/>
      </c>
    </row>
    <row r="5734">
      <c r="A5734" t="inlineStr">
        <is>
          <t>PF105725</t>
        </is>
      </c>
      <c r="B5734" s="68" t="n">
        <v>46353</v>
      </c>
      <c r="C5734" s="69" t="n">
        <v>2026</v>
      </c>
      <c r="D5734" t="inlineStr">
        <is>
          <t>Nov</t>
        </is>
      </c>
      <c r="E5734" t="inlineStr">
        <is>
          <t>United States</t>
        </is>
      </c>
      <c r="F5734" t="inlineStr">
        <is>
          <t>USA</t>
        </is>
      </c>
      <c r="G5734" t="inlineStr">
        <is>
          <t>Vyndaqel</t>
        </is>
      </c>
      <c r="H5734" t="inlineStr">
        <is>
          <t>Government / tender</t>
        </is>
      </c>
      <c r="I5734" t="inlineStr">
        <is>
          <t>Private insurer</t>
        </is>
      </c>
      <c r="J5734" t="inlineStr">
        <is>
          <t>Mei Lin</t>
        </is>
      </c>
      <c r="K5734" s="70" t="n">
        <v>3223</v>
      </c>
      <c r="L5734" s="71" t="n">
        <v>8991.690000000001</v>
      </c>
      <c r="M5734" s="71" t="n">
        <v>28980216.87</v>
      </c>
      <c r="N5734" s="71" t="n">
        <v>10143075.9</v>
      </c>
      <c r="O5734" s="71" t="n">
        <v>18837140.97</v>
      </c>
      <c r="P5734" s="71" t="n">
        <v>1939675.53</v>
      </c>
      <c r="Q5734" s="71" t="n">
        <v>16897465.44</v>
      </c>
      <c r="R5734" t="inlineStr">
        <is>
          <t>Rare disease</t>
        </is>
      </c>
      <c r="S5734" s="70" t="n">
        <v>2647</v>
      </c>
      <c r="T5734" s="71" t="n">
        <v>4883726.54</v>
      </c>
      <c r="U5734" t="inlineStr">
        <is>
          <t>Medium</t>
        </is>
      </c>
      <c r="V5734">
        <f>IF(AND(OR(Dashboard!$C$6="All",E5734=Dashboard!$C$6),OR(Dashboard!$F$6="All",G5734=Dashboard!$F$6),OR(Dashboard!$I$6="All",H5734=Dashboard!$I$6)),1,0)</f>
        <v/>
      </c>
    </row>
    <row r="5735">
      <c r="A5735" t="inlineStr">
        <is>
          <t>PF105726</t>
        </is>
      </c>
      <c r="B5735" s="68" t="n">
        <v>46353</v>
      </c>
      <c r="C5735" s="69" t="n">
        <v>2026</v>
      </c>
      <c r="D5735" t="inlineStr">
        <is>
          <t>Nov</t>
        </is>
      </c>
      <c r="E5735" t="inlineStr">
        <is>
          <t>International developed</t>
        </is>
      </c>
      <c r="F5735" t="inlineStr">
        <is>
          <t>Australia</t>
        </is>
      </c>
      <c r="G5735" t="inlineStr">
        <is>
          <t>Abrysvo</t>
        </is>
      </c>
      <c r="H5735" t="inlineStr">
        <is>
          <t>Hospital</t>
        </is>
      </c>
      <c r="I5735" t="inlineStr">
        <is>
          <t>Private insurer</t>
        </is>
      </c>
      <c r="J5735" t="inlineStr">
        <is>
          <t>Ravindra Patil</t>
        </is>
      </c>
      <c r="K5735" s="70" t="n">
        <v>371</v>
      </c>
      <c r="L5735" s="71" t="n">
        <v>301.52</v>
      </c>
      <c r="M5735" s="71" t="n">
        <v>111863.92</v>
      </c>
      <c r="N5735" s="71" t="n">
        <v>11186.39</v>
      </c>
      <c r="O5735" s="71" t="n">
        <v>100677.53</v>
      </c>
      <c r="P5735" s="71" t="n">
        <v>31992.45</v>
      </c>
      <c r="Q5735" s="71" t="n">
        <v>68685.08</v>
      </c>
      <c r="R5735" t="inlineStr">
        <is>
          <t>Vaccines</t>
        </is>
      </c>
      <c r="S5735" s="70" t="n">
        <v>288</v>
      </c>
      <c r="T5735" s="71" t="n">
        <v>14902.91</v>
      </c>
      <c r="U5735" t="inlineStr">
        <is>
          <t>Low</t>
        </is>
      </c>
      <c r="V5735">
        <f>IF(AND(OR(Dashboard!$C$6="All",E5735=Dashboard!$C$6),OR(Dashboard!$F$6="All",G5735=Dashboard!$F$6),OR(Dashboard!$I$6="All",H5735=Dashboard!$I$6)),1,0)</f>
        <v/>
      </c>
    </row>
    <row r="5736">
      <c r="A5736" t="inlineStr">
        <is>
          <t>PF105727</t>
        </is>
      </c>
      <c r="B5736" s="68" t="n">
        <v>46353</v>
      </c>
      <c r="C5736" s="69" t="n">
        <v>2026</v>
      </c>
      <c r="D5736" t="inlineStr">
        <is>
          <t>Nov</t>
        </is>
      </c>
      <c r="E5736" t="inlineStr">
        <is>
          <t>International developed</t>
        </is>
      </c>
      <c r="F5736" t="inlineStr">
        <is>
          <t>Japan</t>
        </is>
      </c>
      <c r="G5736" t="inlineStr">
        <is>
          <t>Ibrance</t>
        </is>
      </c>
      <c r="H5736" t="inlineStr">
        <is>
          <t>Government / tender</t>
        </is>
      </c>
      <c r="I5736" t="inlineStr">
        <is>
          <t>Public payer</t>
        </is>
      </c>
      <c r="J5736" t="inlineStr">
        <is>
          <t>Lucas Martin</t>
        </is>
      </c>
      <c r="K5736" s="70" t="n">
        <v>1409</v>
      </c>
      <c r="L5736" s="71" t="n">
        <v>3020.11</v>
      </c>
      <c r="M5736" s="71" t="n">
        <v>4255334.99</v>
      </c>
      <c r="N5736" s="71" t="n">
        <v>851067</v>
      </c>
      <c r="O5736" s="71" t="n">
        <v>3404267.99</v>
      </c>
      <c r="P5736" s="71" t="n">
        <v>629103.4300000001</v>
      </c>
      <c r="Q5736" s="71" t="n">
        <v>2775164.56</v>
      </c>
      <c r="R5736" t="inlineStr">
        <is>
          <t>Oncology</t>
        </is>
      </c>
      <c r="S5736" s="70" t="n">
        <v>939</v>
      </c>
      <c r="T5736" s="71" t="n">
        <v>810081.95</v>
      </c>
      <c r="U5736" t="inlineStr">
        <is>
          <t>High</t>
        </is>
      </c>
      <c r="V5736">
        <f>IF(AND(OR(Dashboard!$C$6="All",E5736=Dashboard!$C$6),OR(Dashboard!$F$6="All",G5736=Dashboard!$F$6),OR(Dashboard!$I$6="All",H5736=Dashboard!$I$6)),1,0)</f>
        <v/>
      </c>
    </row>
    <row r="5737">
      <c r="A5737" t="inlineStr">
        <is>
          <t>PF105728</t>
        </is>
      </c>
      <c r="B5737" s="68" t="n">
        <v>46353</v>
      </c>
      <c r="C5737" s="69" t="n">
        <v>2026</v>
      </c>
      <c r="D5737" t="inlineStr">
        <is>
          <t>Nov</t>
        </is>
      </c>
      <c r="E5737" t="inlineStr">
        <is>
          <t>United States</t>
        </is>
      </c>
      <c r="F5737" t="inlineStr">
        <is>
          <t>USA</t>
        </is>
      </c>
      <c r="G5737" t="inlineStr">
        <is>
          <t>Eliquis</t>
        </is>
      </c>
      <c r="H5737" t="inlineStr">
        <is>
          <t>Hospital</t>
        </is>
      </c>
      <c r="I5737" t="inlineStr">
        <is>
          <t>Public payer</t>
        </is>
      </c>
      <c r="J5737" t="inlineStr">
        <is>
          <t>Sara Rossi</t>
        </is>
      </c>
      <c r="K5737" s="70" t="n">
        <v>3157</v>
      </c>
      <c r="L5737" s="71" t="n">
        <v>697.0599999999999</v>
      </c>
      <c r="M5737" s="71" t="n">
        <v>2200618.42</v>
      </c>
      <c r="N5737" s="71" t="n">
        <v>770216.45</v>
      </c>
      <c r="O5737" s="71" t="n">
        <v>1430401.97</v>
      </c>
      <c r="P5737" s="71" t="n">
        <v>240357.9</v>
      </c>
      <c r="Q5737" s="71" t="n">
        <v>1190044.07</v>
      </c>
      <c r="R5737" t="inlineStr">
        <is>
          <t>Cardiology</t>
        </is>
      </c>
      <c r="S5737" s="70" t="n">
        <v>2574</v>
      </c>
      <c r="T5737" s="71" t="n">
        <v>296131.9</v>
      </c>
      <c r="U5737" t="inlineStr">
        <is>
          <t>High</t>
        </is>
      </c>
      <c r="V5737">
        <f>IF(AND(OR(Dashboard!$C$6="All",E5737=Dashboard!$C$6),OR(Dashboard!$F$6="All",G5737=Dashboard!$F$6),OR(Dashboard!$I$6="All",H5737=Dashboard!$I$6)),1,0)</f>
        <v/>
      </c>
    </row>
    <row r="5738">
      <c r="A5738" t="inlineStr">
        <is>
          <t>PF105729</t>
        </is>
      </c>
      <c r="B5738" s="68" t="n">
        <v>46354</v>
      </c>
      <c r="C5738" s="69" t="n">
        <v>2026</v>
      </c>
      <c r="D5738" t="inlineStr">
        <is>
          <t>Nov</t>
        </is>
      </c>
      <c r="E5738" t="inlineStr">
        <is>
          <t>Emerging markets</t>
        </is>
      </c>
      <c r="F5738" t="inlineStr">
        <is>
          <t>Mexico</t>
        </is>
      </c>
      <c r="G5738" t="inlineStr">
        <is>
          <t>Prevnar 20</t>
        </is>
      </c>
      <c r="H5738" t="inlineStr">
        <is>
          <t>Retail pharmacy</t>
        </is>
      </c>
      <c r="I5738" t="inlineStr">
        <is>
          <t>Private insurer</t>
        </is>
      </c>
      <c r="J5738" t="inlineStr">
        <is>
          <t>Sophie Müller</t>
        </is>
      </c>
      <c r="K5738" s="70" t="n">
        <v>2074</v>
      </c>
      <c r="L5738" s="71" t="n">
        <v>253.82</v>
      </c>
      <c r="M5738" s="71" t="n">
        <v>526422.6800000001</v>
      </c>
      <c r="N5738" s="71" t="n">
        <v>26321.13</v>
      </c>
      <c r="O5738" s="71" t="n">
        <v>500101.55</v>
      </c>
      <c r="P5738" s="71" t="n">
        <v>145320.77</v>
      </c>
      <c r="Q5738" s="71" t="n">
        <v>354780.78</v>
      </c>
      <c r="R5738" t="inlineStr">
        <is>
          <t>Vaccines</t>
        </is>
      </c>
      <c r="S5738" s="70" t="n">
        <v>1428</v>
      </c>
      <c r="T5738" s="71" t="n">
        <v>71740.89</v>
      </c>
      <c r="U5738" t="inlineStr">
        <is>
          <t>Low</t>
        </is>
      </c>
      <c r="V5738">
        <f>IF(AND(OR(Dashboard!$C$6="All",E5738=Dashboard!$C$6),OR(Dashboard!$F$6="All",G5738=Dashboard!$F$6),OR(Dashboard!$I$6="All",H5738=Dashboard!$I$6)),1,0)</f>
        <v/>
      </c>
    </row>
    <row r="5739">
      <c r="A5739" t="inlineStr">
        <is>
          <t>PF105730</t>
        </is>
      </c>
      <c r="B5739" s="68" t="n">
        <v>46354</v>
      </c>
      <c r="C5739" s="69" t="n">
        <v>2026</v>
      </c>
      <c r="D5739" t="inlineStr">
        <is>
          <t>Nov</t>
        </is>
      </c>
      <c r="E5739" t="inlineStr">
        <is>
          <t>Emerging markets</t>
        </is>
      </c>
      <c r="F5739" t="inlineStr">
        <is>
          <t>Brazil</t>
        </is>
      </c>
      <c r="G5739" t="inlineStr">
        <is>
          <t>Ibrance</t>
        </is>
      </c>
      <c r="H5739" t="inlineStr">
        <is>
          <t>Retail pharmacy</t>
        </is>
      </c>
      <c r="I5739" t="inlineStr">
        <is>
          <t>Private insurer</t>
        </is>
      </c>
      <c r="J5739" t="inlineStr">
        <is>
          <t>Shraddha Kulkarni</t>
        </is>
      </c>
      <c r="K5739" s="70" t="n">
        <v>2238</v>
      </c>
      <c r="L5739" s="71" t="n">
        <v>3044.53</v>
      </c>
      <c r="M5739" s="71" t="n">
        <v>6813658.14</v>
      </c>
      <c r="N5739" s="71" t="n">
        <v>340682.91</v>
      </c>
      <c r="O5739" s="71" t="n">
        <v>6472975.23</v>
      </c>
      <c r="P5739" s="71" t="n">
        <v>962137.27</v>
      </c>
      <c r="Q5739" s="71" t="n">
        <v>5510837.96</v>
      </c>
      <c r="R5739" t="inlineStr">
        <is>
          <t>Oncology</t>
        </is>
      </c>
      <c r="S5739" s="70" t="n">
        <v>1440</v>
      </c>
      <c r="T5739" s="71" t="n">
        <v>1357038.19</v>
      </c>
      <c r="U5739" t="inlineStr">
        <is>
          <t>High</t>
        </is>
      </c>
      <c r="V5739">
        <f>IF(AND(OR(Dashboard!$C$6="All",E5739=Dashboard!$C$6),OR(Dashboard!$F$6="All",G5739=Dashboard!$F$6),OR(Dashboard!$I$6="All",H5739=Dashboard!$I$6)),1,0)</f>
        <v/>
      </c>
    </row>
    <row r="5740">
      <c r="A5740" t="inlineStr">
        <is>
          <t>PF105731</t>
        </is>
      </c>
      <c r="B5740" s="68" t="n">
        <v>46354</v>
      </c>
      <c r="C5740" s="69" t="n">
        <v>2026</v>
      </c>
      <c r="D5740" t="inlineStr">
        <is>
          <t>Nov</t>
        </is>
      </c>
      <c r="E5740" t="inlineStr">
        <is>
          <t>United States</t>
        </is>
      </c>
      <c r="F5740" t="inlineStr">
        <is>
          <t>USA</t>
        </is>
      </c>
      <c r="G5740" t="inlineStr">
        <is>
          <t>Ibrance</t>
        </is>
      </c>
      <c r="H5740" t="inlineStr">
        <is>
          <t>Retail pharmacy</t>
        </is>
      </c>
      <c r="I5740" t="inlineStr">
        <is>
          <t>Public payer</t>
        </is>
      </c>
      <c r="J5740" t="inlineStr">
        <is>
          <t>Lucas Martin</t>
        </is>
      </c>
      <c r="K5740" s="70" t="n">
        <v>282</v>
      </c>
      <c r="L5740" s="71" t="n">
        <v>4894.32</v>
      </c>
      <c r="M5740" s="71" t="n">
        <v>1380198.24</v>
      </c>
      <c r="N5740" s="71" t="n">
        <v>483069.38</v>
      </c>
      <c r="O5740" s="71" t="n">
        <v>897128.86</v>
      </c>
      <c r="P5740" s="71" t="n">
        <v>126859.51</v>
      </c>
      <c r="Q5740" s="71" t="n">
        <v>770269.35</v>
      </c>
      <c r="R5740" t="inlineStr">
        <is>
          <t>Oncology</t>
        </is>
      </c>
      <c r="S5740" s="70" t="n">
        <v>191</v>
      </c>
      <c r="T5740" s="71" t="n">
        <v>188887.82</v>
      </c>
      <c r="U5740" t="inlineStr">
        <is>
          <t>High</t>
        </is>
      </c>
      <c r="V5740">
        <f>IF(AND(OR(Dashboard!$C$6="All",E5740=Dashboard!$C$6),OR(Dashboard!$F$6="All",G5740=Dashboard!$F$6),OR(Dashboard!$I$6="All",H5740=Dashboard!$I$6)),1,0)</f>
        <v/>
      </c>
    </row>
    <row r="5741">
      <c r="A5741" t="inlineStr">
        <is>
          <t>PF105732</t>
        </is>
      </c>
      <c r="B5741" s="68" t="n">
        <v>46354</v>
      </c>
      <c r="C5741" s="69" t="n">
        <v>2026</v>
      </c>
      <c r="D5741" t="inlineStr">
        <is>
          <t>Nov</t>
        </is>
      </c>
      <c r="E5741" t="inlineStr">
        <is>
          <t>Emerging markets</t>
        </is>
      </c>
      <c r="F5741" t="inlineStr">
        <is>
          <t>Mexico</t>
        </is>
      </c>
      <c r="G5741" t="inlineStr">
        <is>
          <t>Ibrance</t>
        </is>
      </c>
      <c r="H5741" t="inlineStr">
        <is>
          <t>Hospital</t>
        </is>
      </c>
      <c r="I5741" t="inlineStr">
        <is>
          <t>Private insurer</t>
        </is>
      </c>
      <c r="J5741" t="inlineStr">
        <is>
          <t>Noah Smith</t>
        </is>
      </c>
      <c r="K5741" s="70" t="n">
        <v>463</v>
      </c>
      <c r="L5741" s="71" t="n">
        <v>2958.58</v>
      </c>
      <c r="M5741" s="71" t="n">
        <v>1369822.54</v>
      </c>
      <c r="N5741" s="71" t="n">
        <v>136982.25</v>
      </c>
      <c r="O5741" s="71" t="n">
        <v>1232840.29</v>
      </c>
      <c r="P5741" s="71" t="n">
        <v>204662.82</v>
      </c>
      <c r="Q5741" s="71" t="n">
        <v>1028177.47</v>
      </c>
      <c r="R5741" t="inlineStr">
        <is>
          <t>Oncology</t>
        </is>
      </c>
      <c r="S5741" s="70" t="n">
        <v>315</v>
      </c>
      <c r="T5741" s="71" t="n">
        <v>238139.25</v>
      </c>
      <c r="U5741" t="inlineStr">
        <is>
          <t>High</t>
        </is>
      </c>
      <c r="V5741">
        <f>IF(AND(OR(Dashboard!$C$6="All",E5741=Dashboard!$C$6),OR(Dashboard!$F$6="All",G5741=Dashboard!$F$6),OR(Dashboard!$I$6="All",H5741=Dashboard!$I$6)),1,0)</f>
        <v/>
      </c>
    </row>
    <row r="5742">
      <c r="A5742" t="inlineStr">
        <is>
          <t>PF105733</t>
        </is>
      </c>
      <c r="B5742" s="68" t="n">
        <v>46354</v>
      </c>
      <c r="C5742" s="69" t="n">
        <v>2026</v>
      </c>
      <c r="D5742" t="inlineStr">
        <is>
          <t>Nov</t>
        </is>
      </c>
      <c r="E5742" t="inlineStr">
        <is>
          <t>United States</t>
        </is>
      </c>
      <c r="F5742" t="inlineStr">
        <is>
          <t>USA</t>
        </is>
      </c>
      <c r="G5742" t="inlineStr">
        <is>
          <t>Comirnaty</t>
        </is>
      </c>
      <c r="H5742" t="inlineStr">
        <is>
          <t>Hospital</t>
        </is>
      </c>
      <c r="I5742" t="inlineStr">
        <is>
          <t>Private insurer</t>
        </is>
      </c>
      <c r="J5742" t="inlineStr">
        <is>
          <t>Yuki Sato</t>
        </is>
      </c>
      <c r="K5742" s="70" t="n">
        <v>338</v>
      </c>
      <c r="L5742" s="71" t="n">
        <v>133.08</v>
      </c>
      <c r="M5742" s="71" t="n">
        <v>44981.04</v>
      </c>
      <c r="N5742" s="71" t="n">
        <v>8996.209999999999</v>
      </c>
      <c r="O5742" s="71" t="n">
        <v>35984.83</v>
      </c>
      <c r="P5742" s="71" t="n">
        <v>13034.47</v>
      </c>
      <c r="Q5742" s="71" t="n">
        <v>22950.36</v>
      </c>
      <c r="R5742" t="inlineStr">
        <is>
          <t>Vaccines</t>
        </is>
      </c>
      <c r="S5742" s="70" t="n">
        <v>212</v>
      </c>
      <c r="T5742" s="71" t="n">
        <v>8427.92</v>
      </c>
      <c r="U5742" t="inlineStr">
        <is>
          <t>Low</t>
        </is>
      </c>
      <c r="V5742">
        <f>IF(AND(OR(Dashboard!$C$6="All",E5742=Dashboard!$C$6),OR(Dashboard!$F$6="All",G5742=Dashboard!$F$6),OR(Dashboard!$I$6="All",H5742=Dashboard!$I$6)),1,0)</f>
        <v/>
      </c>
    </row>
    <row r="5743">
      <c r="A5743" t="inlineStr">
        <is>
          <t>PF105734</t>
        </is>
      </c>
      <c r="B5743" s="68" t="n">
        <v>46354</v>
      </c>
      <c r="C5743" s="69" t="n">
        <v>2026</v>
      </c>
      <c r="D5743" t="inlineStr">
        <is>
          <t>Nov</t>
        </is>
      </c>
      <c r="E5743" t="inlineStr">
        <is>
          <t>United States</t>
        </is>
      </c>
      <c r="F5743" t="inlineStr">
        <is>
          <t>USA</t>
        </is>
      </c>
      <c r="G5743" t="inlineStr">
        <is>
          <t>Ibrance</t>
        </is>
      </c>
      <c r="H5743" t="inlineStr">
        <is>
          <t>Retail pharmacy</t>
        </is>
      </c>
      <c r="I5743" t="inlineStr">
        <is>
          <t>Public payer</t>
        </is>
      </c>
      <c r="J5743" t="inlineStr">
        <is>
          <t>Carlos Silva</t>
        </is>
      </c>
      <c r="K5743" s="70" t="n">
        <v>1381</v>
      </c>
      <c r="L5743" s="71" t="n">
        <v>4187.3</v>
      </c>
      <c r="M5743" s="71" t="n">
        <v>5782661.3</v>
      </c>
      <c r="N5743" s="71" t="n">
        <v>2023931.45</v>
      </c>
      <c r="O5743" s="71" t="n">
        <v>3758729.85</v>
      </c>
      <c r="P5743" s="71" t="n">
        <v>602906.5600000001</v>
      </c>
      <c r="Q5743" s="71" t="n">
        <v>3155823.29</v>
      </c>
      <c r="R5743" t="inlineStr">
        <is>
          <t>Oncology</t>
        </is>
      </c>
      <c r="S5743" s="70" t="n">
        <v>1083</v>
      </c>
      <c r="T5743" s="71" t="n">
        <v>1005992.25</v>
      </c>
      <c r="U5743" t="inlineStr">
        <is>
          <t>High</t>
        </is>
      </c>
      <c r="V5743">
        <f>IF(AND(OR(Dashboard!$C$6="All",E5743=Dashboard!$C$6),OR(Dashboard!$F$6="All",G5743=Dashboard!$F$6),OR(Dashboard!$I$6="All",H5743=Dashboard!$I$6)),1,0)</f>
        <v/>
      </c>
    </row>
    <row r="5744">
      <c r="A5744" t="inlineStr">
        <is>
          <t>PF105735</t>
        </is>
      </c>
      <c r="B5744" s="68" t="n">
        <v>46354</v>
      </c>
      <c r="C5744" s="69" t="n">
        <v>2026</v>
      </c>
      <c r="D5744" t="inlineStr">
        <is>
          <t>Nov</t>
        </is>
      </c>
      <c r="E5744" t="inlineStr">
        <is>
          <t>United States</t>
        </is>
      </c>
      <c r="F5744" t="inlineStr">
        <is>
          <t>USA</t>
        </is>
      </c>
      <c r="G5744" t="inlineStr">
        <is>
          <t>Vyndaqel</t>
        </is>
      </c>
      <c r="H5744" t="inlineStr">
        <is>
          <t>Retail pharmacy</t>
        </is>
      </c>
      <c r="I5744" t="inlineStr">
        <is>
          <t>Public payer</t>
        </is>
      </c>
      <c r="J5744" t="inlineStr">
        <is>
          <t>Ana Costa</t>
        </is>
      </c>
      <c r="K5744" s="70" t="n">
        <v>3632</v>
      </c>
      <c r="L5744" s="71" t="n">
        <v>9145.85</v>
      </c>
      <c r="M5744" s="71" t="n">
        <v>33217727.2</v>
      </c>
      <c r="N5744" s="71" t="n">
        <v>11626204.52</v>
      </c>
      <c r="O5744" s="71" t="n">
        <v>21591522.68</v>
      </c>
      <c r="P5744" s="71" t="n">
        <v>2183847.45</v>
      </c>
      <c r="Q5744" s="71" t="n">
        <v>19407675.23</v>
      </c>
      <c r="R5744" t="inlineStr">
        <is>
          <t>Rare disease</t>
        </is>
      </c>
      <c r="S5744" s="70" t="n">
        <v>3069</v>
      </c>
      <c r="T5744" s="71" t="n">
        <v>5068794.3</v>
      </c>
      <c r="U5744" t="inlineStr">
        <is>
          <t>Medium</t>
        </is>
      </c>
      <c r="V5744">
        <f>IF(AND(OR(Dashboard!$C$6="All",E5744=Dashboard!$C$6),OR(Dashboard!$F$6="All",G5744=Dashboard!$F$6),OR(Dashboard!$I$6="All",H5744=Dashboard!$I$6)),1,0)</f>
        <v/>
      </c>
    </row>
    <row r="5745">
      <c r="A5745" t="inlineStr">
        <is>
          <t>PF105736</t>
        </is>
      </c>
      <c r="B5745" s="68" t="n">
        <v>46354</v>
      </c>
      <c r="C5745" s="69" t="n">
        <v>2026</v>
      </c>
      <c r="D5745" t="inlineStr">
        <is>
          <t>Nov</t>
        </is>
      </c>
      <c r="E5745" t="inlineStr">
        <is>
          <t>United States</t>
        </is>
      </c>
      <c r="F5745" t="inlineStr">
        <is>
          <t>USA</t>
        </is>
      </c>
      <c r="G5745" t="inlineStr">
        <is>
          <t>Paxlovid</t>
        </is>
      </c>
      <c r="H5745" t="inlineStr">
        <is>
          <t>Retail pharmacy</t>
        </is>
      </c>
      <c r="I5745" t="inlineStr">
        <is>
          <t>Private insurer</t>
        </is>
      </c>
      <c r="J5745" t="inlineStr">
        <is>
          <t>Omar Haddad</t>
        </is>
      </c>
      <c r="K5745" s="70" t="n">
        <v>598</v>
      </c>
      <c r="L5745" s="71" t="n">
        <v>1398.94</v>
      </c>
      <c r="M5745" s="71" t="n">
        <v>836566.12</v>
      </c>
      <c r="N5745" s="71" t="n">
        <v>292798.14</v>
      </c>
      <c r="O5745" s="71" t="n">
        <v>543767.98</v>
      </c>
      <c r="P5745" s="71" t="n">
        <v>161976.11</v>
      </c>
      <c r="Q5745" s="71" t="n">
        <v>381791.87</v>
      </c>
      <c r="R5745" t="inlineStr">
        <is>
          <t>Antiviral</t>
        </is>
      </c>
      <c r="S5745" s="70" t="n">
        <v>534</v>
      </c>
      <c r="T5745" s="71" t="n">
        <v>207227.58</v>
      </c>
      <c r="U5745" t="inlineStr">
        <is>
          <t>Low</t>
        </is>
      </c>
      <c r="V5745">
        <f>IF(AND(OR(Dashboard!$C$6="All",E5745=Dashboard!$C$6),OR(Dashboard!$F$6="All",G5745=Dashboard!$F$6),OR(Dashboard!$I$6="All",H5745=Dashboard!$I$6)),1,0)</f>
        <v/>
      </c>
    </row>
    <row r="5746">
      <c r="A5746" t="inlineStr">
        <is>
          <t>PF105737</t>
        </is>
      </c>
      <c r="B5746" s="68" t="n">
        <v>46357</v>
      </c>
      <c r="C5746" s="69" t="n">
        <v>2026</v>
      </c>
      <c r="D5746" t="inlineStr">
        <is>
          <t>Dec</t>
        </is>
      </c>
      <c r="E5746" t="inlineStr">
        <is>
          <t>United States</t>
        </is>
      </c>
      <c r="F5746" t="inlineStr">
        <is>
          <t>USA</t>
        </is>
      </c>
      <c r="G5746" t="inlineStr">
        <is>
          <t>Eliquis</t>
        </is>
      </c>
      <c r="H5746" t="inlineStr">
        <is>
          <t>Hospital</t>
        </is>
      </c>
      <c r="I5746" t="inlineStr">
        <is>
          <t>Public payer</t>
        </is>
      </c>
      <c r="J5746" t="inlineStr">
        <is>
          <t>Fatima Al-Saud</t>
        </is>
      </c>
      <c r="K5746" s="70" t="n">
        <v>3206</v>
      </c>
      <c r="L5746" s="71" t="n">
        <v>732.9400000000001</v>
      </c>
      <c r="M5746" s="71" t="n">
        <v>2349805.64</v>
      </c>
      <c r="N5746" s="71" t="n">
        <v>587451.41</v>
      </c>
      <c r="O5746" s="71" t="n">
        <v>1762354.23</v>
      </c>
      <c r="P5746" s="71" t="n">
        <v>232790.74</v>
      </c>
      <c r="Q5746" s="71" t="n">
        <v>1529563.49</v>
      </c>
      <c r="R5746" t="inlineStr">
        <is>
          <t>Cardiology</t>
        </is>
      </c>
      <c r="S5746" s="70" t="n">
        <v>2484</v>
      </c>
      <c r="T5746" s="71" t="n">
        <v>285803.75</v>
      </c>
      <c r="U5746" t="inlineStr">
        <is>
          <t>High</t>
        </is>
      </c>
      <c r="V5746">
        <f>IF(AND(OR(Dashboard!$C$6="All",E5746=Dashboard!$C$6),OR(Dashboard!$F$6="All",G5746=Dashboard!$F$6),OR(Dashboard!$I$6="All",H5746=Dashboard!$I$6)),1,0)</f>
        <v/>
      </c>
    </row>
    <row r="5747">
      <c r="A5747" t="inlineStr">
        <is>
          <t>PF105738</t>
        </is>
      </c>
      <c r="B5747" s="68" t="n">
        <v>46357</v>
      </c>
      <c r="C5747" s="69" t="n">
        <v>2026</v>
      </c>
      <c r="D5747" t="inlineStr">
        <is>
          <t>Dec</t>
        </is>
      </c>
      <c r="E5747" t="inlineStr">
        <is>
          <t>Emerging markets</t>
        </is>
      </c>
      <c r="F5747" t="inlineStr">
        <is>
          <t>Brazil</t>
        </is>
      </c>
      <c r="G5747" t="inlineStr">
        <is>
          <t>Paxlovid</t>
        </is>
      </c>
      <c r="H5747" t="inlineStr">
        <is>
          <t>Hospital</t>
        </is>
      </c>
      <c r="I5747" t="inlineStr">
        <is>
          <t>Private insurer</t>
        </is>
      </c>
      <c r="J5747" t="inlineStr">
        <is>
          <t>Arjun Mehta</t>
        </is>
      </c>
      <c r="K5747" s="70" t="n">
        <v>1933</v>
      </c>
      <c r="L5747" s="71" t="n">
        <v>970.21</v>
      </c>
      <c r="M5747" s="71" t="n">
        <v>1875415.93</v>
      </c>
      <c r="N5747" s="71" t="n">
        <v>93770.8</v>
      </c>
      <c r="O5747" s="71" t="n">
        <v>1781645.13</v>
      </c>
      <c r="P5747" s="71" t="n">
        <v>523284.06</v>
      </c>
      <c r="Q5747" s="71" t="n">
        <v>1258361.07</v>
      </c>
      <c r="R5747" t="inlineStr">
        <is>
          <t>Antiviral</t>
        </is>
      </c>
      <c r="S5747" s="70" t="n">
        <v>1388</v>
      </c>
      <c r="T5747" s="71" t="n">
        <v>383488.96</v>
      </c>
      <c r="U5747" t="inlineStr">
        <is>
          <t>Low</t>
        </is>
      </c>
      <c r="V5747">
        <f>IF(AND(OR(Dashboard!$C$6="All",E5747=Dashboard!$C$6),OR(Dashboard!$F$6="All",G5747=Dashboard!$F$6),OR(Dashboard!$I$6="All",H5747=Dashboard!$I$6)),1,0)</f>
        <v/>
      </c>
    </row>
    <row r="5748">
      <c r="A5748" t="inlineStr">
        <is>
          <t>PF105739</t>
        </is>
      </c>
      <c r="B5748" s="68" t="n">
        <v>46357</v>
      </c>
      <c r="C5748" s="69" t="n">
        <v>2026</v>
      </c>
      <c r="D5748" t="inlineStr">
        <is>
          <t>Dec</t>
        </is>
      </c>
      <c r="E5748" t="inlineStr">
        <is>
          <t>International developed</t>
        </is>
      </c>
      <c r="F5748" t="inlineStr">
        <is>
          <t>Japan</t>
        </is>
      </c>
      <c r="G5748" t="inlineStr">
        <is>
          <t>Prevnar 20</t>
        </is>
      </c>
      <c r="H5748" t="inlineStr">
        <is>
          <t>Retail pharmacy</t>
        </is>
      </c>
      <c r="I5748" t="inlineStr">
        <is>
          <t>Self-pay</t>
        </is>
      </c>
      <c r="J5748" t="inlineStr">
        <is>
          <t>Ruhi Shaikh</t>
        </is>
      </c>
      <c r="K5748" s="70" t="n">
        <v>2255</v>
      </c>
      <c r="L5748" s="71" t="n">
        <v>216.65</v>
      </c>
      <c r="M5748" s="71" t="n">
        <v>488545.75</v>
      </c>
      <c r="N5748" s="71" t="n">
        <v>97709.14999999999</v>
      </c>
      <c r="O5748" s="71" t="n">
        <v>390836.6</v>
      </c>
      <c r="P5748" s="71" t="n">
        <v>150271.16</v>
      </c>
      <c r="Q5748" s="71" t="n">
        <v>240565.44</v>
      </c>
      <c r="R5748" t="inlineStr">
        <is>
          <t>Vaccines</t>
        </is>
      </c>
      <c r="S5748" s="70" t="n">
        <v>1751</v>
      </c>
      <c r="T5748" s="71" t="n">
        <v>104940</v>
      </c>
      <c r="U5748" t="inlineStr">
        <is>
          <t>Low</t>
        </is>
      </c>
      <c r="V5748">
        <f>IF(AND(OR(Dashboard!$C$6="All",E5748=Dashboard!$C$6),OR(Dashboard!$F$6="All",G5748=Dashboard!$F$6),OR(Dashboard!$I$6="All",H5748=Dashboard!$I$6)),1,0)</f>
        <v/>
      </c>
    </row>
    <row r="5749">
      <c r="A5749" t="inlineStr">
        <is>
          <t>PF105740</t>
        </is>
      </c>
      <c r="B5749" s="68" t="n">
        <v>46357</v>
      </c>
      <c r="C5749" s="69" t="n">
        <v>2026</v>
      </c>
      <c r="D5749" t="inlineStr">
        <is>
          <t>Dec</t>
        </is>
      </c>
      <c r="E5749" t="inlineStr">
        <is>
          <t>Europe</t>
        </is>
      </c>
      <c r="F5749" t="inlineStr">
        <is>
          <t>Germany</t>
        </is>
      </c>
      <c r="G5749" t="inlineStr">
        <is>
          <t>Xeljanz</t>
        </is>
      </c>
      <c r="H5749" t="inlineStr">
        <is>
          <t>Government / tender</t>
        </is>
      </c>
      <c r="I5749" t="inlineStr">
        <is>
          <t>Public payer</t>
        </is>
      </c>
      <c r="J5749" t="inlineStr">
        <is>
          <t>Yuki Sato</t>
        </is>
      </c>
      <c r="K5749" s="70" t="n">
        <v>3184</v>
      </c>
      <c r="L5749" s="71" t="n">
        <v>1453.29</v>
      </c>
      <c r="M5749" s="71" t="n">
        <v>4627275.36</v>
      </c>
      <c r="N5749" s="71" t="n">
        <v>1156818.84</v>
      </c>
      <c r="O5749" s="71" t="n">
        <v>3470456.52</v>
      </c>
      <c r="P5749" s="71" t="n">
        <v>822348.39</v>
      </c>
      <c r="Q5749" s="71" t="n">
        <v>2648108.13</v>
      </c>
      <c r="R5749" t="inlineStr">
        <is>
          <t>Inflammation</t>
        </is>
      </c>
      <c r="S5749" s="70" t="n">
        <v>2324</v>
      </c>
      <c r="T5749" s="71" t="n">
        <v>913613.9</v>
      </c>
      <c r="U5749" t="inlineStr">
        <is>
          <t>High</t>
        </is>
      </c>
      <c r="V5749">
        <f>IF(AND(OR(Dashboard!$C$6="All",E5749=Dashboard!$C$6),OR(Dashboard!$F$6="All",G5749=Dashboard!$F$6),OR(Dashboard!$I$6="All",H5749=Dashboard!$I$6)),1,0)</f>
        <v/>
      </c>
    </row>
    <row r="5750">
      <c r="A5750" t="inlineStr">
        <is>
          <t>PF105741</t>
        </is>
      </c>
      <c r="B5750" s="68" t="n">
        <v>46357</v>
      </c>
      <c r="C5750" s="69" t="n">
        <v>2026</v>
      </c>
      <c r="D5750" t="inlineStr">
        <is>
          <t>Dec</t>
        </is>
      </c>
      <c r="E5750" t="inlineStr">
        <is>
          <t>Emerging markets</t>
        </is>
      </c>
      <c r="F5750" t="inlineStr">
        <is>
          <t>China</t>
        </is>
      </c>
      <c r="G5750" t="inlineStr">
        <is>
          <t>Ibrance</t>
        </is>
      </c>
      <c r="H5750" t="inlineStr">
        <is>
          <t>Retail pharmacy</t>
        </is>
      </c>
      <c r="I5750" t="inlineStr">
        <is>
          <t>Private insurer</t>
        </is>
      </c>
      <c r="J5750" t="inlineStr">
        <is>
          <t>Ravindra Patil</t>
        </is>
      </c>
      <c r="K5750" s="70" t="n">
        <v>1349</v>
      </c>
      <c r="L5750" s="71" t="n">
        <v>2631.45</v>
      </c>
      <c r="M5750" s="71" t="n">
        <v>3549826.05</v>
      </c>
      <c r="N5750" s="71" t="n">
        <v>709965.21</v>
      </c>
      <c r="O5750" s="71" t="n">
        <v>2839860.84</v>
      </c>
      <c r="P5750" s="71" t="n">
        <v>571352.46</v>
      </c>
      <c r="Q5750" s="71" t="n">
        <v>2268508.38</v>
      </c>
      <c r="R5750" t="inlineStr">
        <is>
          <t>Oncology</t>
        </is>
      </c>
      <c r="S5750" s="70" t="n">
        <v>935</v>
      </c>
      <c r="T5750" s="71" t="n">
        <v>455133.12</v>
      </c>
      <c r="U5750" t="inlineStr">
        <is>
          <t>High</t>
        </is>
      </c>
      <c r="V5750">
        <f>IF(AND(OR(Dashboard!$C$6="All",E5750=Dashboard!$C$6),OR(Dashboard!$F$6="All",G5750=Dashboard!$F$6),OR(Dashboard!$I$6="All",H5750=Dashboard!$I$6)),1,0)</f>
        <v/>
      </c>
    </row>
    <row r="5751">
      <c r="A5751" t="inlineStr">
        <is>
          <t>PF105742</t>
        </is>
      </c>
      <c r="B5751" s="68" t="n">
        <v>46357</v>
      </c>
      <c r="C5751" s="69" t="n">
        <v>2026</v>
      </c>
      <c r="D5751" t="inlineStr">
        <is>
          <t>Dec</t>
        </is>
      </c>
      <c r="E5751" t="inlineStr">
        <is>
          <t>United States</t>
        </is>
      </c>
      <c r="F5751" t="inlineStr">
        <is>
          <t>USA</t>
        </is>
      </c>
      <c r="G5751" t="inlineStr">
        <is>
          <t>Abrysvo</t>
        </is>
      </c>
      <c r="H5751" t="inlineStr">
        <is>
          <t>Government / tender</t>
        </is>
      </c>
      <c r="I5751" t="inlineStr">
        <is>
          <t>Private insurer</t>
        </is>
      </c>
      <c r="J5751" t="inlineStr">
        <is>
          <t>Priya Nair</t>
        </is>
      </c>
      <c r="K5751" s="70" t="n">
        <v>2544</v>
      </c>
      <c r="L5751" s="71" t="n">
        <v>522.17</v>
      </c>
      <c r="M5751" s="71" t="n">
        <v>1328400.48</v>
      </c>
      <c r="N5751" s="71" t="n">
        <v>332100.12</v>
      </c>
      <c r="O5751" s="71" t="n">
        <v>996300.36</v>
      </c>
      <c r="P5751" s="71" t="n">
        <v>207540.72</v>
      </c>
      <c r="Q5751" s="71" t="n">
        <v>788759.64</v>
      </c>
      <c r="R5751" t="inlineStr">
        <is>
          <t>Vaccines</t>
        </is>
      </c>
      <c r="S5751" s="70" t="n">
        <v>1636</v>
      </c>
      <c r="T5751" s="71" t="n">
        <v>196809.3</v>
      </c>
      <c r="U5751" t="inlineStr">
        <is>
          <t>Low</t>
        </is>
      </c>
      <c r="V5751">
        <f>IF(AND(OR(Dashboard!$C$6="All",E5751=Dashboard!$C$6),OR(Dashboard!$F$6="All",G5751=Dashboard!$F$6),OR(Dashboard!$I$6="All",H5751=Dashboard!$I$6)),1,0)</f>
        <v/>
      </c>
    </row>
    <row r="5752">
      <c r="A5752" t="inlineStr">
        <is>
          <t>PF105743</t>
        </is>
      </c>
      <c r="B5752" s="68" t="n">
        <v>46357</v>
      </c>
      <c r="C5752" s="69" t="n">
        <v>2026</v>
      </c>
      <c r="D5752" t="inlineStr">
        <is>
          <t>Dec</t>
        </is>
      </c>
      <c r="E5752" t="inlineStr">
        <is>
          <t>United States</t>
        </is>
      </c>
      <c r="F5752" t="inlineStr">
        <is>
          <t>USA</t>
        </is>
      </c>
      <c r="G5752" t="inlineStr">
        <is>
          <t>Paxlovid</t>
        </is>
      </c>
      <c r="H5752" t="inlineStr">
        <is>
          <t>Retail pharmacy</t>
        </is>
      </c>
      <c r="I5752" t="inlineStr">
        <is>
          <t>Public payer</t>
        </is>
      </c>
      <c r="J5752" t="inlineStr">
        <is>
          <t>Sophie Müller</t>
        </is>
      </c>
      <c r="K5752" s="70" t="n">
        <v>970</v>
      </c>
      <c r="L5752" s="71" t="n">
        <v>1543.32</v>
      </c>
      <c r="M5752" s="71" t="n">
        <v>1497020.4</v>
      </c>
      <c r="N5752" s="71" t="n">
        <v>449106.12</v>
      </c>
      <c r="O5752" s="71" t="n">
        <v>1047914.28</v>
      </c>
      <c r="P5752" s="71" t="n">
        <v>269484.51</v>
      </c>
      <c r="Q5752" s="71" t="n">
        <v>778429.77</v>
      </c>
      <c r="R5752" t="inlineStr">
        <is>
          <t>Antiviral</t>
        </is>
      </c>
      <c r="S5752" s="70" t="n">
        <v>681</v>
      </c>
      <c r="T5752" s="71" t="n">
        <v>390891.41</v>
      </c>
      <c r="U5752" t="inlineStr">
        <is>
          <t>Low</t>
        </is>
      </c>
      <c r="V5752">
        <f>IF(AND(OR(Dashboard!$C$6="All",E5752=Dashboard!$C$6),OR(Dashboard!$F$6="All",G5752=Dashboard!$F$6),OR(Dashboard!$I$6="All",H5752=Dashboard!$I$6)),1,0)</f>
        <v/>
      </c>
    </row>
    <row r="5753">
      <c r="A5753" t="inlineStr">
        <is>
          <t>PF105744</t>
        </is>
      </c>
      <c r="B5753" s="68" t="n">
        <v>46358</v>
      </c>
      <c r="C5753" s="69" t="n">
        <v>2026</v>
      </c>
      <c r="D5753" t="inlineStr">
        <is>
          <t>Dec</t>
        </is>
      </c>
      <c r="E5753" t="inlineStr">
        <is>
          <t>Europe</t>
        </is>
      </c>
      <c r="F5753" t="inlineStr">
        <is>
          <t>Spain</t>
        </is>
      </c>
      <c r="G5753" t="inlineStr">
        <is>
          <t>Ibrance</t>
        </is>
      </c>
      <c r="H5753" t="inlineStr">
        <is>
          <t>Retail pharmacy</t>
        </is>
      </c>
      <c r="I5753" t="inlineStr">
        <is>
          <t>Private insurer</t>
        </is>
      </c>
      <c r="J5753" t="inlineStr">
        <is>
          <t>Priya Nair</t>
        </is>
      </c>
      <c r="K5753" s="70" t="n">
        <v>1595</v>
      </c>
      <c r="L5753" s="71" t="n">
        <v>2559.86</v>
      </c>
      <c r="M5753" s="71" t="n">
        <v>4082976.7</v>
      </c>
      <c r="N5753" s="71" t="n">
        <v>612446.51</v>
      </c>
      <c r="O5753" s="71" t="n">
        <v>3470530.19</v>
      </c>
      <c r="P5753" s="71" t="n">
        <v>705426.67</v>
      </c>
      <c r="Q5753" s="71" t="n">
        <v>2765103.52</v>
      </c>
      <c r="R5753" t="inlineStr">
        <is>
          <t>Oncology</t>
        </is>
      </c>
      <c r="S5753" s="70" t="n">
        <v>1534</v>
      </c>
      <c r="T5753" s="71" t="n">
        <v>719405.5699999999</v>
      </c>
      <c r="U5753" t="inlineStr">
        <is>
          <t>High</t>
        </is>
      </c>
      <c r="V5753">
        <f>IF(AND(OR(Dashboard!$C$6="All",E5753=Dashboard!$C$6),OR(Dashboard!$F$6="All",G5753=Dashboard!$F$6),OR(Dashboard!$I$6="All",H5753=Dashboard!$I$6)),1,0)</f>
        <v/>
      </c>
    </row>
    <row r="5754">
      <c r="A5754" t="inlineStr">
        <is>
          <t>PF105745</t>
        </is>
      </c>
      <c r="B5754" s="68" t="n">
        <v>46358</v>
      </c>
      <c r="C5754" s="69" t="n">
        <v>2026</v>
      </c>
      <c r="D5754" t="inlineStr">
        <is>
          <t>Dec</t>
        </is>
      </c>
      <c r="E5754" t="inlineStr">
        <is>
          <t>Europe</t>
        </is>
      </c>
      <c r="F5754" t="inlineStr">
        <is>
          <t>France</t>
        </is>
      </c>
      <c r="G5754" t="inlineStr">
        <is>
          <t>Eliquis</t>
        </is>
      </c>
      <c r="H5754" t="inlineStr">
        <is>
          <t>Hospital</t>
        </is>
      </c>
      <c r="I5754" t="inlineStr">
        <is>
          <t>Private insurer</t>
        </is>
      </c>
      <c r="J5754" t="inlineStr">
        <is>
          <t>Emma Clarke</t>
        </is>
      </c>
      <c r="K5754" s="70" t="n">
        <v>3486</v>
      </c>
      <c r="L5754" s="71" t="n">
        <v>470.16</v>
      </c>
      <c r="M5754" s="71" t="n">
        <v>1638977.76</v>
      </c>
      <c r="N5754" s="71" t="n">
        <v>327795.55</v>
      </c>
      <c r="O5754" s="71" t="n">
        <v>1311182.21</v>
      </c>
      <c r="P5754" s="71" t="n">
        <v>256274.61</v>
      </c>
      <c r="Q5754" s="71" t="n">
        <v>1054907.6</v>
      </c>
      <c r="R5754" t="inlineStr">
        <is>
          <t>Cardiology</t>
        </is>
      </c>
      <c r="S5754" s="70" t="n">
        <v>3087</v>
      </c>
      <c r="T5754" s="71" t="n">
        <v>280336.7</v>
      </c>
      <c r="U5754" t="inlineStr">
        <is>
          <t>High</t>
        </is>
      </c>
      <c r="V5754">
        <f>IF(AND(OR(Dashboard!$C$6="All",E5754=Dashboard!$C$6),OR(Dashboard!$F$6="All",G5754=Dashboard!$F$6),OR(Dashboard!$I$6="All",H5754=Dashboard!$I$6)),1,0)</f>
        <v/>
      </c>
    </row>
    <row r="5755">
      <c r="A5755" t="inlineStr">
        <is>
          <t>PF105746</t>
        </is>
      </c>
      <c r="B5755" s="68" t="n">
        <v>46358</v>
      </c>
      <c r="C5755" s="69" t="n">
        <v>2026</v>
      </c>
      <c r="D5755" t="inlineStr">
        <is>
          <t>Dec</t>
        </is>
      </c>
      <c r="E5755" t="inlineStr">
        <is>
          <t>Europe</t>
        </is>
      </c>
      <c r="F5755" t="inlineStr">
        <is>
          <t>Spain</t>
        </is>
      </c>
      <c r="G5755" t="inlineStr">
        <is>
          <t>Paxlovid</t>
        </is>
      </c>
      <c r="H5755" t="inlineStr">
        <is>
          <t>Hospital</t>
        </is>
      </c>
      <c r="I5755" t="inlineStr">
        <is>
          <t>Private insurer</t>
        </is>
      </c>
      <c r="J5755" t="inlineStr">
        <is>
          <t>Shraddha Kulkarni</t>
        </is>
      </c>
      <c r="K5755" s="70" t="n">
        <v>2944</v>
      </c>
      <c r="L5755" s="71" t="n">
        <v>830.87</v>
      </c>
      <c r="M5755" s="71" t="n">
        <v>2446081.28</v>
      </c>
      <c r="N5755" s="71" t="n">
        <v>366912.19</v>
      </c>
      <c r="O5755" s="71" t="n">
        <v>2079169.09</v>
      </c>
      <c r="P5755" s="71" t="n">
        <v>799685.12</v>
      </c>
      <c r="Q5755" s="71" t="n">
        <v>1279483.97</v>
      </c>
      <c r="R5755" t="inlineStr">
        <is>
          <t>Antiviral</t>
        </is>
      </c>
      <c r="S5755" s="70" t="n">
        <v>2636</v>
      </c>
      <c r="T5755" s="71" t="n">
        <v>405283.52</v>
      </c>
      <c r="U5755" t="inlineStr">
        <is>
          <t>Low</t>
        </is>
      </c>
      <c r="V5755">
        <f>IF(AND(OR(Dashboard!$C$6="All",E5755=Dashboard!$C$6),OR(Dashboard!$F$6="All",G5755=Dashboard!$F$6),OR(Dashboard!$I$6="All",H5755=Dashboard!$I$6)),1,0)</f>
        <v/>
      </c>
    </row>
    <row r="5756">
      <c r="A5756" t="inlineStr">
        <is>
          <t>PF105747</t>
        </is>
      </c>
      <c r="B5756" s="68" t="n">
        <v>46358</v>
      </c>
      <c r="C5756" s="69" t="n">
        <v>2026</v>
      </c>
      <c r="D5756" t="inlineStr">
        <is>
          <t>Dec</t>
        </is>
      </c>
      <c r="E5756" t="inlineStr">
        <is>
          <t>Europe</t>
        </is>
      </c>
      <c r="F5756" t="inlineStr">
        <is>
          <t>Germany</t>
        </is>
      </c>
      <c r="G5756" t="inlineStr">
        <is>
          <t>Eliquis</t>
        </is>
      </c>
      <c r="H5756" t="inlineStr">
        <is>
          <t>Retail pharmacy</t>
        </is>
      </c>
      <c r="I5756" t="inlineStr">
        <is>
          <t>Private insurer</t>
        </is>
      </c>
      <c r="J5756" t="inlineStr">
        <is>
          <t>Aisha Bello</t>
        </is>
      </c>
      <c r="K5756" s="70" t="n">
        <v>2699</v>
      </c>
      <c r="L5756" s="71" t="n">
        <v>406.82</v>
      </c>
      <c r="M5756" s="71" t="n">
        <v>1098007.18</v>
      </c>
      <c r="N5756" s="71" t="n">
        <v>54900.36</v>
      </c>
      <c r="O5756" s="71" t="n">
        <v>1043106.82</v>
      </c>
      <c r="P5756" s="71" t="n">
        <v>204832.89</v>
      </c>
      <c r="Q5756" s="71" t="n">
        <v>838273.9300000001</v>
      </c>
      <c r="R5756" t="inlineStr">
        <is>
          <t>Cardiology</t>
        </is>
      </c>
      <c r="S5756" s="70" t="n">
        <v>2014</v>
      </c>
      <c r="T5756" s="71" t="n">
        <v>227350.61</v>
      </c>
      <c r="U5756" t="inlineStr">
        <is>
          <t>High</t>
        </is>
      </c>
      <c r="V5756">
        <f>IF(AND(OR(Dashboard!$C$6="All",E5756=Dashboard!$C$6),OR(Dashboard!$F$6="All",G5756=Dashboard!$F$6),OR(Dashboard!$I$6="All",H5756=Dashboard!$I$6)),1,0)</f>
        <v/>
      </c>
    </row>
    <row r="5757">
      <c r="A5757" t="inlineStr">
        <is>
          <t>PF105748</t>
        </is>
      </c>
      <c r="B5757" s="68" t="n">
        <v>46358</v>
      </c>
      <c r="C5757" s="69" t="n">
        <v>2026</v>
      </c>
      <c r="D5757" t="inlineStr">
        <is>
          <t>Dec</t>
        </is>
      </c>
      <c r="E5757" t="inlineStr">
        <is>
          <t>Europe</t>
        </is>
      </c>
      <c r="F5757" t="inlineStr">
        <is>
          <t>France</t>
        </is>
      </c>
      <c r="G5757" t="inlineStr">
        <is>
          <t>Prevnar 20</t>
        </is>
      </c>
      <c r="H5757" t="inlineStr">
        <is>
          <t>Retail pharmacy</t>
        </is>
      </c>
      <c r="I5757" t="inlineStr">
        <is>
          <t>Public payer</t>
        </is>
      </c>
      <c r="J5757" t="inlineStr">
        <is>
          <t>Shraddha Kulkarni</t>
        </is>
      </c>
      <c r="K5757" s="70" t="n">
        <v>533</v>
      </c>
      <c r="L5757" s="71" t="n">
        <v>257.49</v>
      </c>
      <c r="M5757" s="71" t="n">
        <v>137242.17</v>
      </c>
      <c r="N5757" s="71" t="n">
        <v>20586.33</v>
      </c>
      <c r="O5757" s="71" t="n">
        <v>116655.84</v>
      </c>
      <c r="P5757" s="71" t="n">
        <v>36790.55</v>
      </c>
      <c r="Q5757" s="71" t="n">
        <v>79865.28999999999</v>
      </c>
      <c r="R5757" t="inlineStr">
        <is>
          <t>Vaccines</t>
        </is>
      </c>
      <c r="S5757" s="70" t="n">
        <v>404</v>
      </c>
      <c r="T5757" s="71" t="n">
        <v>26735.27</v>
      </c>
      <c r="U5757" t="inlineStr">
        <is>
          <t>Low</t>
        </is>
      </c>
      <c r="V5757">
        <f>IF(AND(OR(Dashboard!$C$6="All",E5757=Dashboard!$C$6),OR(Dashboard!$F$6="All",G5757=Dashboard!$F$6),OR(Dashboard!$I$6="All",H5757=Dashboard!$I$6)),1,0)</f>
        <v/>
      </c>
    </row>
    <row r="5758">
      <c r="A5758" t="inlineStr">
        <is>
          <t>PF105749</t>
        </is>
      </c>
      <c r="B5758" s="68" t="n">
        <v>46358</v>
      </c>
      <c r="C5758" s="69" t="n">
        <v>2026</v>
      </c>
      <c r="D5758" t="inlineStr">
        <is>
          <t>Dec</t>
        </is>
      </c>
      <c r="E5758" t="inlineStr">
        <is>
          <t>International developed</t>
        </is>
      </c>
      <c r="F5758" t="inlineStr">
        <is>
          <t>Japan</t>
        </is>
      </c>
      <c r="G5758" t="inlineStr">
        <is>
          <t>Ibrance</t>
        </is>
      </c>
      <c r="H5758" t="inlineStr">
        <is>
          <t>Hospital</t>
        </is>
      </c>
      <c r="I5758" t="inlineStr">
        <is>
          <t>Public payer</t>
        </is>
      </c>
      <c r="J5758" t="inlineStr">
        <is>
          <t>Fatima Al-Saud</t>
        </is>
      </c>
      <c r="K5758" s="70" t="n">
        <v>613</v>
      </c>
      <c r="L5758" s="71" t="n">
        <v>2768.64</v>
      </c>
      <c r="M5758" s="71" t="n">
        <v>1697176.32</v>
      </c>
      <c r="N5758" s="71" t="n">
        <v>84858.82000000001</v>
      </c>
      <c r="O5758" s="71" t="n">
        <v>1612317.5</v>
      </c>
      <c r="P5758" s="71" t="n">
        <v>263252.71</v>
      </c>
      <c r="Q5758" s="71" t="n">
        <v>1349064.79</v>
      </c>
      <c r="R5758" t="inlineStr">
        <is>
          <t>Oncology</t>
        </is>
      </c>
      <c r="S5758" s="70" t="n">
        <v>417</v>
      </c>
      <c r="T5758" s="71" t="n">
        <v>312391.15</v>
      </c>
      <c r="U5758" t="inlineStr">
        <is>
          <t>High</t>
        </is>
      </c>
      <c r="V5758">
        <f>IF(AND(OR(Dashboard!$C$6="All",E5758=Dashboard!$C$6),OR(Dashboard!$F$6="All",G5758=Dashboard!$F$6),OR(Dashboard!$I$6="All",H5758=Dashboard!$I$6)),1,0)</f>
        <v/>
      </c>
    </row>
    <row r="5759">
      <c r="A5759" t="inlineStr">
        <is>
          <t>PF105750</t>
        </is>
      </c>
      <c r="B5759" s="68" t="n">
        <v>46358</v>
      </c>
      <c r="C5759" s="69" t="n">
        <v>2026</v>
      </c>
      <c r="D5759" t="inlineStr">
        <is>
          <t>Dec</t>
        </is>
      </c>
      <c r="E5759" t="inlineStr">
        <is>
          <t>United States</t>
        </is>
      </c>
      <c r="F5759" t="inlineStr">
        <is>
          <t>USA</t>
        </is>
      </c>
      <c r="G5759" t="inlineStr">
        <is>
          <t>Abrysvo</t>
        </is>
      </c>
      <c r="H5759" t="inlineStr">
        <is>
          <t>Government / tender</t>
        </is>
      </c>
      <c r="I5759" t="inlineStr">
        <is>
          <t>Public payer</t>
        </is>
      </c>
      <c r="J5759" t="inlineStr">
        <is>
          <t>Priya Nair</t>
        </is>
      </c>
      <c r="K5759" s="70" t="n">
        <v>2270</v>
      </c>
      <c r="L5759" s="71" t="n">
        <v>501.2</v>
      </c>
      <c r="M5759" s="71" t="n">
        <v>1137724</v>
      </c>
      <c r="N5759" s="71" t="n">
        <v>227544.8</v>
      </c>
      <c r="O5759" s="71" t="n">
        <v>910179.2</v>
      </c>
      <c r="P5759" s="71" t="n">
        <v>184962.53</v>
      </c>
      <c r="Q5759" s="71" t="n">
        <v>725216.67</v>
      </c>
      <c r="R5759" t="inlineStr">
        <is>
          <t>Vaccines</t>
        </is>
      </c>
      <c r="S5759" s="70" t="n">
        <v>1768</v>
      </c>
      <c r="T5759" s="71" t="n">
        <v>140521.29</v>
      </c>
      <c r="U5759" t="inlineStr">
        <is>
          <t>Low</t>
        </is>
      </c>
      <c r="V5759">
        <f>IF(AND(OR(Dashboard!$C$6="All",E5759=Dashboard!$C$6),OR(Dashboard!$F$6="All",G5759=Dashboard!$F$6),OR(Dashboard!$I$6="All",H5759=Dashboard!$I$6)),1,0)</f>
        <v/>
      </c>
    </row>
    <row r="5760">
      <c r="A5760" t="inlineStr">
        <is>
          <t>PF105751</t>
        </is>
      </c>
      <c r="B5760" s="68" t="n">
        <v>46358</v>
      </c>
      <c r="C5760" s="69" t="n">
        <v>2026</v>
      </c>
      <c r="D5760" t="inlineStr">
        <is>
          <t>Dec</t>
        </is>
      </c>
      <c r="E5760" t="inlineStr">
        <is>
          <t>United States</t>
        </is>
      </c>
      <c r="F5760" t="inlineStr">
        <is>
          <t>USA</t>
        </is>
      </c>
      <c r="G5760" t="inlineStr">
        <is>
          <t>Ibrance</t>
        </is>
      </c>
      <c r="H5760" t="inlineStr">
        <is>
          <t>Retail pharmacy</t>
        </is>
      </c>
      <c r="I5760" t="inlineStr">
        <is>
          <t>Public payer</t>
        </is>
      </c>
      <c r="J5760" t="inlineStr">
        <is>
          <t>Sophie Müller</t>
        </is>
      </c>
      <c r="K5760" s="70" t="n">
        <v>2642</v>
      </c>
      <c r="L5760" s="71" t="n">
        <v>4628.51</v>
      </c>
      <c r="M5760" s="71" t="n">
        <v>12228523.42</v>
      </c>
      <c r="N5760" s="71" t="n">
        <v>3668557.03</v>
      </c>
      <c r="O5760" s="71" t="n">
        <v>8559966.390000001</v>
      </c>
      <c r="P5760" s="71" t="n">
        <v>1164870.52</v>
      </c>
      <c r="Q5760" s="71" t="n">
        <v>7395095.87</v>
      </c>
      <c r="R5760" t="inlineStr">
        <is>
          <t>Oncology</t>
        </is>
      </c>
      <c r="S5760" s="70" t="n">
        <v>2446</v>
      </c>
      <c r="T5760" s="71" t="n">
        <v>2631455.97</v>
      </c>
      <c r="U5760" t="inlineStr">
        <is>
          <t>High</t>
        </is>
      </c>
      <c r="V5760">
        <f>IF(AND(OR(Dashboard!$C$6="All",E5760=Dashboard!$C$6),OR(Dashboard!$F$6="All",G5760=Dashboard!$F$6),OR(Dashboard!$I$6="All",H5760=Dashboard!$I$6)),1,0)</f>
        <v/>
      </c>
    </row>
    <row r="5761">
      <c r="A5761" t="inlineStr">
        <is>
          <t>PF105752</t>
        </is>
      </c>
      <c r="B5761" s="68" t="n">
        <v>46358</v>
      </c>
      <c r="C5761" s="69" t="n">
        <v>2026</v>
      </c>
      <c r="D5761" t="inlineStr">
        <is>
          <t>Dec</t>
        </is>
      </c>
      <c r="E5761" t="inlineStr">
        <is>
          <t>International developed</t>
        </is>
      </c>
      <c r="F5761" t="inlineStr">
        <is>
          <t>Canada</t>
        </is>
      </c>
      <c r="G5761" t="inlineStr">
        <is>
          <t>Eliquis</t>
        </is>
      </c>
      <c r="H5761" t="inlineStr">
        <is>
          <t>Hospital</t>
        </is>
      </c>
      <c r="I5761" t="inlineStr">
        <is>
          <t>Private insurer</t>
        </is>
      </c>
      <c r="J5761" t="inlineStr">
        <is>
          <t>Liam O'Brien</t>
        </is>
      </c>
      <c r="K5761" s="70" t="n">
        <v>3277</v>
      </c>
      <c r="L5761" s="71" t="n">
        <v>436.93</v>
      </c>
      <c r="M5761" s="71" t="n">
        <v>1431819.61</v>
      </c>
      <c r="N5761" s="71" t="n">
        <v>214772.94</v>
      </c>
      <c r="O5761" s="71" t="n">
        <v>1217046.67</v>
      </c>
      <c r="P5761" s="71" t="n">
        <v>240875.97</v>
      </c>
      <c r="Q5761" s="71" t="n">
        <v>976170.7</v>
      </c>
      <c r="R5761" t="inlineStr">
        <is>
          <t>Cardiology</t>
        </is>
      </c>
      <c r="S5761" s="70" t="n">
        <v>2891</v>
      </c>
      <c r="T5761" s="71" t="n">
        <v>168126.79</v>
      </c>
      <c r="U5761" t="inlineStr">
        <is>
          <t>High</t>
        </is>
      </c>
      <c r="V5761">
        <f>IF(AND(OR(Dashboard!$C$6="All",E5761=Dashboard!$C$6),OR(Dashboard!$F$6="All",G5761=Dashboard!$F$6),OR(Dashboard!$I$6="All",H5761=Dashboard!$I$6)),1,0)</f>
        <v/>
      </c>
    </row>
    <row r="5762">
      <c r="A5762" t="inlineStr">
        <is>
          <t>PF105753</t>
        </is>
      </c>
      <c r="B5762" s="68" t="n">
        <v>46358</v>
      </c>
      <c r="C5762" s="69" t="n">
        <v>2026</v>
      </c>
      <c r="D5762" t="inlineStr">
        <is>
          <t>Dec</t>
        </is>
      </c>
      <c r="E5762" t="inlineStr">
        <is>
          <t>United States</t>
        </is>
      </c>
      <c r="F5762" t="inlineStr">
        <is>
          <t>USA</t>
        </is>
      </c>
      <c r="G5762" t="inlineStr">
        <is>
          <t>Comirnaty</t>
        </is>
      </c>
      <c r="H5762" t="inlineStr">
        <is>
          <t>Retail pharmacy</t>
        </is>
      </c>
      <c r="I5762" t="inlineStr">
        <is>
          <t>Private insurer</t>
        </is>
      </c>
      <c r="J5762" t="inlineStr">
        <is>
          <t>Aisha Bello</t>
        </is>
      </c>
      <c r="K5762" s="70" t="n">
        <v>621</v>
      </c>
      <c r="L5762" s="71" t="n">
        <v>144.94</v>
      </c>
      <c r="M5762" s="71" t="n">
        <v>90007.74000000001</v>
      </c>
      <c r="N5762" s="71" t="n">
        <v>18001.55</v>
      </c>
      <c r="O5762" s="71" t="n">
        <v>72006.19</v>
      </c>
      <c r="P5762" s="71" t="n">
        <v>24508.96</v>
      </c>
      <c r="Q5762" s="71" t="n">
        <v>47497.23</v>
      </c>
      <c r="R5762" t="inlineStr">
        <is>
          <t>Vaccines</t>
        </is>
      </c>
      <c r="S5762" s="70" t="n">
        <v>588</v>
      </c>
      <c r="T5762" s="71" t="n">
        <v>16866.72</v>
      </c>
      <c r="U5762" t="inlineStr">
        <is>
          <t>Low</t>
        </is>
      </c>
      <c r="V5762">
        <f>IF(AND(OR(Dashboard!$C$6="All",E5762=Dashboard!$C$6),OR(Dashboard!$F$6="All",G5762=Dashboard!$F$6),OR(Dashboard!$I$6="All",H5762=Dashboard!$I$6)),1,0)</f>
        <v/>
      </c>
    </row>
    <row r="5763">
      <c r="A5763" t="inlineStr">
        <is>
          <t>PF105754</t>
        </is>
      </c>
      <c r="B5763" s="68" t="n">
        <v>46358</v>
      </c>
      <c r="C5763" s="69" t="n">
        <v>2026</v>
      </c>
      <c r="D5763" t="inlineStr">
        <is>
          <t>Dec</t>
        </is>
      </c>
      <c r="E5763" t="inlineStr">
        <is>
          <t>International developed</t>
        </is>
      </c>
      <c r="F5763" t="inlineStr">
        <is>
          <t>Japan</t>
        </is>
      </c>
      <c r="G5763" t="inlineStr">
        <is>
          <t>Vyndaqel</t>
        </is>
      </c>
      <c r="H5763" t="inlineStr">
        <is>
          <t>Hospital</t>
        </is>
      </c>
      <c r="I5763" t="inlineStr">
        <is>
          <t>Public payer</t>
        </is>
      </c>
      <c r="J5763" t="inlineStr">
        <is>
          <t>Arjun Mehta</t>
        </is>
      </c>
      <c r="K5763" s="70" t="n">
        <v>2990</v>
      </c>
      <c r="L5763" s="71" t="n">
        <v>5507.97</v>
      </c>
      <c r="M5763" s="71" t="n">
        <v>16468830.3</v>
      </c>
      <c r="N5763" s="71" t="n">
        <v>823441.52</v>
      </c>
      <c r="O5763" s="71" t="n">
        <v>15645388.78</v>
      </c>
      <c r="P5763" s="71" t="n">
        <v>1934211.19</v>
      </c>
      <c r="Q5763" s="71" t="n">
        <v>13711177.59</v>
      </c>
      <c r="R5763" t="inlineStr">
        <is>
          <t>Rare disease</t>
        </is>
      </c>
      <c r="S5763" s="70" t="n">
        <v>2951</v>
      </c>
      <c r="T5763" s="71" t="n">
        <v>2581241.27</v>
      </c>
      <c r="U5763" t="inlineStr">
        <is>
          <t>Medium</t>
        </is>
      </c>
      <c r="V5763">
        <f>IF(AND(OR(Dashboard!$C$6="All",E5763=Dashboard!$C$6),OR(Dashboard!$F$6="All",G5763=Dashboard!$F$6),OR(Dashboard!$I$6="All",H5763=Dashboard!$I$6)),1,0)</f>
        <v/>
      </c>
    </row>
    <row r="5764">
      <c r="A5764" t="inlineStr">
        <is>
          <t>PF105755</t>
        </is>
      </c>
      <c r="B5764" s="68" t="n">
        <v>46358</v>
      </c>
      <c r="C5764" s="69" t="n">
        <v>2026</v>
      </c>
      <c r="D5764" t="inlineStr">
        <is>
          <t>Dec</t>
        </is>
      </c>
      <c r="E5764" t="inlineStr">
        <is>
          <t>International developed</t>
        </is>
      </c>
      <c r="F5764" t="inlineStr">
        <is>
          <t>Canada</t>
        </is>
      </c>
      <c r="G5764" t="inlineStr">
        <is>
          <t>Xeljanz</t>
        </is>
      </c>
      <c r="H5764" t="inlineStr">
        <is>
          <t>Retail pharmacy</t>
        </is>
      </c>
      <c r="I5764" t="inlineStr">
        <is>
          <t>Private insurer</t>
        </is>
      </c>
      <c r="J5764" t="inlineStr">
        <is>
          <t>Aisha Bello</t>
        </is>
      </c>
      <c r="K5764" s="70" t="n">
        <v>500</v>
      </c>
      <c r="L5764" s="71" t="n">
        <v>1258.66</v>
      </c>
      <c r="M5764" s="71" t="n">
        <v>629330</v>
      </c>
      <c r="N5764" s="71" t="n">
        <v>31466.5</v>
      </c>
      <c r="O5764" s="71" t="n">
        <v>597863.5</v>
      </c>
      <c r="P5764" s="71" t="n">
        <v>124474.98</v>
      </c>
      <c r="Q5764" s="71" t="n">
        <v>473388.52</v>
      </c>
      <c r="R5764" t="inlineStr">
        <is>
          <t>Inflammation</t>
        </is>
      </c>
      <c r="S5764" s="70" t="n">
        <v>397</v>
      </c>
      <c r="T5764" s="71" t="n">
        <v>128130.25</v>
      </c>
      <c r="U5764" t="inlineStr">
        <is>
          <t>High</t>
        </is>
      </c>
      <c r="V5764">
        <f>IF(AND(OR(Dashboard!$C$6="All",E5764=Dashboard!$C$6),OR(Dashboard!$F$6="All",G5764=Dashboard!$F$6),OR(Dashboard!$I$6="All",H5764=Dashboard!$I$6)),1,0)</f>
        <v/>
      </c>
    </row>
    <row r="5765">
      <c r="A5765" t="inlineStr">
        <is>
          <t>PF105756</t>
        </is>
      </c>
      <c r="B5765" s="68" t="n">
        <v>46358</v>
      </c>
      <c r="C5765" s="69" t="n">
        <v>2026</v>
      </c>
      <c r="D5765" t="inlineStr">
        <is>
          <t>Dec</t>
        </is>
      </c>
      <c r="E5765" t="inlineStr">
        <is>
          <t>Emerging markets</t>
        </is>
      </c>
      <c r="F5765" t="inlineStr">
        <is>
          <t>Brazil</t>
        </is>
      </c>
      <c r="G5765" t="inlineStr">
        <is>
          <t>Abrysvo</t>
        </is>
      </c>
      <c r="H5765" t="inlineStr">
        <is>
          <t>Government / tender</t>
        </is>
      </c>
      <c r="I5765" t="inlineStr">
        <is>
          <t>Public payer</t>
        </is>
      </c>
      <c r="J5765" t="inlineStr">
        <is>
          <t>Ana Costa</t>
        </is>
      </c>
      <c r="K5765" s="70" t="n">
        <v>768</v>
      </c>
      <c r="L5765" s="71" t="n">
        <v>332.59</v>
      </c>
      <c r="M5765" s="71" t="n">
        <v>255429.12</v>
      </c>
      <c r="N5765" s="71" t="n">
        <v>25542.91</v>
      </c>
      <c r="O5765" s="71" t="n">
        <v>229886.21</v>
      </c>
      <c r="P5765" s="71" t="n">
        <v>63644.75</v>
      </c>
      <c r="Q5765" s="71" t="n">
        <v>166241.46</v>
      </c>
      <c r="R5765" t="inlineStr">
        <is>
          <t>Vaccines</t>
        </is>
      </c>
      <c r="S5765" s="70" t="n">
        <v>765</v>
      </c>
      <c r="T5765" s="71" t="n">
        <v>38538.86</v>
      </c>
      <c r="U5765" t="inlineStr">
        <is>
          <t>Low</t>
        </is>
      </c>
      <c r="V5765">
        <f>IF(AND(OR(Dashboard!$C$6="All",E5765=Dashboard!$C$6),OR(Dashboard!$F$6="All",G5765=Dashboard!$F$6),OR(Dashboard!$I$6="All",H5765=Dashboard!$I$6)),1,0)</f>
        <v/>
      </c>
    </row>
    <row r="5766">
      <c r="A5766" t="inlineStr">
        <is>
          <t>PF105757</t>
        </is>
      </c>
      <c r="B5766" s="68" t="n">
        <v>46358</v>
      </c>
      <c r="C5766" s="69" t="n">
        <v>2026</v>
      </c>
      <c r="D5766" t="inlineStr">
        <is>
          <t>Dec</t>
        </is>
      </c>
      <c r="E5766" t="inlineStr">
        <is>
          <t>International developed</t>
        </is>
      </c>
      <c r="F5766" t="inlineStr">
        <is>
          <t>Canada</t>
        </is>
      </c>
      <c r="G5766" t="inlineStr">
        <is>
          <t>Eliquis</t>
        </is>
      </c>
      <c r="H5766" t="inlineStr">
        <is>
          <t>Hospital</t>
        </is>
      </c>
      <c r="I5766" t="inlineStr">
        <is>
          <t>Public payer</t>
        </is>
      </c>
      <c r="J5766" t="inlineStr">
        <is>
          <t>Carlos Silva</t>
        </is>
      </c>
      <c r="K5766" s="70" t="n">
        <v>927</v>
      </c>
      <c r="L5766" s="71" t="n">
        <v>467.04</v>
      </c>
      <c r="M5766" s="71" t="n">
        <v>432946.08</v>
      </c>
      <c r="N5766" s="71" t="n">
        <v>43294.61</v>
      </c>
      <c r="O5766" s="71" t="n">
        <v>389651.47</v>
      </c>
      <c r="P5766" s="71" t="n">
        <v>67328.10000000001</v>
      </c>
      <c r="Q5766" s="71" t="n">
        <v>322323.37</v>
      </c>
      <c r="R5766" t="inlineStr">
        <is>
          <t>Cardiology</t>
        </is>
      </c>
      <c r="S5766" s="70" t="n">
        <v>710</v>
      </c>
      <c r="T5766" s="71" t="n">
        <v>85636.49000000001</v>
      </c>
      <c r="U5766" t="inlineStr">
        <is>
          <t>High</t>
        </is>
      </c>
      <c r="V5766">
        <f>IF(AND(OR(Dashboard!$C$6="All",E5766=Dashboard!$C$6),OR(Dashboard!$F$6="All",G5766=Dashboard!$F$6),OR(Dashboard!$I$6="All",H5766=Dashboard!$I$6)),1,0)</f>
        <v/>
      </c>
    </row>
    <row r="5767">
      <c r="A5767" t="inlineStr">
        <is>
          <t>PF105758</t>
        </is>
      </c>
      <c r="B5767" s="68" t="n">
        <v>46359</v>
      </c>
      <c r="C5767" s="69" t="n">
        <v>2026</v>
      </c>
      <c r="D5767" t="inlineStr">
        <is>
          <t>Dec</t>
        </is>
      </c>
      <c r="E5767" t="inlineStr">
        <is>
          <t>Europe</t>
        </is>
      </c>
      <c r="F5767" t="inlineStr">
        <is>
          <t>Germany</t>
        </is>
      </c>
      <c r="G5767" t="inlineStr">
        <is>
          <t>Comirnaty</t>
        </is>
      </c>
      <c r="H5767" t="inlineStr">
        <is>
          <t>Hospital</t>
        </is>
      </c>
      <c r="I5767" t="inlineStr">
        <is>
          <t>Private insurer</t>
        </is>
      </c>
      <c r="J5767" t="inlineStr">
        <is>
          <t>Kofi Mensah</t>
        </is>
      </c>
      <c r="K5767" s="70" t="n">
        <v>287</v>
      </c>
      <c r="L5767" s="71" t="n">
        <v>94.91</v>
      </c>
      <c r="M5767" s="71" t="n">
        <v>27239.17</v>
      </c>
      <c r="N5767" s="71" t="n">
        <v>1361.96</v>
      </c>
      <c r="O5767" s="71" t="n">
        <v>25877.21</v>
      </c>
      <c r="P5767" s="71" t="n">
        <v>10916.86</v>
      </c>
      <c r="Q5767" s="71" t="n">
        <v>14960.35</v>
      </c>
      <c r="R5767" t="inlineStr">
        <is>
          <t>Vaccines</t>
        </is>
      </c>
      <c r="S5767" s="70" t="n">
        <v>201</v>
      </c>
      <c r="T5767" s="71" t="n">
        <v>6950.38</v>
      </c>
      <c r="U5767" t="inlineStr">
        <is>
          <t>Low</t>
        </is>
      </c>
      <c r="V5767">
        <f>IF(AND(OR(Dashboard!$C$6="All",E5767=Dashboard!$C$6),OR(Dashboard!$F$6="All",G5767=Dashboard!$F$6),OR(Dashboard!$I$6="All",H5767=Dashboard!$I$6)),1,0)</f>
        <v/>
      </c>
    </row>
    <row r="5768">
      <c r="A5768" t="inlineStr">
        <is>
          <t>PF105759</t>
        </is>
      </c>
      <c r="B5768" s="68" t="n">
        <v>46359</v>
      </c>
      <c r="C5768" s="69" t="n">
        <v>2026</v>
      </c>
      <c r="D5768" t="inlineStr">
        <is>
          <t>Dec</t>
        </is>
      </c>
      <c r="E5768" t="inlineStr">
        <is>
          <t>International developed</t>
        </is>
      </c>
      <c r="F5768" t="inlineStr">
        <is>
          <t>Australia</t>
        </is>
      </c>
      <c r="G5768" t="inlineStr">
        <is>
          <t>Comirnaty</t>
        </is>
      </c>
      <c r="H5768" t="inlineStr">
        <is>
          <t>Government / tender</t>
        </is>
      </c>
      <c r="I5768" t="inlineStr">
        <is>
          <t>Private insurer</t>
        </is>
      </c>
      <c r="J5768" t="inlineStr">
        <is>
          <t>Omar Haddad</t>
        </is>
      </c>
      <c r="K5768" s="70" t="n">
        <v>2053</v>
      </c>
      <c r="L5768" s="71" t="n">
        <v>96.26000000000001</v>
      </c>
      <c r="M5768" s="71" t="n">
        <v>197621.78</v>
      </c>
      <c r="N5768" s="71" t="n">
        <v>49405.44</v>
      </c>
      <c r="O5768" s="71" t="n">
        <v>148216.34</v>
      </c>
      <c r="P5768" s="71" t="n">
        <v>78477.39999999999</v>
      </c>
      <c r="Q5768" s="71" t="n">
        <v>69738.94</v>
      </c>
      <c r="R5768" t="inlineStr">
        <is>
          <t>Vaccines</t>
        </is>
      </c>
      <c r="S5768" s="70" t="n">
        <v>1398</v>
      </c>
      <c r="T5768" s="71" t="n">
        <v>47419.5</v>
      </c>
      <c r="U5768" t="inlineStr">
        <is>
          <t>Low</t>
        </is>
      </c>
      <c r="V5768">
        <f>IF(AND(OR(Dashboard!$C$6="All",E5768=Dashboard!$C$6),OR(Dashboard!$F$6="All",G5768=Dashboard!$F$6),OR(Dashboard!$I$6="All",H5768=Dashboard!$I$6)),1,0)</f>
        <v/>
      </c>
    </row>
    <row r="5769">
      <c r="A5769" t="inlineStr">
        <is>
          <t>PF105760</t>
        </is>
      </c>
      <c r="B5769" s="68" t="n">
        <v>46359</v>
      </c>
      <c r="C5769" s="69" t="n">
        <v>2026</v>
      </c>
      <c r="D5769" t="inlineStr">
        <is>
          <t>Dec</t>
        </is>
      </c>
      <c r="E5769" t="inlineStr">
        <is>
          <t>Emerging markets</t>
        </is>
      </c>
      <c r="F5769" t="inlineStr">
        <is>
          <t>China</t>
        </is>
      </c>
      <c r="G5769" t="inlineStr">
        <is>
          <t>Comirnaty</t>
        </is>
      </c>
      <c r="H5769" t="inlineStr">
        <is>
          <t>Retail pharmacy</t>
        </is>
      </c>
      <c r="I5769" t="inlineStr">
        <is>
          <t>Public payer</t>
        </is>
      </c>
      <c r="J5769" t="inlineStr">
        <is>
          <t>Amir Khan</t>
        </is>
      </c>
      <c r="K5769" s="70" t="n">
        <v>2082</v>
      </c>
      <c r="L5769" s="71" t="n">
        <v>87.09999999999999</v>
      </c>
      <c r="M5769" s="71" t="n">
        <v>181342.2</v>
      </c>
      <c r="N5769" s="71" t="n">
        <v>45335.55</v>
      </c>
      <c r="O5769" s="71" t="n">
        <v>136006.65</v>
      </c>
      <c r="P5769" s="71" t="n">
        <v>78152.99000000001</v>
      </c>
      <c r="Q5769" s="71" t="n">
        <v>57853.66</v>
      </c>
      <c r="R5769" t="inlineStr">
        <is>
          <t>Vaccines</t>
        </is>
      </c>
      <c r="S5769" s="70" t="n">
        <v>1362</v>
      </c>
      <c r="T5769" s="71" t="n">
        <v>28644.95</v>
      </c>
      <c r="U5769" t="inlineStr">
        <is>
          <t>Low</t>
        </is>
      </c>
      <c r="V5769">
        <f>IF(AND(OR(Dashboard!$C$6="All",E5769=Dashboard!$C$6),OR(Dashboard!$F$6="All",G5769=Dashboard!$F$6),OR(Dashboard!$I$6="All",H5769=Dashboard!$I$6)),1,0)</f>
        <v/>
      </c>
    </row>
    <row r="5770">
      <c r="A5770" t="inlineStr">
        <is>
          <t>PF105761</t>
        </is>
      </c>
      <c r="B5770" s="68" t="n">
        <v>46359</v>
      </c>
      <c r="C5770" s="69" t="n">
        <v>2026</v>
      </c>
      <c r="D5770" t="inlineStr">
        <is>
          <t>Dec</t>
        </is>
      </c>
      <c r="E5770" t="inlineStr">
        <is>
          <t>United States</t>
        </is>
      </c>
      <c r="F5770" t="inlineStr">
        <is>
          <t>USA</t>
        </is>
      </c>
      <c r="G5770" t="inlineStr">
        <is>
          <t>Prevnar 20</t>
        </is>
      </c>
      <c r="H5770" t="inlineStr">
        <is>
          <t>Retail pharmacy</t>
        </is>
      </c>
      <c r="I5770" t="inlineStr">
        <is>
          <t>Public payer</t>
        </is>
      </c>
      <c r="J5770" t="inlineStr">
        <is>
          <t>Ana Costa</t>
        </is>
      </c>
      <c r="K5770" s="70" t="n">
        <v>1023</v>
      </c>
      <c r="L5770" s="71" t="n">
        <v>356.82</v>
      </c>
      <c r="M5770" s="71" t="n">
        <v>365026.86</v>
      </c>
      <c r="N5770" s="71" t="n">
        <v>127759.4</v>
      </c>
      <c r="O5770" s="71" t="n">
        <v>237267.46</v>
      </c>
      <c r="P5770" s="71" t="n">
        <v>70236.00999999999</v>
      </c>
      <c r="Q5770" s="71" t="n">
        <v>167031.45</v>
      </c>
      <c r="R5770" t="inlineStr">
        <is>
          <t>Vaccines</t>
        </is>
      </c>
      <c r="S5770" s="70" t="n">
        <v>662</v>
      </c>
      <c r="T5770" s="71" t="n">
        <v>55570.56</v>
      </c>
      <c r="U5770" t="inlineStr">
        <is>
          <t>Low</t>
        </is>
      </c>
      <c r="V5770">
        <f>IF(AND(OR(Dashboard!$C$6="All",E5770=Dashboard!$C$6),OR(Dashboard!$F$6="All",G5770=Dashboard!$F$6),OR(Dashboard!$I$6="All",H5770=Dashboard!$I$6)),1,0)</f>
        <v/>
      </c>
    </row>
    <row r="5771">
      <c r="A5771" t="inlineStr">
        <is>
          <t>PF105762</t>
        </is>
      </c>
      <c r="B5771" s="68" t="n">
        <v>46359</v>
      </c>
      <c r="C5771" s="69" t="n">
        <v>2026</v>
      </c>
      <c r="D5771" t="inlineStr">
        <is>
          <t>Dec</t>
        </is>
      </c>
      <c r="E5771" t="inlineStr">
        <is>
          <t>United States</t>
        </is>
      </c>
      <c r="F5771" t="inlineStr">
        <is>
          <t>USA</t>
        </is>
      </c>
      <c r="G5771" t="inlineStr">
        <is>
          <t>Ibrance</t>
        </is>
      </c>
      <c r="H5771" t="inlineStr">
        <is>
          <t>Retail pharmacy</t>
        </is>
      </c>
      <c r="I5771" t="inlineStr">
        <is>
          <t>Private insurer</t>
        </is>
      </c>
      <c r="J5771" t="inlineStr">
        <is>
          <t>Amir Khan</t>
        </is>
      </c>
      <c r="K5771" s="70" t="n">
        <v>276</v>
      </c>
      <c r="L5771" s="71" t="n">
        <v>4391.44</v>
      </c>
      <c r="M5771" s="71" t="n">
        <v>1212037.44</v>
      </c>
      <c r="N5771" s="71" t="n">
        <v>363611.23</v>
      </c>
      <c r="O5771" s="71" t="n">
        <v>848426.21</v>
      </c>
      <c r="P5771" s="71" t="n">
        <v>119253.67</v>
      </c>
      <c r="Q5771" s="71" t="n">
        <v>729172.54</v>
      </c>
      <c r="R5771" t="inlineStr">
        <is>
          <t>Oncology</t>
        </is>
      </c>
      <c r="S5771" s="70" t="n">
        <v>248</v>
      </c>
      <c r="T5771" s="71" t="n">
        <v>160104.46</v>
      </c>
      <c r="U5771" t="inlineStr">
        <is>
          <t>High</t>
        </is>
      </c>
      <c r="V5771">
        <f>IF(AND(OR(Dashboard!$C$6="All",E5771=Dashboard!$C$6),OR(Dashboard!$F$6="All",G5771=Dashboard!$F$6),OR(Dashboard!$I$6="All",H5771=Dashboard!$I$6)),1,0)</f>
        <v/>
      </c>
    </row>
    <row r="5772">
      <c r="A5772" t="inlineStr">
        <is>
          <t>PF105763</t>
        </is>
      </c>
      <c r="B5772" s="68" t="n">
        <v>46359</v>
      </c>
      <c r="C5772" s="69" t="n">
        <v>2026</v>
      </c>
      <c r="D5772" t="inlineStr">
        <is>
          <t>Dec</t>
        </is>
      </c>
      <c r="E5772" t="inlineStr">
        <is>
          <t>United States</t>
        </is>
      </c>
      <c r="F5772" t="inlineStr">
        <is>
          <t>USA</t>
        </is>
      </c>
      <c r="G5772" t="inlineStr">
        <is>
          <t>Vyndaqel</t>
        </is>
      </c>
      <c r="H5772" t="inlineStr">
        <is>
          <t>Hospital</t>
        </is>
      </c>
      <c r="I5772" t="inlineStr">
        <is>
          <t>Public payer</t>
        </is>
      </c>
      <c r="J5772" t="inlineStr">
        <is>
          <t>Arjun Mehta</t>
        </is>
      </c>
      <c r="K5772" s="70" t="n">
        <v>1773</v>
      </c>
      <c r="L5772" s="71" t="n">
        <v>10092.95</v>
      </c>
      <c r="M5772" s="71" t="n">
        <v>17894800.35</v>
      </c>
      <c r="N5772" s="71" t="n">
        <v>3578960.07</v>
      </c>
      <c r="O5772" s="71" t="n">
        <v>14315840.28</v>
      </c>
      <c r="P5772" s="71" t="n">
        <v>1112548.33</v>
      </c>
      <c r="Q5772" s="71" t="n">
        <v>13203291.95</v>
      </c>
      <c r="R5772" t="inlineStr">
        <is>
          <t>Rare disease</t>
        </is>
      </c>
      <c r="S5772" s="70" t="n">
        <v>1305</v>
      </c>
      <c r="T5772" s="71" t="n">
        <v>2961002.53</v>
      </c>
      <c r="U5772" t="inlineStr">
        <is>
          <t>Medium</t>
        </is>
      </c>
      <c r="V5772">
        <f>IF(AND(OR(Dashboard!$C$6="All",E5772=Dashboard!$C$6),OR(Dashboard!$F$6="All",G5772=Dashboard!$F$6),OR(Dashboard!$I$6="All",H5772=Dashboard!$I$6)),1,0)</f>
        <v/>
      </c>
    </row>
    <row r="5773">
      <c r="A5773" t="inlineStr">
        <is>
          <t>PF105764</t>
        </is>
      </c>
      <c r="B5773" s="68" t="n">
        <v>46359</v>
      </c>
      <c r="C5773" s="69" t="n">
        <v>2026</v>
      </c>
      <c r="D5773" t="inlineStr">
        <is>
          <t>Dec</t>
        </is>
      </c>
      <c r="E5773" t="inlineStr">
        <is>
          <t>United States</t>
        </is>
      </c>
      <c r="F5773" t="inlineStr">
        <is>
          <t>USA</t>
        </is>
      </c>
      <c r="G5773" t="inlineStr">
        <is>
          <t>Prevnar 20</t>
        </is>
      </c>
      <c r="H5773" t="inlineStr">
        <is>
          <t>Hospital</t>
        </is>
      </c>
      <c r="I5773" t="inlineStr">
        <is>
          <t>Private insurer</t>
        </is>
      </c>
      <c r="J5773" t="inlineStr">
        <is>
          <t>Ruhi Shaikh</t>
        </is>
      </c>
      <c r="K5773" s="70" t="n">
        <v>563</v>
      </c>
      <c r="L5773" s="71" t="n">
        <v>400.76</v>
      </c>
      <c r="M5773" s="71" t="n">
        <v>225627.88</v>
      </c>
      <c r="N5773" s="71" t="n">
        <v>78969.75999999999</v>
      </c>
      <c r="O5773" s="71" t="n">
        <v>146658.12</v>
      </c>
      <c r="P5773" s="71" t="n">
        <v>39322.51</v>
      </c>
      <c r="Q5773" s="71" t="n">
        <v>107335.61</v>
      </c>
      <c r="R5773" t="inlineStr">
        <is>
          <t>Vaccines</t>
        </is>
      </c>
      <c r="S5773" s="70" t="n">
        <v>395</v>
      </c>
      <c r="T5773" s="71" t="n">
        <v>31753.33</v>
      </c>
      <c r="U5773" t="inlineStr">
        <is>
          <t>Low</t>
        </is>
      </c>
      <c r="V5773">
        <f>IF(AND(OR(Dashboard!$C$6="All",E5773=Dashboard!$C$6),OR(Dashboard!$F$6="All",G5773=Dashboard!$F$6),OR(Dashboard!$I$6="All",H5773=Dashboard!$I$6)),1,0)</f>
        <v/>
      </c>
    </row>
    <row r="5774">
      <c r="A5774" t="inlineStr">
        <is>
          <t>PF105765</t>
        </is>
      </c>
      <c r="B5774" s="68" t="n">
        <v>46359</v>
      </c>
      <c r="C5774" s="69" t="n">
        <v>2026</v>
      </c>
      <c r="D5774" t="inlineStr">
        <is>
          <t>Dec</t>
        </is>
      </c>
      <c r="E5774" t="inlineStr">
        <is>
          <t>United States</t>
        </is>
      </c>
      <c r="F5774" t="inlineStr">
        <is>
          <t>USA</t>
        </is>
      </c>
      <c r="G5774" t="inlineStr">
        <is>
          <t>Eliquis</t>
        </is>
      </c>
      <c r="H5774" t="inlineStr">
        <is>
          <t>Retail pharmacy</t>
        </is>
      </c>
      <c r="I5774" t="inlineStr">
        <is>
          <t>Private insurer</t>
        </is>
      </c>
      <c r="J5774" t="inlineStr">
        <is>
          <t>Priya Nair</t>
        </is>
      </c>
      <c r="K5774" s="70" t="n">
        <v>1138</v>
      </c>
      <c r="L5774" s="71" t="n">
        <v>758.8</v>
      </c>
      <c r="M5774" s="71" t="n">
        <v>863514.4</v>
      </c>
      <c r="N5774" s="71" t="n">
        <v>302230.04</v>
      </c>
      <c r="O5774" s="71" t="n">
        <v>561284.36</v>
      </c>
      <c r="P5774" s="71" t="n">
        <v>89070.32000000001</v>
      </c>
      <c r="Q5774" s="71" t="n">
        <v>472214.04</v>
      </c>
      <c r="R5774" t="inlineStr">
        <is>
          <t>Cardiology</t>
        </is>
      </c>
      <c r="S5774" s="70" t="n">
        <v>973</v>
      </c>
      <c r="T5774" s="71" t="n">
        <v>139310.9</v>
      </c>
      <c r="U5774" t="inlineStr">
        <is>
          <t>High</t>
        </is>
      </c>
      <c r="V5774">
        <f>IF(AND(OR(Dashboard!$C$6="All",E5774=Dashboard!$C$6),OR(Dashboard!$F$6="All",G5774=Dashboard!$F$6),OR(Dashboard!$I$6="All",H5774=Dashboard!$I$6)),1,0)</f>
        <v/>
      </c>
    </row>
    <row r="5775">
      <c r="A5775" t="inlineStr">
        <is>
          <t>PF105766</t>
        </is>
      </c>
      <c r="B5775" s="68" t="n">
        <v>46359</v>
      </c>
      <c r="C5775" s="69" t="n">
        <v>2026</v>
      </c>
      <c r="D5775" t="inlineStr">
        <is>
          <t>Dec</t>
        </is>
      </c>
      <c r="E5775" t="inlineStr">
        <is>
          <t>Emerging markets</t>
        </is>
      </c>
      <c r="F5775" t="inlineStr">
        <is>
          <t>Brazil</t>
        </is>
      </c>
      <c r="G5775" t="inlineStr">
        <is>
          <t>Prevnar 20</t>
        </is>
      </c>
      <c r="H5775" t="inlineStr">
        <is>
          <t>Retail pharmacy</t>
        </is>
      </c>
      <c r="I5775" t="inlineStr">
        <is>
          <t>Public payer</t>
        </is>
      </c>
      <c r="J5775" t="inlineStr">
        <is>
          <t>Hiroshi Tanaka</t>
        </is>
      </c>
      <c r="K5775" s="70" t="n">
        <v>1292</v>
      </c>
      <c r="L5775" s="71" t="n">
        <v>221.85</v>
      </c>
      <c r="M5775" s="71" t="n">
        <v>286630.2</v>
      </c>
      <c r="N5775" s="71" t="n">
        <v>71657.55</v>
      </c>
      <c r="O5775" s="71" t="n">
        <v>214972.65</v>
      </c>
      <c r="P5775" s="71" t="n">
        <v>86599.67999999999</v>
      </c>
      <c r="Q5775" s="71" t="n">
        <v>128372.97</v>
      </c>
      <c r="R5775" t="inlineStr">
        <is>
          <t>Vaccines</t>
        </is>
      </c>
      <c r="S5775" s="70" t="n">
        <v>1251</v>
      </c>
      <c r="T5775" s="71" t="n">
        <v>35888.3</v>
      </c>
      <c r="U5775" t="inlineStr">
        <is>
          <t>Low</t>
        </is>
      </c>
      <c r="V5775">
        <f>IF(AND(OR(Dashboard!$C$6="All",E5775=Dashboard!$C$6),OR(Dashboard!$F$6="All",G5775=Dashboard!$F$6),OR(Dashboard!$I$6="All",H5775=Dashboard!$I$6)),1,0)</f>
        <v/>
      </c>
    </row>
    <row r="5776">
      <c r="A5776" t="inlineStr">
        <is>
          <t>PF105767</t>
        </is>
      </c>
      <c r="B5776" s="68" t="n">
        <v>46359</v>
      </c>
      <c r="C5776" s="69" t="n">
        <v>2026</v>
      </c>
      <c r="D5776" t="inlineStr">
        <is>
          <t>Dec</t>
        </is>
      </c>
      <c r="E5776" t="inlineStr">
        <is>
          <t>Europe</t>
        </is>
      </c>
      <c r="F5776" t="inlineStr">
        <is>
          <t>France</t>
        </is>
      </c>
      <c r="G5776" t="inlineStr">
        <is>
          <t>Prevnar 20</t>
        </is>
      </c>
      <c r="H5776" t="inlineStr">
        <is>
          <t>Retail pharmacy</t>
        </is>
      </c>
      <c r="I5776" t="inlineStr">
        <is>
          <t>Public payer</t>
        </is>
      </c>
      <c r="J5776" t="inlineStr">
        <is>
          <t>Amir Khan</t>
        </is>
      </c>
      <c r="K5776" s="70" t="n">
        <v>2176</v>
      </c>
      <c r="L5776" s="71" t="n">
        <v>240.51</v>
      </c>
      <c r="M5776" s="71" t="n">
        <v>523349.76</v>
      </c>
      <c r="N5776" s="71" t="n">
        <v>52334.98</v>
      </c>
      <c r="O5776" s="71" t="n">
        <v>471014.78</v>
      </c>
      <c r="P5776" s="71" t="n">
        <v>154653.74</v>
      </c>
      <c r="Q5776" s="71" t="n">
        <v>316361.04</v>
      </c>
      <c r="R5776" t="inlineStr">
        <is>
          <t>Vaccines</t>
        </is>
      </c>
      <c r="S5776" s="70" t="n">
        <v>1589</v>
      </c>
      <c r="T5776" s="71" t="n">
        <v>96309.17</v>
      </c>
      <c r="U5776" t="inlineStr">
        <is>
          <t>Low</t>
        </is>
      </c>
      <c r="V5776">
        <f>IF(AND(OR(Dashboard!$C$6="All",E5776=Dashboard!$C$6),OR(Dashboard!$F$6="All",G5776=Dashboard!$F$6),OR(Dashboard!$I$6="All",H5776=Dashboard!$I$6)),1,0)</f>
        <v/>
      </c>
    </row>
    <row r="5777">
      <c r="A5777" t="inlineStr">
        <is>
          <t>PF105768</t>
        </is>
      </c>
      <c r="B5777" s="68" t="n">
        <v>46359</v>
      </c>
      <c r="C5777" s="69" t="n">
        <v>2026</v>
      </c>
      <c r="D5777" t="inlineStr">
        <is>
          <t>Dec</t>
        </is>
      </c>
      <c r="E5777" t="inlineStr">
        <is>
          <t>International developed</t>
        </is>
      </c>
      <c r="F5777" t="inlineStr">
        <is>
          <t>Japan</t>
        </is>
      </c>
      <c r="G5777" t="inlineStr">
        <is>
          <t>Prevnar 20</t>
        </is>
      </c>
      <c r="H5777" t="inlineStr">
        <is>
          <t>Retail pharmacy</t>
        </is>
      </c>
      <c r="I5777" t="inlineStr">
        <is>
          <t>Self-pay</t>
        </is>
      </c>
      <c r="J5777" t="inlineStr">
        <is>
          <t>Ravindra Patil</t>
        </is>
      </c>
      <c r="K5777" s="70" t="n">
        <v>1640</v>
      </c>
      <c r="L5777" s="71" t="n">
        <v>212.68</v>
      </c>
      <c r="M5777" s="71" t="n">
        <v>348795.2</v>
      </c>
      <c r="N5777" s="71" t="n">
        <v>69759.03999999999</v>
      </c>
      <c r="O5777" s="71" t="n">
        <v>279036.16</v>
      </c>
      <c r="P5777" s="71" t="n">
        <v>116022.41</v>
      </c>
      <c r="Q5777" s="71" t="n">
        <v>163013.75</v>
      </c>
      <c r="R5777" t="inlineStr">
        <is>
          <t>Vaccines</t>
        </is>
      </c>
      <c r="S5777" s="70" t="n">
        <v>1337</v>
      </c>
      <c r="T5777" s="71" t="n">
        <v>68375.23</v>
      </c>
      <c r="U5777" t="inlineStr">
        <is>
          <t>Low</t>
        </is>
      </c>
      <c r="V5777">
        <f>IF(AND(OR(Dashboard!$C$6="All",E5777=Dashboard!$C$6),OR(Dashboard!$F$6="All",G5777=Dashboard!$F$6),OR(Dashboard!$I$6="All",H5777=Dashboard!$I$6)),1,0)</f>
        <v/>
      </c>
    </row>
    <row r="5778">
      <c r="A5778" t="inlineStr">
        <is>
          <t>PF105769</t>
        </is>
      </c>
      <c r="B5778" s="68" t="n">
        <v>46359</v>
      </c>
      <c r="C5778" s="69" t="n">
        <v>2026</v>
      </c>
      <c r="D5778" t="inlineStr">
        <is>
          <t>Dec</t>
        </is>
      </c>
      <c r="E5778" t="inlineStr">
        <is>
          <t>United States</t>
        </is>
      </c>
      <c r="F5778" t="inlineStr">
        <is>
          <t>USA</t>
        </is>
      </c>
      <c r="G5778" t="inlineStr">
        <is>
          <t>Eliquis</t>
        </is>
      </c>
      <c r="H5778" t="inlineStr">
        <is>
          <t>Retail pharmacy</t>
        </is>
      </c>
      <c r="I5778" t="inlineStr">
        <is>
          <t>Private insurer</t>
        </is>
      </c>
      <c r="J5778" t="inlineStr">
        <is>
          <t>Liam O'Brien</t>
        </is>
      </c>
      <c r="K5778" s="70" t="n">
        <v>1181</v>
      </c>
      <c r="L5778" s="71" t="n">
        <v>703.84</v>
      </c>
      <c r="M5778" s="71" t="n">
        <v>831235.04</v>
      </c>
      <c r="N5778" s="71" t="n">
        <v>207808.76</v>
      </c>
      <c r="O5778" s="71" t="n">
        <v>623426.28</v>
      </c>
      <c r="P5778" s="71" t="n">
        <v>92567.38</v>
      </c>
      <c r="Q5778" s="71" t="n">
        <v>530858.9</v>
      </c>
      <c r="R5778" t="inlineStr">
        <is>
          <t>Cardiology</t>
        </is>
      </c>
      <c r="S5778" s="70" t="n">
        <v>755</v>
      </c>
      <c r="T5778" s="71" t="n">
        <v>138365.52</v>
      </c>
      <c r="U5778" t="inlineStr">
        <is>
          <t>High</t>
        </is>
      </c>
      <c r="V5778">
        <f>IF(AND(OR(Dashboard!$C$6="All",E5778=Dashboard!$C$6),OR(Dashboard!$F$6="All",G5778=Dashboard!$F$6),OR(Dashboard!$I$6="All",H5778=Dashboard!$I$6)),1,0)</f>
        <v/>
      </c>
    </row>
    <row r="5779">
      <c r="A5779" t="inlineStr">
        <is>
          <t>PF105770</t>
        </is>
      </c>
      <c r="B5779" s="68" t="n">
        <v>46359</v>
      </c>
      <c r="C5779" s="69" t="n">
        <v>2026</v>
      </c>
      <c r="D5779" t="inlineStr">
        <is>
          <t>Dec</t>
        </is>
      </c>
      <c r="E5779" t="inlineStr">
        <is>
          <t>United States</t>
        </is>
      </c>
      <c r="F5779" t="inlineStr">
        <is>
          <t>USA</t>
        </is>
      </c>
      <c r="G5779" t="inlineStr">
        <is>
          <t>Eliquis</t>
        </is>
      </c>
      <c r="H5779" t="inlineStr">
        <is>
          <t>Retail pharmacy</t>
        </is>
      </c>
      <c r="I5779" t="inlineStr">
        <is>
          <t>Private insurer</t>
        </is>
      </c>
      <c r="J5779" t="inlineStr">
        <is>
          <t>Olivia Brown</t>
        </is>
      </c>
      <c r="K5779" s="70" t="n">
        <v>296</v>
      </c>
      <c r="L5779" s="71" t="n">
        <v>743.28</v>
      </c>
      <c r="M5779" s="71" t="n">
        <v>220010.88</v>
      </c>
      <c r="N5779" s="71" t="n">
        <v>44002.18</v>
      </c>
      <c r="O5779" s="71" t="n">
        <v>176008.7</v>
      </c>
      <c r="P5779" s="71" t="n">
        <v>22391.98</v>
      </c>
      <c r="Q5779" s="71" t="n">
        <v>153616.72</v>
      </c>
      <c r="R5779" t="inlineStr">
        <is>
          <t>Cardiology</t>
        </is>
      </c>
      <c r="S5779" s="70" t="n">
        <v>194</v>
      </c>
      <c r="T5779" s="71" t="n">
        <v>37329.81</v>
      </c>
      <c r="U5779" t="inlineStr">
        <is>
          <t>High</t>
        </is>
      </c>
      <c r="V5779">
        <f>IF(AND(OR(Dashboard!$C$6="All",E5779=Dashboard!$C$6),OR(Dashboard!$F$6="All",G5779=Dashboard!$F$6),OR(Dashboard!$I$6="All",H5779=Dashboard!$I$6)),1,0)</f>
        <v/>
      </c>
    </row>
    <row r="5780">
      <c r="A5780" t="inlineStr">
        <is>
          <t>PF105771</t>
        </is>
      </c>
      <c r="B5780" s="68" t="n">
        <v>46359</v>
      </c>
      <c r="C5780" s="69" t="n">
        <v>2026</v>
      </c>
      <c r="D5780" t="inlineStr">
        <is>
          <t>Dec</t>
        </is>
      </c>
      <c r="E5780" t="inlineStr">
        <is>
          <t>United States</t>
        </is>
      </c>
      <c r="F5780" t="inlineStr">
        <is>
          <t>USA</t>
        </is>
      </c>
      <c r="G5780" t="inlineStr">
        <is>
          <t>Vyndaqel</t>
        </is>
      </c>
      <c r="H5780" t="inlineStr">
        <is>
          <t>Hospital</t>
        </is>
      </c>
      <c r="I5780" t="inlineStr">
        <is>
          <t>Private insurer</t>
        </is>
      </c>
      <c r="J5780" t="inlineStr">
        <is>
          <t>Wei Chen</t>
        </is>
      </c>
      <c r="K5780" s="70" t="n">
        <v>537</v>
      </c>
      <c r="L5780" s="71" t="n">
        <v>9500.950000000001</v>
      </c>
      <c r="M5780" s="71" t="n">
        <v>5102010.15</v>
      </c>
      <c r="N5780" s="71" t="n">
        <v>1020402.03</v>
      </c>
      <c r="O5780" s="71" t="n">
        <v>4081608.12</v>
      </c>
      <c r="P5780" s="71" t="n">
        <v>324035.15</v>
      </c>
      <c r="Q5780" s="71" t="n">
        <v>3757572.97</v>
      </c>
      <c r="R5780" t="inlineStr">
        <is>
          <t>Rare disease</t>
        </is>
      </c>
      <c r="S5780" s="70" t="n">
        <v>361</v>
      </c>
      <c r="T5780" s="71" t="n">
        <v>608840.58</v>
      </c>
      <c r="U5780" t="inlineStr">
        <is>
          <t>Medium</t>
        </is>
      </c>
      <c r="V5780">
        <f>IF(AND(OR(Dashboard!$C$6="All",E5780=Dashboard!$C$6),OR(Dashboard!$F$6="All",G5780=Dashboard!$F$6),OR(Dashboard!$I$6="All",H5780=Dashboard!$I$6)),1,0)</f>
        <v/>
      </c>
    </row>
    <row r="5781">
      <c r="A5781" t="inlineStr">
        <is>
          <t>PF105772</t>
        </is>
      </c>
      <c r="B5781" s="68" t="n">
        <v>46359</v>
      </c>
      <c r="C5781" s="69" t="n">
        <v>2026</v>
      </c>
      <c r="D5781" t="inlineStr">
        <is>
          <t>Dec</t>
        </is>
      </c>
      <c r="E5781" t="inlineStr">
        <is>
          <t>International developed</t>
        </is>
      </c>
      <c r="F5781" t="inlineStr">
        <is>
          <t>Australia</t>
        </is>
      </c>
      <c r="G5781" t="inlineStr">
        <is>
          <t>Prevnar 20</t>
        </is>
      </c>
      <c r="H5781" t="inlineStr">
        <is>
          <t>Government / tender</t>
        </is>
      </c>
      <c r="I5781" t="inlineStr">
        <is>
          <t>Public payer</t>
        </is>
      </c>
      <c r="J5781" t="inlineStr">
        <is>
          <t>Shraddha Kulkarni</t>
        </is>
      </c>
      <c r="K5781" s="70" t="n">
        <v>2386</v>
      </c>
      <c r="L5781" s="71" t="n">
        <v>245.27</v>
      </c>
      <c r="M5781" s="71" t="n">
        <v>585214.22</v>
      </c>
      <c r="N5781" s="71" t="n">
        <v>29260.71</v>
      </c>
      <c r="O5781" s="71" t="n">
        <v>555953.51</v>
      </c>
      <c r="P5781" s="71" t="n">
        <v>167233.93</v>
      </c>
      <c r="Q5781" s="71" t="n">
        <v>388719.58</v>
      </c>
      <c r="R5781" t="inlineStr">
        <is>
          <t>Vaccines</t>
        </is>
      </c>
      <c r="S5781" s="70" t="n">
        <v>2317</v>
      </c>
      <c r="T5781" s="71" t="n">
        <v>85807.67999999999</v>
      </c>
      <c r="U5781" t="inlineStr">
        <is>
          <t>Low</t>
        </is>
      </c>
      <c r="V5781">
        <f>IF(AND(OR(Dashboard!$C$6="All",E5781=Dashboard!$C$6),OR(Dashboard!$F$6="All",G5781=Dashboard!$F$6),OR(Dashboard!$I$6="All",H5781=Dashboard!$I$6)),1,0)</f>
        <v/>
      </c>
    </row>
    <row r="5782">
      <c r="A5782" t="inlineStr">
        <is>
          <t>PF105773</t>
        </is>
      </c>
      <c r="B5782" s="68" t="n">
        <v>46359</v>
      </c>
      <c r="C5782" s="69" t="n">
        <v>2026</v>
      </c>
      <c r="D5782" t="inlineStr">
        <is>
          <t>Dec</t>
        </is>
      </c>
      <c r="E5782" t="inlineStr">
        <is>
          <t>United States</t>
        </is>
      </c>
      <c r="F5782" t="inlineStr">
        <is>
          <t>USA</t>
        </is>
      </c>
      <c r="G5782" t="inlineStr">
        <is>
          <t>Paxlovid</t>
        </is>
      </c>
      <c r="H5782" t="inlineStr">
        <is>
          <t>Retail pharmacy</t>
        </is>
      </c>
      <c r="I5782" t="inlineStr">
        <is>
          <t>Private insurer</t>
        </is>
      </c>
      <c r="J5782" t="inlineStr">
        <is>
          <t>Liam O'Brien</t>
        </is>
      </c>
      <c r="K5782" s="70" t="n">
        <v>153</v>
      </c>
      <c r="L5782" s="71" t="n">
        <v>1605.22</v>
      </c>
      <c r="M5782" s="71" t="n">
        <v>245598.66</v>
      </c>
      <c r="N5782" s="71" t="n">
        <v>61399.67</v>
      </c>
      <c r="O5782" s="71" t="n">
        <v>184198.99</v>
      </c>
      <c r="P5782" s="71" t="n">
        <v>42418.99</v>
      </c>
      <c r="Q5782" s="71" t="n">
        <v>141780</v>
      </c>
      <c r="R5782" t="inlineStr">
        <is>
          <t>Antiviral</t>
        </is>
      </c>
      <c r="S5782" s="70" t="n">
        <v>115</v>
      </c>
      <c r="T5782" s="71" t="n">
        <v>63768.26</v>
      </c>
      <c r="U5782" t="inlineStr">
        <is>
          <t>Low</t>
        </is>
      </c>
      <c r="V5782">
        <f>IF(AND(OR(Dashboard!$C$6="All",E5782=Dashboard!$C$6),OR(Dashboard!$F$6="All",G5782=Dashboard!$F$6),OR(Dashboard!$I$6="All",H5782=Dashboard!$I$6)),1,0)</f>
        <v/>
      </c>
    </row>
    <row r="5783">
      <c r="A5783" t="inlineStr">
        <is>
          <t>PF105774</t>
        </is>
      </c>
      <c r="B5783" s="68" t="n">
        <v>46360</v>
      </c>
      <c r="C5783" s="69" t="n">
        <v>2026</v>
      </c>
      <c r="D5783" t="inlineStr">
        <is>
          <t>Dec</t>
        </is>
      </c>
      <c r="E5783" t="inlineStr">
        <is>
          <t>Europe</t>
        </is>
      </c>
      <c r="F5783" t="inlineStr">
        <is>
          <t>France</t>
        </is>
      </c>
      <c r="G5783" t="inlineStr">
        <is>
          <t>Comirnaty</t>
        </is>
      </c>
      <c r="H5783" t="inlineStr">
        <is>
          <t>Hospital</t>
        </is>
      </c>
      <c r="I5783" t="inlineStr">
        <is>
          <t>Self-pay</t>
        </is>
      </c>
      <c r="J5783" t="inlineStr">
        <is>
          <t>Shraddha Kulkarni</t>
        </is>
      </c>
      <c r="K5783" s="70" t="n">
        <v>1627</v>
      </c>
      <c r="L5783" s="71" t="n">
        <v>82.81999999999999</v>
      </c>
      <c r="M5783" s="71" t="n">
        <v>134748.14</v>
      </c>
      <c r="N5783" s="71" t="n">
        <v>13474.81</v>
      </c>
      <c r="O5783" s="71" t="n">
        <v>121273.33</v>
      </c>
      <c r="P5783" s="71" t="n">
        <v>62127.37</v>
      </c>
      <c r="Q5783" s="71" t="n">
        <v>59145.96</v>
      </c>
      <c r="R5783" t="inlineStr">
        <is>
          <t>Vaccines</t>
        </is>
      </c>
      <c r="S5783" s="70" t="n">
        <v>1103</v>
      </c>
      <c r="T5783" s="71" t="n">
        <v>24165.83</v>
      </c>
      <c r="U5783" t="inlineStr">
        <is>
          <t>Low</t>
        </is>
      </c>
      <c r="V5783">
        <f>IF(AND(OR(Dashboard!$C$6="All",E5783=Dashboard!$C$6),OR(Dashboard!$F$6="All",G5783=Dashboard!$F$6),OR(Dashboard!$I$6="All",H5783=Dashboard!$I$6)),1,0)</f>
        <v/>
      </c>
    </row>
    <row r="5784">
      <c r="A5784" t="inlineStr">
        <is>
          <t>PF105775</t>
        </is>
      </c>
      <c r="B5784" s="68" t="n">
        <v>46360</v>
      </c>
      <c r="C5784" s="69" t="n">
        <v>2026</v>
      </c>
      <c r="D5784" t="inlineStr">
        <is>
          <t>Dec</t>
        </is>
      </c>
      <c r="E5784" t="inlineStr">
        <is>
          <t>Europe</t>
        </is>
      </c>
      <c r="F5784" t="inlineStr">
        <is>
          <t>Italy</t>
        </is>
      </c>
      <c r="G5784" t="inlineStr">
        <is>
          <t>Ibrance</t>
        </is>
      </c>
      <c r="H5784" t="inlineStr">
        <is>
          <t>Government / tender</t>
        </is>
      </c>
      <c r="I5784" t="inlineStr">
        <is>
          <t>Public payer</t>
        </is>
      </c>
      <c r="J5784" t="inlineStr">
        <is>
          <t>Sara Rossi</t>
        </is>
      </c>
      <c r="K5784" s="70" t="n">
        <v>807</v>
      </c>
      <c r="L5784" s="71" t="n">
        <v>2548.81</v>
      </c>
      <c r="M5784" s="71" t="n">
        <v>2056889.67</v>
      </c>
      <c r="N5784" s="71" t="n">
        <v>102844.48</v>
      </c>
      <c r="O5784" s="71" t="n">
        <v>1954045.19</v>
      </c>
      <c r="P5784" s="71" t="n">
        <v>337729.87</v>
      </c>
      <c r="Q5784" s="71" t="n">
        <v>1616315.32</v>
      </c>
      <c r="R5784" t="inlineStr">
        <is>
          <t>Oncology</t>
        </is>
      </c>
      <c r="S5784" s="70" t="n">
        <v>535</v>
      </c>
      <c r="T5784" s="71" t="n">
        <v>255093.34</v>
      </c>
      <c r="U5784" t="inlineStr">
        <is>
          <t>High</t>
        </is>
      </c>
      <c r="V5784">
        <f>IF(AND(OR(Dashboard!$C$6="All",E5784=Dashboard!$C$6),OR(Dashboard!$F$6="All",G5784=Dashboard!$F$6),OR(Dashboard!$I$6="All",H5784=Dashboard!$I$6)),1,0)</f>
        <v/>
      </c>
    </row>
    <row r="5785">
      <c r="A5785" t="inlineStr">
        <is>
          <t>PF105776</t>
        </is>
      </c>
      <c r="B5785" s="68" t="n">
        <v>46360</v>
      </c>
      <c r="C5785" s="69" t="n">
        <v>2026</v>
      </c>
      <c r="D5785" t="inlineStr">
        <is>
          <t>Dec</t>
        </is>
      </c>
      <c r="E5785" t="inlineStr">
        <is>
          <t>Europe</t>
        </is>
      </c>
      <c r="F5785" t="inlineStr">
        <is>
          <t>Italy</t>
        </is>
      </c>
      <c r="G5785" t="inlineStr">
        <is>
          <t>Abrysvo</t>
        </is>
      </c>
      <c r="H5785" t="inlineStr">
        <is>
          <t>Retail pharmacy</t>
        </is>
      </c>
      <c r="I5785" t="inlineStr">
        <is>
          <t>Private insurer</t>
        </is>
      </c>
      <c r="J5785" t="inlineStr">
        <is>
          <t>Zoya Ahmed</t>
        </is>
      </c>
      <c r="K5785" s="70" t="n">
        <v>2081</v>
      </c>
      <c r="L5785" s="71" t="n">
        <v>293.61</v>
      </c>
      <c r="M5785" s="71" t="n">
        <v>611002.41</v>
      </c>
      <c r="N5785" s="71" t="n">
        <v>30550.12</v>
      </c>
      <c r="O5785" s="71" t="n">
        <v>580452.29</v>
      </c>
      <c r="P5785" s="71" t="n">
        <v>170368.26</v>
      </c>
      <c r="Q5785" s="71" t="n">
        <v>410084.03</v>
      </c>
      <c r="R5785" t="inlineStr">
        <is>
          <t>Vaccines</t>
        </is>
      </c>
      <c r="S5785" s="70" t="n">
        <v>1431</v>
      </c>
      <c r="T5785" s="71" t="n">
        <v>82950.66</v>
      </c>
      <c r="U5785" t="inlineStr">
        <is>
          <t>Low</t>
        </is>
      </c>
      <c r="V5785">
        <f>IF(AND(OR(Dashboard!$C$6="All",E5785=Dashboard!$C$6),OR(Dashboard!$F$6="All",G5785=Dashboard!$F$6),OR(Dashboard!$I$6="All",H5785=Dashboard!$I$6)),1,0)</f>
        <v/>
      </c>
    </row>
    <row r="5786">
      <c r="A5786" t="inlineStr">
        <is>
          <t>PF105777</t>
        </is>
      </c>
      <c r="B5786" s="68" t="n">
        <v>46360</v>
      </c>
      <c r="C5786" s="69" t="n">
        <v>2026</v>
      </c>
      <c r="D5786" t="inlineStr">
        <is>
          <t>Dec</t>
        </is>
      </c>
      <c r="E5786" t="inlineStr">
        <is>
          <t>Emerging markets</t>
        </is>
      </c>
      <c r="F5786" t="inlineStr">
        <is>
          <t>Mexico</t>
        </is>
      </c>
      <c r="G5786" t="inlineStr">
        <is>
          <t>Eliquis</t>
        </is>
      </c>
      <c r="H5786" t="inlineStr">
        <is>
          <t>Retail pharmacy</t>
        </is>
      </c>
      <c r="I5786" t="inlineStr">
        <is>
          <t>Public payer</t>
        </is>
      </c>
      <c r="J5786" t="inlineStr">
        <is>
          <t>Zoya Ahmed</t>
        </is>
      </c>
      <c r="K5786" s="70" t="n">
        <v>877</v>
      </c>
      <c r="L5786" s="71" t="n">
        <v>435.27</v>
      </c>
      <c r="M5786" s="71" t="n">
        <v>381731.79</v>
      </c>
      <c r="N5786" s="71" t="n">
        <v>57259.77</v>
      </c>
      <c r="O5786" s="71" t="n">
        <v>324472.02</v>
      </c>
      <c r="P5786" s="71" t="n">
        <v>64634.17</v>
      </c>
      <c r="Q5786" s="71" t="n">
        <v>259837.85</v>
      </c>
      <c r="R5786" t="inlineStr">
        <is>
          <t>Cardiology</t>
        </is>
      </c>
      <c r="S5786" s="70" t="n">
        <v>697</v>
      </c>
      <c r="T5786" s="71" t="n">
        <v>69277.32000000001</v>
      </c>
      <c r="U5786" t="inlineStr">
        <is>
          <t>High</t>
        </is>
      </c>
      <c r="V5786">
        <f>IF(AND(OR(Dashboard!$C$6="All",E5786=Dashboard!$C$6),OR(Dashboard!$F$6="All",G5786=Dashboard!$F$6),OR(Dashboard!$I$6="All",H5786=Dashboard!$I$6)),1,0)</f>
        <v/>
      </c>
    </row>
    <row r="5787">
      <c r="A5787" t="inlineStr">
        <is>
          <t>PF105778</t>
        </is>
      </c>
      <c r="B5787" s="68" t="n">
        <v>46360</v>
      </c>
      <c r="C5787" s="69" t="n">
        <v>2026</v>
      </c>
      <c r="D5787" t="inlineStr">
        <is>
          <t>Dec</t>
        </is>
      </c>
      <c r="E5787" t="inlineStr">
        <is>
          <t>United States</t>
        </is>
      </c>
      <c r="F5787" t="inlineStr">
        <is>
          <t>USA</t>
        </is>
      </c>
      <c r="G5787" t="inlineStr">
        <is>
          <t>Vyndaqel</t>
        </is>
      </c>
      <c r="H5787" t="inlineStr">
        <is>
          <t>Government / tender</t>
        </is>
      </c>
      <c r="I5787" t="inlineStr">
        <is>
          <t>Public payer</t>
        </is>
      </c>
      <c r="J5787" t="inlineStr">
        <is>
          <t>Ravindra Patil</t>
        </is>
      </c>
      <c r="K5787" s="70" t="n">
        <v>2860</v>
      </c>
      <c r="L5787" s="71" t="n">
        <v>9859.950000000001</v>
      </c>
      <c r="M5787" s="71" t="n">
        <v>28199457</v>
      </c>
      <c r="N5787" s="71" t="n">
        <v>5639891.4</v>
      </c>
      <c r="O5787" s="71" t="n">
        <v>22559565.6</v>
      </c>
      <c r="P5787" s="71" t="n">
        <v>1824334.44</v>
      </c>
      <c r="Q5787" s="71" t="n">
        <v>20735231.16</v>
      </c>
      <c r="R5787" t="inlineStr">
        <is>
          <t>Rare disease</t>
        </is>
      </c>
      <c r="S5787" s="70" t="n">
        <v>2532</v>
      </c>
      <c r="T5787" s="71" t="n">
        <v>4553323.63</v>
      </c>
      <c r="U5787" t="inlineStr">
        <is>
          <t>Medium</t>
        </is>
      </c>
      <c r="V5787">
        <f>IF(AND(OR(Dashboard!$C$6="All",E5787=Dashboard!$C$6),OR(Dashboard!$F$6="All",G5787=Dashboard!$F$6),OR(Dashboard!$I$6="All",H5787=Dashboard!$I$6)),1,0)</f>
        <v/>
      </c>
    </row>
    <row r="5788">
      <c r="A5788" t="inlineStr">
        <is>
          <t>PF105779</t>
        </is>
      </c>
      <c r="B5788" s="68" t="n">
        <v>46360</v>
      </c>
      <c r="C5788" s="69" t="n">
        <v>2026</v>
      </c>
      <c r="D5788" t="inlineStr">
        <is>
          <t>Dec</t>
        </is>
      </c>
      <c r="E5788" t="inlineStr">
        <is>
          <t>United States</t>
        </is>
      </c>
      <c r="F5788" t="inlineStr">
        <is>
          <t>USA</t>
        </is>
      </c>
      <c r="G5788" t="inlineStr">
        <is>
          <t>Comirnaty</t>
        </is>
      </c>
      <c r="H5788" t="inlineStr">
        <is>
          <t>Retail pharmacy</t>
        </is>
      </c>
      <c r="I5788" t="inlineStr">
        <is>
          <t>Private insurer</t>
        </is>
      </c>
      <c r="J5788" t="inlineStr">
        <is>
          <t>Olivia Brown</t>
        </is>
      </c>
      <c r="K5788" s="70" t="n">
        <v>2410</v>
      </c>
      <c r="L5788" s="71" t="n">
        <v>134.28</v>
      </c>
      <c r="M5788" s="71" t="n">
        <v>323614.8</v>
      </c>
      <c r="N5788" s="71" t="n">
        <v>64722.96</v>
      </c>
      <c r="O5788" s="71" t="n">
        <v>258891.84</v>
      </c>
      <c r="P5788" s="71" t="n">
        <v>96296.64999999999</v>
      </c>
      <c r="Q5788" s="71" t="n">
        <v>162595.19</v>
      </c>
      <c r="R5788" t="inlineStr">
        <is>
          <t>Vaccines</t>
        </is>
      </c>
      <c r="S5788" s="70" t="n">
        <v>1849</v>
      </c>
      <c r="T5788" s="71" t="n">
        <v>70350.42</v>
      </c>
      <c r="U5788" t="inlineStr">
        <is>
          <t>Low</t>
        </is>
      </c>
      <c r="V5788">
        <f>IF(AND(OR(Dashboard!$C$6="All",E5788=Dashboard!$C$6),OR(Dashboard!$F$6="All",G5788=Dashboard!$F$6),OR(Dashboard!$I$6="All",H5788=Dashboard!$I$6)),1,0)</f>
        <v/>
      </c>
    </row>
    <row r="5789">
      <c r="A5789" t="inlineStr">
        <is>
          <t>PF105780</t>
        </is>
      </c>
      <c r="B5789" s="68" t="n">
        <v>46360</v>
      </c>
      <c r="C5789" s="69" t="n">
        <v>2026</v>
      </c>
      <c r="D5789" t="inlineStr">
        <is>
          <t>Dec</t>
        </is>
      </c>
      <c r="E5789" t="inlineStr">
        <is>
          <t>United States</t>
        </is>
      </c>
      <c r="F5789" t="inlineStr">
        <is>
          <t>USA</t>
        </is>
      </c>
      <c r="G5789" t="inlineStr">
        <is>
          <t>Abrysvo</t>
        </is>
      </c>
      <c r="H5789" t="inlineStr">
        <is>
          <t>Government / tender</t>
        </is>
      </c>
      <c r="I5789" t="inlineStr">
        <is>
          <t>Private insurer</t>
        </is>
      </c>
      <c r="J5789" t="inlineStr">
        <is>
          <t>Yuki Sato</t>
        </is>
      </c>
      <c r="K5789" s="70" t="n">
        <v>3660</v>
      </c>
      <c r="L5789" s="71" t="n">
        <v>559.58</v>
      </c>
      <c r="M5789" s="71" t="n">
        <v>2048062.8</v>
      </c>
      <c r="N5789" s="71" t="n">
        <v>716821.98</v>
      </c>
      <c r="O5789" s="71" t="n">
        <v>1331240.82</v>
      </c>
      <c r="P5789" s="71" t="n">
        <v>314899.78</v>
      </c>
      <c r="Q5789" s="71" t="n">
        <v>1016341.04</v>
      </c>
      <c r="R5789" t="inlineStr">
        <is>
          <t>Vaccines</t>
        </is>
      </c>
      <c r="S5789" s="70" t="n">
        <v>2849</v>
      </c>
      <c r="T5789" s="71" t="n">
        <v>268651.62</v>
      </c>
      <c r="U5789" t="inlineStr">
        <is>
          <t>Low</t>
        </is>
      </c>
      <c r="V5789">
        <f>IF(AND(OR(Dashboard!$C$6="All",E5789=Dashboard!$C$6),OR(Dashboard!$F$6="All",G5789=Dashboard!$F$6),OR(Dashboard!$I$6="All",H5789=Dashboard!$I$6)),1,0)</f>
        <v/>
      </c>
    </row>
    <row r="5790">
      <c r="A5790" t="inlineStr">
        <is>
          <t>PF105781</t>
        </is>
      </c>
      <c r="B5790" s="68" t="n">
        <v>46360</v>
      </c>
      <c r="C5790" s="69" t="n">
        <v>2026</v>
      </c>
      <c r="D5790" t="inlineStr">
        <is>
          <t>Dec</t>
        </is>
      </c>
      <c r="E5790" t="inlineStr">
        <is>
          <t>Emerging markets</t>
        </is>
      </c>
      <c r="F5790" t="inlineStr">
        <is>
          <t>Brazil</t>
        </is>
      </c>
      <c r="G5790" t="inlineStr">
        <is>
          <t>Eliquis</t>
        </is>
      </c>
      <c r="H5790" t="inlineStr">
        <is>
          <t>Retail pharmacy</t>
        </is>
      </c>
      <c r="I5790" t="inlineStr">
        <is>
          <t>Private insurer</t>
        </is>
      </c>
      <c r="J5790" t="inlineStr">
        <is>
          <t>Mei Lin</t>
        </is>
      </c>
      <c r="K5790" s="70" t="n">
        <v>728</v>
      </c>
      <c r="L5790" s="71" t="n">
        <v>424.38</v>
      </c>
      <c r="M5790" s="71" t="n">
        <v>308948.64</v>
      </c>
      <c r="N5790" s="71" t="n">
        <v>61789.73</v>
      </c>
      <c r="O5790" s="71" t="n">
        <v>247158.91</v>
      </c>
      <c r="P5790" s="71" t="n">
        <v>54176.33</v>
      </c>
      <c r="Q5790" s="71" t="n">
        <v>192982.58</v>
      </c>
      <c r="R5790" t="inlineStr">
        <is>
          <t>Cardiology</t>
        </is>
      </c>
      <c r="S5790" s="70" t="n">
        <v>462</v>
      </c>
      <c r="T5790" s="71" t="n">
        <v>60859.54</v>
      </c>
      <c r="U5790" t="inlineStr">
        <is>
          <t>High</t>
        </is>
      </c>
      <c r="V5790">
        <f>IF(AND(OR(Dashboard!$C$6="All",E5790=Dashboard!$C$6),OR(Dashboard!$F$6="All",G5790=Dashboard!$F$6),OR(Dashboard!$I$6="All",H5790=Dashboard!$I$6)),1,0)</f>
        <v/>
      </c>
    </row>
    <row r="5791">
      <c r="A5791" t="inlineStr">
        <is>
          <t>PF105782</t>
        </is>
      </c>
      <c r="B5791" s="68" t="n">
        <v>46360</v>
      </c>
      <c r="C5791" s="69" t="n">
        <v>2026</v>
      </c>
      <c r="D5791" t="inlineStr">
        <is>
          <t>Dec</t>
        </is>
      </c>
      <c r="E5791" t="inlineStr">
        <is>
          <t>United States</t>
        </is>
      </c>
      <c r="F5791" t="inlineStr">
        <is>
          <t>USA</t>
        </is>
      </c>
      <c r="G5791" t="inlineStr">
        <is>
          <t>Eliquis</t>
        </is>
      </c>
      <c r="H5791" t="inlineStr">
        <is>
          <t>Retail pharmacy</t>
        </is>
      </c>
      <c r="I5791" t="inlineStr">
        <is>
          <t>Public payer</t>
        </is>
      </c>
      <c r="J5791" t="inlineStr">
        <is>
          <t>Shraddha Kulkarni</t>
        </is>
      </c>
      <c r="K5791" s="70" t="n">
        <v>644</v>
      </c>
      <c r="L5791" s="71" t="n">
        <v>712.1</v>
      </c>
      <c r="M5791" s="71" t="n">
        <v>458592.4</v>
      </c>
      <c r="N5791" s="71" t="n">
        <v>91718.48</v>
      </c>
      <c r="O5791" s="71" t="n">
        <v>366873.92</v>
      </c>
      <c r="P5791" s="71" t="n">
        <v>47216.92</v>
      </c>
      <c r="Q5791" s="71" t="n">
        <v>319657</v>
      </c>
      <c r="R5791" t="inlineStr">
        <is>
          <t>Cardiology</t>
        </is>
      </c>
      <c r="S5791" s="70" t="n">
        <v>437</v>
      </c>
      <c r="T5791" s="71" t="n">
        <v>77080.24000000001</v>
      </c>
      <c r="U5791" t="inlineStr">
        <is>
          <t>High</t>
        </is>
      </c>
      <c r="V5791">
        <f>IF(AND(OR(Dashboard!$C$6="All",E5791=Dashboard!$C$6),OR(Dashboard!$F$6="All",G5791=Dashboard!$F$6),OR(Dashboard!$I$6="All",H5791=Dashboard!$I$6)),1,0)</f>
        <v/>
      </c>
    </row>
    <row r="5792">
      <c r="A5792" t="inlineStr">
        <is>
          <t>PF105783</t>
        </is>
      </c>
      <c r="B5792" s="68" t="n">
        <v>46360</v>
      </c>
      <c r="C5792" s="69" t="n">
        <v>2026</v>
      </c>
      <c r="D5792" t="inlineStr">
        <is>
          <t>Dec</t>
        </is>
      </c>
      <c r="E5792" t="inlineStr">
        <is>
          <t>Emerging markets</t>
        </is>
      </c>
      <c r="F5792" t="inlineStr">
        <is>
          <t>India</t>
        </is>
      </c>
      <c r="G5792" t="inlineStr">
        <is>
          <t>Ibrance</t>
        </is>
      </c>
      <c r="H5792" t="inlineStr">
        <is>
          <t>Government / tender</t>
        </is>
      </c>
      <c r="I5792" t="inlineStr">
        <is>
          <t>Public payer</t>
        </is>
      </c>
      <c r="J5792" t="inlineStr">
        <is>
          <t>Fatima Al-Saud</t>
        </is>
      </c>
      <c r="K5792" s="70" t="n">
        <v>1752</v>
      </c>
      <c r="L5792" s="71" t="n">
        <v>3015.44</v>
      </c>
      <c r="M5792" s="71" t="n">
        <v>5283050.88</v>
      </c>
      <c r="N5792" s="71" t="n">
        <v>1056610.18</v>
      </c>
      <c r="O5792" s="71" t="n">
        <v>4226440.7</v>
      </c>
      <c r="P5792" s="71" t="n">
        <v>768560.9399999999</v>
      </c>
      <c r="Q5792" s="71" t="n">
        <v>3457879.76</v>
      </c>
      <c r="R5792" t="inlineStr">
        <is>
          <t>Oncology</t>
        </is>
      </c>
      <c r="S5792" s="70" t="n">
        <v>1188</v>
      </c>
      <c r="T5792" s="71" t="n">
        <v>1070500.18</v>
      </c>
      <c r="U5792" t="inlineStr">
        <is>
          <t>High</t>
        </is>
      </c>
      <c r="V5792">
        <f>IF(AND(OR(Dashboard!$C$6="All",E5792=Dashboard!$C$6),OR(Dashboard!$F$6="All",G5792=Dashboard!$F$6),OR(Dashboard!$I$6="All",H5792=Dashboard!$I$6)),1,0)</f>
        <v/>
      </c>
    </row>
    <row r="5793">
      <c r="A5793" t="inlineStr">
        <is>
          <t>PF105784</t>
        </is>
      </c>
      <c r="B5793" s="68" t="n">
        <v>46360</v>
      </c>
      <c r="C5793" s="69" t="n">
        <v>2026</v>
      </c>
      <c r="D5793" t="inlineStr">
        <is>
          <t>Dec</t>
        </is>
      </c>
      <c r="E5793" t="inlineStr">
        <is>
          <t>Emerging markets</t>
        </is>
      </c>
      <c r="F5793" t="inlineStr">
        <is>
          <t>India</t>
        </is>
      </c>
      <c r="G5793" t="inlineStr">
        <is>
          <t>Ibrance</t>
        </is>
      </c>
      <c r="H5793" t="inlineStr">
        <is>
          <t>Hospital</t>
        </is>
      </c>
      <c r="I5793" t="inlineStr">
        <is>
          <t>Self-pay</t>
        </is>
      </c>
      <c r="J5793" t="inlineStr">
        <is>
          <t>Sophie Müller</t>
        </is>
      </c>
      <c r="K5793" s="70" t="n">
        <v>1298</v>
      </c>
      <c r="L5793" s="71" t="n">
        <v>2938.46</v>
      </c>
      <c r="M5793" s="71" t="n">
        <v>3814121.08</v>
      </c>
      <c r="N5793" s="71" t="n">
        <v>381412.11</v>
      </c>
      <c r="O5793" s="71" t="n">
        <v>3432708.97</v>
      </c>
      <c r="P5793" s="71" t="n">
        <v>567773.4399999999</v>
      </c>
      <c r="Q5793" s="71" t="n">
        <v>2864935.53</v>
      </c>
      <c r="R5793" t="inlineStr">
        <is>
          <t>Oncology</t>
        </is>
      </c>
      <c r="S5793" s="70" t="n">
        <v>840</v>
      </c>
      <c r="T5793" s="71" t="n">
        <v>606422</v>
      </c>
      <c r="U5793" t="inlineStr">
        <is>
          <t>High</t>
        </is>
      </c>
      <c r="V5793">
        <f>IF(AND(OR(Dashboard!$C$6="All",E5793=Dashboard!$C$6),OR(Dashboard!$F$6="All",G5793=Dashboard!$F$6),OR(Dashboard!$I$6="All",H5793=Dashboard!$I$6)),1,0)</f>
        <v/>
      </c>
    </row>
    <row r="5794">
      <c r="A5794" t="inlineStr">
        <is>
          <t>PF105785</t>
        </is>
      </c>
      <c r="B5794" s="68" t="n">
        <v>46360</v>
      </c>
      <c r="C5794" s="69" t="n">
        <v>2026</v>
      </c>
      <c r="D5794" t="inlineStr">
        <is>
          <t>Dec</t>
        </is>
      </c>
      <c r="E5794" t="inlineStr">
        <is>
          <t>International developed</t>
        </is>
      </c>
      <c r="F5794" t="inlineStr">
        <is>
          <t>Japan</t>
        </is>
      </c>
      <c r="G5794" t="inlineStr">
        <is>
          <t>Comirnaty</t>
        </is>
      </c>
      <c r="H5794" t="inlineStr">
        <is>
          <t>Hospital</t>
        </is>
      </c>
      <c r="I5794" t="inlineStr">
        <is>
          <t>Private insurer</t>
        </is>
      </c>
      <c r="J5794" t="inlineStr">
        <is>
          <t>Noah Smith</t>
        </is>
      </c>
      <c r="K5794" s="70" t="n">
        <v>866</v>
      </c>
      <c r="L5794" s="71" t="n">
        <v>81.16</v>
      </c>
      <c r="M5794" s="71" t="n">
        <v>70284.56</v>
      </c>
      <c r="N5794" s="71" t="n">
        <v>14056.91</v>
      </c>
      <c r="O5794" s="71" t="n">
        <v>56227.65</v>
      </c>
      <c r="P5794" s="71" t="n">
        <v>32066.54</v>
      </c>
      <c r="Q5794" s="71" t="n">
        <v>24161.11</v>
      </c>
      <c r="R5794" t="inlineStr">
        <is>
          <t>Vaccines</t>
        </is>
      </c>
      <c r="S5794" s="70" t="n">
        <v>679</v>
      </c>
      <c r="T5794" s="71" t="n">
        <v>12318.91</v>
      </c>
      <c r="U5794" t="inlineStr">
        <is>
          <t>Low</t>
        </is>
      </c>
      <c r="V5794">
        <f>IF(AND(OR(Dashboard!$C$6="All",E5794=Dashboard!$C$6),OR(Dashboard!$F$6="All",G5794=Dashboard!$F$6),OR(Dashboard!$I$6="All",H5794=Dashboard!$I$6)),1,0)</f>
        <v/>
      </c>
    </row>
    <row r="5795">
      <c r="A5795" t="inlineStr">
        <is>
          <t>PF105786</t>
        </is>
      </c>
      <c r="B5795" s="68" t="n">
        <v>46360</v>
      </c>
      <c r="C5795" s="69" t="n">
        <v>2026</v>
      </c>
      <c r="D5795" t="inlineStr">
        <is>
          <t>Dec</t>
        </is>
      </c>
      <c r="E5795" t="inlineStr">
        <is>
          <t>Emerging markets</t>
        </is>
      </c>
      <c r="F5795" t="inlineStr">
        <is>
          <t>China</t>
        </is>
      </c>
      <c r="G5795" t="inlineStr">
        <is>
          <t>Abrysvo</t>
        </is>
      </c>
      <c r="H5795" t="inlineStr">
        <is>
          <t>Hospital</t>
        </is>
      </c>
      <c r="I5795" t="inlineStr">
        <is>
          <t>Public payer</t>
        </is>
      </c>
      <c r="J5795" t="inlineStr">
        <is>
          <t>Ana Costa</t>
        </is>
      </c>
      <c r="K5795" s="70" t="n">
        <v>2422</v>
      </c>
      <c r="L5795" s="71" t="n">
        <v>329.77</v>
      </c>
      <c r="M5795" s="71" t="n">
        <v>798702.9399999999</v>
      </c>
      <c r="N5795" s="71" t="n">
        <v>79870.28999999999</v>
      </c>
      <c r="O5795" s="71" t="n">
        <v>718832.65</v>
      </c>
      <c r="P5795" s="71" t="n">
        <v>198610.66</v>
      </c>
      <c r="Q5795" s="71" t="n">
        <v>520221.99</v>
      </c>
      <c r="R5795" t="inlineStr">
        <is>
          <t>Vaccines</t>
        </is>
      </c>
      <c r="S5795" s="70" t="n">
        <v>1558</v>
      </c>
      <c r="T5795" s="71" t="n">
        <v>136380.44</v>
      </c>
      <c r="U5795" t="inlineStr">
        <is>
          <t>Low</t>
        </is>
      </c>
      <c r="V5795">
        <f>IF(AND(OR(Dashboard!$C$6="All",E5795=Dashboard!$C$6),OR(Dashboard!$F$6="All",G5795=Dashboard!$F$6),OR(Dashboard!$I$6="All",H5795=Dashboard!$I$6)),1,0)</f>
        <v/>
      </c>
    </row>
    <row r="5796">
      <c r="A5796" t="inlineStr">
        <is>
          <t>PF105787</t>
        </is>
      </c>
      <c r="B5796" s="68" t="n">
        <v>46360</v>
      </c>
      <c r="C5796" s="69" t="n">
        <v>2026</v>
      </c>
      <c r="D5796" t="inlineStr">
        <is>
          <t>Dec</t>
        </is>
      </c>
      <c r="E5796" t="inlineStr">
        <is>
          <t>United States</t>
        </is>
      </c>
      <c r="F5796" t="inlineStr">
        <is>
          <t>USA</t>
        </is>
      </c>
      <c r="G5796" t="inlineStr">
        <is>
          <t>Paxlovid</t>
        </is>
      </c>
      <c r="H5796" t="inlineStr">
        <is>
          <t>Hospital</t>
        </is>
      </c>
      <c r="I5796" t="inlineStr">
        <is>
          <t>Self-pay</t>
        </is>
      </c>
      <c r="J5796" t="inlineStr">
        <is>
          <t>Sophie Müller</t>
        </is>
      </c>
      <c r="K5796" s="70" t="n">
        <v>1425</v>
      </c>
      <c r="L5796" s="71" t="n">
        <v>1328</v>
      </c>
      <c r="M5796" s="71" t="n">
        <v>1892400</v>
      </c>
      <c r="N5796" s="71" t="n">
        <v>378480</v>
      </c>
      <c r="O5796" s="71" t="n">
        <v>1513920</v>
      </c>
      <c r="P5796" s="71" t="n">
        <v>387459.28</v>
      </c>
      <c r="Q5796" s="71" t="n">
        <v>1126460.72</v>
      </c>
      <c r="R5796" t="inlineStr">
        <is>
          <t>Antiviral</t>
        </is>
      </c>
      <c r="S5796" s="70" t="n">
        <v>906</v>
      </c>
      <c r="T5796" s="71" t="n">
        <v>468104.56</v>
      </c>
      <c r="U5796" t="inlineStr">
        <is>
          <t>Low</t>
        </is>
      </c>
      <c r="V5796">
        <f>IF(AND(OR(Dashboard!$C$6="All",E5796=Dashboard!$C$6),OR(Dashboard!$F$6="All",G5796=Dashboard!$F$6),OR(Dashboard!$I$6="All",H5796=Dashboard!$I$6)),1,0)</f>
        <v/>
      </c>
    </row>
    <row r="5797">
      <c r="A5797" t="inlineStr">
        <is>
          <t>PF105788</t>
        </is>
      </c>
      <c r="B5797" s="68" t="n">
        <v>46361</v>
      </c>
      <c r="C5797" s="69" t="n">
        <v>2026</v>
      </c>
      <c r="D5797" t="inlineStr">
        <is>
          <t>Dec</t>
        </is>
      </c>
      <c r="E5797" t="inlineStr">
        <is>
          <t>United States</t>
        </is>
      </c>
      <c r="F5797" t="inlineStr">
        <is>
          <t>USA</t>
        </is>
      </c>
      <c r="G5797" t="inlineStr">
        <is>
          <t>Eliquis</t>
        </is>
      </c>
      <c r="H5797" t="inlineStr">
        <is>
          <t>Retail pharmacy</t>
        </is>
      </c>
      <c r="I5797" t="inlineStr">
        <is>
          <t>Private insurer</t>
        </is>
      </c>
      <c r="J5797" t="inlineStr">
        <is>
          <t>Amir Khan</t>
        </is>
      </c>
      <c r="K5797" s="70" t="n">
        <v>2292</v>
      </c>
      <c r="L5797" s="71" t="n">
        <v>635.34</v>
      </c>
      <c r="M5797" s="71" t="n">
        <v>1456199.28</v>
      </c>
      <c r="N5797" s="71" t="n">
        <v>436859.78</v>
      </c>
      <c r="O5797" s="71" t="n">
        <v>1019339.5</v>
      </c>
      <c r="P5797" s="71" t="n">
        <v>177289.97</v>
      </c>
      <c r="Q5797" s="71" t="n">
        <v>842049.53</v>
      </c>
      <c r="R5797" t="inlineStr">
        <is>
          <t>Cardiology</t>
        </is>
      </c>
      <c r="S5797" s="70" t="n">
        <v>1535</v>
      </c>
      <c r="T5797" s="71" t="n">
        <v>174155.66</v>
      </c>
      <c r="U5797" t="inlineStr">
        <is>
          <t>High</t>
        </is>
      </c>
      <c r="V5797">
        <f>IF(AND(OR(Dashboard!$C$6="All",E5797=Dashboard!$C$6),OR(Dashboard!$F$6="All",G5797=Dashboard!$F$6),OR(Dashboard!$I$6="All",H5797=Dashboard!$I$6)),1,0)</f>
        <v/>
      </c>
    </row>
    <row r="5798">
      <c r="A5798" t="inlineStr">
        <is>
          <t>PF105789</t>
        </is>
      </c>
      <c r="B5798" s="68" t="n">
        <v>46361</v>
      </c>
      <c r="C5798" s="69" t="n">
        <v>2026</v>
      </c>
      <c r="D5798" t="inlineStr">
        <is>
          <t>Dec</t>
        </is>
      </c>
      <c r="E5798" t="inlineStr">
        <is>
          <t>Europe</t>
        </is>
      </c>
      <c r="F5798" t="inlineStr">
        <is>
          <t>Spain</t>
        </is>
      </c>
      <c r="G5798" t="inlineStr">
        <is>
          <t>Ibrance</t>
        </is>
      </c>
      <c r="H5798" t="inlineStr">
        <is>
          <t>Hospital</t>
        </is>
      </c>
      <c r="I5798" t="inlineStr">
        <is>
          <t>Private insurer</t>
        </is>
      </c>
      <c r="J5798" t="inlineStr">
        <is>
          <t>Emma Clarke</t>
        </is>
      </c>
      <c r="K5798" s="70" t="n">
        <v>1106</v>
      </c>
      <c r="L5798" s="71" t="n">
        <v>3033.78</v>
      </c>
      <c r="M5798" s="71" t="n">
        <v>3355360.68</v>
      </c>
      <c r="N5798" s="71" t="n">
        <v>838840.17</v>
      </c>
      <c r="O5798" s="71" t="n">
        <v>2516520.51</v>
      </c>
      <c r="P5798" s="71" t="n">
        <v>478918.51</v>
      </c>
      <c r="Q5798" s="71" t="n">
        <v>2037602</v>
      </c>
      <c r="R5798" t="inlineStr">
        <is>
          <t>Oncology</t>
        </is>
      </c>
      <c r="S5798" s="70" t="n">
        <v>755</v>
      </c>
      <c r="T5798" s="71" t="n">
        <v>443889.03</v>
      </c>
      <c r="U5798" t="inlineStr">
        <is>
          <t>High</t>
        </is>
      </c>
      <c r="V5798">
        <f>IF(AND(OR(Dashboard!$C$6="All",E5798=Dashboard!$C$6),OR(Dashboard!$F$6="All",G5798=Dashboard!$F$6),OR(Dashboard!$I$6="All",H5798=Dashboard!$I$6)),1,0)</f>
        <v/>
      </c>
    </row>
    <row r="5799">
      <c r="A5799" t="inlineStr">
        <is>
          <t>PF105790</t>
        </is>
      </c>
      <c r="B5799" s="68" t="n">
        <v>46361</v>
      </c>
      <c r="C5799" s="69" t="n">
        <v>2026</v>
      </c>
      <c r="D5799" t="inlineStr">
        <is>
          <t>Dec</t>
        </is>
      </c>
      <c r="E5799" t="inlineStr">
        <is>
          <t>International developed</t>
        </is>
      </c>
      <c r="F5799" t="inlineStr">
        <is>
          <t>Canada</t>
        </is>
      </c>
      <c r="G5799" t="inlineStr">
        <is>
          <t>Eliquis</t>
        </is>
      </c>
      <c r="H5799" t="inlineStr">
        <is>
          <t>Retail pharmacy</t>
        </is>
      </c>
      <c r="I5799" t="inlineStr">
        <is>
          <t>Private insurer</t>
        </is>
      </c>
      <c r="J5799" t="inlineStr">
        <is>
          <t>Fatima Al-Saud</t>
        </is>
      </c>
      <c r="K5799" s="70" t="n">
        <v>502</v>
      </c>
      <c r="L5799" s="71" t="n">
        <v>389.22</v>
      </c>
      <c r="M5799" s="71" t="n">
        <v>195388.44</v>
      </c>
      <c r="N5799" s="71" t="n">
        <v>48847.11</v>
      </c>
      <c r="O5799" s="71" t="n">
        <v>146541.33</v>
      </c>
      <c r="P5799" s="71" t="n">
        <v>38695.48</v>
      </c>
      <c r="Q5799" s="71" t="n">
        <v>107845.85</v>
      </c>
      <c r="R5799" t="inlineStr">
        <is>
          <t>Cardiology</t>
        </is>
      </c>
      <c r="S5799" s="70" t="n">
        <v>357</v>
      </c>
      <c r="T5799" s="71" t="n">
        <v>26217.47</v>
      </c>
      <c r="U5799" t="inlineStr">
        <is>
          <t>High</t>
        </is>
      </c>
      <c r="V5799">
        <f>IF(AND(OR(Dashboard!$C$6="All",E5799=Dashboard!$C$6),OR(Dashboard!$F$6="All",G5799=Dashboard!$F$6),OR(Dashboard!$I$6="All",H5799=Dashboard!$I$6)),1,0)</f>
        <v/>
      </c>
    </row>
    <row r="5800">
      <c r="A5800" t="inlineStr">
        <is>
          <t>PF105791</t>
        </is>
      </c>
      <c r="B5800" s="68" t="n">
        <v>46361</v>
      </c>
      <c r="C5800" s="69" t="n">
        <v>2026</v>
      </c>
      <c r="D5800" t="inlineStr">
        <is>
          <t>Dec</t>
        </is>
      </c>
      <c r="E5800" t="inlineStr">
        <is>
          <t>Europe</t>
        </is>
      </c>
      <c r="F5800" t="inlineStr">
        <is>
          <t>Spain</t>
        </is>
      </c>
      <c r="G5800" t="inlineStr">
        <is>
          <t>Eliquis</t>
        </is>
      </c>
      <c r="H5800" t="inlineStr">
        <is>
          <t>Government / tender</t>
        </is>
      </c>
      <c r="I5800" t="inlineStr">
        <is>
          <t>Private insurer</t>
        </is>
      </c>
      <c r="J5800" t="inlineStr">
        <is>
          <t>Omar Haddad</t>
        </is>
      </c>
      <c r="K5800" s="70" t="n">
        <v>2023</v>
      </c>
      <c r="L5800" s="71" t="n">
        <v>439.06</v>
      </c>
      <c r="M5800" s="71" t="n">
        <v>888218.38</v>
      </c>
      <c r="N5800" s="71" t="n">
        <v>177643.68</v>
      </c>
      <c r="O5800" s="71" t="n">
        <v>710574.7</v>
      </c>
      <c r="P5800" s="71" t="n">
        <v>149306.89</v>
      </c>
      <c r="Q5800" s="71" t="n">
        <v>561267.8100000001</v>
      </c>
      <c r="R5800" t="inlineStr">
        <is>
          <t>Cardiology</t>
        </is>
      </c>
      <c r="S5800" s="70" t="n">
        <v>1899</v>
      </c>
      <c r="T5800" s="71" t="n">
        <v>188595.59</v>
      </c>
      <c r="U5800" t="inlineStr">
        <is>
          <t>High</t>
        </is>
      </c>
      <c r="V5800">
        <f>IF(AND(OR(Dashboard!$C$6="All",E5800=Dashboard!$C$6),OR(Dashboard!$F$6="All",G5800=Dashboard!$F$6),OR(Dashboard!$I$6="All",H5800=Dashboard!$I$6)),1,0)</f>
        <v/>
      </c>
    </row>
    <row r="5801">
      <c r="A5801" t="inlineStr">
        <is>
          <t>PF105792</t>
        </is>
      </c>
      <c r="B5801" s="68" t="n">
        <v>46361</v>
      </c>
      <c r="C5801" s="69" t="n">
        <v>2026</v>
      </c>
      <c r="D5801" t="inlineStr">
        <is>
          <t>Dec</t>
        </is>
      </c>
      <c r="E5801" t="inlineStr">
        <is>
          <t>Emerging markets</t>
        </is>
      </c>
      <c r="F5801" t="inlineStr">
        <is>
          <t>China</t>
        </is>
      </c>
      <c r="G5801" t="inlineStr">
        <is>
          <t>Ibrance</t>
        </is>
      </c>
      <c r="H5801" t="inlineStr">
        <is>
          <t>Retail pharmacy</t>
        </is>
      </c>
      <c r="I5801" t="inlineStr">
        <is>
          <t>Self-pay</t>
        </is>
      </c>
      <c r="J5801" t="inlineStr">
        <is>
          <t>Emma Clarke</t>
        </is>
      </c>
      <c r="K5801" s="70" t="n">
        <v>3184</v>
      </c>
      <c r="L5801" s="71" t="n">
        <v>2779.99</v>
      </c>
      <c r="M5801" s="71" t="n">
        <v>8851488.16</v>
      </c>
      <c r="N5801" s="71" t="n">
        <v>1327723.22</v>
      </c>
      <c r="O5801" s="71" t="n">
        <v>7523764.94</v>
      </c>
      <c r="P5801" s="71" t="n">
        <v>1379456.32</v>
      </c>
      <c r="Q5801" s="71" t="n">
        <v>6144308.62</v>
      </c>
      <c r="R5801" t="inlineStr">
        <is>
          <t>Oncology</t>
        </is>
      </c>
      <c r="S5801" s="70" t="n">
        <v>2689</v>
      </c>
      <c r="T5801" s="71" t="n">
        <v>1753584.74</v>
      </c>
      <c r="U5801" t="inlineStr">
        <is>
          <t>High</t>
        </is>
      </c>
      <c r="V5801">
        <f>IF(AND(OR(Dashboard!$C$6="All",E5801=Dashboard!$C$6),OR(Dashboard!$F$6="All",G5801=Dashboard!$F$6),OR(Dashboard!$I$6="All",H5801=Dashboard!$I$6)),1,0)</f>
        <v/>
      </c>
    </row>
    <row r="5802">
      <c r="A5802" t="inlineStr">
        <is>
          <t>PF105793</t>
        </is>
      </c>
      <c r="B5802" s="68" t="n">
        <v>46361</v>
      </c>
      <c r="C5802" s="69" t="n">
        <v>2026</v>
      </c>
      <c r="D5802" t="inlineStr">
        <is>
          <t>Dec</t>
        </is>
      </c>
      <c r="E5802" t="inlineStr">
        <is>
          <t>Europe</t>
        </is>
      </c>
      <c r="F5802" t="inlineStr">
        <is>
          <t>France</t>
        </is>
      </c>
      <c r="G5802" t="inlineStr">
        <is>
          <t>Eliquis</t>
        </is>
      </c>
      <c r="H5802" t="inlineStr">
        <is>
          <t>Government / tender</t>
        </is>
      </c>
      <c r="I5802" t="inlineStr">
        <is>
          <t>Private insurer</t>
        </is>
      </c>
      <c r="J5802" t="inlineStr">
        <is>
          <t>Liam O'Brien</t>
        </is>
      </c>
      <c r="K5802" s="70" t="n">
        <v>1838</v>
      </c>
      <c r="L5802" s="71" t="n">
        <v>473.97</v>
      </c>
      <c r="M5802" s="71" t="n">
        <v>871156.86</v>
      </c>
      <c r="N5802" s="71" t="n">
        <v>87115.69</v>
      </c>
      <c r="O5802" s="71" t="n">
        <v>784041.17</v>
      </c>
      <c r="P5802" s="71" t="n">
        <v>135464.1</v>
      </c>
      <c r="Q5802" s="71" t="n">
        <v>648577.0699999999</v>
      </c>
      <c r="R5802" t="inlineStr">
        <is>
          <t>Cardiology</t>
        </is>
      </c>
      <c r="S5802" s="70" t="n">
        <v>1614</v>
      </c>
      <c r="T5802" s="71" t="n">
        <v>113054.88</v>
      </c>
      <c r="U5802" t="inlineStr">
        <is>
          <t>High</t>
        </is>
      </c>
      <c r="V5802">
        <f>IF(AND(OR(Dashboard!$C$6="All",E5802=Dashboard!$C$6),OR(Dashboard!$F$6="All",G5802=Dashboard!$F$6),OR(Dashboard!$I$6="All",H5802=Dashboard!$I$6)),1,0)</f>
        <v/>
      </c>
    </row>
    <row r="5803">
      <c r="A5803" t="inlineStr">
        <is>
          <t>PF105794</t>
        </is>
      </c>
      <c r="B5803" s="68" t="n">
        <v>46361</v>
      </c>
      <c r="C5803" s="69" t="n">
        <v>2026</v>
      </c>
      <c r="D5803" t="inlineStr">
        <is>
          <t>Dec</t>
        </is>
      </c>
      <c r="E5803" t="inlineStr">
        <is>
          <t>Emerging markets</t>
        </is>
      </c>
      <c r="F5803" t="inlineStr">
        <is>
          <t>Brazil</t>
        </is>
      </c>
      <c r="G5803" t="inlineStr">
        <is>
          <t>Abrysvo</t>
        </is>
      </c>
      <c r="H5803" t="inlineStr">
        <is>
          <t>Government / tender</t>
        </is>
      </c>
      <c r="I5803" t="inlineStr">
        <is>
          <t>Public payer</t>
        </is>
      </c>
      <c r="J5803" t="inlineStr">
        <is>
          <t>Mei Lin</t>
        </is>
      </c>
      <c r="K5803" s="70" t="n">
        <v>3884</v>
      </c>
      <c r="L5803" s="71" t="n">
        <v>310.01</v>
      </c>
      <c r="M5803" s="71" t="n">
        <v>1204078.84</v>
      </c>
      <c r="N5803" s="71" t="n">
        <v>120407.88</v>
      </c>
      <c r="O5803" s="71" t="n">
        <v>1083670.96</v>
      </c>
      <c r="P5803" s="71" t="n">
        <v>338058.44</v>
      </c>
      <c r="Q5803" s="71" t="n">
        <v>745612.52</v>
      </c>
      <c r="R5803" t="inlineStr">
        <is>
          <t>Vaccines</t>
        </is>
      </c>
      <c r="S5803" s="70" t="n">
        <v>2497</v>
      </c>
      <c r="T5803" s="71" t="n">
        <v>134360.07</v>
      </c>
      <c r="U5803" t="inlineStr">
        <is>
          <t>Low</t>
        </is>
      </c>
      <c r="V5803">
        <f>IF(AND(OR(Dashboard!$C$6="All",E5803=Dashboard!$C$6),OR(Dashboard!$F$6="All",G5803=Dashboard!$F$6),OR(Dashboard!$I$6="All",H5803=Dashboard!$I$6)),1,0)</f>
        <v/>
      </c>
    </row>
    <row r="5804">
      <c r="A5804" t="inlineStr">
        <is>
          <t>PF105795</t>
        </is>
      </c>
      <c r="B5804" s="68" t="n">
        <v>46361</v>
      </c>
      <c r="C5804" s="69" t="n">
        <v>2026</v>
      </c>
      <c r="D5804" t="inlineStr">
        <is>
          <t>Dec</t>
        </is>
      </c>
      <c r="E5804" t="inlineStr">
        <is>
          <t>United States</t>
        </is>
      </c>
      <c r="F5804" t="inlineStr">
        <is>
          <t>USA</t>
        </is>
      </c>
      <c r="G5804" t="inlineStr">
        <is>
          <t>Comirnaty</t>
        </is>
      </c>
      <c r="H5804" t="inlineStr">
        <is>
          <t>Hospital</t>
        </is>
      </c>
      <c r="I5804" t="inlineStr">
        <is>
          <t>Public payer</t>
        </is>
      </c>
      <c r="J5804" t="inlineStr">
        <is>
          <t>Shraddha Kulkarni</t>
        </is>
      </c>
      <c r="K5804" s="70" t="n">
        <v>1844</v>
      </c>
      <c r="L5804" s="71" t="n">
        <v>132.05</v>
      </c>
      <c r="M5804" s="71" t="n">
        <v>243500.2</v>
      </c>
      <c r="N5804" s="71" t="n">
        <v>48700.04</v>
      </c>
      <c r="O5804" s="71" t="n">
        <v>194800.16</v>
      </c>
      <c r="P5804" s="71" t="n">
        <v>71750.07000000001</v>
      </c>
      <c r="Q5804" s="71" t="n">
        <v>123050.09</v>
      </c>
      <c r="R5804" t="inlineStr">
        <is>
          <t>Vaccines</t>
        </is>
      </c>
      <c r="S5804" s="70" t="n">
        <v>1329</v>
      </c>
      <c r="T5804" s="71" t="n">
        <v>51764.1</v>
      </c>
      <c r="U5804" t="inlineStr">
        <is>
          <t>Low</t>
        </is>
      </c>
      <c r="V5804">
        <f>IF(AND(OR(Dashboard!$C$6="All",E5804=Dashboard!$C$6),OR(Dashboard!$F$6="All",G5804=Dashboard!$F$6),OR(Dashboard!$I$6="All",H5804=Dashboard!$I$6)),1,0)</f>
        <v/>
      </c>
    </row>
    <row r="5805">
      <c r="A5805" t="inlineStr">
        <is>
          <t>PF105796</t>
        </is>
      </c>
      <c r="B5805" s="68" t="n">
        <v>46361</v>
      </c>
      <c r="C5805" s="69" t="n">
        <v>2026</v>
      </c>
      <c r="D5805" t="inlineStr">
        <is>
          <t>Dec</t>
        </is>
      </c>
      <c r="E5805" t="inlineStr">
        <is>
          <t>United States</t>
        </is>
      </c>
      <c r="F5805" t="inlineStr">
        <is>
          <t>USA</t>
        </is>
      </c>
      <c r="G5805" t="inlineStr">
        <is>
          <t>Eliquis</t>
        </is>
      </c>
      <c r="H5805" t="inlineStr">
        <is>
          <t>Retail pharmacy</t>
        </is>
      </c>
      <c r="I5805" t="inlineStr">
        <is>
          <t>Self-pay</t>
        </is>
      </c>
      <c r="J5805" t="inlineStr">
        <is>
          <t>Zoya Ahmed</t>
        </is>
      </c>
      <c r="K5805" s="70" t="n">
        <v>1927</v>
      </c>
      <c r="L5805" s="71" t="n">
        <v>649.55</v>
      </c>
      <c r="M5805" s="71" t="n">
        <v>1251682.85</v>
      </c>
      <c r="N5805" s="71" t="n">
        <v>312920.71</v>
      </c>
      <c r="O5805" s="71" t="n">
        <v>938762.14</v>
      </c>
      <c r="P5805" s="71" t="n">
        <v>142914.47</v>
      </c>
      <c r="Q5805" s="71" t="n">
        <v>795847.67</v>
      </c>
      <c r="R5805" t="inlineStr">
        <is>
          <t>Cardiology</t>
        </is>
      </c>
      <c r="S5805" s="70" t="n">
        <v>1432</v>
      </c>
      <c r="T5805" s="71" t="n">
        <v>213371.24</v>
      </c>
      <c r="U5805" t="inlineStr">
        <is>
          <t>High</t>
        </is>
      </c>
      <c r="V5805">
        <f>IF(AND(OR(Dashboard!$C$6="All",E5805=Dashboard!$C$6),OR(Dashboard!$F$6="All",G5805=Dashboard!$F$6),OR(Dashboard!$I$6="All",H5805=Dashboard!$I$6)),1,0)</f>
        <v/>
      </c>
    </row>
    <row r="5806">
      <c r="A5806" t="inlineStr">
        <is>
          <t>PF105797</t>
        </is>
      </c>
      <c r="B5806" s="68" t="n">
        <v>46362</v>
      </c>
      <c r="C5806" s="69" t="n">
        <v>2026</v>
      </c>
      <c r="D5806" t="inlineStr">
        <is>
          <t>Dec</t>
        </is>
      </c>
      <c r="E5806" t="inlineStr">
        <is>
          <t>Emerging markets</t>
        </is>
      </c>
      <c r="F5806" t="inlineStr">
        <is>
          <t>China</t>
        </is>
      </c>
      <c r="G5806" t="inlineStr">
        <is>
          <t>Vyndaqel</t>
        </is>
      </c>
      <c r="H5806" t="inlineStr">
        <is>
          <t>Government / tender</t>
        </is>
      </c>
      <c r="I5806" t="inlineStr">
        <is>
          <t>Private insurer</t>
        </is>
      </c>
      <c r="J5806" t="inlineStr">
        <is>
          <t>Amir Khan</t>
        </is>
      </c>
      <c r="K5806" s="70" t="n">
        <v>881</v>
      </c>
      <c r="L5806" s="71" t="n">
        <v>5674.19</v>
      </c>
      <c r="M5806" s="71" t="n">
        <v>4998961.39</v>
      </c>
      <c r="N5806" s="71" t="n">
        <v>249948.07</v>
      </c>
      <c r="O5806" s="71" t="n">
        <v>4749013.32</v>
      </c>
      <c r="P5806" s="71" t="n">
        <v>567919.3100000001</v>
      </c>
      <c r="Q5806" s="71" t="n">
        <v>4181094.01</v>
      </c>
      <c r="R5806" t="inlineStr">
        <is>
          <t>Rare disease</t>
        </is>
      </c>
      <c r="S5806" s="70" t="n">
        <v>575</v>
      </c>
      <c r="T5806" s="71" t="n">
        <v>970071.8</v>
      </c>
      <c r="U5806" t="inlineStr">
        <is>
          <t>Medium</t>
        </is>
      </c>
      <c r="V5806">
        <f>IF(AND(OR(Dashboard!$C$6="All",E5806=Dashboard!$C$6),OR(Dashboard!$F$6="All",G5806=Dashboard!$F$6),OR(Dashboard!$I$6="All",H5806=Dashboard!$I$6)),1,0)</f>
        <v/>
      </c>
    </row>
    <row r="5807">
      <c r="A5807" t="inlineStr">
        <is>
          <t>PF105798</t>
        </is>
      </c>
      <c r="B5807" s="68" t="n">
        <v>46362</v>
      </c>
      <c r="C5807" s="69" t="n">
        <v>2026</v>
      </c>
      <c r="D5807" t="inlineStr">
        <is>
          <t>Dec</t>
        </is>
      </c>
      <c r="E5807" t="inlineStr">
        <is>
          <t>United States</t>
        </is>
      </c>
      <c r="F5807" t="inlineStr">
        <is>
          <t>USA</t>
        </is>
      </c>
      <c r="G5807" t="inlineStr">
        <is>
          <t>Comirnaty</t>
        </is>
      </c>
      <c r="H5807" t="inlineStr">
        <is>
          <t>Retail pharmacy</t>
        </is>
      </c>
      <c r="I5807" t="inlineStr">
        <is>
          <t>Private insurer</t>
        </is>
      </c>
      <c r="J5807" t="inlineStr">
        <is>
          <t>Noah Smith</t>
        </is>
      </c>
      <c r="K5807" s="70" t="n">
        <v>662</v>
      </c>
      <c r="L5807" s="71" t="n">
        <v>136.97</v>
      </c>
      <c r="M5807" s="71" t="n">
        <v>90674.14</v>
      </c>
      <c r="N5807" s="71" t="n">
        <v>18134.83</v>
      </c>
      <c r="O5807" s="71" t="n">
        <v>72539.31</v>
      </c>
      <c r="P5807" s="71" t="n">
        <v>26091.64</v>
      </c>
      <c r="Q5807" s="71" t="n">
        <v>46447.67</v>
      </c>
      <c r="R5807" t="inlineStr">
        <is>
          <t>Vaccines</t>
        </is>
      </c>
      <c r="S5807" s="70" t="n">
        <v>555</v>
      </c>
      <c r="T5807" s="71" t="n">
        <v>15329.7</v>
      </c>
      <c r="U5807" t="inlineStr">
        <is>
          <t>Low</t>
        </is>
      </c>
      <c r="V5807">
        <f>IF(AND(OR(Dashboard!$C$6="All",E5807=Dashboard!$C$6),OR(Dashboard!$F$6="All",G5807=Dashboard!$F$6),OR(Dashboard!$I$6="All",H5807=Dashboard!$I$6)),1,0)</f>
        <v/>
      </c>
    </row>
    <row r="5808">
      <c r="A5808" t="inlineStr">
        <is>
          <t>PF105799</t>
        </is>
      </c>
      <c r="B5808" s="68" t="n">
        <v>46362</v>
      </c>
      <c r="C5808" s="69" t="n">
        <v>2026</v>
      </c>
      <c r="D5808" t="inlineStr">
        <is>
          <t>Dec</t>
        </is>
      </c>
      <c r="E5808" t="inlineStr">
        <is>
          <t>United States</t>
        </is>
      </c>
      <c r="F5808" t="inlineStr">
        <is>
          <t>USA</t>
        </is>
      </c>
      <c r="G5808" t="inlineStr">
        <is>
          <t>Comirnaty</t>
        </is>
      </c>
      <c r="H5808" t="inlineStr">
        <is>
          <t>Government / tender</t>
        </is>
      </c>
      <c r="I5808" t="inlineStr">
        <is>
          <t>Public payer</t>
        </is>
      </c>
      <c r="J5808" t="inlineStr">
        <is>
          <t>Hiroshi Tanaka</t>
        </is>
      </c>
      <c r="K5808" s="70" t="n">
        <v>1523</v>
      </c>
      <c r="L5808" s="71" t="n">
        <v>136.62</v>
      </c>
      <c r="M5808" s="71" t="n">
        <v>208072.26</v>
      </c>
      <c r="N5808" s="71" t="n">
        <v>31210.84</v>
      </c>
      <c r="O5808" s="71" t="n">
        <v>176861.42</v>
      </c>
      <c r="P5808" s="71" t="n">
        <v>57745.92</v>
      </c>
      <c r="Q5808" s="71" t="n">
        <v>119115.5</v>
      </c>
      <c r="R5808" t="inlineStr">
        <is>
          <t>Vaccines</t>
        </is>
      </c>
      <c r="S5808" s="70" t="n">
        <v>1408</v>
      </c>
      <c r="T5808" s="71" t="n">
        <v>35550.39</v>
      </c>
      <c r="U5808" t="inlineStr">
        <is>
          <t>Low</t>
        </is>
      </c>
      <c r="V5808">
        <f>IF(AND(OR(Dashboard!$C$6="All",E5808=Dashboard!$C$6),OR(Dashboard!$F$6="All",G5808=Dashboard!$F$6),OR(Dashboard!$I$6="All",H5808=Dashboard!$I$6)),1,0)</f>
        <v/>
      </c>
    </row>
    <row r="5809">
      <c r="A5809" t="inlineStr">
        <is>
          <t>PF105800</t>
        </is>
      </c>
      <c r="B5809" s="68" t="n">
        <v>46362</v>
      </c>
      <c r="C5809" s="69" t="n">
        <v>2026</v>
      </c>
      <c r="D5809" t="inlineStr">
        <is>
          <t>Dec</t>
        </is>
      </c>
      <c r="E5809" t="inlineStr">
        <is>
          <t>United States</t>
        </is>
      </c>
      <c r="F5809" t="inlineStr">
        <is>
          <t>USA</t>
        </is>
      </c>
      <c r="G5809" t="inlineStr">
        <is>
          <t>Eliquis</t>
        </is>
      </c>
      <c r="H5809" t="inlineStr">
        <is>
          <t>Retail pharmacy</t>
        </is>
      </c>
      <c r="I5809" t="inlineStr">
        <is>
          <t>Public payer</t>
        </is>
      </c>
      <c r="J5809" t="inlineStr">
        <is>
          <t>Ana Costa</t>
        </is>
      </c>
      <c r="K5809" s="70" t="n">
        <v>1482</v>
      </c>
      <c r="L5809" s="71" t="n">
        <v>714.1</v>
      </c>
      <c r="M5809" s="71" t="n">
        <v>1058296.2</v>
      </c>
      <c r="N5809" s="71" t="n">
        <v>264574.05</v>
      </c>
      <c r="O5809" s="71" t="n">
        <v>793722.15</v>
      </c>
      <c r="P5809" s="71" t="n">
        <v>113584.17</v>
      </c>
      <c r="Q5809" s="71" t="n">
        <v>680137.98</v>
      </c>
      <c r="R5809" t="inlineStr">
        <is>
          <t>Cardiology</t>
        </is>
      </c>
      <c r="S5809" s="70" t="n">
        <v>1424</v>
      </c>
      <c r="T5809" s="71" t="n">
        <v>185637.66</v>
      </c>
      <c r="U5809" t="inlineStr">
        <is>
          <t>High</t>
        </is>
      </c>
      <c r="V5809">
        <f>IF(AND(OR(Dashboard!$C$6="All",E5809=Dashboard!$C$6),OR(Dashboard!$F$6="All",G5809=Dashboard!$F$6),OR(Dashboard!$I$6="All",H5809=Dashboard!$I$6)),1,0)</f>
        <v/>
      </c>
    </row>
    <row r="5810">
      <c r="A5810" t="inlineStr">
        <is>
          <t>PF105801</t>
        </is>
      </c>
      <c r="B5810" s="68" t="n">
        <v>46362</v>
      </c>
      <c r="C5810" s="69" t="n">
        <v>2026</v>
      </c>
      <c r="D5810" t="inlineStr">
        <is>
          <t>Dec</t>
        </is>
      </c>
      <c r="E5810" t="inlineStr">
        <is>
          <t>International developed</t>
        </is>
      </c>
      <c r="F5810" t="inlineStr">
        <is>
          <t>Canada</t>
        </is>
      </c>
      <c r="G5810" t="inlineStr">
        <is>
          <t>Eliquis</t>
        </is>
      </c>
      <c r="H5810" t="inlineStr">
        <is>
          <t>Retail pharmacy</t>
        </is>
      </c>
      <c r="I5810" t="inlineStr">
        <is>
          <t>Public payer</t>
        </is>
      </c>
      <c r="J5810" t="inlineStr">
        <is>
          <t>Carlos Silva</t>
        </is>
      </c>
      <c r="K5810" s="70" t="n">
        <v>2201</v>
      </c>
      <c r="L5810" s="71" t="n">
        <v>441.27</v>
      </c>
      <c r="M5810" s="71" t="n">
        <v>971235.27</v>
      </c>
      <c r="N5810" s="71" t="n">
        <v>97123.53</v>
      </c>
      <c r="O5810" s="71" t="n">
        <v>874111.74</v>
      </c>
      <c r="P5810" s="71" t="n">
        <v>172016.74</v>
      </c>
      <c r="Q5810" s="71" t="n">
        <v>702095</v>
      </c>
      <c r="R5810" t="inlineStr">
        <is>
          <t>Cardiology</t>
        </is>
      </c>
      <c r="S5810" s="70" t="n">
        <v>1467</v>
      </c>
      <c r="T5810" s="71" t="n">
        <v>180834.15</v>
      </c>
      <c r="U5810" t="inlineStr">
        <is>
          <t>High</t>
        </is>
      </c>
      <c r="V5810">
        <f>IF(AND(OR(Dashboard!$C$6="All",E5810=Dashboard!$C$6),OR(Dashboard!$F$6="All",G5810=Dashboard!$F$6),OR(Dashboard!$I$6="All",H5810=Dashboard!$I$6)),1,0)</f>
        <v/>
      </c>
    </row>
    <row r="5811">
      <c r="A5811" t="inlineStr">
        <is>
          <t>PF105802</t>
        </is>
      </c>
      <c r="B5811" s="68" t="n">
        <v>46362</v>
      </c>
      <c r="C5811" s="69" t="n">
        <v>2026</v>
      </c>
      <c r="D5811" t="inlineStr">
        <is>
          <t>Dec</t>
        </is>
      </c>
      <c r="E5811" t="inlineStr">
        <is>
          <t>Emerging markets</t>
        </is>
      </c>
      <c r="F5811" t="inlineStr">
        <is>
          <t>Brazil</t>
        </is>
      </c>
      <c r="G5811" t="inlineStr">
        <is>
          <t>Ibrance</t>
        </is>
      </c>
      <c r="H5811" t="inlineStr">
        <is>
          <t>Government / tender</t>
        </is>
      </c>
      <c r="I5811" t="inlineStr">
        <is>
          <t>Private insurer</t>
        </is>
      </c>
      <c r="J5811" t="inlineStr">
        <is>
          <t>Yuki Sato</t>
        </is>
      </c>
      <c r="K5811" s="70" t="n">
        <v>2851</v>
      </c>
      <c r="L5811" s="71" t="n">
        <v>2876.29</v>
      </c>
      <c r="M5811" s="71" t="n">
        <v>8200302.79</v>
      </c>
      <c r="N5811" s="71" t="n">
        <v>820030.28</v>
      </c>
      <c r="O5811" s="71" t="n">
        <v>7380272.51</v>
      </c>
      <c r="P5811" s="71" t="n">
        <v>1255725.89</v>
      </c>
      <c r="Q5811" s="71" t="n">
        <v>6124546.62</v>
      </c>
      <c r="R5811" t="inlineStr">
        <is>
          <t>Oncology</t>
        </is>
      </c>
      <c r="S5811" s="70" t="n">
        <v>2608</v>
      </c>
      <c r="T5811" s="71" t="n">
        <v>1501969.26</v>
      </c>
      <c r="U5811" t="inlineStr">
        <is>
          <t>High</t>
        </is>
      </c>
      <c r="V5811">
        <f>IF(AND(OR(Dashboard!$C$6="All",E5811=Dashboard!$C$6),OR(Dashboard!$F$6="All",G5811=Dashboard!$F$6),OR(Dashboard!$I$6="All",H5811=Dashboard!$I$6)),1,0)</f>
        <v/>
      </c>
    </row>
    <row r="5812">
      <c r="A5812" t="inlineStr">
        <is>
          <t>PF105803</t>
        </is>
      </c>
      <c r="B5812" s="68" t="n">
        <v>46362</v>
      </c>
      <c r="C5812" s="69" t="n">
        <v>2026</v>
      </c>
      <c r="D5812" t="inlineStr">
        <is>
          <t>Dec</t>
        </is>
      </c>
      <c r="E5812" t="inlineStr">
        <is>
          <t>United States</t>
        </is>
      </c>
      <c r="F5812" t="inlineStr">
        <is>
          <t>USA</t>
        </is>
      </c>
      <c r="G5812" t="inlineStr">
        <is>
          <t>Vyndaqel</t>
        </is>
      </c>
      <c r="H5812" t="inlineStr">
        <is>
          <t>Hospital</t>
        </is>
      </c>
      <c r="I5812" t="inlineStr">
        <is>
          <t>Private insurer</t>
        </is>
      </c>
      <c r="J5812" t="inlineStr">
        <is>
          <t>Emma Clarke</t>
        </is>
      </c>
      <c r="K5812" s="70" t="n">
        <v>881</v>
      </c>
      <c r="L5812" s="71" t="n">
        <v>8540.24</v>
      </c>
      <c r="M5812" s="71" t="n">
        <v>7523951.44</v>
      </c>
      <c r="N5812" s="71" t="n">
        <v>2633383</v>
      </c>
      <c r="O5812" s="71" t="n">
        <v>4890568.44</v>
      </c>
      <c r="P5812" s="71" t="n">
        <v>531853.73</v>
      </c>
      <c r="Q5812" s="71" t="n">
        <v>4358714.71</v>
      </c>
      <c r="R5812" t="inlineStr">
        <is>
          <t>Rare disease</t>
        </is>
      </c>
      <c r="S5812" s="70" t="n">
        <v>682</v>
      </c>
      <c r="T5812" s="71" t="n">
        <v>956038.65</v>
      </c>
      <c r="U5812" t="inlineStr">
        <is>
          <t>Medium</t>
        </is>
      </c>
      <c r="V5812">
        <f>IF(AND(OR(Dashboard!$C$6="All",E5812=Dashboard!$C$6),OR(Dashboard!$F$6="All",G5812=Dashboard!$F$6),OR(Dashboard!$I$6="All",H5812=Dashboard!$I$6)),1,0)</f>
        <v/>
      </c>
    </row>
    <row r="5813">
      <c r="A5813" t="inlineStr">
        <is>
          <t>PF105804</t>
        </is>
      </c>
      <c r="B5813" s="68" t="n">
        <v>46362</v>
      </c>
      <c r="C5813" s="69" t="n">
        <v>2026</v>
      </c>
      <c r="D5813" t="inlineStr">
        <is>
          <t>Dec</t>
        </is>
      </c>
      <c r="E5813" t="inlineStr">
        <is>
          <t>United States</t>
        </is>
      </c>
      <c r="F5813" t="inlineStr">
        <is>
          <t>USA</t>
        </is>
      </c>
      <c r="G5813" t="inlineStr">
        <is>
          <t>Ibrance</t>
        </is>
      </c>
      <c r="H5813" t="inlineStr">
        <is>
          <t>Hospital</t>
        </is>
      </c>
      <c r="I5813" t="inlineStr">
        <is>
          <t>Public payer</t>
        </is>
      </c>
      <c r="J5813" t="inlineStr">
        <is>
          <t>Kofi Mensah</t>
        </is>
      </c>
      <c r="K5813" s="70" t="n">
        <v>1028</v>
      </c>
      <c r="L5813" s="71" t="n">
        <v>4217.77</v>
      </c>
      <c r="M5813" s="71" t="n">
        <v>4335867.56</v>
      </c>
      <c r="N5813" s="71" t="n">
        <v>650380.13</v>
      </c>
      <c r="O5813" s="71" t="n">
        <v>3685487.43</v>
      </c>
      <c r="P5813" s="71" t="n">
        <v>432249.09</v>
      </c>
      <c r="Q5813" s="71" t="n">
        <v>3253238.34</v>
      </c>
      <c r="R5813" t="inlineStr">
        <is>
          <t>Oncology</t>
        </is>
      </c>
      <c r="S5813" s="70" t="n">
        <v>672</v>
      </c>
      <c r="T5813" s="71" t="n">
        <v>885034.1899999999</v>
      </c>
      <c r="U5813" t="inlineStr">
        <is>
          <t>High</t>
        </is>
      </c>
      <c r="V5813">
        <f>IF(AND(OR(Dashboard!$C$6="All",E5813=Dashboard!$C$6),OR(Dashboard!$F$6="All",G5813=Dashboard!$F$6),OR(Dashboard!$I$6="All",H5813=Dashboard!$I$6)),1,0)</f>
        <v/>
      </c>
    </row>
    <row r="5814">
      <c r="A5814" t="inlineStr">
        <is>
          <t>PF105805</t>
        </is>
      </c>
      <c r="B5814" s="68" t="n">
        <v>46362</v>
      </c>
      <c r="C5814" s="69" t="n">
        <v>2026</v>
      </c>
      <c r="D5814" t="inlineStr">
        <is>
          <t>Dec</t>
        </is>
      </c>
      <c r="E5814" t="inlineStr">
        <is>
          <t>Europe</t>
        </is>
      </c>
      <c r="F5814" t="inlineStr">
        <is>
          <t>France</t>
        </is>
      </c>
      <c r="G5814" t="inlineStr">
        <is>
          <t>Eliquis</t>
        </is>
      </c>
      <c r="H5814" t="inlineStr">
        <is>
          <t>Retail pharmacy</t>
        </is>
      </c>
      <c r="I5814" t="inlineStr">
        <is>
          <t>Private insurer</t>
        </is>
      </c>
      <c r="J5814" t="inlineStr">
        <is>
          <t>Omar Haddad</t>
        </is>
      </c>
      <c r="K5814" s="70" t="n">
        <v>996</v>
      </c>
      <c r="L5814" s="71" t="n">
        <v>450.95</v>
      </c>
      <c r="M5814" s="71" t="n">
        <v>449146.2</v>
      </c>
      <c r="N5814" s="71" t="n">
        <v>89829.24000000001</v>
      </c>
      <c r="O5814" s="71" t="n">
        <v>359316.96</v>
      </c>
      <c r="P5814" s="71" t="n">
        <v>73814.81</v>
      </c>
      <c r="Q5814" s="71" t="n">
        <v>285502.15</v>
      </c>
      <c r="R5814" t="inlineStr">
        <is>
          <t>Cardiology</t>
        </is>
      </c>
      <c r="S5814" s="70" t="n">
        <v>640</v>
      </c>
      <c r="T5814" s="71" t="n">
        <v>70367.06</v>
      </c>
      <c r="U5814" t="inlineStr">
        <is>
          <t>High</t>
        </is>
      </c>
      <c r="V5814">
        <f>IF(AND(OR(Dashboard!$C$6="All",E5814=Dashboard!$C$6),OR(Dashboard!$F$6="All",G5814=Dashboard!$F$6),OR(Dashboard!$I$6="All",H5814=Dashboard!$I$6)),1,0)</f>
        <v/>
      </c>
    </row>
    <row r="5815">
      <c r="A5815" t="inlineStr">
        <is>
          <t>PF105806</t>
        </is>
      </c>
      <c r="B5815" s="68" t="n">
        <v>46362</v>
      </c>
      <c r="C5815" s="69" t="n">
        <v>2026</v>
      </c>
      <c r="D5815" t="inlineStr">
        <is>
          <t>Dec</t>
        </is>
      </c>
      <c r="E5815" t="inlineStr">
        <is>
          <t>Europe</t>
        </is>
      </c>
      <c r="F5815" t="inlineStr">
        <is>
          <t>Germany</t>
        </is>
      </c>
      <c r="G5815" t="inlineStr">
        <is>
          <t>Eliquis</t>
        </is>
      </c>
      <c r="H5815" t="inlineStr">
        <is>
          <t>Government / tender</t>
        </is>
      </c>
      <c r="I5815" t="inlineStr">
        <is>
          <t>Public payer</t>
        </is>
      </c>
      <c r="J5815" t="inlineStr">
        <is>
          <t>Aisha Bello</t>
        </is>
      </c>
      <c r="K5815" s="70" t="n">
        <v>2879</v>
      </c>
      <c r="L5815" s="71" t="n">
        <v>448.29</v>
      </c>
      <c r="M5815" s="71" t="n">
        <v>1290626.91</v>
      </c>
      <c r="N5815" s="71" t="n">
        <v>64531.35</v>
      </c>
      <c r="O5815" s="71" t="n">
        <v>1226095.56</v>
      </c>
      <c r="P5815" s="71" t="n">
        <v>209627.74</v>
      </c>
      <c r="Q5815" s="71" t="n">
        <v>1016467.82</v>
      </c>
      <c r="R5815" t="inlineStr">
        <is>
          <t>Cardiology</t>
        </is>
      </c>
      <c r="S5815" s="70" t="n">
        <v>2035</v>
      </c>
      <c r="T5815" s="71" t="n">
        <v>169470.33</v>
      </c>
      <c r="U5815" t="inlineStr">
        <is>
          <t>High</t>
        </is>
      </c>
      <c r="V5815">
        <f>IF(AND(OR(Dashboard!$C$6="All",E5815=Dashboard!$C$6),OR(Dashboard!$F$6="All",G5815=Dashboard!$F$6),OR(Dashboard!$I$6="All",H5815=Dashboard!$I$6)),1,0)</f>
        <v/>
      </c>
    </row>
    <row r="5816">
      <c r="A5816" t="inlineStr">
        <is>
          <t>PF105807</t>
        </is>
      </c>
      <c r="B5816" s="68" t="n">
        <v>46362</v>
      </c>
      <c r="C5816" s="69" t="n">
        <v>2026</v>
      </c>
      <c r="D5816" t="inlineStr">
        <is>
          <t>Dec</t>
        </is>
      </c>
      <c r="E5816" t="inlineStr">
        <is>
          <t>United States</t>
        </is>
      </c>
      <c r="F5816" t="inlineStr">
        <is>
          <t>USA</t>
        </is>
      </c>
      <c r="G5816" t="inlineStr">
        <is>
          <t>Eliquis</t>
        </is>
      </c>
      <c r="H5816" t="inlineStr">
        <is>
          <t>Government / tender</t>
        </is>
      </c>
      <c r="I5816" t="inlineStr">
        <is>
          <t>Self-pay</t>
        </is>
      </c>
      <c r="J5816" t="inlineStr">
        <is>
          <t>Kofi Mensah</t>
        </is>
      </c>
      <c r="K5816" s="70" t="n">
        <v>2569</v>
      </c>
      <c r="L5816" s="71" t="n">
        <v>636.04</v>
      </c>
      <c r="M5816" s="71" t="n">
        <v>1633986.76</v>
      </c>
      <c r="N5816" s="71" t="n">
        <v>571895.37</v>
      </c>
      <c r="O5816" s="71" t="n">
        <v>1062091.39</v>
      </c>
      <c r="P5816" s="71" t="n">
        <v>199897.82</v>
      </c>
      <c r="Q5816" s="71" t="n">
        <v>862193.5699999999</v>
      </c>
      <c r="R5816" t="inlineStr">
        <is>
          <t>Cardiology</t>
        </is>
      </c>
      <c r="S5816" s="70" t="n">
        <v>2146</v>
      </c>
      <c r="T5816" s="71" t="n">
        <v>346887.67</v>
      </c>
      <c r="U5816" t="inlineStr">
        <is>
          <t>High</t>
        </is>
      </c>
      <c r="V5816">
        <f>IF(AND(OR(Dashboard!$C$6="All",E5816=Dashboard!$C$6),OR(Dashboard!$F$6="All",G5816=Dashboard!$F$6),OR(Dashboard!$I$6="All",H5816=Dashboard!$I$6)),1,0)</f>
        <v/>
      </c>
    </row>
    <row r="5817">
      <c r="A5817" t="inlineStr">
        <is>
          <t>PF105808</t>
        </is>
      </c>
      <c r="B5817" s="68" t="n">
        <v>46362</v>
      </c>
      <c r="C5817" s="69" t="n">
        <v>2026</v>
      </c>
      <c r="D5817" t="inlineStr">
        <is>
          <t>Dec</t>
        </is>
      </c>
      <c r="E5817" t="inlineStr">
        <is>
          <t>Emerging markets</t>
        </is>
      </c>
      <c r="F5817" t="inlineStr">
        <is>
          <t>Brazil</t>
        </is>
      </c>
      <c r="G5817" t="inlineStr">
        <is>
          <t>Paxlovid</t>
        </is>
      </c>
      <c r="H5817" t="inlineStr">
        <is>
          <t>Government / tender</t>
        </is>
      </c>
      <c r="I5817" t="inlineStr">
        <is>
          <t>Self-pay</t>
        </is>
      </c>
      <c r="J5817" t="inlineStr">
        <is>
          <t>Ravindra Patil</t>
        </is>
      </c>
      <c r="K5817" s="70" t="n">
        <v>1182</v>
      </c>
      <c r="L5817" s="71" t="n">
        <v>938.03</v>
      </c>
      <c r="M5817" s="71" t="n">
        <v>1108751.46</v>
      </c>
      <c r="N5817" s="71" t="n">
        <v>110875.15</v>
      </c>
      <c r="O5817" s="71" t="n">
        <v>997876.3100000001</v>
      </c>
      <c r="P5817" s="71" t="n">
        <v>324554.43</v>
      </c>
      <c r="Q5817" s="71" t="n">
        <v>673321.88</v>
      </c>
      <c r="R5817" t="inlineStr">
        <is>
          <t>Antiviral</t>
        </is>
      </c>
      <c r="S5817" s="70" t="n">
        <v>887</v>
      </c>
      <c r="T5817" s="71" t="n">
        <v>195784.46</v>
      </c>
      <c r="U5817" t="inlineStr">
        <is>
          <t>Low</t>
        </is>
      </c>
      <c r="V5817">
        <f>IF(AND(OR(Dashboard!$C$6="All",E5817=Dashboard!$C$6),OR(Dashboard!$F$6="All",G5817=Dashboard!$F$6),OR(Dashboard!$I$6="All",H5817=Dashboard!$I$6)),1,0)</f>
        <v/>
      </c>
    </row>
    <row r="5818">
      <c r="A5818" t="inlineStr">
        <is>
          <t>PF105809</t>
        </is>
      </c>
      <c r="B5818" s="68" t="n">
        <v>46362</v>
      </c>
      <c r="C5818" s="69" t="n">
        <v>2026</v>
      </c>
      <c r="D5818" t="inlineStr">
        <is>
          <t>Dec</t>
        </is>
      </c>
      <c r="E5818" t="inlineStr">
        <is>
          <t>International developed</t>
        </is>
      </c>
      <c r="F5818" t="inlineStr">
        <is>
          <t>Japan</t>
        </is>
      </c>
      <c r="G5818" t="inlineStr">
        <is>
          <t>Abrysvo</t>
        </is>
      </c>
      <c r="H5818" t="inlineStr">
        <is>
          <t>Retail pharmacy</t>
        </is>
      </c>
      <c r="I5818" t="inlineStr">
        <is>
          <t>Public payer</t>
        </is>
      </c>
      <c r="J5818" t="inlineStr">
        <is>
          <t>Priya Nair</t>
        </is>
      </c>
      <c r="K5818" s="70" t="n">
        <v>417</v>
      </c>
      <c r="L5818" s="71" t="n">
        <v>288.77</v>
      </c>
      <c r="M5818" s="71" t="n">
        <v>120417.09</v>
      </c>
      <c r="N5818" s="71" t="n">
        <v>6020.85</v>
      </c>
      <c r="O5818" s="71" t="n">
        <v>114396.24</v>
      </c>
      <c r="P5818" s="71" t="n">
        <v>36127.88</v>
      </c>
      <c r="Q5818" s="71" t="n">
        <v>78268.36</v>
      </c>
      <c r="R5818" t="inlineStr">
        <is>
          <t>Vaccines</t>
        </is>
      </c>
      <c r="S5818" s="70" t="n">
        <v>340</v>
      </c>
      <c r="T5818" s="71" t="n">
        <v>21476.71</v>
      </c>
      <c r="U5818" t="inlineStr">
        <is>
          <t>Low</t>
        </is>
      </c>
      <c r="V5818">
        <f>IF(AND(OR(Dashboard!$C$6="All",E5818=Dashboard!$C$6),OR(Dashboard!$F$6="All",G5818=Dashboard!$F$6),OR(Dashboard!$I$6="All",H5818=Dashboard!$I$6)),1,0)</f>
        <v/>
      </c>
    </row>
    <row r="5819">
      <c r="A5819" t="inlineStr">
        <is>
          <t>PF105810</t>
        </is>
      </c>
      <c r="B5819" s="68" t="n">
        <v>46363</v>
      </c>
      <c r="C5819" s="69" t="n">
        <v>2026</v>
      </c>
      <c r="D5819" t="inlineStr">
        <is>
          <t>Dec</t>
        </is>
      </c>
      <c r="E5819" t="inlineStr">
        <is>
          <t>United States</t>
        </is>
      </c>
      <c r="F5819" t="inlineStr">
        <is>
          <t>USA</t>
        </is>
      </c>
      <c r="G5819" t="inlineStr">
        <is>
          <t>Prevnar 20</t>
        </is>
      </c>
      <c r="H5819" t="inlineStr">
        <is>
          <t>Hospital</t>
        </is>
      </c>
      <c r="I5819" t="inlineStr">
        <is>
          <t>Public payer</t>
        </is>
      </c>
      <c r="J5819" t="inlineStr">
        <is>
          <t>Hiroshi Tanaka</t>
        </is>
      </c>
      <c r="K5819" s="70" t="n">
        <v>952</v>
      </c>
      <c r="L5819" s="71" t="n">
        <v>355.87</v>
      </c>
      <c r="M5819" s="71" t="n">
        <v>338788.24</v>
      </c>
      <c r="N5819" s="71" t="n">
        <v>67757.64999999999</v>
      </c>
      <c r="O5819" s="71" t="n">
        <v>271030.59</v>
      </c>
      <c r="P5819" s="71" t="n">
        <v>67811.57000000001</v>
      </c>
      <c r="Q5819" s="71" t="n">
        <v>203219.02</v>
      </c>
      <c r="R5819" t="inlineStr">
        <is>
          <t>Vaccines</t>
        </is>
      </c>
      <c r="S5819" s="70" t="n">
        <v>771</v>
      </c>
      <c r="T5819" s="71" t="n">
        <v>71931.19</v>
      </c>
      <c r="U5819" t="inlineStr">
        <is>
          <t>Low</t>
        </is>
      </c>
      <c r="V5819">
        <f>IF(AND(OR(Dashboard!$C$6="All",E5819=Dashboard!$C$6),OR(Dashboard!$F$6="All",G5819=Dashboard!$F$6),OR(Dashboard!$I$6="All",H5819=Dashboard!$I$6)),1,0)</f>
        <v/>
      </c>
    </row>
    <row r="5820">
      <c r="A5820" t="inlineStr">
        <is>
          <t>PF105811</t>
        </is>
      </c>
      <c r="B5820" s="68" t="n">
        <v>46363</v>
      </c>
      <c r="C5820" s="69" t="n">
        <v>2026</v>
      </c>
      <c r="D5820" t="inlineStr">
        <is>
          <t>Dec</t>
        </is>
      </c>
      <c r="E5820" t="inlineStr">
        <is>
          <t>Europe</t>
        </is>
      </c>
      <c r="F5820" t="inlineStr">
        <is>
          <t>Italy</t>
        </is>
      </c>
      <c r="G5820" t="inlineStr">
        <is>
          <t>Paxlovid</t>
        </is>
      </c>
      <c r="H5820" t="inlineStr">
        <is>
          <t>Retail pharmacy</t>
        </is>
      </c>
      <c r="I5820" t="inlineStr">
        <is>
          <t>Public payer</t>
        </is>
      </c>
      <c r="J5820" t="inlineStr">
        <is>
          <t>Zoya Ahmed</t>
        </is>
      </c>
      <c r="K5820" s="70" t="n">
        <v>2049</v>
      </c>
      <c r="L5820" s="71" t="n">
        <v>985.9400000000001</v>
      </c>
      <c r="M5820" s="71" t="n">
        <v>2020191.06</v>
      </c>
      <c r="N5820" s="71" t="n">
        <v>303028.66</v>
      </c>
      <c r="O5820" s="71" t="n">
        <v>1717162.4</v>
      </c>
      <c r="P5820" s="71" t="n">
        <v>553721.4</v>
      </c>
      <c r="Q5820" s="71" t="n">
        <v>1163441</v>
      </c>
      <c r="R5820" t="inlineStr">
        <is>
          <t>Antiviral</t>
        </is>
      </c>
      <c r="S5820" s="70" t="n">
        <v>1666</v>
      </c>
      <c r="T5820" s="71" t="n">
        <v>338338.33</v>
      </c>
      <c r="U5820" t="inlineStr">
        <is>
          <t>Low</t>
        </is>
      </c>
      <c r="V5820">
        <f>IF(AND(OR(Dashboard!$C$6="All",E5820=Dashboard!$C$6),OR(Dashboard!$F$6="All",G5820=Dashboard!$F$6),OR(Dashboard!$I$6="All",H5820=Dashboard!$I$6)),1,0)</f>
        <v/>
      </c>
    </row>
    <row r="5821">
      <c r="A5821" t="inlineStr">
        <is>
          <t>PF105812</t>
        </is>
      </c>
      <c r="B5821" s="68" t="n">
        <v>46363</v>
      </c>
      <c r="C5821" s="69" t="n">
        <v>2026</v>
      </c>
      <c r="D5821" t="inlineStr">
        <is>
          <t>Dec</t>
        </is>
      </c>
      <c r="E5821" t="inlineStr">
        <is>
          <t>Emerging markets</t>
        </is>
      </c>
      <c r="F5821" t="inlineStr">
        <is>
          <t>China</t>
        </is>
      </c>
      <c r="G5821" t="inlineStr">
        <is>
          <t>Xeljanz</t>
        </is>
      </c>
      <c r="H5821" t="inlineStr">
        <is>
          <t>Retail pharmacy</t>
        </is>
      </c>
      <c r="I5821" t="inlineStr">
        <is>
          <t>Private insurer</t>
        </is>
      </c>
      <c r="J5821" t="inlineStr">
        <is>
          <t>Ruhi Shaikh</t>
        </is>
      </c>
      <c r="K5821" s="70" t="n">
        <v>263</v>
      </c>
      <c r="L5821" s="71" t="n">
        <v>1372.23</v>
      </c>
      <c r="M5821" s="71" t="n">
        <v>360896.49</v>
      </c>
      <c r="N5821" s="71" t="n">
        <v>72179.3</v>
      </c>
      <c r="O5821" s="71" t="n">
        <v>288717.19</v>
      </c>
      <c r="P5821" s="71" t="n">
        <v>64741.92</v>
      </c>
      <c r="Q5821" s="71" t="n">
        <v>223975.27</v>
      </c>
      <c r="R5821" t="inlineStr">
        <is>
          <t>Inflammation</t>
        </is>
      </c>
      <c r="S5821" s="70" t="n">
        <v>172</v>
      </c>
      <c r="T5821" s="71" t="n">
        <v>68159.57000000001</v>
      </c>
      <c r="U5821" t="inlineStr">
        <is>
          <t>High</t>
        </is>
      </c>
      <c r="V5821">
        <f>IF(AND(OR(Dashboard!$C$6="All",E5821=Dashboard!$C$6),OR(Dashboard!$F$6="All",G5821=Dashboard!$F$6),OR(Dashboard!$I$6="All",H5821=Dashboard!$I$6)),1,0)</f>
        <v/>
      </c>
    </row>
    <row r="5822">
      <c r="A5822" t="inlineStr">
        <is>
          <t>PF105813</t>
        </is>
      </c>
      <c r="B5822" s="68" t="n">
        <v>46364</v>
      </c>
      <c r="C5822" s="69" t="n">
        <v>2026</v>
      </c>
      <c r="D5822" t="inlineStr">
        <is>
          <t>Dec</t>
        </is>
      </c>
      <c r="E5822" t="inlineStr">
        <is>
          <t>International developed</t>
        </is>
      </c>
      <c r="F5822" t="inlineStr">
        <is>
          <t>Canada</t>
        </is>
      </c>
      <c r="G5822" t="inlineStr">
        <is>
          <t>Comirnaty</t>
        </is>
      </c>
      <c r="H5822" t="inlineStr">
        <is>
          <t>Retail pharmacy</t>
        </is>
      </c>
      <c r="I5822" t="inlineStr">
        <is>
          <t>Public payer</t>
        </is>
      </c>
      <c r="J5822" t="inlineStr">
        <is>
          <t>Ruhi Shaikh</t>
        </is>
      </c>
      <c r="K5822" s="70" t="n">
        <v>2286</v>
      </c>
      <c r="L5822" s="71" t="n">
        <v>84.78</v>
      </c>
      <c r="M5822" s="71" t="n">
        <v>193807.08</v>
      </c>
      <c r="N5822" s="71" t="n">
        <v>38761.42</v>
      </c>
      <c r="O5822" s="71" t="n">
        <v>155045.66</v>
      </c>
      <c r="P5822" s="71" t="n">
        <v>84603.78999999999</v>
      </c>
      <c r="Q5822" s="71" t="n">
        <v>70441.87</v>
      </c>
      <c r="R5822" t="inlineStr">
        <is>
          <t>Vaccines</t>
        </is>
      </c>
      <c r="S5822" s="70" t="n">
        <v>1849</v>
      </c>
      <c r="T5822" s="71" t="n">
        <v>46221.85</v>
      </c>
      <c r="U5822" t="inlineStr">
        <is>
          <t>Low</t>
        </is>
      </c>
      <c r="V5822">
        <f>IF(AND(OR(Dashboard!$C$6="All",E5822=Dashboard!$C$6),OR(Dashboard!$F$6="All",G5822=Dashboard!$F$6),OR(Dashboard!$I$6="All",H5822=Dashboard!$I$6)),1,0)</f>
        <v/>
      </c>
    </row>
    <row r="5823">
      <c r="A5823" t="inlineStr">
        <is>
          <t>PF105814</t>
        </is>
      </c>
      <c r="B5823" s="68" t="n">
        <v>46364</v>
      </c>
      <c r="C5823" s="69" t="n">
        <v>2026</v>
      </c>
      <c r="D5823" t="inlineStr">
        <is>
          <t>Dec</t>
        </is>
      </c>
      <c r="E5823" t="inlineStr">
        <is>
          <t>International developed</t>
        </is>
      </c>
      <c r="F5823" t="inlineStr">
        <is>
          <t>Australia</t>
        </is>
      </c>
      <c r="G5823" t="inlineStr">
        <is>
          <t>Comirnaty</t>
        </is>
      </c>
      <c r="H5823" t="inlineStr">
        <is>
          <t>Hospital</t>
        </is>
      </c>
      <c r="I5823" t="inlineStr">
        <is>
          <t>Private insurer</t>
        </is>
      </c>
      <c r="J5823" t="inlineStr">
        <is>
          <t>Shraddha Kulkarni</t>
        </is>
      </c>
      <c r="K5823" s="70" t="n">
        <v>1218</v>
      </c>
      <c r="L5823" s="71" t="n">
        <v>88.89</v>
      </c>
      <c r="M5823" s="71" t="n">
        <v>108268.02</v>
      </c>
      <c r="N5823" s="71" t="n">
        <v>27067.01</v>
      </c>
      <c r="O5823" s="71" t="n">
        <v>81201.00999999999</v>
      </c>
      <c r="P5823" s="71" t="n">
        <v>45860.75</v>
      </c>
      <c r="Q5823" s="71" t="n">
        <v>35340.26</v>
      </c>
      <c r="R5823" t="inlineStr">
        <is>
          <t>Vaccines</t>
        </is>
      </c>
      <c r="S5823" s="70" t="n">
        <v>902</v>
      </c>
      <c r="T5823" s="71" t="n">
        <v>21272.48</v>
      </c>
      <c r="U5823" t="inlineStr">
        <is>
          <t>Low</t>
        </is>
      </c>
      <c r="V5823">
        <f>IF(AND(OR(Dashboard!$C$6="All",E5823=Dashboard!$C$6),OR(Dashboard!$F$6="All",G5823=Dashboard!$F$6),OR(Dashboard!$I$6="All",H5823=Dashboard!$I$6)),1,0)</f>
        <v/>
      </c>
    </row>
    <row r="5824">
      <c r="A5824" t="inlineStr">
        <is>
          <t>PF105815</t>
        </is>
      </c>
      <c r="B5824" s="68" t="n">
        <v>46364</v>
      </c>
      <c r="C5824" s="69" t="n">
        <v>2026</v>
      </c>
      <c r="D5824" t="inlineStr">
        <is>
          <t>Dec</t>
        </is>
      </c>
      <c r="E5824" t="inlineStr">
        <is>
          <t>United States</t>
        </is>
      </c>
      <c r="F5824" t="inlineStr">
        <is>
          <t>USA</t>
        </is>
      </c>
      <c r="G5824" t="inlineStr">
        <is>
          <t>Paxlovid</t>
        </is>
      </c>
      <c r="H5824" t="inlineStr">
        <is>
          <t>Hospital</t>
        </is>
      </c>
      <c r="I5824" t="inlineStr">
        <is>
          <t>Private insurer</t>
        </is>
      </c>
      <c r="J5824" t="inlineStr">
        <is>
          <t>Carlos Silva</t>
        </is>
      </c>
      <c r="K5824" s="70" t="n">
        <v>833</v>
      </c>
      <c r="L5824" s="71" t="n">
        <v>1501.77</v>
      </c>
      <c r="M5824" s="71" t="n">
        <v>1250974.41</v>
      </c>
      <c r="N5824" s="71" t="n">
        <v>437841.04</v>
      </c>
      <c r="O5824" s="71" t="n">
        <v>813133.37</v>
      </c>
      <c r="P5824" s="71" t="n">
        <v>236906.5</v>
      </c>
      <c r="Q5824" s="71" t="n">
        <v>576226.87</v>
      </c>
      <c r="R5824" t="inlineStr">
        <is>
          <t>Antiviral</t>
        </is>
      </c>
      <c r="S5824" s="70" t="n">
        <v>731</v>
      </c>
      <c r="T5824" s="71" t="n">
        <v>225564.32</v>
      </c>
      <c r="U5824" t="inlineStr">
        <is>
          <t>Low</t>
        </is>
      </c>
      <c r="V5824">
        <f>IF(AND(OR(Dashboard!$C$6="All",E5824=Dashboard!$C$6),OR(Dashboard!$F$6="All",G5824=Dashboard!$F$6),OR(Dashboard!$I$6="All",H5824=Dashboard!$I$6)),1,0)</f>
        <v/>
      </c>
    </row>
    <row r="5825">
      <c r="A5825" t="inlineStr">
        <is>
          <t>PF105816</t>
        </is>
      </c>
      <c r="B5825" s="68" t="n">
        <v>46364</v>
      </c>
      <c r="C5825" s="69" t="n">
        <v>2026</v>
      </c>
      <c r="D5825" t="inlineStr">
        <is>
          <t>Dec</t>
        </is>
      </c>
      <c r="E5825" t="inlineStr">
        <is>
          <t>United States</t>
        </is>
      </c>
      <c r="F5825" t="inlineStr">
        <is>
          <t>USA</t>
        </is>
      </c>
      <c r="G5825" t="inlineStr">
        <is>
          <t>Abrysvo</t>
        </is>
      </c>
      <c r="H5825" t="inlineStr">
        <is>
          <t>Retail pharmacy</t>
        </is>
      </c>
      <c r="I5825" t="inlineStr">
        <is>
          <t>Self-pay</t>
        </is>
      </c>
      <c r="J5825" t="inlineStr">
        <is>
          <t>Carlos Silva</t>
        </is>
      </c>
      <c r="K5825" s="70" t="n">
        <v>756</v>
      </c>
      <c r="L5825" s="71" t="n">
        <v>491.64</v>
      </c>
      <c r="M5825" s="71" t="n">
        <v>371679.84</v>
      </c>
      <c r="N5825" s="71" t="n">
        <v>92919.96000000001</v>
      </c>
      <c r="O5825" s="71" t="n">
        <v>278759.88</v>
      </c>
      <c r="P5825" s="71" t="n">
        <v>64596.66</v>
      </c>
      <c r="Q5825" s="71" t="n">
        <v>214163.22</v>
      </c>
      <c r="R5825" t="inlineStr">
        <is>
          <t>Vaccines</t>
        </is>
      </c>
      <c r="S5825" s="70" t="n">
        <v>588</v>
      </c>
      <c r="T5825" s="71" t="n">
        <v>43714.49</v>
      </c>
      <c r="U5825" t="inlineStr">
        <is>
          <t>Low</t>
        </is>
      </c>
      <c r="V5825">
        <f>IF(AND(OR(Dashboard!$C$6="All",E5825=Dashboard!$C$6),OR(Dashboard!$F$6="All",G5825=Dashboard!$F$6),OR(Dashboard!$I$6="All",H5825=Dashboard!$I$6)),1,0)</f>
        <v/>
      </c>
    </row>
    <row r="5826">
      <c r="A5826" t="inlineStr">
        <is>
          <t>PF105817</t>
        </is>
      </c>
      <c r="B5826" s="68" t="n">
        <v>46364</v>
      </c>
      <c r="C5826" s="69" t="n">
        <v>2026</v>
      </c>
      <c r="D5826" t="inlineStr">
        <is>
          <t>Dec</t>
        </is>
      </c>
      <c r="E5826" t="inlineStr">
        <is>
          <t>Europe</t>
        </is>
      </c>
      <c r="F5826" t="inlineStr">
        <is>
          <t>Italy</t>
        </is>
      </c>
      <c r="G5826" t="inlineStr">
        <is>
          <t>Vyndaqel</t>
        </is>
      </c>
      <c r="H5826" t="inlineStr">
        <is>
          <t>Retail pharmacy</t>
        </is>
      </c>
      <c r="I5826" t="inlineStr">
        <is>
          <t>Public payer</t>
        </is>
      </c>
      <c r="J5826" t="inlineStr">
        <is>
          <t>Ana Costa</t>
        </is>
      </c>
      <c r="K5826" s="70" t="n">
        <v>627</v>
      </c>
      <c r="L5826" s="71" t="n">
        <v>6141.06</v>
      </c>
      <c r="M5826" s="71" t="n">
        <v>3850444.62</v>
      </c>
      <c r="N5826" s="71" t="n">
        <v>192522.23</v>
      </c>
      <c r="O5826" s="71" t="n">
        <v>3657922.39</v>
      </c>
      <c r="P5826" s="71" t="n">
        <v>400609.05</v>
      </c>
      <c r="Q5826" s="71" t="n">
        <v>3257313.34</v>
      </c>
      <c r="R5826" t="inlineStr">
        <is>
          <t>Rare disease</t>
        </is>
      </c>
      <c r="S5826" s="70" t="n">
        <v>605</v>
      </c>
      <c r="T5826" s="71" t="n">
        <v>488957.91</v>
      </c>
      <c r="U5826" t="inlineStr">
        <is>
          <t>Medium</t>
        </is>
      </c>
      <c r="V5826">
        <f>IF(AND(OR(Dashboard!$C$6="All",E5826=Dashboard!$C$6),OR(Dashboard!$F$6="All",G5826=Dashboard!$F$6),OR(Dashboard!$I$6="All",H5826=Dashboard!$I$6)),1,0)</f>
        <v/>
      </c>
    </row>
    <row r="5827">
      <c r="A5827" t="inlineStr">
        <is>
          <t>PF105818</t>
        </is>
      </c>
      <c r="B5827" s="68" t="n">
        <v>46364</v>
      </c>
      <c r="C5827" s="69" t="n">
        <v>2026</v>
      </c>
      <c r="D5827" t="inlineStr">
        <is>
          <t>Dec</t>
        </is>
      </c>
      <c r="E5827" t="inlineStr">
        <is>
          <t>Europe</t>
        </is>
      </c>
      <c r="F5827" t="inlineStr">
        <is>
          <t>Germany</t>
        </is>
      </c>
      <c r="G5827" t="inlineStr">
        <is>
          <t>Ibrance</t>
        </is>
      </c>
      <c r="H5827" t="inlineStr">
        <is>
          <t>Hospital</t>
        </is>
      </c>
      <c r="I5827" t="inlineStr">
        <is>
          <t>Self-pay</t>
        </is>
      </c>
      <c r="J5827" t="inlineStr">
        <is>
          <t>Arjun Mehta</t>
        </is>
      </c>
      <c r="K5827" s="70" t="n">
        <v>2360</v>
      </c>
      <c r="L5827" s="71" t="n">
        <v>3050.91</v>
      </c>
      <c r="M5827" s="71" t="n">
        <v>7200147.6</v>
      </c>
      <c r="N5827" s="71" t="n">
        <v>360007.38</v>
      </c>
      <c r="O5827" s="71" t="n">
        <v>6840140.22</v>
      </c>
      <c r="P5827" s="71" t="n">
        <v>1049010.24</v>
      </c>
      <c r="Q5827" s="71" t="n">
        <v>5791129.98</v>
      </c>
      <c r="R5827" t="inlineStr">
        <is>
          <t>Oncology</t>
        </is>
      </c>
      <c r="S5827" s="70" t="n">
        <v>1569</v>
      </c>
      <c r="T5827" s="71" t="n">
        <v>1493936.69</v>
      </c>
      <c r="U5827" t="inlineStr">
        <is>
          <t>High</t>
        </is>
      </c>
      <c r="V5827">
        <f>IF(AND(OR(Dashboard!$C$6="All",E5827=Dashboard!$C$6),OR(Dashboard!$F$6="All",G5827=Dashboard!$F$6),OR(Dashboard!$I$6="All",H5827=Dashboard!$I$6)),1,0)</f>
        <v/>
      </c>
    </row>
    <row r="5828">
      <c r="A5828" t="inlineStr">
        <is>
          <t>PF105819</t>
        </is>
      </c>
      <c r="B5828" s="68" t="n">
        <v>46365</v>
      </c>
      <c r="C5828" s="69" t="n">
        <v>2026</v>
      </c>
      <c r="D5828" t="inlineStr">
        <is>
          <t>Dec</t>
        </is>
      </c>
      <c r="E5828" t="inlineStr">
        <is>
          <t>Emerging markets</t>
        </is>
      </c>
      <c r="F5828" t="inlineStr">
        <is>
          <t>Brazil</t>
        </is>
      </c>
      <c r="G5828" t="inlineStr">
        <is>
          <t>Vyndaqel</t>
        </is>
      </c>
      <c r="H5828" t="inlineStr">
        <is>
          <t>Retail pharmacy</t>
        </is>
      </c>
      <c r="I5828" t="inlineStr">
        <is>
          <t>Public payer</t>
        </is>
      </c>
      <c r="J5828" t="inlineStr">
        <is>
          <t>Lucas Martin</t>
        </is>
      </c>
      <c r="K5828" s="70" t="n">
        <v>2188</v>
      </c>
      <c r="L5828" s="71" t="n">
        <v>5224.71</v>
      </c>
      <c r="M5828" s="71" t="n">
        <v>11431665.48</v>
      </c>
      <c r="N5828" s="71" t="n">
        <v>2286333.1</v>
      </c>
      <c r="O5828" s="71" t="n">
        <v>9145332.380000001</v>
      </c>
      <c r="P5828" s="71" t="n">
        <v>1407016.17</v>
      </c>
      <c r="Q5828" s="71" t="n">
        <v>7738316.21</v>
      </c>
      <c r="R5828" t="inlineStr">
        <is>
          <t>Rare disease</t>
        </is>
      </c>
      <c r="S5828" s="70" t="n">
        <v>1869</v>
      </c>
      <c r="T5828" s="71" t="n">
        <v>1999309.19</v>
      </c>
      <c r="U5828" t="inlineStr">
        <is>
          <t>Medium</t>
        </is>
      </c>
      <c r="V5828">
        <f>IF(AND(OR(Dashboard!$C$6="All",E5828=Dashboard!$C$6),OR(Dashboard!$F$6="All",G5828=Dashboard!$F$6),OR(Dashboard!$I$6="All",H5828=Dashboard!$I$6)),1,0)</f>
        <v/>
      </c>
    </row>
    <row r="5829">
      <c r="A5829" t="inlineStr">
        <is>
          <t>PF105820</t>
        </is>
      </c>
      <c r="B5829" s="68" t="n">
        <v>46365</v>
      </c>
      <c r="C5829" s="69" t="n">
        <v>2026</v>
      </c>
      <c r="D5829" t="inlineStr">
        <is>
          <t>Dec</t>
        </is>
      </c>
      <c r="E5829" t="inlineStr">
        <is>
          <t>Europe</t>
        </is>
      </c>
      <c r="F5829" t="inlineStr">
        <is>
          <t>UK</t>
        </is>
      </c>
      <c r="G5829" t="inlineStr">
        <is>
          <t>Xeljanz</t>
        </is>
      </c>
      <c r="H5829" t="inlineStr">
        <is>
          <t>Government / tender</t>
        </is>
      </c>
      <c r="I5829" t="inlineStr">
        <is>
          <t>Private insurer</t>
        </is>
      </c>
      <c r="J5829" t="inlineStr">
        <is>
          <t>Sophie Müller</t>
        </is>
      </c>
      <c r="K5829" s="70" t="n">
        <v>920</v>
      </c>
      <c r="L5829" s="71" t="n">
        <v>1330.03</v>
      </c>
      <c r="M5829" s="71" t="n">
        <v>1223627.6</v>
      </c>
      <c r="N5829" s="71" t="n">
        <v>61181.38</v>
      </c>
      <c r="O5829" s="71" t="n">
        <v>1162446.22</v>
      </c>
      <c r="P5829" s="71" t="n">
        <v>230329.74</v>
      </c>
      <c r="Q5829" s="71" t="n">
        <v>932116.48</v>
      </c>
      <c r="R5829" t="inlineStr">
        <is>
          <t>Inflammation</t>
        </is>
      </c>
      <c r="S5829" s="70" t="n">
        <v>834</v>
      </c>
      <c r="T5829" s="71" t="n">
        <v>272004.43</v>
      </c>
      <c r="U5829" t="inlineStr">
        <is>
          <t>High</t>
        </is>
      </c>
      <c r="V5829">
        <f>IF(AND(OR(Dashboard!$C$6="All",E5829=Dashboard!$C$6),OR(Dashboard!$F$6="All",G5829=Dashboard!$F$6),OR(Dashboard!$I$6="All",H5829=Dashboard!$I$6)),1,0)</f>
        <v/>
      </c>
    </row>
    <row r="5830">
      <c r="A5830" t="inlineStr">
        <is>
          <t>PF105821</t>
        </is>
      </c>
      <c r="B5830" s="68" t="n">
        <v>46365</v>
      </c>
      <c r="C5830" s="69" t="n">
        <v>2026</v>
      </c>
      <c r="D5830" t="inlineStr">
        <is>
          <t>Dec</t>
        </is>
      </c>
      <c r="E5830" t="inlineStr">
        <is>
          <t>United States</t>
        </is>
      </c>
      <c r="F5830" t="inlineStr">
        <is>
          <t>USA</t>
        </is>
      </c>
      <c r="G5830" t="inlineStr">
        <is>
          <t>Paxlovid</t>
        </is>
      </c>
      <c r="H5830" t="inlineStr">
        <is>
          <t>Retail pharmacy</t>
        </is>
      </c>
      <c r="I5830" t="inlineStr">
        <is>
          <t>Private insurer</t>
        </is>
      </c>
      <c r="J5830" t="inlineStr">
        <is>
          <t>Arjun Mehta</t>
        </is>
      </c>
      <c r="K5830" s="70" t="n">
        <v>1409</v>
      </c>
      <c r="L5830" s="71" t="n">
        <v>1553.94</v>
      </c>
      <c r="M5830" s="71" t="n">
        <v>2189501.46</v>
      </c>
      <c r="N5830" s="71" t="n">
        <v>328425.22</v>
      </c>
      <c r="O5830" s="71" t="n">
        <v>1861076.24</v>
      </c>
      <c r="P5830" s="71" t="n">
        <v>386311.32</v>
      </c>
      <c r="Q5830" s="71" t="n">
        <v>1474764.92</v>
      </c>
      <c r="R5830" t="inlineStr">
        <is>
          <t>Antiviral</t>
        </is>
      </c>
      <c r="S5830" s="70" t="n">
        <v>1199</v>
      </c>
      <c r="T5830" s="71" t="n">
        <v>333988.73</v>
      </c>
      <c r="U5830" t="inlineStr">
        <is>
          <t>Low</t>
        </is>
      </c>
      <c r="V5830">
        <f>IF(AND(OR(Dashboard!$C$6="All",E5830=Dashboard!$C$6),OR(Dashboard!$F$6="All",G5830=Dashboard!$F$6),OR(Dashboard!$I$6="All",H5830=Dashboard!$I$6)),1,0)</f>
        <v/>
      </c>
    </row>
    <row r="5831">
      <c r="A5831" t="inlineStr">
        <is>
          <t>PF105822</t>
        </is>
      </c>
      <c r="B5831" s="68" t="n">
        <v>46365</v>
      </c>
      <c r="C5831" s="69" t="n">
        <v>2026</v>
      </c>
      <c r="D5831" t="inlineStr">
        <is>
          <t>Dec</t>
        </is>
      </c>
      <c r="E5831" t="inlineStr">
        <is>
          <t>United States</t>
        </is>
      </c>
      <c r="F5831" t="inlineStr">
        <is>
          <t>USA</t>
        </is>
      </c>
      <c r="G5831" t="inlineStr">
        <is>
          <t>Xeljanz</t>
        </is>
      </c>
      <c r="H5831" t="inlineStr">
        <is>
          <t>Hospital</t>
        </is>
      </c>
      <c r="I5831" t="inlineStr">
        <is>
          <t>Private insurer</t>
        </is>
      </c>
      <c r="J5831" t="inlineStr">
        <is>
          <t>Ana Costa</t>
        </is>
      </c>
      <c r="K5831" s="70" t="n">
        <v>1666</v>
      </c>
      <c r="L5831" s="71" t="n">
        <v>2006.73</v>
      </c>
      <c r="M5831" s="71" t="n">
        <v>3343212.18</v>
      </c>
      <c r="N5831" s="71" t="n">
        <v>1002963.65</v>
      </c>
      <c r="O5831" s="71" t="n">
        <v>2340248.53</v>
      </c>
      <c r="P5831" s="71" t="n">
        <v>426564.7</v>
      </c>
      <c r="Q5831" s="71" t="n">
        <v>1913683.83</v>
      </c>
      <c r="R5831" t="inlineStr">
        <is>
          <t>Inflammation</t>
        </is>
      </c>
      <c r="S5831" s="70" t="n">
        <v>1226</v>
      </c>
      <c r="T5831" s="71" t="n">
        <v>626994.29</v>
      </c>
      <c r="U5831" t="inlineStr">
        <is>
          <t>High</t>
        </is>
      </c>
      <c r="V5831">
        <f>IF(AND(OR(Dashboard!$C$6="All",E5831=Dashboard!$C$6),OR(Dashboard!$F$6="All",G5831=Dashboard!$F$6),OR(Dashboard!$I$6="All",H5831=Dashboard!$I$6)),1,0)</f>
        <v/>
      </c>
    </row>
    <row r="5832">
      <c r="A5832" t="inlineStr">
        <is>
          <t>PF105823</t>
        </is>
      </c>
      <c r="B5832" s="68" t="n">
        <v>46365</v>
      </c>
      <c r="C5832" s="69" t="n">
        <v>2026</v>
      </c>
      <c r="D5832" t="inlineStr">
        <is>
          <t>Dec</t>
        </is>
      </c>
      <c r="E5832" t="inlineStr">
        <is>
          <t>United States</t>
        </is>
      </c>
      <c r="F5832" t="inlineStr">
        <is>
          <t>USA</t>
        </is>
      </c>
      <c r="G5832" t="inlineStr">
        <is>
          <t>Paxlovid</t>
        </is>
      </c>
      <c r="H5832" t="inlineStr">
        <is>
          <t>Retail pharmacy</t>
        </is>
      </c>
      <c r="I5832" t="inlineStr">
        <is>
          <t>Public payer</t>
        </is>
      </c>
      <c r="J5832" t="inlineStr">
        <is>
          <t>Shraddha Kulkarni</t>
        </is>
      </c>
      <c r="K5832" s="70" t="n">
        <v>1988</v>
      </c>
      <c r="L5832" s="71" t="n">
        <v>1474.45</v>
      </c>
      <c r="M5832" s="71" t="n">
        <v>2931206.6</v>
      </c>
      <c r="N5832" s="71" t="n">
        <v>1025922.31</v>
      </c>
      <c r="O5832" s="71" t="n">
        <v>1905284.29</v>
      </c>
      <c r="P5832" s="71" t="n">
        <v>552282.04</v>
      </c>
      <c r="Q5832" s="71" t="n">
        <v>1353002.25</v>
      </c>
      <c r="R5832" t="inlineStr">
        <is>
          <t>Antiviral</t>
        </is>
      </c>
      <c r="S5832" s="70" t="n">
        <v>1451</v>
      </c>
      <c r="T5832" s="71" t="n">
        <v>461327.12</v>
      </c>
      <c r="U5832" t="inlineStr">
        <is>
          <t>Low</t>
        </is>
      </c>
      <c r="V5832">
        <f>IF(AND(OR(Dashboard!$C$6="All",E5832=Dashboard!$C$6),OR(Dashboard!$F$6="All",G5832=Dashboard!$F$6),OR(Dashboard!$I$6="All",H5832=Dashboard!$I$6)),1,0)</f>
        <v/>
      </c>
    </row>
    <row r="5833">
      <c r="A5833" t="inlineStr">
        <is>
          <t>PF105824</t>
        </is>
      </c>
      <c r="B5833" s="68" t="n">
        <v>46365</v>
      </c>
      <c r="C5833" s="69" t="n">
        <v>2026</v>
      </c>
      <c r="D5833" t="inlineStr">
        <is>
          <t>Dec</t>
        </is>
      </c>
      <c r="E5833" t="inlineStr">
        <is>
          <t>Emerging markets</t>
        </is>
      </c>
      <c r="F5833" t="inlineStr">
        <is>
          <t>Mexico</t>
        </is>
      </c>
      <c r="G5833" t="inlineStr">
        <is>
          <t>Abrysvo</t>
        </is>
      </c>
      <c r="H5833" t="inlineStr">
        <is>
          <t>Retail pharmacy</t>
        </is>
      </c>
      <c r="I5833" t="inlineStr">
        <is>
          <t>Public payer</t>
        </is>
      </c>
      <c r="J5833" t="inlineStr">
        <is>
          <t>Carlos Silva</t>
        </is>
      </c>
      <c r="K5833" s="70" t="n">
        <v>2162</v>
      </c>
      <c r="L5833" s="71" t="n">
        <v>331.29</v>
      </c>
      <c r="M5833" s="71" t="n">
        <v>716248.98</v>
      </c>
      <c r="N5833" s="71" t="n">
        <v>179062.24</v>
      </c>
      <c r="O5833" s="71" t="n">
        <v>537186.74</v>
      </c>
      <c r="P5833" s="71" t="n">
        <v>177544.62</v>
      </c>
      <c r="Q5833" s="71" t="n">
        <v>359642.12</v>
      </c>
      <c r="R5833" t="inlineStr">
        <is>
          <t>Vaccines</t>
        </is>
      </c>
      <c r="S5833" s="70" t="n">
        <v>1395</v>
      </c>
      <c r="T5833" s="71" t="n">
        <v>116012.49</v>
      </c>
      <c r="U5833" t="inlineStr">
        <is>
          <t>Low</t>
        </is>
      </c>
      <c r="V5833">
        <f>IF(AND(OR(Dashboard!$C$6="All",E5833=Dashboard!$C$6),OR(Dashboard!$F$6="All",G5833=Dashboard!$F$6),OR(Dashboard!$I$6="All",H5833=Dashboard!$I$6)),1,0)</f>
        <v/>
      </c>
    </row>
    <row r="5834">
      <c r="A5834" t="inlineStr">
        <is>
          <t>PF105825</t>
        </is>
      </c>
      <c r="B5834" s="68" t="n">
        <v>46365</v>
      </c>
      <c r="C5834" s="69" t="n">
        <v>2026</v>
      </c>
      <c r="D5834" t="inlineStr">
        <is>
          <t>Dec</t>
        </is>
      </c>
      <c r="E5834" t="inlineStr">
        <is>
          <t>Emerging markets</t>
        </is>
      </c>
      <c r="F5834" t="inlineStr">
        <is>
          <t>China</t>
        </is>
      </c>
      <c r="G5834" t="inlineStr">
        <is>
          <t>Comirnaty</t>
        </is>
      </c>
      <c r="H5834" t="inlineStr">
        <is>
          <t>Retail pharmacy</t>
        </is>
      </c>
      <c r="I5834" t="inlineStr">
        <is>
          <t>Private insurer</t>
        </is>
      </c>
      <c r="J5834" t="inlineStr">
        <is>
          <t>Fatima Al-Saud</t>
        </is>
      </c>
      <c r="K5834" s="70" t="n">
        <v>1261</v>
      </c>
      <c r="L5834" s="71" t="n">
        <v>81.12</v>
      </c>
      <c r="M5834" s="71" t="n">
        <v>102292.32</v>
      </c>
      <c r="N5834" s="71" t="n">
        <v>5114.62</v>
      </c>
      <c r="O5834" s="71" t="n">
        <v>97177.7</v>
      </c>
      <c r="P5834" s="71" t="n">
        <v>48755.67</v>
      </c>
      <c r="Q5834" s="71" t="n">
        <v>48422.03</v>
      </c>
      <c r="R5834" t="inlineStr">
        <is>
          <t>Vaccines</t>
        </is>
      </c>
      <c r="S5834" s="70" t="n">
        <v>859</v>
      </c>
      <c r="T5834" s="71" t="n">
        <v>23789.11</v>
      </c>
      <c r="U5834" t="inlineStr">
        <is>
          <t>Low</t>
        </is>
      </c>
      <c r="V5834">
        <f>IF(AND(OR(Dashboard!$C$6="All",E5834=Dashboard!$C$6),OR(Dashboard!$F$6="All",G5834=Dashboard!$F$6),OR(Dashboard!$I$6="All",H5834=Dashboard!$I$6)),1,0)</f>
        <v/>
      </c>
    </row>
    <row r="5835">
      <c r="A5835" t="inlineStr">
        <is>
          <t>PF105826</t>
        </is>
      </c>
      <c r="B5835" s="68" t="n">
        <v>46365</v>
      </c>
      <c r="C5835" s="69" t="n">
        <v>2026</v>
      </c>
      <c r="D5835" t="inlineStr">
        <is>
          <t>Dec</t>
        </is>
      </c>
      <c r="E5835" t="inlineStr">
        <is>
          <t>United States</t>
        </is>
      </c>
      <c r="F5835" t="inlineStr">
        <is>
          <t>USA</t>
        </is>
      </c>
      <c r="G5835" t="inlineStr">
        <is>
          <t>Abrysvo</t>
        </is>
      </c>
      <c r="H5835" t="inlineStr">
        <is>
          <t>Retail pharmacy</t>
        </is>
      </c>
      <c r="I5835" t="inlineStr">
        <is>
          <t>Private insurer</t>
        </is>
      </c>
      <c r="J5835" t="inlineStr">
        <is>
          <t>Ravindra Patil</t>
        </is>
      </c>
      <c r="K5835" s="70" t="n">
        <v>3388</v>
      </c>
      <c r="L5835" s="71" t="n">
        <v>522.02</v>
      </c>
      <c r="M5835" s="71" t="n">
        <v>1768603.76</v>
      </c>
      <c r="N5835" s="71" t="n">
        <v>619011.3199999999</v>
      </c>
      <c r="O5835" s="71" t="n">
        <v>1149592.44</v>
      </c>
      <c r="P5835" s="71" t="n">
        <v>282759.68</v>
      </c>
      <c r="Q5835" s="71" t="n">
        <v>866832.76</v>
      </c>
      <c r="R5835" t="inlineStr">
        <is>
          <t>Vaccines</t>
        </is>
      </c>
      <c r="S5835" s="70" t="n">
        <v>3031</v>
      </c>
      <c r="T5835" s="71" t="n">
        <v>236341.36</v>
      </c>
      <c r="U5835" t="inlineStr">
        <is>
          <t>Low</t>
        </is>
      </c>
      <c r="V5835">
        <f>IF(AND(OR(Dashboard!$C$6="All",E5835=Dashboard!$C$6),OR(Dashboard!$F$6="All",G5835=Dashboard!$F$6),OR(Dashboard!$I$6="All",H5835=Dashboard!$I$6)),1,0)</f>
        <v/>
      </c>
    </row>
    <row r="5836">
      <c r="A5836" t="inlineStr">
        <is>
          <t>PF105827</t>
        </is>
      </c>
      <c r="B5836" s="68" t="n">
        <v>46365</v>
      </c>
      <c r="C5836" s="69" t="n">
        <v>2026</v>
      </c>
      <c r="D5836" t="inlineStr">
        <is>
          <t>Dec</t>
        </is>
      </c>
      <c r="E5836" t="inlineStr">
        <is>
          <t>Emerging markets</t>
        </is>
      </c>
      <c r="F5836" t="inlineStr">
        <is>
          <t>Brazil</t>
        </is>
      </c>
      <c r="G5836" t="inlineStr">
        <is>
          <t>Vyndaqel</t>
        </is>
      </c>
      <c r="H5836" t="inlineStr">
        <is>
          <t>Hospital</t>
        </is>
      </c>
      <c r="I5836" t="inlineStr">
        <is>
          <t>Private insurer</t>
        </is>
      </c>
      <c r="J5836" t="inlineStr">
        <is>
          <t>Zoya Ahmed</t>
        </is>
      </c>
      <c r="K5836" s="70" t="n">
        <v>2272</v>
      </c>
      <c r="L5836" s="71" t="n">
        <v>5603.32</v>
      </c>
      <c r="M5836" s="71" t="n">
        <v>12730743.04</v>
      </c>
      <c r="N5836" s="71" t="n">
        <v>3182685.76</v>
      </c>
      <c r="O5836" s="71" t="n">
        <v>9548057.279999999</v>
      </c>
      <c r="P5836" s="71" t="n">
        <v>1393185.57</v>
      </c>
      <c r="Q5836" s="71" t="n">
        <v>8154871.71</v>
      </c>
      <c r="R5836" t="inlineStr">
        <is>
          <t>Rare disease</t>
        </is>
      </c>
      <c r="S5836" s="70" t="n">
        <v>1536</v>
      </c>
      <c r="T5836" s="71" t="n">
        <v>1656683.43</v>
      </c>
      <c r="U5836" t="inlineStr">
        <is>
          <t>Medium</t>
        </is>
      </c>
      <c r="V5836">
        <f>IF(AND(OR(Dashboard!$C$6="All",E5836=Dashboard!$C$6),OR(Dashboard!$F$6="All",G5836=Dashboard!$F$6),OR(Dashboard!$I$6="All",H5836=Dashboard!$I$6)),1,0)</f>
        <v/>
      </c>
    </row>
    <row r="5837">
      <c r="A5837" t="inlineStr">
        <is>
          <t>PF105828</t>
        </is>
      </c>
      <c r="B5837" s="68" t="n">
        <v>46365</v>
      </c>
      <c r="C5837" s="69" t="n">
        <v>2026</v>
      </c>
      <c r="D5837" t="inlineStr">
        <is>
          <t>Dec</t>
        </is>
      </c>
      <c r="E5837" t="inlineStr">
        <is>
          <t>United States</t>
        </is>
      </c>
      <c r="F5837" t="inlineStr">
        <is>
          <t>USA</t>
        </is>
      </c>
      <c r="G5837" t="inlineStr">
        <is>
          <t>Ibrance</t>
        </is>
      </c>
      <c r="H5837" t="inlineStr">
        <is>
          <t>Retail pharmacy</t>
        </is>
      </c>
      <c r="I5837" t="inlineStr">
        <is>
          <t>Self-pay</t>
        </is>
      </c>
      <c r="J5837" t="inlineStr">
        <is>
          <t>Sophie Müller</t>
        </is>
      </c>
      <c r="K5837" s="70" t="n">
        <v>380</v>
      </c>
      <c r="L5837" s="71" t="n">
        <v>4194.65</v>
      </c>
      <c r="M5837" s="71" t="n">
        <v>1593967</v>
      </c>
      <c r="N5837" s="71" t="n">
        <v>239095.05</v>
      </c>
      <c r="O5837" s="71" t="n">
        <v>1354871.95</v>
      </c>
      <c r="P5837" s="71" t="n">
        <v>170566.84</v>
      </c>
      <c r="Q5837" s="71" t="n">
        <v>1184305.11</v>
      </c>
      <c r="R5837" t="inlineStr">
        <is>
          <t>Oncology</t>
        </is>
      </c>
      <c r="S5837" s="70" t="n">
        <v>349</v>
      </c>
      <c r="T5837" s="71" t="n">
        <v>258415.83</v>
      </c>
      <c r="U5837" t="inlineStr">
        <is>
          <t>High</t>
        </is>
      </c>
      <c r="V5837">
        <f>IF(AND(OR(Dashboard!$C$6="All",E5837=Dashboard!$C$6),OR(Dashboard!$F$6="All",G5837=Dashboard!$F$6),OR(Dashboard!$I$6="All",H5837=Dashboard!$I$6)),1,0)</f>
        <v/>
      </c>
    </row>
    <row r="5838">
      <c r="A5838" t="inlineStr">
        <is>
          <t>PF105829</t>
        </is>
      </c>
      <c r="B5838" s="68" t="n">
        <v>46365</v>
      </c>
      <c r="C5838" s="69" t="n">
        <v>2026</v>
      </c>
      <c r="D5838" t="inlineStr">
        <is>
          <t>Dec</t>
        </is>
      </c>
      <c r="E5838" t="inlineStr">
        <is>
          <t>United States</t>
        </is>
      </c>
      <c r="F5838" t="inlineStr">
        <is>
          <t>USA</t>
        </is>
      </c>
      <c r="G5838" t="inlineStr">
        <is>
          <t>Comirnaty</t>
        </is>
      </c>
      <c r="H5838" t="inlineStr">
        <is>
          <t>Retail pharmacy</t>
        </is>
      </c>
      <c r="I5838" t="inlineStr">
        <is>
          <t>Private insurer</t>
        </is>
      </c>
      <c r="J5838" t="inlineStr">
        <is>
          <t>Lucas Martin</t>
        </is>
      </c>
      <c r="K5838" s="70" t="n">
        <v>351</v>
      </c>
      <c r="L5838" s="71" t="n">
        <v>139.69</v>
      </c>
      <c r="M5838" s="71" t="n">
        <v>49031.19</v>
      </c>
      <c r="N5838" s="71" t="n">
        <v>12257.8</v>
      </c>
      <c r="O5838" s="71" t="n">
        <v>36773.39</v>
      </c>
      <c r="P5838" s="71" t="n">
        <v>13196.91</v>
      </c>
      <c r="Q5838" s="71" t="n">
        <v>23576.48</v>
      </c>
      <c r="R5838" t="inlineStr">
        <is>
          <t>Vaccines</t>
        </is>
      </c>
      <c r="S5838" s="70" t="n">
        <v>284</v>
      </c>
      <c r="T5838" s="71" t="n">
        <v>7679.43</v>
      </c>
      <c r="U5838" t="inlineStr">
        <is>
          <t>Low</t>
        </is>
      </c>
      <c r="V5838">
        <f>IF(AND(OR(Dashboard!$C$6="All",E5838=Dashboard!$C$6),OR(Dashboard!$F$6="All",G5838=Dashboard!$F$6),OR(Dashboard!$I$6="All",H5838=Dashboard!$I$6)),1,0)</f>
        <v/>
      </c>
    </row>
    <row r="5839">
      <c r="A5839" t="inlineStr">
        <is>
          <t>PF105830</t>
        </is>
      </c>
      <c r="B5839" s="68" t="n">
        <v>46366</v>
      </c>
      <c r="C5839" s="69" t="n">
        <v>2026</v>
      </c>
      <c r="D5839" t="inlineStr">
        <is>
          <t>Dec</t>
        </is>
      </c>
      <c r="E5839" t="inlineStr">
        <is>
          <t>International developed</t>
        </is>
      </c>
      <c r="F5839" t="inlineStr">
        <is>
          <t>Japan</t>
        </is>
      </c>
      <c r="G5839" t="inlineStr">
        <is>
          <t>Paxlovid</t>
        </is>
      </c>
      <c r="H5839" t="inlineStr">
        <is>
          <t>Retail pharmacy</t>
        </is>
      </c>
      <c r="I5839" t="inlineStr">
        <is>
          <t>Public payer</t>
        </is>
      </c>
      <c r="J5839" t="inlineStr">
        <is>
          <t>Omar Haddad</t>
        </is>
      </c>
      <c r="K5839" s="70" t="n">
        <v>1359</v>
      </c>
      <c r="L5839" s="71" t="n">
        <v>1009.73</v>
      </c>
      <c r="M5839" s="71" t="n">
        <v>1372223.07</v>
      </c>
      <c r="N5839" s="71" t="n">
        <v>343055.77</v>
      </c>
      <c r="O5839" s="71" t="n">
        <v>1029167.3</v>
      </c>
      <c r="P5839" s="71" t="n">
        <v>370868.5</v>
      </c>
      <c r="Q5839" s="71" t="n">
        <v>658298.8</v>
      </c>
      <c r="R5839" t="inlineStr">
        <is>
          <t>Antiviral</t>
        </is>
      </c>
      <c r="S5839" s="70" t="n">
        <v>923</v>
      </c>
      <c r="T5839" s="71" t="n">
        <v>208118.92</v>
      </c>
      <c r="U5839" t="inlineStr">
        <is>
          <t>Low</t>
        </is>
      </c>
      <c r="V5839">
        <f>IF(AND(OR(Dashboard!$C$6="All",E5839=Dashboard!$C$6),OR(Dashboard!$F$6="All",G5839=Dashboard!$F$6),OR(Dashboard!$I$6="All",H5839=Dashboard!$I$6)),1,0)</f>
        <v/>
      </c>
    </row>
    <row r="5840">
      <c r="A5840" t="inlineStr">
        <is>
          <t>PF105831</t>
        </is>
      </c>
      <c r="B5840" s="68" t="n">
        <v>46366</v>
      </c>
      <c r="C5840" s="69" t="n">
        <v>2026</v>
      </c>
      <c r="D5840" t="inlineStr">
        <is>
          <t>Dec</t>
        </is>
      </c>
      <c r="E5840" t="inlineStr">
        <is>
          <t>Emerging markets</t>
        </is>
      </c>
      <c r="F5840" t="inlineStr">
        <is>
          <t>China</t>
        </is>
      </c>
      <c r="G5840" t="inlineStr">
        <is>
          <t>Comirnaty</t>
        </is>
      </c>
      <c r="H5840" t="inlineStr">
        <is>
          <t>Retail pharmacy</t>
        </is>
      </c>
      <c r="I5840" t="inlineStr">
        <is>
          <t>Private insurer</t>
        </is>
      </c>
      <c r="J5840" t="inlineStr">
        <is>
          <t>Carlos Silva</t>
        </is>
      </c>
      <c r="K5840" s="70" t="n">
        <v>806</v>
      </c>
      <c r="L5840" s="71" t="n">
        <v>82.53</v>
      </c>
      <c r="M5840" s="71" t="n">
        <v>66519.17999999999</v>
      </c>
      <c r="N5840" s="71" t="n">
        <v>13303.84</v>
      </c>
      <c r="O5840" s="71" t="n">
        <v>53215.34</v>
      </c>
      <c r="P5840" s="71" t="n">
        <v>29946.41</v>
      </c>
      <c r="Q5840" s="71" t="n">
        <v>23268.93</v>
      </c>
      <c r="R5840" t="inlineStr">
        <is>
          <t>Vaccines</t>
        </is>
      </c>
      <c r="S5840" s="70" t="n">
        <v>631</v>
      </c>
      <c r="T5840" s="71" t="n">
        <v>11821.3</v>
      </c>
      <c r="U5840" t="inlineStr">
        <is>
          <t>Low</t>
        </is>
      </c>
      <c r="V5840">
        <f>IF(AND(OR(Dashboard!$C$6="All",E5840=Dashboard!$C$6),OR(Dashboard!$F$6="All",G5840=Dashboard!$F$6),OR(Dashboard!$I$6="All",H5840=Dashboard!$I$6)),1,0)</f>
        <v/>
      </c>
    </row>
    <row r="5841">
      <c r="A5841" t="inlineStr">
        <is>
          <t>PF105832</t>
        </is>
      </c>
      <c r="B5841" s="68" t="n">
        <v>46366</v>
      </c>
      <c r="C5841" s="69" t="n">
        <v>2026</v>
      </c>
      <c r="D5841" t="inlineStr">
        <is>
          <t>Dec</t>
        </is>
      </c>
      <c r="E5841" t="inlineStr">
        <is>
          <t>United States</t>
        </is>
      </c>
      <c r="F5841" t="inlineStr">
        <is>
          <t>USA</t>
        </is>
      </c>
      <c r="G5841" t="inlineStr">
        <is>
          <t>Prevnar 20</t>
        </is>
      </c>
      <c r="H5841" t="inlineStr">
        <is>
          <t>Hospital</t>
        </is>
      </c>
      <c r="I5841" t="inlineStr">
        <is>
          <t>Self-pay</t>
        </is>
      </c>
      <c r="J5841" t="inlineStr">
        <is>
          <t>Noah Smith</t>
        </is>
      </c>
      <c r="K5841" s="70" t="n">
        <v>462</v>
      </c>
      <c r="L5841" s="71" t="n">
        <v>379.25</v>
      </c>
      <c r="M5841" s="71" t="n">
        <v>175213.5</v>
      </c>
      <c r="N5841" s="71" t="n">
        <v>61324.72</v>
      </c>
      <c r="O5841" s="71" t="n">
        <v>113888.78</v>
      </c>
      <c r="P5841" s="71" t="n">
        <v>32344.76</v>
      </c>
      <c r="Q5841" s="71" t="n">
        <v>81544.02</v>
      </c>
      <c r="R5841" t="inlineStr">
        <is>
          <t>Vaccines</t>
        </is>
      </c>
      <c r="S5841" s="70" t="n">
        <v>310</v>
      </c>
      <c r="T5841" s="71" t="n">
        <v>25748.07</v>
      </c>
      <c r="U5841" t="inlineStr">
        <is>
          <t>Low</t>
        </is>
      </c>
      <c r="V5841">
        <f>IF(AND(OR(Dashboard!$C$6="All",E5841=Dashboard!$C$6),OR(Dashboard!$F$6="All",G5841=Dashboard!$F$6),OR(Dashboard!$I$6="All",H5841=Dashboard!$I$6)),1,0)</f>
        <v/>
      </c>
    </row>
    <row r="5842">
      <c r="A5842" t="inlineStr">
        <is>
          <t>PF105833</t>
        </is>
      </c>
      <c r="B5842" s="68" t="n">
        <v>46366</v>
      </c>
      <c r="C5842" s="69" t="n">
        <v>2026</v>
      </c>
      <c r="D5842" t="inlineStr">
        <is>
          <t>Dec</t>
        </is>
      </c>
      <c r="E5842" t="inlineStr">
        <is>
          <t>Europe</t>
        </is>
      </c>
      <c r="F5842" t="inlineStr">
        <is>
          <t>France</t>
        </is>
      </c>
      <c r="G5842" t="inlineStr">
        <is>
          <t>Eliquis</t>
        </is>
      </c>
      <c r="H5842" t="inlineStr">
        <is>
          <t>Hospital</t>
        </is>
      </c>
      <c r="I5842" t="inlineStr">
        <is>
          <t>Public payer</t>
        </is>
      </c>
      <c r="J5842" t="inlineStr">
        <is>
          <t>Carlos Silva</t>
        </is>
      </c>
      <c r="K5842" s="70" t="n">
        <v>2910</v>
      </c>
      <c r="L5842" s="71" t="n">
        <v>422.38</v>
      </c>
      <c r="M5842" s="71" t="n">
        <v>1229125.8</v>
      </c>
      <c r="N5842" s="71" t="n">
        <v>184368.87</v>
      </c>
      <c r="O5842" s="71" t="n">
        <v>1044756.93</v>
      </c>
      <c r="P5842" s="71" t="n">
        <v>216807.03</v>
      </c>
      <c r="Q5842" s="71" t="n">
        <v>827949.9</v>
      </c>
      <c r="R5842" t="inlineStr">
        <is>
          <t>Cardiology</t>
        </is>
      </c>
      <c r="S5842" s="70" t="n">
        <v>2674</v>
      </c>
      <c r="T5842" s="71" t="n">
        <v>176038.38</v>
      </c>
      <c r="U5842" t="inlineStr">
        <is>
          <t>High</t>
        </is>
      </c>
      <c r="V5842">
        <f>IF(AND(OR(Dashboard!$C$6="All",E5842=Dashboard!$C$6),OR(Dashboard!$F$6="All",G5842=Dashboard!$F$6),OR(Dashboard!$I$6="All",H5842=Dashboard!$I$6)),1,0)</f>
        <v/>
      </c>
    </row>
    <row r="5843">
      <c r="A5843" t="inlineStr">
        <is>
          <t>PF105834</t>
        </is>
      </c>
      <c r="B5843" s="68" t="n">
        <v>46366</v>
      </c>
      <c r="C5843" s="69" t="n">
        <v>2026</v>
      </c>
      <c r="D5843" t="inlineStr">
        <is>
          <t>Dec</t>
        </is>
      </c>
      <c r="E5843" t="inlineStr">
        <is>
          <t>Europe</t>
        </is>
      </c>
      <c r="F5843" t="inlineStr">
        <is>
          <t>France</t>
        </is>
      </c>
      <c r="G5843" t="inlineStr">
        <is>
          <t>Paxlovid</t>
        </is>
      </c>
      <c r="H5843" t="inlineStr">
        <is>
          <t>Hospital</t>
        </is>
      </c>
      <c r="I5843" t="inlineStr">
        <is>
          <t>Private insurer</t>
        </is>
      </c>
      <c r="J5843" t="inlineStr">
        <is>
          <t>Carlos Silva</t>
        </is>
      </c>
      <c r="K5843" s="70" t="n">
        <v>2912</v>
      </c>
      <c r="L5843" s="71" t="n">
        <v>905.04</v>
      </c>
      <c r="M5843" s="71" t="n">
        <v>2635476.48</v>
      </c>
      <c r="N5843" s="71" t="n">
        <v>527095.3</v>
      </c>
      <c r="O5843" s="71" t="n">
        <v>2108381.18</v>
      </c>
      <c r="P5843" s="71" t="n">
        <v>819265.98</v>
      </c>
      <c r="Q5843" s="71" t="n">
        <v>1289115.2</v>
      </c>
      <c r="R5843" t="inlineStr">
        <is>
          <t>Antiviral</t>
        </is>
      </c>
      <c r="S5843" s="70" t="n">
        <v>2363</v>
      </c>
      <c r="T5843" s="71" t="n">
        <v>578209.05</v>
      </c>
      <c r="U5843" t="inlineStr">
        <is>
          <t>Low</t>
        </is>
      </c>
      <c r="V5843">
        <f>IF(AND(OR(Dashboard!$C$6="All",E5843=Dashboard!$C$6),OR(Dashboard!$F$6="All",G5843=Dashboard!$F$6),OR(Dashboard!$I$6="All",H5843=Dashboard!$I$6)),1,0)</f>
        <v/>
      </c>
    </row>
    <row r="5844">
      <c r="A5844" t="inlineStr">
        <is>
          <t>PF105835</t>
        </is>
      </c>
      <c r="B5844" s="68" t="n">
        <v>46366</v>
      </c>
      <c r="C5844" s="69" t="n">
        <v>2026</v>
      </c>
      <c r="D5844" t="inlineStr">
        <is>
          <t>Dec</t>
        </is>
      </c>
      <c r="E5844" t="inlineStr">
        <is>
          <t>International developed</t>
        </is>
      </c>
      <c r="F5844" t="inlineStr">
        <is>
          <t>Canada</t>
        </is>
      </c>
      <c r="G5844" t="inlineStr">
        <is>
          <t>Eliquis</t>
        </is>
      </c>
      <c r="H5844" t="inlineStr">
        <is>
          <t>Retail pharmacy</t>
        </is>
      </c>
      <c r="I5844" t="inlineStr">
        <is>
          <t>Public payer</t>
        </is>
      </c>
      <c r="J5844" t="inlineStr">
        <is>
          <t>Yuki Sato</t>
        </is>
      </c>
      <c r="K5844" s="70" t="n">
        <v>3210</v>
      </c>
      <c r="L5844" s="71" t="n">
        <v>454.36</v>
      </c>
      <c r="M5844" s="71" t="n">
        <v>1458495.6</v>
      </c>
      <c r="N5844" s="71" t="n">
        <v>364623.9</v>
      </c>
      <c r="O5844" s="71" t="n">
        <v>1093871.7</v>
      </c>
      <c r="P5844" s="71" t="n">
        <v>236572.39</v>
      </c>
      <c r="Q5844" s="71" t="n">
        <v>857299.3100000001</v>
      </c>
      <c r="R5844" t="inlineStr">
        <is>
          <t>Cardiology</t>
        </is>
      </c>
      <c r="S5844" s="70" t="n">
        <v>3129</v>
      </c>
      <c r="T5844" s="71" t="n">
        <v>295726.8</v>
      </c>
      <c r="U5844" t="inlineStr">
        <is>
          <t>High</t>
        </is>
      </c>
      <c r="V5844">
        <f>IF(AND(OR(Dashboard!$C$6="All",E5844=Dashboard!$C$6),OR(Dashboard!$F$6="All",G5844=Dashboard!$F$6),OR(Dashboard!$I$6="All",H5844=Dashboard!$I$6)),1,0)</f>
        <v/>
      </c>
    </row>
    <row r="5845">
      <c r="A5845" t="inlineStr">
        <is>
          <t>PF105836</t>
        </is>
      </c>
      <c r="B5845" s="68" t="n">
        <v>46366</v>
      </c>
      <c r="C5845" s="69" t="n">
        <v>2026</v>
      </c>
      <c r="D5845" t="inlineStr">
        <is>
          <t>Dec</t>
        </is>
      </c>
      <c r="E5845" t="inlineStr">
        <is>
          <t>Europe</t>
        </is>
      </c>
      <c r="F5845" t="inlineStr">
        <is>
          <t>Germany</t>
        </is>
      </c>
      <c r="G5845" t="inlineStr">
        <is>
          <t>Comirnaty</t>
        </is>
      </c>
      <c r="H5845" t="inlineStr">
        <is>
          <t>Retail pharmacy</t>
        </is>
      </c>
      <c r="I5845" t="inlineStr">
        <is>
          <t>Private insurer</t>
        </is>
      </c>
      <c r="J5845" t="inlineStr">
        <is>
          <t>Wei Chen</t>
        </is>
      </c>
      <c r="K5845" s="70" t="n">
        <v>2212</v>
      </c>
      <c r="L5845" s="71" t="n">
        <v>89.36</v>
      </c>
      <c r="M5845" s="71" t="n">
        <v>197664.32</v>
      </c>
      <c r="N5845" s="71" t="n">
        <v>49416.08</v>
      </c>
      <c r="O5845" s="71" t="n">
        <v>148248.24</v>
      </c>
      <c r="P5845" s="71" t="n">
        <v>82707.78999999999</v>
      </c>
      <c r="Q5845" s="71" t="n">
        <v>65540.45</v>
      </c>
      <c r="R5845" t="inlineStr">
        <is>
          <t>Vaccines</t>
        </is>
      </c>
      <c r="S5845" s="70" t="n">
        <v>1705</v>
      </c>
      <c r="T5845" s="71" t="n">
        <v>45159.83</v>
      </c>
      <c r="U5845" t="inlineStr">
        <is>
          <t>Low</t>
        </is>
      </c>
      <c r="V5845">
        <f>IF(AND(OR(Dashboard!$C$6="All",E5845=Dashboard!$C$6),OR(Dashboard!$F$6="All",G5845=Dashboard!$F$6),OR(Dashboard!$I$6="All",H5845=Dashboard!$I$6)),1,0)</f>
        <v/>
      </c>
    </row>
    <row r="5846">
      <c r="A5846" t="inlineStr">
        <is>
          <t>PF105837</t>
        </is>
      </c>
      <c r="B5846" s="68" t="n">
        <v>46366</v>
      </c>
      <c r="C5846" s="69" t="n">
        <v>2026</v>
      </c>
      <c r="D5846" t="inlineStr">
        <is>
          <t>Dec</t>
        </is>
      </c>
      <c r="E5846" t="inlineStr">
        <is>
          <t>Europe</t>
        </is>
      </c>
      <c r="F5846" t="inlineStr">
        <is>
          <t>France</t>
        </is>
      </c>
      <c r="G5846" t="inlineStr">
        <is>
          <t>Xeljanz</t>
        </is>
      </c>
      <c r="H5846" t="inlineStr">
        <is>
          <t>Government / tender</t>
        </is>
      </c>
      <c r="I5846" t="inlineStr">
        <is>
          <t>Private insurer</t>
        </is>
      </c>
      <c r="J5846" t="inlineStr">
        <is>
          <t>Olivia Brown</t>
        </is>
      </c>
      <c r="K5846" s="70" t="n">
        <v>2231</v>
      </c>
      <c r="L5846" s="71" t="n">
        <v>1224.14</v>
      </c>
      <c r="M5846" s="71" t="n">
        <v>2731056.34</v>
      </c>
      <c r="N5846" s="71" t="n">
        <v>273105.63</v>
      </c>
      <c r="O5846" s="71" t="n">
        <v>2457950.71</v>
      </c>
      <c r="P5846" s="71" t="n">
        <v>565115.73</v>
      </c>
      <c r="Q5846" s="71" t="n">
        <v>1892834.98</v>
      </c>
      <c r="R5846" t="inlineStr">
        <is>
          <t>Inflammation</t>
        </is>
      </c>
      <c r="S5846" s="70" t="n">
        <v>2211</v>
      </c>
      <c r="T5846" s="71" t="n">
        <v>431635.78</v>
      </c>
      <c r="U5846" t="inlineStr">
        <is>
          <t>High</t>
        </is>
      </c>
      <c r="V5846">
        <f>IF(AND(OR(Dashboard!$C$6="All",E5846=Dashboard!$C$6),OR(Dashboard!$F$6="All",G5846=Dashboard!$F$6),OR(Dashboard!$I$6="All",H5846=Dashboard!$I$6)),1,0)</f>
        <v/>
      </c>
    </row>
    <row r="5847">
      <c r="A5847" t="inlineStr">
        <is>
          <t>PF105838</t>
        </is>
      </c>
      <c r="B5847" s="68" t="n">
        <v>46366</v>
      </c>
      <c r="C5847" s="69" t="n">
        <v>2026</v>
      </c>
      <c r="D5847" t="inlineStr">
        <is>
          <t>Dec</t>
        </is>
      </c>
      <c r="E5847" t="inlineStr">
        <is>
          <t>International developed</t>
        </is>
      </c>
      <c r="F5847" t="inlineStr">
        <is>
          <t>Canada</t>
        </is>
      </c>
      <c r="G5847" t="inlineStr">
        <is>
          <t>Prevnar 20</t>
        </is>
      </c>
      <c r="H5847" t="inlineStr">
        <is>
          <t>Government / tender</t>
        </is>
      </c>
      <c r="I5847" t="inlineStr">
        <is>
          <t>Private insurer</t>
        </is>
      </c>
      <c r="J5847" t="inlineStr">
        <is>
          <t>Carlos Silva</t>
        </is>
      </c>
      <c r="K5847" s="70" t="n">
        <v>1974</v>
      </c>
      <c r="L5847" s="71" t="n">
        <v>237.14</v>
      </c>
      <c r="M5847" s="71" t="n">
        <v>468114.36</v>
      </c>
      <c r="N5847" s="71" t="n">
        <v>70217.14999999999</v>
      </c>
      <c r="O5847" s="71" t="n">
        <v>397897.21</v>
      </c>
      <c r="P5847" s="71" t="n">
        <v>135588.18</v>
      </c>
      <c r="Q5847" s="71" t="n">
        <v>262309.03</v>
      </c>
      <c r="R5847" t="inlineStr">
        <is>
          <t>Vaccines</t>
        </is>
      </c>
      <c r="S5847" s="70" t="n">
        <v>1603</v>
      </c>
      <c r="T5847" s="71" t="n">
        <v>97522.48</v>
      </c>
      <c r="U5847" t="inlineStr">
        <is>
          <t>Low</t>
        </is>
      </c>
      <c r="V5847">
        <f>IF(AND(OR(Dashboard!$C$6="All",E5847=Dashboard!$C$6),OR(Dashboard!$F$6="All",G5847=Dashboard!$F$6),OR(Dashboard!$I$6="All",H5847=Dashboard!$I$6)),1,0)</f>
        <v/>
      </c>
    </row>
    <row r="5848">
      <c r="A5848" t="inlineStr">
        <is>
          <t>PF105839</t>
        </is>
      </c>
      <c r="B5848" s="68" t="n">
        <v>46366</v>
      </c>
      <c r="C5848" s="69" t="n">
        <v>2026</v>
      </c>
      <c r="D5848" t="inlineStr">
        <is>
          <t>Dec</t>
        </is>
      </c>
      <c r="E5848" t="inlineStr">
        <is>
          <t>International developed</t>
        </is>
      </c>
      <c r="F5848" t="inlineStr">
        <is>
          <t>Japan</t>
        </is>
      </c>
      <c r="G5848" t="inlineStr">
        <is>
          <t>Vyndaqel</t>
        </is>
      </c>
      <c r="H5848" t="inlineStr">
        <is>
          <t>Hospital</t>
        </is>
      </c>
      <c r="I5848" t="inlineStr">
        <is>
          <t>Private insurer</t>
        </is>
      </c>
      <c r="J5848" t="inlineStr">
        <is>
          <t>Arjun Mehta</t>
        </is>
      </c>
      <c r="K5848" s="70" t="n">
        <v>1874</v>
      </c>
      <c r="L5848" s="71" t="n">
        <v>6218.96</v>
      </c>
      <c r="M5848" s="71" t="n">
        <v>11654331.04</v>
      </c>
      <c r="N5848" s="71" t="n">
        <v>2913582.76</v>
      </c>
      <c r="O5848" s="71" t="n">
        <v>8740748.279999999</v>
      </c>
      <c r="P5848" s="71" t="n">
        <v>1182175.58</v>
      </c>
      <c r="Q5848" s="71" t="n">
        <v>7558572.7</v>
      </c>
      <c r="R5848" t="inlineStr">
        <is>
          <t>Rare disease</t>
        </is>
      </c>
      <c r="S5848" s="70" t="n">
        <v>1465</v>
      </c>
      <c r="T5848" s="71" t="n">
        <v>2294121.32</v>
      </c>
      <c r="U5848" t="inlineStr">
        <is>
          <t>Medium</t>
        </is>
      </c>
      <c r="V5848">
        <f>IF(AND(OR(Dashboard!$C$6="All",E5848=Dashboard!$C$6),OR(Dashboard!$F$6="All",G5848=Dashboard!$F$6),OR(Dashboard!$I$6="All",H5848=Dashboard!$I$6)),1,0)</f>
        <v/>
      </c>
    </row>
    <row r="5849">
      <c r="A5849" t="inlineStr">
        <is>
          <t>PF105840</t>
        </is>
      </c>
      <c r="B5849" s="68" t="n">
        <v>46366</v>
      </c>
      <c r="C5849" s="69" t="n">
        <v>2026</v>
      </c>
      <c r="D5849" t="inlineStr">
        <is>
          <t>Dec</t>
        </is>
      </c>
      <c r="E5849" t="inlineStr">
        <is>
          <t>Europe</t>
        </is>
      </c>
      <c r="F5849" t="inlineStr">
        <is>
          <t>Italy</t>
        </is>
      </c>
      <c r="G5849" t="inlineStr">
        <is>
          <t>Eliquis</t>
        </is>
      </c>
      <c r="H5849" t="inlineStr">
        <is>
          <t>Retail pharmacy</t>
        </is>
      </c>
      <c r="I5849" t="inlineStr">
        <is>
          <t>Public payer</t>
        </is>
      </c>
      <c r="J5849" t="inlineStr">
        <is>
          <t>Ruhi Shaikh</t>
        </is>
      </c>
      <c r="K5849" s="70" t="n">
        <v>3103</v>
      </c>
      <c r="L5849" s="71" t="n">
        <v>413.32</v>
      </c>
      <c r="M5849" s="71" t="n">
        <v>1282531.96</v>
      </c>
      <c r="N5849" s="71" t="n">
        <v>320632.99</v>
      </c>
      <c r="O5849" s="71" t="n">
        <v>961898.97</v>
      </c>
      <c r="P5849" s="71" t="n">
        <v>235906.59</v>
      </c>
      <c r="Q5849" s="71" t="n">
        <v>725992.38</v>
      </c>
      <c r="R5849" t="inlineStr">
        <is>
          <t>Cardiology</t>
        </is>
      </c>
      <c r="S5849" s="70" t="n">
        <v>2042</v>
      </c>
      <c r="T5849" s="71" t="n">
        <v>153225.8</v>
      </c>
      <c r="U5849" t="inlineStr">
        <is>
          <t>High</t>
        </is>
      </c>
      <c r="V5849">
        <f>IF(AND(OR(Dashboard!$C$6="All",E5849=Dashboard!$C$6),OR(Dashboard!$F$6="All",G5849=Dashboard!$F$6),OR(Dashboard!$I$6="All",H5849=Dashboard!$I$6)),1,0)</f>
        <v/>
      </c>
    </row>
    <row r="5850">
      <c r="A5850" t="inlineStr">
        <is>
          <t>PF105841</t>
        </is>
      </c>
      <c r="B5850" s="68" t="n">
        <v>46366</v>
      </c>
      <c r="C5850" s="69" t="n">
        <v>2026</v>
      </c>
      <c r="D5850" t="inlineStr">
        <is>
          <t>Dec</t>
        </is>
      </c>
      <c r="E5850" t="inlineStr">
        <is>
          <t>United States</t>
        </is>
      </c>
      <c r="F5850" t="inlineStr">
        <is>
          <t>USA</t>
        </is>
      </c>
      <c r="G5850" t="inlineStr">
        <is>
          <t>Xeljanz</t>
        </is>
      </c>
      <c r="H5850" t="inlineStr">
        <is>
          <t>Retail pharmacy</t>
        </is>
      </c>
      <c r="I5850" t="inlineStr">
        <is>
          <t>Private insurer</t>
        </is>
      </c>
      <c r="J5850" t="inlineStr">
        <is>
          <t>Priya Nair</t>
        </is>
      </c>
      <c r="K5850" s="70" t="n">
        <v>576</v>
      </c>
      <c r="L5850" s="71" t="n">
        <v>2166.8</v>
      </c>
      <c r="M5850" s="71" t="n">
        <v>1248076.8</v>
      </c>
      <c r="N5850" s="71" t="n">
        <v>436826.88</v>
      </c>
      <c r="O5850" s="71" t="n">
        <v>811249.92</v>
      </c>
      <c r="P5850" s="71" t="n">
        <v>142874.6</v>
      </c>
      <c r="Q5850" s="71" t="n">
        <v>668375.3199999999</v>
      </c>
      <c r="R5850" t="inlineStr">
        <is>
          <t>Inflammation</t>
        </is>
      </c>
      <c r="S5850" s="70" t="n">
        <v>377</v>
      </c>
      <c r="T5850" s="71" t="n">
        <v>244638.56</v>
      </c>
      <c r="U5850" t="inlineStr">
        <is>
          <t>High</t>
        </is>
      </c>
      <c r="V5850">
        <f>IF(AND(OR(Dashboard!$C$6="All",E5850=Dashboard!$C$6),OR(Dashboard!$F$6="All",G5850=Dashboard!$F$6),OR(Dashboard!$I$6="All",H5850=Dashboard!$I$6)),1,0)</f>
        <v/>
      </c>
    </row>
    <row r="5851">
      <c r="A5851" t="inlineStr">
        <is>
          <t>PF105842</t>
        </is>
      </c>
      <c r="B5851" s="68" t="n">
        <v>46367</v>
      </c>
      <c r="C5851" s="69" t="n">
        <v>2026</v>
      </c>
      <c r="D5851" t="inlineStr">
        <is>
          <t>Dec</t>
        </is>
      </c>
      <c r="E5851" t="inlineStr">
        <is>
          <t>United States</t>
        </is>
      </c>
      <c r="F5851" t="inlineStr">
        <is>
          <t>USA</t>
        </is>
      </c>
      <c r="G5851" t="inlineStr">
        <is>
          <t>Vyndaqel</t>
        </is>
      </c>
      <c r="H5851" t="inlineStr">
        <is>
          <t>Retail pharmacy</t>
        </is>
      </c>
      <c r="I5851" t="inlineStr">
        <is>
          <t>Public payer</t>
        </is>
      </c>
      <c r="J5851" t="inlineStr">
        <is>
          <t>Kofi Mensah</t>
        </is>
      </c>
      <c r="K5851" s="70" t="n">
        <v>1273</v>
      </c>
      <c r="L5851" s="71" t="n">
        <v>8967.280000000001</v>
      </c>
      <c r="M5851" s="71" t="n">
        <v>11415347.44</v>
      </c>
      <c r="N5851" s="71" t="n">
        <v>2283069.49</v>
      </c>
      <c r="O5851" s="71" t="n">
        <v>9132277.949999999</v>
      </c>
      <c r="P5851" s="71" t="n">
        <v>765701.2</v>
      </c>
      <c r="Q5851" s="71" t="n">
        <v>8366576.75</v>
      </c>
      <c r="R5851" t="inlineStr">
        <is>
          <t>Rare disease</t>
        </is>
      </c>
      <c r="S5851" s="70" t="n">
        <v>968</v>
      </c>
      <c r="T5851" s="71" t="n">
        <v>2235462.48</v>
      </c>
      <c r="U5851" t="inlineStr">
        <is>
          <t>Medium</t>
        </is>
      </c>
      <c r="V5851">
        <f>IF(AND(OR(Dashboard!$C$6="All",E5851=Dashboard!$C$6),OR(Dashboard!$F$6="All",G5851=Dashboard!$F$6),OR(Dashboard!$I$6="All",H5851=Dashboard!$I$6)),1,0)</f>
        <v/>
      </c>
    </row>
    <row r="5852">
      <c r="A5852" t="inlineStr">
        <is>
          <t>PF105843</t>
        </is>
      </c>
      <c r="B5852" s="68" t="n">
        <v>46367</v>
      </c>
      <c r="C5852" s="69" t="n">
        <v>2026</v>
      </c>
      <c r="D5852" t="inlineStr">
        <is>
          <t>Dec</t>
        </is>
      </c>
      <c r="E5852" t="inlineStr">
        <is>
          <t>International developed</t>
        </is>
      </c>
      <c r="F5852" t="inlineStr">
        <is>
          <t>Australia</t>
        </is>
      </c>
      <c r="G5852" t="inlineStr">
        <is>
          <t>Prevnar 20</t>
        </is>
      </c>
      <c r="H5852" t="inlineStr">
        <is>
          <t>Government / tender</t>
        </is>
      </c>
      <c r="I5852" t="inlineStr">
        <is>
          <t>Private insurer</t>
        </is>
      </c>
      <c r="J5852" t="inlineStr">
        <is>
          <t>Wei Chen</t>
        </is>
      </c>
      <c r="K5852" s="70" t="n">
        <v>1072</v>
      </c>
      <c r="L5852" s="71" t="n">
        <v>220.26</v>
      </c>
      <c r="M5852" s="71" t="n">
        <v>236118.72</v>
      </c>
      <c r="N5852" s="71" t="n">
        <v>59029.68</v>
      </c>
      <c r="O5852" s="71" t="n">
        <v>177089.04</v>
      </c>
      <c r="P5852" s="71" t="n">
        <v>76370.02</v>
      </c>
      <c r="Q5852" s="71" t="n">
        <v>100719.02</v>
      </c>
      <c r="R5852" t="inlineStr">
        <is>
          <t>Vaccines</t>
        </is>
      </c>
      <c r="S5852" s="70" t="n">
        <v>841</v>
      </c>
      <c r="T5852" s="71" t="n">
        <v>40797.04</v>
      </c>
      <c r="U5852" t="inlineStr">
        <is>
          <t>Low</t>
        </is>
      </c>
      <c r="V5852">
        <f>IF(AND(OR(Dashboard!$C$6="All",E5852=Dashboard!$C$6),OR(Dashboard!$F$6="All",G5852=Dashboard!$F$6),OR(Dashboard!$I$6="All",H5852=Dashboard!$I$6)),1,0)</f>
        <v/>
      </c>
    </row>
    <row r="5853">
      <c r="A5853" t="inlineStr">
        <is>
          <t>PF105844</t>
        </is>
      </c>
      <c r="B5853" s="68" t="n">
        <v>46367</v>
      </c>
      <c r="C5853" s="69" t="n">
        <v>2026</v>
      </c>
      <c r="D5853" t="inlineStr">
        <is>
          <t>Dec</t>
        </is>
      </c>
      <c r="E5853" t="inlineStr">
        <is>
          <t>United States</t>
        </is>
      </c>
      <c r="F5853" t="inlineStr">
        <is>
          <t>USA</t>
        </is>
      </c>
      <c r="G5853" t="inlineStr">
        <is>
          <t>Xeljanz</t>
        </is>
      </c>
      <c r="H5853" t="inlineStr">
        <is>
          <t>Government / tender</t>
        </is>
      </c>
      <c r="I5853" t="inlineStr">
        <is>
          <t>Public payer</t>
        </is>
      </c>
      <c r="J5853" t="inlineStr">
        <is>
          <t>Noah Smith</t>
        </is>
      </c>
      <c r="K5853" s="70" t="n">
        <v>2614</v>
      </c>
      <c r="L5853" s="71" t="n">
        <v>2171.34</v>
      </c>
      <c r="M5853" s="71" t="n">
        <v>5675882.76</v>
      </c>
      <c r="N5853" s="71" t="n">
        <v>1135176.55</v>
      </c>
      <c r="O5853" s="71" t="n">
        <v>4540706.21</v>
      </c>
      <c r="P5853" s="71" t="n">
        <v>662662.4399999999</v>
      </c>
      <c r="Q5853" s="71" t="n">
        <v>3878043.77</v>
      </c>
      <c r="R5853" t="inlineStr">
        <is>
          <t>Inflammation</t>
        </is>
      </c>
      <c r="S5853" s="70" t="n">
        <v>2179</v>
      </c>
      <c r="T5853" s="71" t="n">
        <v>883528.77</v>
      </c>
      <c r="U5853" t="inlineStr">
        <is>
          <t>High</t>
        </is>
      </c>
      <c r="V5853">
        <f>IF(AND(OR(Dashboard!$C$6="All",E5853=Dashboard!$C$6),OR(Dashboard!$F$6="All",G5853=Dashboard!$F$6),OR(Dashboard!$I$6="All",H5853=Dashboard!$I$6)),1,0)</f>
        <v/>
      </c>
    </row>
    <row r="5854">
      <c r="A5854" t="inlineStr">
        <is>
          <t>PF105845</t>
        </is>
      </c>
      <c r="B5854" s="68" t="n">
        <v>46367</v>
      </c>
      <c r="C5854" s="69" t="n">
        <v>2026</v>
      </c>
      <c r="D5854" t="inlineStr">
        <is>
          <t>Dec</t>
        </is>
      </c>
      <c r="E5854" t="inlineStr">
        <is>
          <t>Europe</t>
        </is>
      </c>
      <c r="F5854" t="inlineStr">
        <is>
          <t>Italy</t>
        </is>
      </c>
      <c r="G5854" t="inlineStr">
        <is>
          <t>Ibrance</t>
        </is>
      </c>
      <c r="H5854" t="inlineStr">
        <is>
          <t>Hospital</t>
        </is>
      </c>
      <c r="I5854" t="inlineStr">
        <is>
          <t>Private insurer</t>
        </is>
      </c>
      <c r="J5854" t="inlineStr">
        <is>
          <t>Emma Clarke</t>
        </is>
      </c>
      <c r="K5854" s="70" t="n">
        <v>2224</v>
      </c>
      <c r="L5854" s="71" t="n">
        <v>2856.12</v>
      </c>
      <c r="M5854" s="71" t="n">
        <v>6352010.88</v>
      </c>
      <c r="N5854" s="71" t="n">
        <v>317600.54</v>
      </c>
      <c r="O5854" s="71" t="n">
        <v>6034410.34</v>
      </c>
      <c r="P5854" s="71" t="n">
        <v>956851.53</v>
      </c>
      <c r="Q5854" s="71" t="n">
        <v>5077558.81</v>
      </c>
      <c r="R5854" t="inlineStr">
        <is>
          <t>Oncology</t>
        </is>
      </c>
      <c r="S5854" s="70" t="n">
        <v>2207</v>
      </c>
      <c r="T5854" s="71" t="n">
        <v>942048.41</v>
      </c>
      <c r="U5854" t="inlineStr">
        <is>
          <t>High</t>
        </is>
      </c>
      <c r="V5854">
        <f>IF(AND(OR(Dashboard!$C$6="All",E5854=Dashboard!$C$6),OR(Dashboard!$F$6="All",G5854=Dashboard!$F$6),OR(Dashboard!$I$6="All",H5854=Dashboard!$I$6)),1,0)</f>
        <v/>
      </c>
    </row>
    <row r="5855">
      <c r="A5855" t="inlineStr">
        <is>
          <t>PF105846</t>
        </is>
      </c>
      <c r="B5855" s="68" t="n">
        <v>46367</v>
      </c>
      <c r="C5855" s="69" t="n">
        <v>2026</v>
      </c>
      <c r="D5855" t="inlineStr">
        <is>
          <t>Dec</t>
        </is>
      </c>
      <c r="E5855" t="inlineStr">
        <is>
          <t>United States</t>
        </is>
      </c>
      <c r="F5855" t="inlineStr">
        <is>
          <t>USA</t>
        </is>
      </c>
      <c r="G5855" t="inlineStr">
        <is>
          <t>Prevnar 20</t>
        </is>
      </c>
      <c r="H5855" t="inlineStr">
        <is>
          <t>Retail pharmacy</t>
        </is>
      </c>
      <c r="I5855" t="inlineStr">
        <is>
          <t>Public payer</t>
        </is>
      </c>
      <c r="J5855" t="inlineStr">
        <is>
          <t>Lucas Martin</t>
        </is>
      </c>
      <c r="K5855" s="70" t="n">
        <v>1083</v>
      </c>
      <c r="L5855" s="71" t="n">
        <v>401.62</v>
      </c>
      <c r="M5855" s="71" t="n">
        <v>434954.46</v>
      </c>
      <c r="N5855" s="71" t="n">
        <v>86990.89</v>
      </c>
      <c r="O5855" s="71" t="n">
        <v>347963.57</v>
      </c>
      <c r="P5855" s="71" t="n">
        <v>72715.17</v>
      </c>
      <c r="Q5855" s="71" t="n">
        <v>275248.4</v>
      </c>
      <c r="R5855" t="inlineStr">
        <is>
          <t>Vaccines</t>
        </is>
      </c>
      <c r="S5855" s="70" t="n">
        <v>759</v>
      </c>
      <c r="T5855" s="71" t="n">
        <v>64495.01</v>
      </c>
      <c r="U5855" t="inlineStr">
        <is>
          <t>Low</t>
        </is>
      </c>
      <c r="V5855">
        <f>IF(AND(OR(Dashboard!$C$6="All",E5855=Dashboard!$C$6),OR(Dashboard!$F$6="All",G5855=Dashboard!$F$6),OR(Dashboard!$I$6="All",H5855=Dashboard!$I$6)),1,0)</f>
        <v/>
      </c>
    </row>
    <row r="5856">
      <c r="A5856" t="inlineStr">
        <is>
          <t>PF105847</t>
        </is>
      </c>
      <c r="B5856" s="68" t="n">
        <v>46368</v>
      </c>
      <c r="C5856" s="69" t="n">
        <v>2026</v>
      </c>
      <c r="D5856" t="inlineStr">
        <is>
          <t>Dec</t>
        </is>
      </c>
      <c r="E5856" t="inlineStr">
        <is>
          <t>Europe</t>
        </is>
      </c>
      <c r="F5856" t="inlineStr">
        <is>
          <t>Italy</t>
        </is>
      </c>
      <c r="G5856" t="inlineStr">
        <is>
          <t>Eliquis</t>
        </is>
      </c>
      <c r="H5856" t="inlineStr">
        <is>
          <t>Hospital</t>
        </is>
      </c>
      <c r="I5856" t="inlineStr">
        <is>
          <t>Public payer</t>
        </is>
      </c>
      <c r="J5856" t="inlineStr">
        <is>
          <t>Arjun Mehta</t>
        </is>
      </c>
      <c r="K5856" s="70" t="n">
        <v>1634</v>
      </c>
      <c r="L5856" s="71" t="n">
        <v>419.85</v>
      </c>
      <c r="M5856" s="71" t="n">
        <v>686034.9</v>
      </c>
      <c r="N5856" s="71" t="n">
        <v>102905.24</v>
      </c>
      <c r="O5856" s="71" t="n">
        <v>583129.66</v>
      </c>
      <c r="P5856" s="71" t="n">
        <v>122640.97</v>
      </c>
      <c r="Q5856" s="71" t="n">
        <v>460488.69</v>
      </c>
      <c r="R5856" t="inlineStr">
        <is>
          <t>Cardiology</t>
        </is>
      </c>
      <c r="S5856" s="70" t="n">
        <v>1278</v>
      </c>
      <c r="T5856" s="71" t="n">
        <v>118480.9</v>
      </c>
      <c r="U5856" t="inlineStr">
        <is>
          <t>High</t>
        </is>
      </c>
      <c r="V5856">
        <f>IF(AND(OR(Dashboard!$C$6="All",E5856=Dashboard!$C$6),OR(Dashboard!$F$6="All",G5856=Dashboard!$F$6),OR(Dashboard!$I$6="All",H5856=Dashboard!$I$6)),1,0)</f>
        <v/>
      </c>
    </row>
    <row r="5857">
      <c r="A5857" t="inlineStr">
        <is>
          <t>PF105848</t>
        </is>
      </c>
      <c r="B5857" s="68" t="n">
        <v>46368</v>
      </c>
      <c r="C5857" s="69" t="n">
        <v>2026</v>
      </c>
      <c r="D5857" t="inlineStr">
        <is>
          <t>Dec</t>
        </is>
      </c>
      <c r="E5857" t="inlineStr">
        <is>
          <t>Europe</t>
        </is>
      </c>
      <c r="F5857" t="inlineStr">
        <is>
          <t>France</t>
        </is>
      </c>
      <c r="G5857" t="inlineStr">
        <is>
          <t>Comirnaty</t>
        </is>
      </c>
      <c r="H5857" t="inlineStr">
        <is>
          <t>Government / tender</t>
        </is>
      </c>
      <c r="I5857" t="inlineStr">
        <is>
          <t>Private insurer</t>
        </is>
      </c>
      <c r="J5857" t="inlineStr">
        <is>
          <t>Liam O'Brien</t>
        </is>
      </c>
      <c r="K5857" s="70" t="n">
        <v>1743</v>
      </c>
      <c r="L5857" s="71" t="n">
        <v>95.92</v>
      </c>
      <c r="M5857" s="71" t="n">
        <v>167188.56</v>
      </c>
      <c r="N5857" s="71" t="n">
        <v>33437.71</v>
      </c>
      <c r="O5857" s="71" t="n">
        <v>133750.85</v>
      </c>
      <c r="P5857" s="71" t="n">
        <v>67193.23</v>
      </c>
      <c r="Q5857" s="71" t="n">
        <v>66557.62</v>
      </c>
      <c r="R5857" t="inlineStr">
        <is>
          <t>Vaccines</t>
        </is>
      </c>
      <c r="S5857" s="70" t="n">
        <v>1317</v>
      </c>
      <c r="T5857" s="71" t="n">
        <v>37214.49</v>
      </c>
      <c r="U5857" t="inlineStr">
        <is>
          <t>Low</t>
        </is>
      </c>
      <c r="V5857">
        <f>IF(AND(OR(Dashboard!$C$6="All",E5857=Dashboard!$C$6),OR(Dashboard!$F$6="All",G5857=Dashboard!$F$6),OR(Dashboard!$I$6="All",H5857=Dashboard!$I$6)),1,0)</f>
        <v/>
      </c>
    </row>
    <row r="5858">
      <c r="A5858" t="inlineStr">
        <is>
          <t>PF105849</t>
        </is>
      </c>
      <c r="B5858" s="68" t="n">
        <v>46368</v>
      </c>
      <c r="C5858" s="69" t="n">
        <v>2026</v>
      </c>
      <c r="D5858" t="inlineStr">
        <is>
          <t>Dec</t>
        </is>
      </c>
      <c r="E5858" t="inlineStr">
        <is>
          <t>United States</t>
        </is>
      </c>
      <c r="F5858" t="inlineStr">
        <is>
          <t>USA</t>
        </is>
      </c>
      <c r="G5858" t="inlineStr">
        <is>
          <t>Abrysvo</t>
        </is>
      </c>
      <c r="H5858" t="inlineStr">
        <is>
          <t>Government / tender</t>
        </is>
      </c>
      <c r="I5858" t="inlineStr">
        <is>
          <t>Private insurer</t>
        </is>
      </c>
      <c r="J5858" t="inlineStr">
        <is>
          <t>Ruhi Shaikh</t>
        </is>
      </c>
      <c r="K5858" s="70" t="n">
        <v>1772</v>
      </c>
      <c r="L5858" s="71" t="n">
        <v>553.25</v>
      </c>
      <c r="M5858" s="71" t="n">
        <v>980359</v>
      </c>
      <c r="N5858" s="71" t="n">
        <v>343125.65</v>
      </c>
      <c r="O5858" s="71" t="n">
        <v>637233.35</v>
      </c>
      <c r="P5858" s="71" t="n">
        <v>151909.06</v>
      </c>
      <c r="Q5858" s="71" t="n">
        <v>485324.29</v>
      </c>
      <c r="R5858" t="inlineStr">
        <is>
          <t>Vaccines</t>
        </is>
      </c>
      <c r="S5858" s="70" t="n">
        <v>1305</v>
      </c>
      <c r="T5858" s="71" t="n">
        <v>157788.78</v>
      </c>
      <c r="U5858" t="inlineStr">
        <is>
          <t>Low</t>
        </is>
      </c>
      <c r="V5858">
        <f>IF(AND(OR(Dashboard!$C$6="All",E5858=Dashboard!$C$6),OR(Dashboard!$F$6="All",G5858=Dashboard!$F$6),OR(Dashboard!$I$6="All",H5858=Dashboard!$I$6)),1,0)</f>
        <v/>
      </c>
    </row>
    <row r="5859">
      <c r="A5859" t="inlineStr">
        <is>
          <t>PF105850</t>
        </is>
      </c>
      <c r="B5859" s="68" t="n">
        <v>46368</v>
      </c>
      <c r="C5859" s="69" t="n">
        <v>2026</v>
      </c>
      <c r="D5859" t="inlineStr">
        <is>
          <t>Dec</t>
        </is>
      </c>
      <c r="E5859" t="inlineStr">
        <is>
          <t>International developed</t>
        </is>
      </c>
      <c r="F5859" t="inlineStr">
        <is>
          <t>Australia</t>
        </is>
      </c>
      <c r="G5859" t="inlineStr">
        <is>
          <t>Eliquis</t>
        </is>
      </c>
      <c r="H5859" t="inlineStr">
        <is>
          <t>Government / tender</t>
        </is>
      </c>
      <c r="I5859" t="inlineStr">
        <is>
          <t>Private insurer</t>
        </is>
      </c>
      <c r="J5859" t="inlineStr">
        <is>
          <t>Amir Khan</t>
        </is>
      </c>
      <c r="K5859" s="70" t="n">
        <v>955</v>
      </c>
      <c r="L5859" s="71" t="n">
        <v>458.22</v>
      </c>
      <c r="M5859" s="71" t="n">
        <v>437600.1</v>
      </c>
      <c r="N5859" s="71" t="n">
        <v>21880.01</v>
      </c>
      <c r="O5859" s="71" t="n">
        <v>415720.09</v>
      </c>
      <c r="P5859" s="71" t="n">
        <v>74065.13</v>
      </c>
      <c r="Q5859" s="71" t="n">
        <v>341654.96</v>
      </c>
      <c r="R5859" t="inlineStr">
        <is>
          <t>Cardiology</t>
        </is>
      </c>
      <c r="S5859" s="70" t="n">
        <v>876</v>
      </c>
      <c r="T5859" s="71" t="n">
        <v>90571.71000000001</v>
      </c>
      <c r="U5859" t="inlineStr">
        <is>
          <t>High</t>
        </is>
      </c>
      <c r="V5859">
        <f>IF(AND(OR(Dashboard!$C$6="All",E5859=Dashboard!$C$6),OR(Dashboard!$F$6="All",G5859=Dashboard!$F$6),OR(Dashboard!$I$6="All",H5859=Dashboard!$I$6)),1,0)</f>
        <v/>
      </c>
    </row>
    <row r="5860">
      <c r="A5860" t="inlineStr">
        <is>
          <t>PF105851</t>
        </is>
      </c>
      <c r="B5860" s="68" t="n">
        <v>46368</v>
      </c>
      <c r="C5860" s="69" t="n">
        <v>2026</v>
      </c>
      <c r="D5860" t="inlineStr">
        <is>
          <t>Dec</t>
        </is>
      </c>
      <c r="E5860" t="inlineStr">
        <is>
          <t>United States</t>
        </is>
      </c>
      <c r="F5860" t="inlineStr">
        <is>
          <t>USA</t>
        </is>
      </c>
      <c r="G5860" t="inlineStr">
        <is>
          <t>Xeljanz</t>
        </is>
      </c>
      <c r="H5860" t="inlineStr">
        <is>
          <t>Government / tender</t>
        </is>
      </c>
      <c r="I5860" t="inlineStr">
        <is>
          <t>Public payer</t>
        </is>
      </c>
      <c r="J5860" t="inlineStr">
        <is>
          <t>Fatima Al-Saud</t>
        </is>
      </c>
      <c r="K5860" s="70" t="n">
        <v>2256</v>
      </c>
      <c r="L5860" s="71" t="n">
        <v>2153.46</v>
      </c>
      <c r="M5860" s="71" t="n">
        <v>4858205.76</v>
      </c>
      <c r="N5860" s="71" t="n">
        <v>971641.15</v>
      </c>
      <c r="O5860" s="71" t="n">
        <v>3886564.61</v>
      </c>
      <c r="P5860" s="71" t="n">
        <v>569107.72</v>
      </c>
      <c r="Q5860" s="71" t="n">
        <v>3317456.89</v>
      </c>
      <c r="R5860" t="inlineStr">
        <is>
          <t>Inflammation</t>
        </is>
      </c>
      <c r="S5860" s="70" t="n">
        <v>1675</v>
      </c>
      <c r="T5860" s="71" t="n">
        <v>670524</v>
      </c>
      <c r="U5860" t="inlineStr">
        <is>
          <t>High</t>
        </is>
      </c>
      <c r="V5860">
        <f>IF(AND(OR(Dashboard!$C$6="All",E5860=Dashboard!$C$6),OR(Dashboard!$F$6="All",G5860=Dashboard!$F$6),OR(Dashboard!$I$6="All",H5860=Dashboard!$I$6)),1,0)</f>
        <v/>
      </c>
    </row>
    <row r="5861">
      <c r="A5861" t="inlineStr">
        <is>
          <t>PF105852</t>
        </is>
      </c>
      <c r="B5861" s="68" t="n">
        <v>46368</v>
      </c>
      <c r="C5861" s="69" t="n">
        <v>2026</v>
      </c>
      <c r="D5861" t="inlineStr">
        <is>
          <t>Dec</t>
        </is>
      </c>
      <c r="E5861" t="inlineStr">
        <is>
          <t>United States</t>
        </is>
      </c>
      <c r="F5861" t="inlineStr">
        <is>
          <t>USA</t>
        </is>
      </c>
      <c r="G5861" t="inlineStr">
        <is>
          <t>Ibrance</t>
        </is>
      </c>
      <c r="H5861" t="inlineStr">
        <is>
          <t>Retail pharmacy</t>
        </is>
      </c>
      <c r="I5861" t="inlineStr">
        <is>
          <t>Private insurer</t>
        </is>
      </c>
      <c r="J5861" t="inlineStr">
        <is>
          <t>Aisha Bello</t>
        </is>
      </c>
      <c r="K5861" s="70" t="n">
        <v>1592</v>
      </c>
      <c r="L5861" s="71" t="n">
        <v>4333.81</v>
      </c>
      <c r="M5861" s="71" t="n">
        <v>6899425.52</v>
      </c>
      <c r="N5861" s="71" t="n">
        <v>2069827.66</v>
      </c>
      <c r="O5861" s="71" t="n">
        <v>4829597.86</v>
      </c>
      <c r="P5861" s="71" t="n">
        <v>685127.1800000001</v>
      </c>
      <c r="Q5861" s="71" t="n">
        <v>4144470.68</v>
      </c>
      <c r="R5861" t="inlineStr">
        <is>
          <t>Oncology</t>
        </is>
      </c>
      <c r="S5861" s="70" t="n">
        <v>1149</v>
      </c>
      <c r="T5861" s="71" t="n">
        <v>1054669.07</v>
      </c>
      <c r="U5861" t="inlineStr">
        <is>
          <t>High</t>
        </is>
      </c>
      <c r="V5861">
        <f>IF(AND(OR(Dashboard!$C$6="All",E5861=Dashboard!$C$6),OR(Dashboard!$F$6="All",G5861=Dashboard!$F$6),OR(Dashboard!$I$6="All",H5861=Dashboard!$I$6)),1,0)</f>
        <v/>
      </c>
    </row>
    <row r="5862">
      <c r="A5862" t="inlineStr">
        <is>
          <t>PF105853</t>
        </is>
      </c>
      <c r="B5862" s="68" t="n">
        <v>46368</v>
      </c>
      <c r="C5862" s="69" t="n">
        <v>2026</v>
      </c>
      <c r="D5862" t="inlineStr">
        <is>
          <t>Dec</t>
        </is>
      </c>
      <c r="E5862" t="inlineStr">
        <is>
          <t>United States</t>
        </is>
      </c>
      <c r="F5862" t="inlineStr">
        <is>
          <t>USA</t>
        </is>
      </c>
      <c r="G5862" t="inlineStr">
        <is>
          <t>Xeljanz</t>
        </is>
      </c>
      <c r="H5862" t="inlineStr">
        <is>
          <t>Government / tender</t>
        </is>
      </c>
      <c r="I5862" t="inlineStr">
        <is>
          <t>Private insurer</t>
        </is>
      </c>
      <c r="J5862" t="inlineStr">
        <is>
          <t>Hiroshi Tanaka</t>
        </is>
      </c>
      <c r="K5862" s="70" t="n">
        <v>3308</v>
      </c>
      <c r="L5862" s="71" t="n">
        <v>2141.78</v>
      </c>
      <c r="M5862" s="71" t="n">
        <v>7085008.24</v>
      </c>
      <c r="N5862" s="71" t="n">
        <v>1062751.24</v>
      </c>
      <c r="O5862" s="71" t="n">
        <v>6022257</v>
      </c>
      <c r="P5862" s="71" t="n">
        <v>839009.53</v>
      </c>
      <c r="Q5862" s="71" t="n">
        <v>5183247.47</v>
      </c>
      <c r="R5862" t="inlineStr">
        <is>
          <t>Inflammation</t>
        </is>
      </c>
      <c r="S5862" s="70" t="n">
        <v>2681</v>
      </c>
      <c r="T5862" s="71" t="n">
        <v>1589171.76</v>
      </c>
      <c r="U5862" t="inlineStr">
        <is>
          <t>High</t>
        </is>
      </c>
      <c r="V5862">
        <f>IF(AND(OR(Dashboard!$C$6="All",E5862=Dashboard!$C$6),OR(Dashboard!$F$6="All",G5862=Dashboard!$F$6),OR(Dashboard!$I$6="All",H5862=Dashboard!$I$6)),1,0)</f>
        <v/>
      </c>
    </row>
    <row r="5863">
      <c r="A5863" t="inlineStr">
        <is>
          <t>PF105854</t>
        </is>
      </c>
      <c r="B5863" s="68" t="n">
        <v>46368</v>
      </c>
      <c r="C5863" s="69" t="n">
        <v>2026</v>
      </c>
      <c r="D5863" t="inlineStr">
        <is>
          <t>Dec</t>
        </is>
      </c>
      <c r="E5863" t="inlineStr">
        <is>
          <t>Europe</t>
        </is>
      </c>
      <c r="F5863" t="inlineStr">
        <is>
          <t>Germany</t>
        </is>
      </c>
      <c r="G5863" t="inlineStr">
        <is>
          <t>Paxlovid</t>
        </is>
      </c>
      <c r="H5863" t="inlineStr">
        <is>
          <t>Hospital</t>
        </is>
      </c>
      <c r="I5863" t="inlineStr">
        <is>
          <t>Public payer</t>
        </is>
      </c>
      <c r="J5863" t="inlineStr">
        <is>
          <t>Hiroshi Tanaka</t>
        </is>
      </c>
      <c r="K5863" s="70" t="n">
        <v>2554</v>
      </c>
      <c r="L5863" s="71" t="n">
        <v>899.64</v>
      </c>
      <c r="M5863" s="71" t="n">
        <v>2297680.56</v>
      </c>
      <c r="N5863" s="71" t="n">
        <v>229768.06</v>
      </c>
      <c r="O5863" s="71" t="n">
        <v>2067912.5</v>
      </c>
      <c r="P5863" s="71" t="n">
        <v>676888.35</v>
      </c>
      <c r="Q5863" s="71" t="n">
        <v>1391024.15</v>
      </c>
      <c r="R5863" t="inlineStr">
        <is>
          <t>Antiviral</t>
        </is>
      </c>
      <c r="S5863" s="70" t="n">
        <v>2267</v>
      </c>
      <c r="T5863" s="71" t="n">
        <v>487174.83</v>
      </c>
      <c r="U5863" t="inlineStr">
        <is>
          <t>Low</t>
        </is>
      </c>
      <c r="V5863">
        <f>IF(AND(OR(Dashboard!$C$6="All",E5863=Dashboard!$C$6),OR(Dashboard!$F$6="All",G5863=Dashboard!$F$6),OR(Dashboard!$I$6="All",H5863=Dashboard!$I$6)),1,0)</f>
        <v/>
      </c>
    </row>
    <row r="5864">
      <c r="A5864" t="inlineStr">
        <is>
          <t>PF105855</t>
        </is>
      </c>
      <c r="B5864" s="68" t="n">
        <v>46368</v>
      </c>
      <c r="C5864" s="69" t="n">
        <v>2026</v>
      </c>
      <c r="D5864" t="inlineStr">
        <is>
          <t>Dec</t>
        </is>
      </c>
      <c r="E5864" t="inlineStr">
        <is>
          <t>United States</t>
        </is>
      </c>
      <c r="F5864" t="inlineStr">
        <is>
          <t>USA</t>
        </is>
      </c>
      <c r="G5864" t="inlineStr">
        <is>
          <t>Prevnar 20</t>
        </is>
      </c>
      <c r="H5864" t="inlineStr">
        <is>
          <t>Retail pharmacy</t>
        </is>
      </c>
      <c r="I5864" t="inlineStr">
        <is>
          <t>Public payer</t>
        </is>
      </c>
      <c r="J5864" t="inlineStr">
        <is>
          <t>Aisha Bello</t>
        </is>
      </c>
      <c r="K5864" s="70" t="n">
        <v>1496</v>
      </c>
      <c r="L5864" s="71" t="n">
        <v>378.36</v>
      </c>
      <c r="M5864" s="71" t="n">
        <v>566026.5600000001</v>
      </c>
      <c r="N5864" s="71" t="n">
        <v>198109.3</v>
      </c>
      <c r="O5864" s="71" t="n">
        <v>367917.26</v>
      </c>
      <c r="P5864" s="71" t="n">
        <v>102044.86</v>
      </c>
      <c r="Q5864" s="71" t="n">
        <v>265872.4</v>
      </c>
      <c r="R5864" t="inlineStr">
        <is>
          <t>Vaccines</t>
        </is>
      </c>
      <c r="S5864" s="70" t="n">
        <v>1235</v>
      </c>
      <c r="T5864" s="71" t="n">
        <v>81243.42999999999</v>
      </c>
      <c r="U5864" t="inlineStr">
        <is>
          <t>Low</t>
        </is>
      </c>
      <c r="V5864">
        <f>IF(AND(OR(Dashboard!$C$6="All",E5864=Dashboard!$C$6),OR(Dashboard!$F$6="All",G5864=Dashboard!$F$6),OR(Dashboard!$I$6="All",H5864=Dashboard!$I$6)),1,0)</f>
        <v/>
      </c>
    </row>
    <row r="5865">
      <c r="A5865" t="inlineStr">
        <is>
          <t>PF105856</t>
        </is>
      </c>
      <c r="B5865" s="68" t="n">
        <v>46369</v>
      </c>
      <c r="C5865" s="69" t="n">
        <v>2026</v>
      </c>
      <c r="D5865" t="inlineStr">
        <is>
          <t>Dec</t>
        </is>
      </c>
      <c r="E5865" t="inlineStr">
        <is>
          <t>Emerging markets</t>
        </is>
      </c>
      <c r="F5865" t="inlineStr">
        <is>
          <t>Mexico</t>
        </is>
      </c>
      <c r="G5865" t="inlineStr">
        <is>
          <t>Eliquis</t>
        </is>
      </c>
      <c r="H5865" t="inlineStr">
        <is>
          <t>Retail pharmacy</t>
        </is>
      </c>
      <c r="I5865" t="inlineStr">
        <is>
          <t>Public payer</t>
        </is>
      </c>
      <c r="J5865" t="inlineStr">
        <is>
          <t>Emma Clarke</t>
        </is>
      </c>
      <c r="K5865" s="70" t="n">
        <v>2503</v>
      </c>
      <c r="L5865" s="71" t="n">
        <v>431.27</v>
      </c>
      <c r="M5865" s="71" t="n">
        <v>1079468.81</v>
      </c>
      <c r="N5865" s="71" t="n">
        <v>161920.32</v>
      </c>
      <c r="O5865" s="71" t="n">
        <v>917548.49</v>
      </c>
      <c r="P5865" s="71" t="n">
        <v>194994.73</v>
      </c>
      <c r="Q5865" s="71" t="n">
        <v>722553.76</v>
      </c>
      <c r="R5865" t="inlineStr">
        <is>
          <t>Cardiology</t>
        </is>
      </c>
      <c r="S5865" s="70" t="n">
        <v>1595</v>
      </c>
      <c r="T5865" s="71" t="n">
        <v>178665.82</v>
      </c>
      <c r="U5865" t="inlineStr">
        <is>
          <t>High</t>
        </is>
      </c>
      <c r="V5865">
        <f>IF(AND(OR(Dashboard!$C$6="All",E5865=Dashboard!$C$6),OR(Dashboard!$F$6="All",G5865=Dashboard!$F$6),OR(Dashboard!$I$6="All",H5865=Dashboard!$I$6)),1,0)</f>
        <v/>
      </c>
    </row>
    <row r="5866">
      <c r="A5866" t="inlineStr">
        <is>
          <t>PF105857</t>
        </is>
      </c>
      <c r="B5866" s="68" t="n">
        <v>46369</v>
      </c>
      <c r="C5866" s="69" t="n">
        <v>2026</v>
      </c>
      <c r="D5866" t="inlineStr">
        <is>
          <t>Dec</t>
        </is>
      </c>
      <c r="E5866" t="inlineStr">
        <is>
          <t>Europe</t>
        </is>
      </c>
      <c r="F5866" t="inlineStr">
        <is>
          <t>UK</t>
        </is>
      </c>
      <c r="G5866" t="inlineStr">
        <is>
          <t>Ibrance</t>
        </is>
      </c>
      <c r="H5866" t="inlineStr">
        <is>
          <t>Retail pharmacy</t>
        </is>
      </c>
      <c r="I5866" t="inlineStr">
        <is>
          <t>Public payer</t>
        </is>
      </c>
      <c r="J5866" t="inlineStr">
        <is>
          <t>Ravindra Patil</t>
        </is>
      </c>
      <c r="K5866" s="70" t="n">
        <v>2830</v>
      </c>
      <c r="L5866" s="71" t="n">
        <v>2912.33</v>
      </c>
      <c r="M5866" s="71" t="n">
        <v>8241893.9</v>
      </c>
      <c r="N5866" s="71" t="n">
        <v>1648378.78</v>
      </c>
      <c r="O5866" s="71" t="n">
        <v>6593515.12</v>
      </c>
      <c r="P5866" s="71" t="n">
        <v>1211417.02</v>
      </c>
      <c r="Q5866" s="71" t="n">
        <v>5382098.1</v>
      </c>
      <c r="R5866" t="inlineStr">
        <is>
          <t>Oncology</t>
        </is>
      </c>
      <c r="S5866" s="70" t="n">
        <v>2763</v>
      </c>
      <c r="T5866" s="71" t="n">
        <v>1254268.99</v>
      </c>
      <c r="U5866" t="inlineStr">
        <is>
          <t>High</t>
        </is>
      </c>
      <c r="V5866">
        <f>IF(AND(OR(Dashboard!$C$6="All",E5866=Dashboard!$C$6),OR(Dashboard!$F$6="All",G5866=Dashboard!$F$6),OR(Dashboard!$I$6="All",H5866=Dashboard!$I$6)),1,0)</f>
        <v/>
      </c>
    </row>
    <row r="5867">
      <c r="A5867" t="inlineStr">
        <is>
          <t>PF105858</t>
        </is>
      </c>
      <c r="B5867" s="68" t="n">
        <v>46369</v>
      </c>
      <c r="C5867" s="69" t="n">
        <v>2026</v>
      </c>
      <c r="D5867" t="inlineStr">
        <is>
          <t>Dec</t>
        </is>
      </c>
      <c r="E5867" t="inlineStr">
        <is>
          <t>Emerging markets</t>
        </is>
      </c>
      <c r="F5867" t="inlineStr">
        <is>
          <t>China</t>
        </is>
      </c>
      <c r="G5867" t="inlineStr">
        <is>
          <t>Prevnar 20</t>
        </is>
      </c>
      <c r="H5867" t="inlineStr">
        <is>
          <t>Government / tender</t>
        </is>
      </c>
      <c r="I5867" t="inlineStr">
        <is>
          <t>Public payer</t>
        </is>
      </c>
      <c r="J5867" t="inlineStr">
        <is>
          <t>Amir Khan</t>
        </is>
      </c>
      <c r="K5867" s="70" t="n">
        <v>65</v>
      </c>
      <c r="L5867" s="71" t="n">
        <v>247.51</v>
      </c>
      <c r="M5867" s="71" t="n">
        <v>16088.15</v>
      </c>
      <c r="N5867" s="71" t="n">
        <v>4022.04</v>
      </c>
      <c r="O5867" s="71" t="n">
        <v>12066.11</v>
      </c>
      <c r="P5867" s="71" t="n">
        <v>4563.82</v>
      </c>
      <c r="Q5867" s="71" t="n">
        <v>7502.29</v>
      </c>
      <c r="R5867" t="inlineStr">
        <is>
          <t>Vaccines</t>
        </is>
      </c>
      <c r="S5867" s="70" t="n">
        <v>61</v>
      </c>
      <c r="T5867" s="71" t="n">
        <v>1937.2</v>
      </c>
      <c r="U5867" t="inlineStr">
        <is>
          <t>Low</t>
        </is>
      </c>
      <c r="V5867">
        <f>IF(AND(OR(Dashboard!$C$6="All",E5867=Dashboard!$C$6),OR(Dashboard!$F$6="All",G5867=Dashboard!$F$6),OR(Dashboard!$I$6="All",H5867=Dashboard!$I$6)),1,0)</f>
        <v/>
      </c>
    </row>
    <row r="5868">
      <c r="A5868" t="inlineStr">
        <is>
          <t>PF105859</t>
        </is>
      </c>
      <c r="B5868" s="68" t="n">
        <v>46369</v>
      </c>
      <c r="C5868" s="69" t="n">
        <v>2026</v>
      </c>
      <c r="D5868" t="inlineStr">
        <is>
          <t>Dec</t>
        </is>
      </c>
      <c r="E5868" t="inlineStr">
        <is>
          <t>United States</t>
        </is>
      </c>
      <c r="F5868" t="inlineStr">
        <is>
          <t>USA</t>
        </is>
      </c>
      <c r="G5868" t="inlineStr">
        <is>
          <t>Comirnaty</t>
        </is>
      </c>
      <c r="H5868" t="inlineStr">
        <is>
          <t>Retail pharmacy</t>
        </is>
      </c>
      <c r="I5868" t="inlineStr">
        <is>
          <t>Private insurer</t>
        </is>
      </c>
      <c r="J5868" t="inlineStr">
        <is>
          <t>Kofi Mensah</t>
        </is>
      </c>
      <c r="K5868" s="70" t="n">
        <v>1016</v>
      </c>
      <c r="L5868" s="71" t="n">
        <v>137.6</v>
      </c>
      <c r="M5868" s="71" t="n">
        <v>139801.6</v>
      </c>
      <c r="N5868" s="71" t="n">
        <v>27960.32</v>
      </c>
      <c r="O5868" s="71" t="n">
        <v>111841.28</v>
      </c>
      <c r="P5868" s="71" t="n">
        <v>37984.67</v>
      </c>
      <c r="Q5868" s="71" t="n">
        <v>73856.61</v>
      </c>
      <c r="R5868" t="inlineStr">
        <is>
          <t>Vaccines</t>
        </is>
      </c>
      <c r="S5868" s="70" t="n">
        <v>697</v>
      </c>
      <c r="T5868" s="71" t="n">
        <v>26668.2</v>
      </c>
      <c r="U5868" t="inlineStr">
        <is>
          <t>Low</t>
        </is>
      </c>
      <c r="V5868">
        <f>IF(AND(OR(Dashboard!$C$6="All",E5868=Dashboard!$C$6),OR(Dashboard!$F$6="All",G5868=Dashboard!$F$6),OR(Dashboard!$I$6="All",H5868=Dashboard!$I$6)),1,0)</f>
        <v/>
      </c>
    </row>
    <row r="5869">
      <c r="A5869" t="inlineStr">
        <is>
          <t>PF105860</t>
        </is>
      </c>
      <c r="B5869" s="68" t="n">
        <v>46369</v>
      </c>
      <c r="C5869" s="69" t="n">
        <v>2026</v>
      </c>
      <c r="D5869" t="inlineStr">
        <is>
          <t>Dec</t>
        </is>
      </c>
      <c r="E5869" t="inlineStr">
        <is>
          <t>Europe</t>
        </is>
      </c>
      <c r="F5869" t="inlineStr">
        <is>
          <t>UK</t>
        </is>
      </c>
      <c r="G5869" t="inlineStr">
        <is>
          <t>Paxlovid</t>
        </is>
      </c>
      <c r="H5869" t="inlineStr">
        <is>
          <t>Hospital</t>
        </is>
      </c>
      <c r="I5869" t="inlineStr">
        <is>
          <t>Public payer</t>
        </is>
      </c>
      <c r="J5869" t="inlineStr">
        <is>
          <t>Olivia Brown</t>
        </is>
      </c>
      <c r="K5869" s="70" t="n">
        <v>1550</v>
      </c>
      <c r="L5869" s="71" t="n">
        <v>944.76</v>
      </c>
      <c r="M5869" s="71" t="n">
        <v>1464378</v>
      </c>
      <c r="N5869" s="71" t="n">
        <v>146437.8</v>
      </c>
      <c r="O5869" s="71" t="n">
        <v>1317940.2</v>
      </c>
      <c r="P5869" s="71" t="n">
        <v>440156.24</v>
      </c>
      <c r="Q5869" s="71" t="n">
        <v>877783.96</v>
      </c>
      <c r="R5869" t="inlineStr">
        <is>
          <t>Antiviral</t>
        </is>
      </c>
      <c r="S5869" s="70" t="n">
        <v>1074</v>
      </c>
      <c r="T5869" s="71" t="n">
        <v>377470.21</v>
      </c>
      <c r="U5869" t="inlineStr">
        <is>
          <t>Low</t>
        </is>
      </c>
      <c r="V5869">
        <f>IF(AND(OR(Dashboard!$C$6="All",E5869=Dashboard!$C$6),OR(Dashboard!$F$6="All",G5869=Dashboard!$F$6),OR(Dashboard!$I$6="All",H5869=Dashboard!$I$6)),1,0)</f>
        <v/>
      </c>
    </row>
    <row r="5870">
      <c r="A5870" t="inlineStr">
        <is>
          <t>PF105861</t>
        </is>
      </c>
      <c r="B5870" s="68" t="n">
        <v>46369</v>
      </c>
      <c r="C5870" s="69" t="n">
        <v>2026</v>
      </c>
      <c r="D5870" t="inlineStr">
        <is>
          <t>Dec</t>
        </is>
      </c>
      <c r="E5870" t="inlineStr">
        <is>
          <t>Emerging markets</t>
        </is>
      </c>
      <c r="F5870" t="inlineStr">
        <is>
          <t>Brazil</t>
        </is>
      </c>
      <c r="G5870" t="inlineStr">
        <is>
          <t>Prevnar 20</t>
        </is>
      </c>
      <c r="H5870" t="inlineStr">
        <is>
          <t>Retail pharmacy</t>
        </is>
      </c>
      <c r="I5870" t="inlineStr">
        <is>
          <t>Self-pay</t>
        </is>
      </c>
      <c r="J5870" t="inlineStr">
        <is>
          <t>Yuki Sato</t>
        </is>
      </c>
      <c r="K5870" s="70" t="n">
        <v>462</v>
      </c>
      <c r="L5870" s="71" t="n">
        <v>225.7</v>
      </c>
      <c r="M5870" s="71" t="n">
        <v>104273.4</v>
      </c>
      <c r="N5870" s="71" t="n">
        <v>26068.35</v>
      </c>
      <c r="O5870" s="71" t="n">
        <v>78205.05</v>
      </c>
      <c r="P5870" s="71" t="n">
        <v>32625.77</v>
      </c>
      <c r="Q5870" s="71" t="n">
        <v>45579.28</v>
      </c>
      <c r="R5870" t="inlineStr">
        <is>
          <t>Vaccines</t>
        </is>
      </c>
      <c r="S5870" s="70" t="n">
        <v>414</v>
      </c>
      <c r="T5870" s="71" t="n">
        <v>19882.24</v>
      </c>
      <c r="U5870" t="inlineStr">
        <is>
          <t>Low</t>
        </is>
      </c>
      <c r="V5870">
        <f>IF(AND(OR(Dashboard!$C$6="All",E5870=Dashboard!$C$6),OR(Dashboard!$F$6="All",G5870=Dashboard!$F$6),OR(Dashboard!$I$6="All",H5870=Dashboard!$I$6)),1,0)</f>
        <v/>
      </c>
    </row>
    <row r="5871">
      <c r="A5871" t="inlineStr">
        <is>
          <t>PF105862</t>
        </is>
      </c>
      <c r="B5871" s="68" t="n">
        <v>46369</v>
      </c>
      <c r="C5871" s="69" t="n">
        <v>2026</v>
      </c>
      <c r="D5871" t="inlineStr">
        <is>
          <t>Dec</t>
        </is>
      </c>
      <c r="E5871" t="inlineStr">
        <is>
          <t>Europe</t>
        </is>
      </c>
      <c r="F5871" t="inlineStr">
        <is>
          <t>Spain</t>
        </is>
      </c>
      <c r="G5871" t="inlineStr">
        <is>
          <t>Eliquis</t>
        </is>
      </c>
      <c r="H5871" t="inlineStr">
        <is>
          <t>Hospital</t>
        </is>
      </c>
      <c r="I5871" t="inlineStr">
        <is>
          <t>Public payer</t>
        </is>
      </c>
      <c r="J5871" t="inlineStr">
        <is>
          <t>Hiroshi Tanaka</t>
        </is>
      </c>
      <c r="K5871" s="70" t="n">
        <v>649</v>
      </c>
      <c r="L5871" s="71" t="n">
        <v>455.96</v>
      </c>
      <c r="M5871" s="71" t="n">
        <v>295918.04</v>
      </c>
      <c r="N5871" s="71" t="n">
        <v>29591.8</v>
      </c>
      <c r="O5871" s="71" t="n">
        <v>266326.24</v>
      </c>
      <c r="P5871" s="71" t="n">
        <v>49300.91</v>
      </c>
      <c r="Q5871" s="71" t="n">
        <v>217025.33</v>
      </c>
      <c r="R5871" t="inlineStr">
        <is>
          <t>Cardiology</t>
        </is>
      </c>
      <c r="S5871" s="70" t="n">
        <v>427</v>
      </c>
      <c r="T5871" s="71" t="n">
        <v>36935.89</v>
      </c>
      <c r="U5871" t="inlineStr">
        <is>
          <t>High</t>
        </is>
      </c>
      <c r="V5871">
        <f>IF(AND(OR(Dashboard!$C$6="All",E5871=Dashboard!$C$6),OR(Dashboard!$F$6="All",G5871=Dashboard!$F$6),OR(Dashboard!$I$6="All",H5871=Dashboard!$I$6)),1,0)</f>
        <v/>
      </c>
    </row>
    <row r="5872">
      <c r="A5872" t="inlineStr">
        <is>
          <t>PF105863</t>
        </is>
      </c>
      <c r="B5872" s="68" t="n">
        <v>46369</v>
      </c>
      <c r="C5872" s="69" t="n">
        <v>2026</v>
      </c>
      <c r="D5872" t="inlineStr">
        <is>
          <t>Dec</t>
        </is>
      </c>
      <c r="E5872" t="inlineStr">
        <is>
          <t>International developed</t>
        </is>
      </c>
      <c r="F5872" t="inlineStr">
        <is>
          <t>Australia</t>
        </is>
      </c>
      <c r="G5872" t="inlineStr">
        <is>
          <t>Abrysvo</t>
        </is>
      </c>
      <c r="H5872" t="inlineStr">
        <is>
          <t>Hospital</t>
        </is>
      </c>
      <c r="I5872" t="inlineStr">
        <is>
          <t>Public payer</t>
        </is>
      </c>
      <c r="J5872" t="inlineStr">
        <is>
          <t>Kofi Mensah</t>
        </is>
      </c>
      <c r="K5872" s="70" t="n">
        <v>2716</v>
      </c>
      <c r="L5872" s="71" t="n">
        <v>305.12</v>
      </c>
      <c r="M5872" s="71" t="n">
        <v>828705.92</v>
      </c>
      <c r="N5872" s="71" t="n">
        <v>124305.89</v>
      </c>
      <c r="O5872" s="71" t="n">
        <v>704400.03</v>
      </c>
      <c r="P5872" s="71" t="n">
        <v>233632.77</v>
      </c>
      <c r="Q5872" s="71" t="n">
        <v>470767.26</v>
      </c>
      <c r="R5872" t="inlineStr">
        <is>
          <t>Vaccines</t>
        </is>
      </c>
      <c r="S5872" s="70" t="n">
        <v>2304</v>
      </c>
      <c r="T5872" s="71" t="n">
        <v>104610.43</v>
      </c>
      <c r="U5872" t="inlineStr">
        <is>
          <t>Low</t>
        </is>
      </c>
      <c r="V5872">
        <f>IF(AND(OR(Dashboard!$C$6="All",E5872=Dashboard!$C$6),OR(Dashboard!$F$6="All",G5872=Dashboard!$F$6),OR(Dashboard!$I$6="All",H5872=Dashboard!$I$6)),1,0)</f>
        <v/>
      </c>
    </row>
    <row r="5873">
      <c r="A5873" t="inlineStr">
        <is>
          <t>PF105864</t>
        </is>
      </c>
      <c r="B5873" s="68" t="n">
        <v>46369</v>
      </c>
      <c r="C5873" s="69" t="n">
        <v>2026</v>
      </c>
      <c r="D5873" t="inlineStr">
        <is>
          <t>Dec</t>
        </is>
      </c>
      <c r="E5873" t="inlineStr">
        <is>
          <t>Emerging markets</t>
        </is>
      </c>
      <c r="F5873" t="inlineStr">
        <is>
          <t>Brazil</t>
        </is>
      </c>
      <c r="G5873" t="inlineStr">
        <is>
          <t>Abrysvo</t>
        </is>
      </c>
      <c r="H5873" t="inlineStr">
        <is>
          <t>Government / tender</t>
        </is>
      </c>
      <c r="I5873" t="inlineStr">
        <is>
          <t>Public payer</t>
        </is>
      </c>
      <c r="J5873" t="inlineStr">
        <is>
          <t>Hiroshi Tanaka</t>
        </is>
      </c>
      <c r="K5873" s="70" t="n">
        <v>183</v>
      </c>
      <c r="L5873" s="71" t="n">
        <v>332.71</v>
      </c>
      <c r="M5873" s="71" t="n">
        <v>60885.93</v>
      </c>
      <c r="N5873" s="71" t="n">
        <v>12177.19</v>
      </c>
      <c r="O5873" s="71" t="n">
        <v>48708.74</v>
      </c>
      <c r="P5873" s="71" t="n">
        <v>14984.56</v>
      </c>
      <c r="Q5873" s="71" t="n">
        <v>33724.18</v>
      </c>
      <c r="R5873" t="inlineStr">
        <is>
          <t>Vaccines</t>
        </is>
      </c>
      <c r="S5873" s="70" t="n">
        <v>149</v>
      </c>
      <c r="T5873" s="71" t="n">
        <v>7519.66</v>
      </c>
      <c r="U5873" t="inlineStr">
        <is>
          <t>Low</t>
        </is>
      </c>
      <c r="V5873">
        <f>IF(AND(OR(Dashboard!$C$6="All",E5873=Dashboard!$C$6),OR(Dashboard!$F$6="All",G5873=Dashboard!$F$6),OR(Dashboard!$I$6="All",H5873=Dashboard!$I$6)),1,0)</f>
        <v/>
      </c>
    </row>
    <row r="5874">
      <c r="A5874" t="inlineStr">
        <is>
          <t>PF105865</t>
        </is>
      </c>
      <c r="B5874" s="68" t="n">
        <v>46369</v>
      </c>
      <c r="C5874" s="69" t="n">
        <v>2026</v>
      </c>
      <c r="D5874" t="inlineStr">
        <is>
          <t>Dec</t>
        </is>
      </c>
      <c r="E5874" t="inlineStr">
        <is>
          <t>United States</t>
        </is>
      </c>
      <c r="F5874" t="inlineStr">
        <is>
          <t>USA</t>
        </is>
      </c>
      <c r="G5874" t="inlineStr">
        <is>
          <t>Abrysvo</t>
        </is>
      </c>
      <c r="H5874" t="inlineStr">
        <is>
          <t>Retail pharmacy</t>
        </is>
      </c>
      <c r="I5874" t="inlineStr">
        <is>
          <t>Private insurer</t>
        </is>
      </c>
      <c r="J5874" t="inlineStr">
        <is>
          <t>Mei Lin</t>
        </is>
      </c>
      <c r="K5874" s="70" t="n">
        <v>1586</v>
      </c>
      <c r="L5874" s="71" t="n">
        <v>467.72</v>
      </c>
      <c r="M5874" s="71" t="n">
        <v>741803.92</v>
      </c>
      <c r="N5874" s="71" t="n">
        <v>222541.18</v>
      </c>
      <c r="O5874" s="71" t="n">
        <v>519262.74</v>
      </c>
      <c r="P5874" s="71" t="n">
        <v>131716.35</v>
      </c>
      <c r="Q5874" s="71" t="n">
        <v>387546.39</v>
      </c>
      <c r="R5874" t="inlineStr">
        <is>
          <t>Vaccines</t>
        </is>
      </c>
      <c r="S5874" s="70" t="n">
        <v>1466</v>
      </c>
      <c r="T5874" s="71" t="n">
        <v>100334.75</v>
      </c>
      <c r="U5874" t="inlineStr">
        <is>
          <t>Low</t>
        </is>
      </c>
      <c r="V5874">
        <f>IF(AND(OR(Dashboard!$C$6="All",E5874=Dashboard!$C$6),OR(Dashboard!$F$6="All",G5874=Dashboard!$F$6),OR(Dashboard!$I$6="All",H5874=Dashboard!$I$6)),1,0)</f>
        <v/>
      </c>
    </row>
    <row r="5875">
      <c r="A5875" t="inlineStr">
        <is>
          <t>PF105866</t>
        </is>
      </c>
      <c r="B5875" s="68" t="n">
        <v>46369</v>
      </c>
      <c r="C5875" s="69" t="n">
        <v>2026</v>
      </c>
      <c r="D5875" t="inlineStr">
        <is>
          <t>Dec</t>
        </is>
      </c>
      <c r="E5875" t="inlineStr">
        <is>
          <t>United States</t>
        </is>
      </c>
      <c r="F5875" t="inlineStr">
        <is>
          <t>USA</t>
        </is>
      </c>
      <c r="G5875" t="inlineStr">
        <is>
          <t>Comirnaty</t>
        </is>
      </c>
      <c r="H5875" t="inlineStr">
        <is>
          <t>Hospital</t>
        </is>
      </c>
      <c r="I5875" t="inlineStr">
        <is>
          <t>Public payer</t>
        </is>
      </c>
      <c r="J5875" t="inlineStr">
        <is>
          <t>Sophie Müller</t>
        </is>
      </c>
      <c r="K5875" s="70" t="n">
        <v>2837</v>
      </c>
      <c r="L5875" s="71" t="n">
        <v>144.93</v>
      </c>
      <c r="M5875" s="71" t="n">
        <v>411166.41</v>
      </c>
      <c r="N5875" s="71" t="n">
        <v>61674.96</v>
      </c>
      <c r="O5875" s="71" t="n">
        <v>349491.45</v>
      </c>
      <c r="P5875" s="71" t="n">
        <v>107094.18</v>
      </c>
      <c r="Q5875" s="71" t="n">
        <v>242397.27</v>
      </c>
      <c r="R5875" t="inlineStr">
        <is>
          <t>Vaccines</t>
        </is>
      </c>
      <c r="S5875" s="70" t="n">
        <v>2673</v>
      </c>
      <c r="T5875" s="71" t="n">
        <v>74760.5</v>
      </c>
      <c r="U5875" t="inlineStr">
        <is>
          <t>Low</t>
        </is>
      </c>
      <c r="V5875">
        <f>IF(AND(OR(Dashboard!$C$6="All",E5875=Dashboard!$C$6),OR(Dashboard!$F$6="All",G5875=Dashboard!$F$6),OR(Dashboard!$I$6="All",H5875=Dashboard!$I$6)),1,0)</f>
        <v/>
      </c>
    </row>
    <row r="5876">
      <c r="A5876" t="inlineStr">
        <is>
          <t>PF105867</t>
        </is>
      </c>
      <c r="B5876" s="68" t="n">
        <v>46370</v>
      </c>
      <c r="C5876" s="69" t="n">
        <v>2026</v>
      </c>
      <c r="D5876" t="inlineStr">
        <is>
          <t>Dec</t>
        </is>
      </c>
      <c r="E5876" t="inlineStr">
        <is>
          <t>International developed</t>
        </is>
      </c>
      <c r="F5876" t="inlineStr">
        <is>
          <t>Canada</t>
        </is>
      </c>
      <c r="G5876" t="inlineStr">
        <is>
          <t>Xeljanz</t>
        </is>
      </c>
      <c r="H5876" t="inlineStr">
        <is>
          <t>Retail pharmacy</t>
        </is>
      </c>
      <c r="I5876" t="inlineStr">
        <is>
          <t>Private insurer</t>
        </is>
      </c>
      <c r="J5876" t="inlineStr">
        <is>
          <t>Aisha Bello</t>
        </is>
      </c>
      <c r="K5876" s="70" t="n">
        <v>2783</v>
      </c>
      <c r="L5876" s="71" t="n">
        <v>1277.08</v>
      </c>
      <c r="M5876" s="71" t="n">
        <v>3554113.64</v>
      </c>
      <c r="N5876" s="71" t="n">
        <v>177705.68</v>
      </c>
      <c r="O5876" s="71" t="n">
        <v>3376407.96</v>
      </c>
      <c r="P5876" s="71" t="n">
        <v>703657.28</v>
      </c>
      <c r="Q5876" s="71" t="n">
        <v>2672750.68</v>
      </c>
      <c r="R5876" t="inlineStr">
        <is>
          <t>Inflammation</t>
        </is>
      </c>
      <c r="S5876" s="70" t="n">
        <v>1839</v>
      </c>
      <c r="T5876" s="71" t="n">
        <v>596443.12</v>
      </c>
      <c r="U5876" t="inlineStr">
        <is>
          <t>High</t>
        </is>
      </c>
      <c r="V5876">
        <f>IF(AND(OR(Dashboard!$C$6="All",E5876=Dashboard!$C$6),OR(Dashboard!$F$6="All",G5876=Dashboard!$F$6),OR(Dashboard!$I$6="All",H5876=Dashboard!$I$6)),1,0)</f>
        <v/>
      </c>
    </row>
    <row r="5877">
      <c r="A5877" t="inlineStr">
        <is>
          <t>PF105868</t>
        </is>
      </c>
      <c r="B5877" s="68" t="n">
        <v>46370</v>
      </c>
      <c r="C5877" s="69" t="n">
        <v>2026</v>
      </c>
      <c r="D5877" t="inlineStr">
        <is>
          <t>Dec</t>
        </is>
      </c>
      <c r="E5877" t="inlineStr">
        <is>
          <t>United States</t>
        </is>
      </c>
      <c r="F5877" t="inlineStr">
        <is>
          <t>USA</t>
        </is>
      </c>
      <c r="G5877" t="inlineStr">
        <is>
          <t>Prevnar 20</t>
        </is>
      </c>
      <c r="H5877" t="inlineStr">
        <is>
          <t>Hospital</t>
        </is>
      </c>
      <c r="I5877" t="inlineStr">
        <is>
          <t>Private insurer</t>
        </is>
      </c>
      <c r="J5877" t="inlineStr">
        <is>
          <t>Emma Clarke</t>
        </is>
      </c>
      <c r="K5877" s="70" t="n">
        <v>2047</v>
      </c>
      <c r="L5877" s="71" t="n">
        <v>405.59</v>
      </c>
      <c r="M5877" s="71" t="n">
        <v>830242.73</v>
      </c>
      <c r="N5877" s="71" t="n">
        <v>166048.55</v>
      </c>
      <c r="O5877" s="71" t="n">
        <v>664194.1800000001</v>
      </c>
      <c r="P5877" s="71" t="n">
        <v>146305.44</v>
      </c>
      <c r="Q5877" s="71" t="n">
        <v>517888.74</v>
      </c>
      <c r="R5877" t="inlineStr">
        <is>
          <t>Vaccines</t>
        </is>
      </c>
      <c r="S5877" s="70" t="n">
        <v>1486</v>
      </c>
      <c r="T5877" s="71" t="n">
        <v>152578.19</v>
      </c>
      <c r="U5877" t="inlineStr">
        <is>
          <t>Low</t>
        </is>
      </c>
      <c r="V5877">
        <f>IF(AND(OR(Dashboard!$C$6="All",E5877=Dashboard!$C$6),OR(Dashboard!$F$6="All",G5877=Dashboard!$F$6),OR(Dashboard!$I$6="All",H5877=Dashboard!$I$6)),1,0)</f>
        <v/>
      </c>
    </row>
    <row r="5878">
      <c r="A5878" t="inlineStr">
        <is>
          <t>PF105869</t>
        </is>
      </c>
      <c r="B5878" s="68" t="n">
        <v>46370</v>
      </c>
      <c r="C5878" s="69" t="n">
        <v>2026</v>
      </c>
      <c r="D5878" t="inlineStr">
        <is>
          <t>Dec</t>
        </is>
      </c>
      <c r="E5878" t="inlineStr">
        <is>
          <t>United States</t>
        </is>
      </c>
      <c r="F5878" t="inlineStr">
        <is>
          <t>USA</t>
        </is>
      </c>
      <c r="G5878" t="inlineStr">
        <is>
          <t>Abrysvo</t>
        </is>
      </c>
      <c r="H5878" t="inlineStr">
        <is>
          <t>Retail pharmacy</t>
        </is>
      </c>
      <c r="I5878" t="inlineStr">
        <is>
          <t>Public payer</t>
        </is>
      </c>
      <c r="J5878" t="inlineStr">
        <is>
          <t>Emma Clarke</t>
        </is>
      </c>
      <c r="K5878" s="70" t="n">
        <v>1547</v>
      </c>
      <c r="L5878" s="71" t="n">
        <v>463.55</v>
      </c>
      <c r="M5878" s="71" t="n">
        <v>717111.85</v>
      </c>
      <c r="N5878" s="71" t="n">
        <v>250989.15</v>
      </c>
      <c r="O5878" s="71" t="n">
        <v>466122.7</v>
      </c>
      <c r="P5878" s="71" t="n">
        <v>127342.05</v>
      </c>
      <c r="Q5878" s="71" t="n">
        <v>338780.65</v>
      </c>
      <c r="R5878" t="inlineStr">
        <is>
          <t>Vaccines</t>
        </is>
      </c>
      <c r="S5878" s="70" t="n">
        <v>1138</v>
      </c>
      <c r="T5878" s="71" t="n">
        <v>100335.08</v>
      </c>
      <c r="U5878" t="inlineStr">
        <is>
          <t>Low</t>
        </is>
      </c>
      <c r="V5878">
        <f>IF(AND(OR(Dashboard!$C$6="All",E5878=Dashboard!$C$6),OR(Dashboard!$F$6="All",G5878=Dashboard!$F$6),OR(Dashboard!$I$6="All",H5878=Dashboard!$I$6)),1,0)</f>
        <v/>
      </c>
    </row>
    <row r="5879">
      <c r="A5879" t="inlineStr">
        <is>
          <t>PF105870</t>
        </is>
      </c>
      <c r="B5879" s="68" t="n">
        <v>46370</v>
      </c>
      <c r="C5879" s="69" t="n">
        <v>2026</v>
      </c>
      <c r="D5879" t="inlineStr">
        <is>
          <t>Dec</t>
        </is>
      </c>
      <c r="E5879" t="inlineStr">
        <is>
          <t>Emerging markets</t>
        </is>
      </c>
      <c r="F5879" t="inlineStr">
        <is>
          <t>China</t>
        </is>
      </c>
      <c r="G5879" t="inlineStr">
        <is>
          <t>Eliquis</t>
        </is>
      </c>
      <c r="H5879" t="inlineStr">
        <is>
          <t>Hospital</t>
        </is>
      </c>
      <c r="I5879" t="inlineStr">
        <is>
          <t>Self-pay</t>
        </is>
      </c>
      <c r="J5879" t="inlineStr">
        <is>
          <t>Priya Nair</t>
        </is>
      </c>
      <c r="K5879" s="70" t="n">
        <v>3537</v>
      </c>
      <c r="L5879" s="71" t="n">
        <v>448.71</v>
      </c>
      <c r="M5879" s="71" t="n">
        <v>1587087.27</v>
      </c>
      <c r="N5879" s="71" t="n">
        <v>396771.82</v>
      </c>
      <c r="O5879" s="71" t="n">
        <v>1190315.45</v>
      </c>
      <c r="P5879" s="71" t="n">
        <v>259467.8</v>
      </c>
      <c r="Q5879" s="71" t="n">
        <v>930847.65</v>
      </c>
      <c r="R5879" t="inlineStr">
        <is>
          <t>Cardiology</t>
        </is>
      </c>
      <c r="S5879" s="70" t="n">
        <v>3367</v>
      </c>
      <c r="T5879" s="71" t="n">
        <v>331078.63</v>
      </c>
      <c r="U5879" t="inlineStr">
        <is>
          <t>High</t>
        </is>
      </c>
      <c r="V5879">
        <f>IF(AND(OR(Dashboard!$C$6="All",E5879=Dashboard!$C$6),OR(Dashboard!$F$6="All",G5879=Dashboard!$F$6),OR(Dashboard!$I$6="All",H5879=Dashboard!$I$6)),1,0)</f>
        <v/>
      </c>
    </row>
    <row r="5880">
      <c r="A5880" t="inlineStr">
        <is>
          <t>PF105871</t>
        </is>
      </c>
      <c r="B5880" s="68" t="n">
        <v>46370</v>
      </c>
      <c r="C5880" s="69" t="n">
        <v>2026</v>
      </c>
      <c r="D5880" t="inlineStr">
        <is>
          <t>Dec</t>
        </is>
      </c>
      <c r="E5880" t="inlineStr">
        <is>
          <t>Emerging markets</t>
        </is>
      </c>
      <c r="F5880" t="inlineStr">
        <is>
          <t>Mexico</t>
        </is>
      </c>
      <c r="G5880" t="inlineStr">
        <is>
          <t>Vyndaqel</t>
        </is>
      </c>
      <c r="H5880" t="inlineStr">
        <is>
          <t>Retail pharmacy</t>
        </is>
      </c>
      <c r="I5880" t="inlineStr">
        <is>
          <t>Public payer</t>
        </is>
      </c>
      <c r="J5880" t="inlineStr">
        <is>
          <t>Noah Smith</t>
        </is>
      </c>
      <c r="K5880" s="70" t="n">
        <v>2191</v>
      </c>
      <c r="L5880" s="71" t="n">
        <v>6310</v>
      </c>
      <c r="M5880" s="71" t="n">
        <v>13825210</v>
      </c>
      <c r="N5880" s="71" t="n">
        <v>3456302.5</v>
      </c>
      <c r="O5880" s="71" t="n">
        <v>10368907.5</v>
      </c>
      <c r="P5880" s="71" t="n">
        <v>1327619.59</v>
      </c>
      <c r="Q5880" s="71" t="n">
        <v>9041287.91</v>
      </c>
      <c r="R5880" t="inlineStr">
        <is>
          <t>Rare disease</t>
        </is>
      </c>
      <c r="S5880" s="70" t="n">
        <v>1713</v>
      </c>
      <c r="T5880" s="71" t="n">
        <v>1944099.36</v>
      </c>
      <c r="U5880" t="inlineStr">
        <is>
          <t>Medium</t>
        </is>
      </c>
      <c r="V5880">
        <f>IF(AND(OR(Dashboard!$C$6="All",E5880=Dashboard!$C$6),OR(Dashboard!$F$6="All",G5880=Dashboard!$F$6),OR(Dashboard!$I$6="All",H5880=Dashboard!$I$6)),1,0)</f>
        <v/>
      </c>
    </row>
    <row r="5881">
      <c r="A5881" t="inlineStr">
        <is>
          <t>PF105872</t>
        </is>
      </c>
      <c r="B5881" s="68" t="n">
        <v>46370</v>
      </c>
      <c r="C5881" s="69" t="n">
        <v>2026</v>
      </c>
      <c r="D5881" t="inlineStr">
        <is>
          <t>Dec</t>
        </is>
      </c>
      <c r="E5881" t="inlineStr">
        <is>
          <t>Europe</t>
        </is>
      </c>
      <c r="F5881" t="inlineStr">
        <is>
          <t>UK</t>
        </is>
      </c>
      <c r="G5881" t="inlineStr">
        <is>
          <t>Abrysvo</t>
        </is>
      </c>
      <c r="H5881" t="inlineStr">
        <is>
          <t>Hospital</t>
        </is>
      </c>
      <c r="I5881" t="inlineStr">
        <is>
          <t>Public payer</t>
        </is>
      </c>
      <c r="J5881" t="inlineStr">
        <is>
          <t>Ravindra Patil</t>
        </is>
      </c>
      <c r="K5881" s="70" t="n">
        <v>2258</v>
      </c>
      <c r="L5881" s="71" t="n">
        <v>319.1</v>
      </c>
      <c r="M5881" s="71" t="n">
        <v>720527.8</v>
      </c>
      <c r="N5881" s="71" t="n">
        <v>180131.95</v>
      </c>
      <c r="O5881" s="71" t="n">
        <v>540395.85</v>
      </c>
      <c r="P5881" s="71" t="n">
        <v>191419.64</v>
      </c>
      <c r="Q5881" s="71" t="n">
        <v>348976.21</v>
      </c>
      <c r="R5881" t="inlineStr">
        <is>
          <t>Vaccines</t>
        </is>
      </c>
      <c r="S5881" s="70" t="n">
        <v>1826</v>
      </c>
      <c r="T5881" s="71" t="n">
        <v>79453.95</v>
      </c>
      <c r="U5881" t="inlineStr">
        <is>
          <t>Low</t>
        </is>
      </c>
      <c r="V5881">
        <f>IF(AND(OR(Dashboard!$C$6="All",E5881=Dashboard!$C$6),OR(Dashboard!$F$6="All",G5881=Dashboard!$F$6),OR(Dashboard!$I$6="All",H5881=Dashboard!$I$6)),1,0)</f>
        <v/>
      </c>
    </row>
    <row r="5882">
      <c r="A5882" t="inlineStr">
        <is>
          <t>PF105873</t>
        </is>
      </c>
      <c r="B5882" s="68" t="n">
        <v>46370</v>
      </c>
      <c r="C5882" s="69" t="n">
        <v>2026</v>
      </c>
      <c r="D5882" t="inlineStr">
        <is>
          <t>Dec</t>
        </is>
      </c>
      <c r="E5882" t="inlineStr">
        <is>
          <t>United States</t>
        </is>
      </c>
      <c r="F5882" t="inlineStr">
        <is>
          <t>USA</t>
        </is>
      </c>
      <c r="G5882" t="inlineStr">
        <is>
          <t>Vyndaqel</t>
        </is>
      </c>
      <c r="H5882" t="inlineStr">
        <is>
          <t>Hospital</t>
        </is>
      </c>
      <c r="I5882" t="inlineStr">
        <is>
          <t>Public payer</t>
        </is>
      </c>
      <c r="J5882" t="inlineStr">
        <is>
          <t>Fatima Al-Saud</t>
        </is>
      </c>
      <c r="K5882" s="70" t="n">
        <v>3763</v>
      </c>
      <c r="L5882" s="71" t="n">
        <v>9403.52</v>
      </c>
      <c r="M5882" s="71" t="n">
        <v>35385445.76</v>
      </c>
      <c r="N5882" s="71" t="n">
        <v>12384906.02</v>
      </c>
      <c r="O5882" s="71" t="n">
        <v>23000539.74</v>
      </c>
      <c r="P5882" s="71" t="n">
        <v>2391174.09</v>
      </c>
      <c r="Q5882" s="71" t="n">
        <v>20609365.65</v>
      </c>
      <c r="R5882" t="inlineStr">
        <is>
          <t>Rare disease</t>
        </is>
      </c>
      <c r="S5882" s="70" t="n">
        <v>3613</v>
      </c>
      <c r="T5882" s="71" t="n">
        <v>4172173.07</v>
      </c>
      <c r="U5882" t="inlineStr">
        <is>
          <t>Medium</t>
        </is>
      </c>
      <c r="V5882">
        <f>IF(AND(OR(Dashboard!$C$6="All",E5882=Dashboard!$C$6),OR(Dashboard!$F$6="All",G5882=Dashboard!$F$6),OR(Dashboard!$I$6="All",H5882=Dashboard!$I$6)),1,0)</f>
        <v/>
      </c>
    </row>
    <row r="5883">
      <c r="A5883" t="inlineStr">
        <is>
          <t>PF105874</t>
        </is>
      </c>
      <c r="B5883" s="68" t="n">
        <v>46370</v>
      </c>
      <c r="C5883" s="69" t="n">
        <v>2026</v>
      </c>
      <c r="D5883" t="inlineStr">
        <is>
          <t>Dec</t>
        </is>
      </c>
      <c r="E5883" t="inlineStr">
        <is>
          <t>United States</t>
        </is>
      </c>
      <c r="F5883" t="inlineStr">
        <is>
          <t>USA</t>
        </is>
      </c>
      <c r="G5883" t="inlineStr">
        <is>
          <t>Comirnaty</t>
        </is>
      </c>
      <c r="H5883" t="inlineStr">
        <is>
          <t>Hospital</t>
        </is>
      </c>
      <c r="I5883" t="inlineStr">
        <is>
          <t>Public payer</t>
        </is>
      </c>
      <c r="J5883" t="inlineStr">
        <is>
          <t>Priya Nair</t>
        </is>
      </c>
      <c r="K5883" s="70" t="n">
        <v>1478</v>
      </c>
      <c r="L5883" s="71" t="n">
        <v>139.47</v>
      </c>
      <c r="M5883" s="71" t="n">
        <v>206136.66</v>
      </c>
      <c r="N5883" s="71" t="n">
        <v>51534.17</v>
      </c>
      <c r="O5883" s="71" t="n">
        <v>154602.49</v>
      </c>
      <c r="P5883" s="71" t="n">
        <v>55216.43</v>
      </c>
      <c r="Q5883" s="71" t="n">
        <v>99386.06</v>
      </c>
      <c r="R5883" t="inlineStr">
        <is>
          <t>Vaccines</t>
        </is>
      </c>
      <c r="S5883" s="70" t="n">
        <v>1266</v>
      </c>
      <c r="T5883" s="71" t="n">
        <v>36539.99</v>
      </c>
      <c r="U5883" t="inlineStr">
        <is>
          <t>Low</t>
        </is>
      </c>
      <c r="V5883">
        <f>IF(AND(OR(Dashboard!$C$6="All",E5883=Dashboard!$C$6),OR(Dashboard!$F$6="All",G5883=Dashboard!$F$6),OR(Dashboard!$I$6="All",H5883=Dashboard!$I$6)),1,0)</f>
        <v/>
      </c>
    </row>
    <row r="5884">
      <c r="A5884" t="inlineStr">
        <is>
          <t>PF105875</t>
        </is>
      </c>
      <c r="B5884" s="68" t="n">
        <v>46370</v>
      </c>
      <c r="C5884" s="69" t="n">
        <v>2026</v>
      </c>
      <c r="D5884" t="inlineStr">
        <is>
          <t>Dec</t>
        </is>
      </c>
      <c r="E5884" t="inlineStr">
        <is>
          <t>Emerging markets</t>
        </is>
      </c>
      <c r="F5884" t="inlineStr">
        <is>
          <t>China</t>
        </is>
      </c>
      <c r="G5884" t="inlineStr">
        <is>
          <t>Vyndaqel</t>
        </is>
      </c>
      <c r="H5884" t="inlineStr">
        <is>
          <t>Hospital</t>
        </is>
      </c>
      <c r="I5884" t="inlineStr">
        <is>
          <t>Public payer</t>
        </is>
      </c>
      <c r="J5884" t="inlineStr">
        <is>
          <t>Emma Clarke</t>
        </is>
      </c>
      <c r="K5884" s="70" t="n">
        <v>684</v>
      </c>
      <c r="L5884" s="71" t="n">
        <v>6149.06</v>
      </c>
      <c r="M5884" s="71" t="n">
        <v>4205957.04</v>
      </c>
      <c r="N5884" s="71" t="n">
        <v>630893.5600000001</v>
      </c>
      <c r="O5884" s="71" t="n">
        <v>3575063.48</v>
      </c>
      <c r="P5884" s="71" t="n">
        <v>422712.37</v>
      </c>
      <c r="Q5884" s="71" t="n">
        <v>3152351.11</v>
      </c>
      <c r="R5884" t="inlineStr">
        <is>
          <t>Rare disease</t>
        </is>
      </c>
      <c r="S5884" s="70" t="n">
        <v>597</v>
      </c>
      <c r="T5884" s="71" t="n">
        <v>580963.02</v>
      </c>
      <c r="U5884" t="inlineStr">
        <is>
          <t>Medium</t>
        </is>
      </c>
      <c r="V5884">
        <f>IF(AND(OR(Dashboard!$C$6="All",E5884=Dashboard!$C$6),OR(Dashboard!$F$6="All",G5884=Dashboard!$F$6),OR(Dashboard!$I$6="All",H5884=Dashboard!$I$6)),1,0)</f>
        <v/>
      </c>
    </row>
    <row r="5885">
      <c r="A5885" t="inlineStr">
        <is>
          <t>PF105876</t>
        </is>
      </c>
      <c r="B5885" s="68" t="n">
        <v>46370</v>
      </c>
      <c r="C5885" s="69" t="n">
        <v>2026</v>
      </c>
      <c r="D5885" t="inlineStr">
        <is>
          <t>Dec</t>
        </is>
      </c>
      <c r="E5885" t="inlineStr">
        <is>
          <t>United States</t>
        </is>
      </c>
      <c r="F5885" t="inlineStr">
        <is>
          <t>USA</t>
        </is>
      </c>
      <c r="G5885" t="inlineStr">
        <is>
          <t>Xeljanz</t>
        </is>
      </c>
      <c r="H5885" t="inlineStr">
        <is>
          <t>Retail pharmacy</t>
        </is>
      </c>
      <c r="I5885" t="inlineStr">
        <is>
          <t>Private insurer</t>
        </is>
      </c>
      <c r="J5885" t="inlineStr">
        <is>
          <t>Lucas Martin</t>
        </is>
      </c>
      <c r="K5885" s="70" t="n">
        <v>3227</v>
      </c>
      <c r="L5885" s="71" t="n">
        <v>2275.89</v>
      </c>
      <c r="M5885" s="71" t="n">
        <v>7344297.03</v>
      </c>
      <c r="N5885" s="71" t="n">
        <v>1101644.55</v>
      </c>
      <c r="O5885" s="71" t="n">
        <v>6242652.48</v>
      </c>
      <c r="P5885" s="71" t="n">
        <v>831251.25</v>
      </c>
      <c r="Q5885" s="71" t="n">
        <v>5411401.23</v>
      </c>
      <c r="R5885" t="inlineStr">
        <is>
          <t>Inflammation</t>
        </is>
      </c>
      <c r="S5885" s="70" t="n">
        <v>2291</v>
      </c>
      <c r="T5885" s="71" t="n">
        <v>1617875.05</v>
      </c>
      <c r="U5885" t="inlineStr">
        <is>
          <t>High</t>
        </is>
      </c>
      <c r="V5885">
        <f>IF(AND(OR(Dashboard!$C$6="All",E5885=Dashboard!$C$6),OR(Dashboard!$F$6="All",G5885=Dashboard!$F$6),OR(Dashboard!$I$6="All",H5885=Dashboard!$I$6)),1,0)</f>
        <v/>
      </c>
    </row>
    <row r="5886">
      <c r="A5886" t="inlineStr">
        <is>
          <t>PF105877</t>
        </is>
      </c>
      <c r="B5886" s="68" t="n">
        <v>46370</v>
      </c>
      <c r="C5886" s="69" t="n">
        <v>2026</v>
      </c>
      <c r="D5886" t="inlineStr">
        <is>
          <t>Dec</t>
        </is>
      </c>
      <c r="E5886" t="inlineStr">
        <is>
          <t>Emerging markets</t>
        </is>
      </c>
      <c r="F5886" t="inlineStr">
        <is>
          <t>China</t>
        </is>
      </c>
      <c r="G5886" t="inlineStr">
        <is>
          <t>Eliquis</t>
        </is>
      </c>
      <c r="H5886" t="inlineStr">
        <is>
          <t>Hospital</t>
        </is>
      </c>
      <c r="I5886" t="inlineStr">
        <is>
          <t>Public payer</t>
        </is>
      </c>
      <c r="J5886" t="inlineStr">
        <is>
          <t>Priya Nair</t>
        </is>
      </c>
      <c r="K5886" s="70" t="n">
        <v>2933</v>
      </c>
      <c r="L5886" s="71" t="n">
        <v>400.39</v>
      </c>
      <c r="M5886" s="71" t="n">
        <v>1174343.87</v>
      </c>
      <c r="N5886" s="71" t="n">
        <v>293585.97</v>
      </c>
      <c r="O5886" s="71" t="n">
        <v>880757.9</v>
      </c>
      <c r="P5886" s="71" t="n">
        <v>230074.48</v>
      </c>
      <c r="Q5886" s="71" t="n">
        <v>650683.42</v>
      </c>
      <c r="R5886" t="inlineStr">
        <is>
          <t>Cardiology</t>
        </is>
      </c>
      <c r="S5886" s="70" t="n">
        <v>2151</v>
      </c>
      <c r="T5886" s="71" t="n">
        <v>189373.12</v>
      </c>
      <c r="U5886" t="inlineStr">
        <is>
          <t>High</t>
        </is>
      </c>
      <c r="V5886">
        <f>IF(AND(OR(Dashboard!$C$6="All",E5886=Dashboard!$C$6),OR(Dashboard!$F$6="All",G5886=Dashboard!$F$6),OR(Dashboard!$I$6="All",H5886=Dashboard!$I$6)),1,0)</f>
        <v/>
      </c>
    </row>
    <row r="5887">
      <c r="A5887" t="inlineStr">
        <is>
          <t>PF105878</t>
        </is>
      </c>
      <c r="B5887" s="68" t="n">
        <v>46371</v>
      </c>
      <c r="C5887" s="69" t="n">
        <v>2026</v>
      </c>
      <c r="D5887" t="inlineStr">
        <is>
          <t>Dec</t>
        </is>
      </c>
      <c r="E5887" t="inlineStr">
        <is>
          <t>United States</t>
        </is>
      </c>
      <c r="F5887" t="inlineStr">
        <is>
          <t>USA</t>
        </is>
      </c>
      <c r="G5887" t="inlineStr">
        <is>
          <t>Xeljanz</t>
        </is>
      </c>
      <c r="H5887" t="inlineStr">
        <is>
          <t>Retail pharmacy</t>
        </is>
      </c>
      <c r="I5887" t="inlineStr">
        <is>
          <t>Self-pay</t>
        </is>
      </c>
      <c r="J5887" t="inlineStr">
        <is>
          <t>Yuki Sato</t>
        </is>
      </c>
      <c r="K5887" s="70" t="n">
        <v>827</v>
      </c>
      <c r="L5887" s="71" t="n">
        <v>2287.78</v>
      </c>
      <c r="M5887" s="71" t="n">
        <v>1891994.06</v>
      </c>
      <c r="N5887" s="71" t="n">
        <v>567598.22</v>
      </c>
      <c r="O5887" s="71" t="n">
        <v>1324395.84</v>
      </c>
      <c r="P5887" s="71" t="n">
        <v>203061.76</v>
      </c>
      <c r="Q5887" s="71" t="n">
        <v>1121334.08</v>
      </c>
      <c r="R5887" t="inlineStr">
        <is>
          <t>Inflammation</t>
        </is>
      </c>
      <c r="S5887" s="70" t="n">
        <v>660</v>
      </c>
      <c r="T5887" s="71" t="n">
        <v>256766.99</v>
      </c>
      <c r="U5887" t="inlineStr">
        <is>
          <t>High</t>
        </is>
      </c>
      <c r="V5887">
        <f>IF(AND(OR(Dashboard!$C$6="All",E5887=Dashboard!$C$6),OR(Dashboard!$F$6="All",G5887=Dashboard!$F$6),OR(Dashboard!$I$6="All",H5887=Dashboard!$I$6)),1,0)</f>
        <v/>
      </c>
    </row>
    <row r="5888">
      <c r="A5888" t="inlineStr">
        <is>
          <t>PF105879</t>
        </is>
      </c>
      <c r="B5888" s="68" t="n">
        <v>46371</v>
      </c>
      <c r="C5888" s="69" t="n">
        <v>2026</v>
      </c>
      <c r="D5888" t="inlineStr">
        <is>
          <t>Dec</t>
        </is>
      </c>
      <c r="E5888" t="inlineStr">
        <is>
          <t>Emerging markets</t>
        </is>
      </c>
      <c r="F5888" t="inlineStr">
        <is>
          <t>Mexico</t>
        </is>
      </c>
      <c r="G5888" t="inlineStr">
        <is>
          <t>Prevnar 20</t>
        </is>
      </c>
      <c r="H5888" t="inlineStr">
        <is>
          <t>Government / tender</t>
        </is>
      </c>
      <c r="I5888" t="inlineStr">
        <is>
          <t>Public payer</t>
        </is>
      </c>
      <c r="J5888" t="inlineStr">
        <is>
          <t>Arjun Mehta</t>
        </is>
      </c>
      <c r="K5888" s="70" t="n">
        <v>1045</v>
      </c>
      <c r="L5888" s="71" t="n">
        <v>233.54</v>
      </c>
      <c r="M5888" s="71" t="n">
        <v>244049.3</v>
      </c>
      <c r="N5888" s="71" t="n">
        <v>12202.47</v>
      </c>
      <c r="O5888" s="71" t="n">
        <v>231846.83</v>
      </c>
      <c r="P5888" s="71" t="n">
        <v>71600.34</v>
      </c>
      <c r="Q5888" s="71" t="n">
        <v>160246.49</v>
      </c>
      <c r="R5888" t="inlineStr">
        <is>
          <t>Vaccines</t>
        </is>
      </c>
      <c r="S5888" s="70" t="n">
        <v>899</v>
      </c>
      <c r="T5888" s="71" t="n">
        <v>35427.85</v>
      </c>
      <c r="U5888" t="inlineStr">
        <is>
          <t>Low</t>
        </is>
      </c>
      <c r="V5888">
        <f>IF(AND(OR(Dashboard!$C$6="All",E5888=Dashboard!$C$6),OR(Dashboard!$F$6="All",G5888=Dashboard!$F$6),OR(Dashboard!$I$6="All",H5888=Dashboard!$I$6)),1,0)</f>
        <v/>
      </c>
    </row>
    <row r="5889">
      <c r="A5889" t="inlineStr">
        <is>
          <t>PF105880</t>
        </is>
      </c>
      <c r="B5889" s="68" t="n">
        <v>46371</v>
      </c>
      <c r="C5889" s="69" t="n">
        <v>2026</v>
      </c>
      <c r="D5889" t="inlineStr">
        <is>
          <t>Dec</t>
        </is>
      </c>
      <c r="E5889" t="inlineStr">
        <is>
          <t>United States</t>
        </is>
      </c>
      <c r="F5889" t="inlineStr">
        <is>
          <t>USA</t>
        </is>
      </c>
      <c r="G5889" t="inlineStr">
        <is>
          <t>Xeljanz</t>
        </is>
      </c>
      <c r="H5889" t="inlineStr">
        <is>
          <t>Government / tender</t>
        </is>
      </c>
      <c r="I5889" t="inlineStr">
        <is>
          <t>Public payer</t>
        </is>
      </c>
      <c r="J5889" t="inlineStr">
        <is>
          <t>Lucas Martin</t>
        </is>
      </c>
      <c r="K5889" s="70" t="n">
        <v>1951</v>
      </c>
      <c r="L5889" s="71" t="n">
        <v>1945.93</v>
      </c>
      <c r="M5889" s="71" t="n">
        <v>3796509.43</v>
      </c>
      <c r="N5889" s="71" t="n">
        <v>949127.36</v>
      </c>
      <c r="O5889" s="71" t="n">
        <v>2847382.07</v>
      </c>
      <c r="P5889" s="71" t="n">
        <v>495723.96</v>
      </c>
      <c r="Q5889" s="71" t="n">
        <v>2351658.11</v>
      </c>
      <c r="R5889" t="inlineStr">
        <is>
          <t>Inflammation</t>
        </is>
      </c>
      <c r="S5889" s="70" t="n">
        <v>1378</v>
      </c>
      <c r="T5889" s="71" t="n">
        <v>725406.4300000001</v>
      </c>
      <c r="U5889" t="inlineStr">
        <is>
          <t>High</t>
        </is>
      </c>
      <c r="V5889">
        <f>IF(AND(OR(Dashboard!$C$6="All",E5889=Dashboard!$C$6),OR(Dashboard!$F$6="All",G5889=Dashboard!$F$6),OR(Dashboard!$I$6="All",H5889=Dashboard!$I$6)),1,0)</f>
        <v/>
      </c>
    </row>
    <row r="5890">
      <c r="A5890" t="inlineStr">
        <is>
          <t>PF105881</t>
        </is>
      </c>
      <c r="B5890" s="68" t="n">
        <v>46371</v>
      </c>
      <c r="C5890" s="69" t="n">
        <v>2026</v>
      </c>
      <c r="D5890" t="inlineStr">
        <is>
          <t>Dec</t>
        </is>
      </c>
      <c r="E5890" t="inlineStr">
        <is>
          <t>Europe</t>
        </is>
      </c>
      <c r="F5890" t="inlineStr">
        <is>
          <t>France</t>
        </is>
      </c>
      <c r="G5890" t="inlineStr">
        <is>
          <t>Vyndaqel</t>
        </is>
      </c>
      <c r="H5890" t="inlineStr">
        <is>
          <t>Government / tender</t>
        </is>
      </c>
      <c r="I5890" t="inlineStr">
        <is>
          <t>Private insurer</t>
        </is>
      </c>
      <c r="J5890" t="inlineStr">
        <is>
          <t>Liam O'Brien</t>
        </is>
      </c>
      <c r="K5890" s="70" t="n">
        <v>935</v>
      </c>
      <c r="L5890" s="71" t="n">
        <v>5563.19</v>
      </c>
      <c r="M5890" s="71" t="n">
        <v>5201582.65</v>
      </c>
      <c r="N5890" s="71" t="n">
        <v>520158.27</v>
      </c>
      <c r="O5890" s="71" t="n">
        <v>4681424.38</v>
      </c>
      <c r="P5890" s="71" t="n">
        <v>603435.88</v>
      </c>
      <c r="Q5890" s="71" t="n">
        <v>4077988.5</v>
      </c>
      <c r="R5890" t="inlineStr">
        <is>
          <t>Rare disease</t>
        </is>
      </c>
      <c r="S5890" s="70" t="n">
        <v>712</v>
      </c>
      <c r="T5890" s="71" t="n">
        <v>587708.5</v>
      </c>
      <c r="U5890" t="inlineStr">
        <is>
          <t>Medium</t>
        </is>
      </c>
      <c r="V5890">
        <f>IF(AND(OR(Dashboard!$C$6="All",E5890=Dashboard!$C$6),OR(Dashboard!$F$6="All",G5890=Dashboard!$F$6),OR(Dashboard!$I$6="All",H5890=Dashboard!$I$6)),1,0)</f>
        <v/>
      </c>
    </row>
    <row r="5891">
      <c r="A5891" t="inlineStr">
        <is>
          <t>PF105882</t>
        </is>
      </c>
      <c r="B5891" s="68" t="n">
        <v>46371</v>
      </c>
      <c r="C5891" s="69" t="n">
        <v>2026</v>
      </c>
      <c r="D5891" t="inlineStr">
        <is>
          <t>Dec</t>
        </is>
      </c>
      <c r="E5891" t="inlineStr">
        <is>
          <t>Europe</t>
        </is>
      </c>
      <c r="F5891" t="inlineStr">
        <is>
          <t>France</t>
        </is>
      </c>
      <c r="G5891" t="inlineStr">
        <is>
          <t>Ibrance</t>
        </is>
      </c>
      <c r="H5891" t="inlineStr">
        <is>
          <t>Retail pharmacy</t>
        </is>
      </c>
      <c r="I5891" t="inlineStr">
        <is>
          <t>Private insurer</t>
        </is>
      </c>
      <c r="J5891" t="inlineStr">
        <is>
          <t>Fatima Al-Saud</t>
        </is>
      </c>
      <c r="K5891" s="70" t="n">
        <v>2404</v>
      </c>
      <c r="L5891" s="71" t="n">
        <v>2749.83</v>
      </c>
      <c r="M5891" s="71" t="n">
        <v>6610591.32</v>
      </c>
      <c r="N5891" s="71" t="n">
        <v>661059.13</v>
      </c>
      <c r="O5891" s="71" t="n">
        <v>5949532.19</v>
      </c>
      <c r="P5891" s="71" t="n">
        <v>1055802.39</v>
      </c>
      <c r="Q5891" s="71" t="n">
        <v>4893729.8</v>
      </c>
      <c r="R5891" t="inlineStr">
        <is>
          <t>Oncology</t>
        </is>
      </c>
      <c r="S5891" s="70" t="n">
        <v>2103</v>
      </c>
      <c r="T5891" s="71" t="n">
        <v>1436996</v>
      </c>
      <c r="U5891" t="inlineStr">
        <is>
          <t>High</t>
        </is>
      </c>
      <c r="V5891">
        <f>IF(AND(OR(Dashboard!$C$6="All",E5891=Dashboard!$C$6),OR(Dashboard!$F$6="All",G5891=Dashboard!$F$6),OR(Dashboard!$I$6="All",H5891=Dashboard!$I$6)),1,0)</f>
        <v/>
      </c>
    </row>
    <row r="5892">
      <c r="A5892" t="inlineStr">
        <is>
          <t>PF105883</t>
        </is>
      </c>
      <c r="B5892" s="68" t="n">
        <v>46371</v>
      </c>
      <c r="C5892" s="69" t="n">
        <v>2026</v>
      </c>
      <c r="D5892" t="inlineStr">
        <is>
          <t>Dec</t>
        </is>
      </c>
      <c r="E5892" t="inlineStr">
        <is>
          <t>Europe</t>
        </is>
      </c>
      <c r="F5892" t="inlineStr">
        <is>
          <t>Spain</t>
        </is>
      </c>
      <c r="G5892" t="inlineStr">
        <is>
          <t>Eliquis</t>
        </is>
      </c>
      <c r="H5892" t="inlineStr">
        <is>
          <t>Government / tender</t>
        </is>
      </c>
      <c r="I5892" t="inlineStr">
        <is>
          <t>Private insurer</t>
        </is>
      </c>
      <c r="J5892" t="inlineStr">
        <is>
          <t>Zoya Ahmed</t>
        </is>
      </c>
      <c r="K5892" s="70" t="n">
        <v>2348</v>
      </c>
      <c r="L5892" s="71" t="n">
        <v>393.49</v>
      </c>
      <c r="M5892" s="71" t="n">
        <v>923914.52</v>
      </c>
      <c r="N5892" s="71" t="n">
        <v>230978.63</v>
      </c>
      <c r="O5892" s="71" t="n">
        <v>692935.89</v>
      </c>
      <c r="P5892" s="71" t="n">
        <v>183308.17</v>
      </c>
      <c r="Q5892" s="71" t="n">
        <v>509627.72</v>
      </c>
      <c r="R5892" t="inlineStr">
        <is>
          <t>Cardiology</t>
        </is>
      </c>
      <c r="S5892" s="70" t="n">
        <v>1984</v>
      </c>
      <c r="T5892" s="71" t="n">
        <v>175445.89</v>
      </c>
      <c r="U5892" t="inlineStr">
        <is>
          <t>High</t>
        </is>
      </c>
      <c r="V5892">
        <f>IF(AND(OR(Dashboard!$C$6="All",E5892=Dashboard!$C$6),OR(Dashboard!$F$6="All",G5892=Dashboard!$F$6),OR(Dashboard!$I$6="All",H5892=Dashboard!$I$6)),1,0)</f>
        <v/>
      </c>
    </row>
    <row r="5893">
      <c r="A5893" t="inlineStr">
        <is>
          <t>PF105884</t>
        </is>
      </c>
      <c r="B5893" s="68" t="n">
        <v>46371</v>
      </c>
      <c r="C5893" s="69" t="n">
        <v>2026</v>
      </c>
      <c r="D5893" t="inlineStr">
        <is>
          <t>Dec</t>
        </is>
      </c>
      <c r="E5893" t="inlineStr">
        <is>
          <t>United States</t>
        </is>
      </c>
      <c r="F5893" t="inlineStr">
        <is>
          <t>USA</t>
        </is>
      </c>
      <c r="G5893" t="inlineStr">
        <is>
          <t>Ibrance</t>
        </is>
      </c>
      <c r="H5893" t="inlineStr">
        <is>
          <t>Retail pharmacy</t>
        </is>
      </c>
      <c r="I5893" t="inlineStr">
        <is>
          <t>Public payer</t>
        </is>
      </c>
      <c r="J5893" t="inlineStr">
        <is>
          <t>Sara Rossi</t>
        </is>
      </c>
      <c r="K5893" s="70" t="n">
        <v>2067</v>
      </c>
      <c r="L5893" s="71" t="n">
        <v>4513.52</v>
      </c>
      <c r="M5893" s="71" t="n">
        <v>9329445.84</v>
      </c>
      <c r="N5893" s="71" t="n">
        <v>3265306.04</v>
      </c>
      <c r="O5893" s="71" t="n">
        <v>6064139.8</v>
      </c>
      <c r="P5893" s="71" t="n">
        <v>886556.73</v>
      </c>
      <c r="Q5893" s="71" t="n">
        <v>5177583.07</v>
      </c>
      <c r="R5893" t="inlineStr">
        <is>
          <t>Oncology</t>
        </is>
      </c>
      <c r="S5893" s="70" t="n">
        <v>1776</v>
      </c>
      <c r="T5893" s="71" t="n">
        <v>1804157.61</v>
      </c>
      <c r="U5893" t="inlineStr">
        <is>
          <t>High</t>
        </is>
      </c>
      <c r="V5893">
        <f>IF(AND(OR(Dashboard!$C$6="All",E5893=Dashboard!$C$6),OR(Dashboard!$F$6="All",G5893=Dashboard!$F$6),OR(Dashboard!$I$6="All",H5893=Dashboard!$I$6)),1,0)</f>
        <v/>
      </c>
    </row>
    <row r="5894">
      <c r="A5894" t="inlineStr">
        <is>
          <t>PF105885</t>
        </is>
      </c>
      <c r="B5894" s="68" t="n">
        <v>46371</v>
      </c>
      <c r="C5894" s="69" t="n">
        <v>2026</v>
      </c>
      <c r="D5894" t="inlineStr">
        <is>
          <t>Dec</t>
        </is>
      </c>
      <c r="E5894" t="inlineStr">
        <is>
          <t>United States</t>
        </is>
      </c>
      <c r="F5894" t="inlineStr">
        <is>
          <t>USA</t>
        </is>
      </c>
      <c r="G5894" t="inlineStr">
        <is>
          <t>Eliquis</t>
        </is>
      </c>
      <c r="H5894" t="inlineStr">
        <is>
          <t>Hospital</t>
        </is>
      </c>
      <c r="I5894" t="inlineStr">
        <is>
          <t>Private insurer</t>
        </is>
      </c>
      <c r="J5894" t="inlineStr">
        <is>
          <t>Wei Chen</t>
        </is>
      </c>
      <c r="K5894" s="70" t="n">
        <v>785</v>
      </c>
      <c r="L5894" s="71" t="n">
        <v>691.6799999999999</v>
      </c>
      <c r="M5894" s="71" t="n">
        <v>542968.8</v>
      </c>
      <c r="N5894" s="71" t="n">
        <v>81445.32000000001</v>
      </c>
      <c r="O5894" s="71" t="n">
        <v>461523.48</v>
      </c>
      <c r="P5894" s="71" t="n">
        <v>58126.22</v>
      </c>
      <c r="Q5894" s="71" t="n">
        <v>403397.26</v>
      </c>
      <c r="R5894" t="inlineStr">
        <is>
          <t>Cardiology</t>
        </is>
      </c>
      <c r="S5894" s="70" t="n">
        <v>536</v>
      </c>
      <c r="T5894" s="71" t="n">
        <v>67600.17999999999</v>
      </c>
      <c r="U5894" t="inlineStr">
        <is>
          <t>High</t>
        </is>
      </c>
      <c r="V5894">
        <f>IF(AND(OR(Dashboard!$C$6="All",E5894=Dashboard!$C$6),OR(Dashboard!$F$6="All",G5894=Dashboard!$F$6),OR(Dashboard!$I$6="All",H5894=Dashboard!$I$6)),1,0)</f>
        <v/>
      </c>
    </row>
    <row r="5895">
      <c r="A5895" t="inlineStr">
        <is>
          <t>PF105886</t>
        </is>
      </c>
      <c r="B5895" s="68" t="n">
        <v>46371</v>
      </c>
      <c r="C5895" s="69" t="n">
        <v>2026</v>
      </c>
      <c r="D5895" t="inlineStr">
        <is>
          <t>Dec</t>
        </is>
      </c>
      <c r="E5895" t="inlineStr">
        <is>
          <t>United States</t>
        </is>
      </c>
      <c r="F5895" t="inlineStr">
        <is>
          <t>USA</t>
        </is>
      </c>
      <c r="G5895" t="inlineStr">
        <is>
          <t>Ibrance</t>
        </is>
      </c>
      <c r="H5895" t="inlineStr">
        <is>
          <t>Hospital</t>
        </is>
      </c>
      <c r="I5895" t="inlineStr">
        <is>
          <t>Public payer</t>
        </is>
      </c>
      <c r="J5895" t="inlineStr">
        <is>
          <t>Liam O'Brien</t>
        </is>
      </c>
      <c r="K5895" s="70" t="n">
        <v>3267</v>
      </c>
      <c r="L5895" s="71" t="n">
        <v>4191.64</v>
      </c>
      <c r="M5895" s="71" t="n">
        <v>13694087.88</v>
      </c>
      <c r="N5895" s="71" t="n">
        <v>4108226.36</v>
      </c>
      <c r="O5895" s="71" t="n">
        <v>9585861.52</v>
      </c>
      <c r="P5895" s="71" t="n">
        <v>1442352.38</v>
      </c>
      <c r="Q5895" s="71" t="n">
        <v>8143509.14</v>
      </c>
      <c r="R5895" t="inlineStr">
        <is>
          <t>Oncology</t>
        </is>
      </c>
      <c r="S5895" s="70" t="n">
        <v>2885</v>
      </c>
      <c r="T5895" s="71" t="n">
        <v>2421170.95</v>
      </c>
      <c r="U5895" t="inlineStr">
        <is>
          <t>High</t>
        </is>
      </c>
      <c r="V5895">
        <f>IF(AND(OR(Dashboard!$C$6="All",E5895=Dashboard!$C$6),OR(Dashboard!$F$6="All",G5895=Dashboard!$F$6),OR(Dashboard!$I$6="All",H5895=Dashboard!$I$6)),1,0)</f>
        <v/>
      </c>
    </row>
    <row r="5896">
      <c r="A5896" t="inlineStr">
        <is>
          <t>PF105887</t>
        </is>
      </c>
      <c r="B5896" s="68" t="n">
        <v>46372</v>
      </c>
      <c r="C5896" s="69" t="n">
        <v>2026</v>
      </c>
      <c r="D5896" t="inlineStr">
        <is>
          <t>Dec</t>
        </is>
      </c>
      <c r="E5896" t="inlineStr">
        <is>
          <t>United States</t>
        </is>
      </c>
      <c r="F5896" t="inlineStr">
        <is>
          <t>USA</t>
        </is>
      </c>
      <c r="G5896" t="inlineStr">
        <is>
          <t>Eliquis</t>
        </is>
      </c>
      <c r="H5896" t="inlineStr">
        <is>
          <t>Retail pharmacy</t>
        </is>
      </c>
      <c r="I5896" t="inlineStr">
        <is>
          <t>Self-pay</t>
        </is>
      </c>
      <c r="J5896" t="inlineStr">
        <is>
          <t>Noah Smith</t>
        </is>
      </c>
      <c r="K5896" s="70" t="n">
        <v>1124</v>
      </c>
      <c r="L5896" s="71" t="n">
        <v>725.77</v>
      </c>
      <c r="M5896" s="71" t="n">
        <v>815765.48</v>
      </c>
      <c r="N5896" s="71" t="n">
        <v>163153.1</v>
      </c>
      <c r="O5896" s="71" t="n">
        <v>652612.38</v>
      </c>
      <c r="P5896" s="71" t="n">
        <v>86378.92</v>
      </c>
      <c r="Q5896" s="71" t="n">
        <v>566233.46</v>
      </c>
      <c r="R5896" t="inlineStr">
        <is>
          <t>Cardiology</t>
        </is>
      </c>
      <c r="S5896" s="70" t="n">
        <v>874</v>
      </c>
      <c r="T5896" s="71" t="n">
        <v>126634.93</v>
      </c>
      <c r="U5896" t="inlineStr">
        <is>
          <t>High</t>
        </is>
      </c>
      <c r="V5896">
        <f>IF(AND(OR(Dashboard!$C$6="All",E5896=Dashboard!$C$6),OR(Dashboard!$F$6="All",G5896=Dashboard!$F$6),OR(Dashboard!$I$6="All",H5896=Dashboard!$I$6)),1,0)</f>
        <v/>
      </c>
    </row>
    <row r="5897">
      <c r="A5897" t="inlineStr">
        <is>
          <t>PF105888</t>
        </is>
      </c>
      <c r="B5897" s="68" t="n">
        <v>46372</v>
      </c>
      <c r="C5897" s="69" t="n">
        <v>2026</v>
      </c>
      <c r="D5897" t="inlineStr">
        <is>
          <t>Dec</t>
        </is>
      </c>
      <c r="E5897" t="inlineStr">
        <is>
          <t>United States</t>
        </is>
      </c>
      <c r="F5897" t="inlineStr">
        <is>
          <t>USA</t>
        </is>
      </c>
      <c r="G5897" t="inlineStr">
        <is>
          <t>Eliquis</t>
        </is>
      </c>
      <c r="H5897" t="inlineStr">
        <is>
          <t>Retail pharmacy</t>
        </is>
      </c>
      <c r="I5897" t="inlineStr">
        <is>
          <t>Private insurer</t>
        </is>
      </c>
      <c r="J5897" t="inlineStr">
        <is>
          <t>Hiroshi Tanaka</t>
        </is>
      </c>
      <c r="K5897" s="70" t="n">
        <v>1006</v>
      </c>
      <c r="L5897" s="71" t="n">
        <v>677.42</v>
      </c>
      <c r="M5897" s="71" t="n">
        <v>681484.52</v>
      </c>
      <c r="N5897" s="71" t="n">
        <v>102222.68</v>
      </c>
      <c r="O5897" s="71" t="n">
        <v>579261.84</v>
      </c>
      <c r="P5897" s="71" t="n">
        <v>74184.09</v>
      </c>
      <c r="Q5897" s="71" t="n">
        <v>505077.75</v>
      </c>
      <c r="R5897" t="inlineStr">
        <is>
          <t>Cardiology</t>
        </is>
      </c>
      <c r="S5897" s="70" t="n">
        <v>786</v>
      </c>
      <c r="T5897" s="71" t="n">
        <v>122206.69</v>
      </c>
      <c r="U5897" t="inlineStr">
        <is>
          <t>High</t>
        </is>
      </c>
      <c r="V5897">
        <f>IF(AND(OR(Dashboard!$C$6="All",E5897=Dashboard!$C$6),OR(Dashboard!$F$6="All",G5897=Dashboard!$F$6),OR(Dashboard!$I$6="All",H5897=Dashboard!$I$6)),1,0)</f>
        <v/>
      </c>
    </row>
    <row r="5898">
      <c r="A5898" t="inlineStr">
        <is>
          <t>PF105889</t>
        </is>
      </c>
      <c r="B5898" s="68" t="n">
        <v>46372</v>
      </c>
      <c r="C5898" s="69" t="n">
        <v>2026</v>
      </c>
      <c r="D5898" t="inlineStr">
        <is>
          <t>Dec</t>
        </is>
      </c>
      <c r="E5898" t="inlineStr">
        <is>
          <t>International developed</t>
        </is>
      </c>
      <c r="F5898" t="inlineStr">
        <is>
          <t>Canada</t>
        </is>
      </c>
      <c r="G5898" t="inlineStr">
        <is>
          <t>Ibrance</t>
        </is>
      </c>
      <c r="H5898" t="inlineStr">
        <is>
          <t>Hospital</t>
        </is>
      </c>
      <c r="I5898" t="inlineStr">
        <is>
          <t>Public payer</t>
        </is>
      </c>
      <c r="J5898" t="inlineStr">
        <is>
          <t>Ravindra Patil</t>
        </is>
      </c>
      <c r="K5898" s="70" t="n">
        <v>913</v>
      </c>
      <c r="L5898" s="71" t="n">
        <v>2773.49</v>
      </c>
      <c r="M5898" s="71" t="n">
        <v>2532196.37</v>
      </c>
      <c r="N5898" s="71" t="n">
        <v>126609.82</v>
      </c>
      <c r="O5898" s="71" t="n">
        <v>2405586.55</v>
      </c>
      <c r="P5898" s="71" t="n">
        <v>388449.01</v>
      </c>
      <c r="Q5898" s="71" t="n">
        <v>2017137.54</v>
      </c>
      <c r="R5898" t="inlineStr">
        <is>
          <t>Oncology</t>
        </is>
      </c>
      <c r="S5898" s="70" t="n">
        <v>649</v>
      </c>
      <c r="T5898" s="71" t="n">
        <v>451457.73</v>
      </c>
      <c r="U5898" t="inlineStr">
        <is>
          <t>High</t>
        </is>
      </c>
      <c r="V5898">
        <f>IF(AND(OR(Dashboard!$C$6="All",E5898=Dashboard!$C$6),OR(Dashboard!$F$6="All",G5898=Dashboard!$F$6),OR(Dashboard!$I$6="All",H5898=Dashboard!$I$6)),1,0)</f>
        <v/>
      </c>
    </row>
    <row r="5899">
      <c r="A5899" t="inlineStr">
        <is>
          <t>PF105890</t>
        </is>
      </c>
      <c r="B5899" s="68" t="n">
        <v>46372</v>
      </c>
      <c r="C5899" s="69" t="n">
        <v>2026</v>
      </c>
      <c r="D5899" t="inlineStr">
        <is>
          <t>Dec</t>
        </is>
      </c>
      <c r="E5899" t="inlineStr">
        <is>
          <t>United States</t>
        </is>
      </c>
      <c r="F5899" t="inlineStr">
        <is>
          <t>USA</t>
        </is>
      </c>
      <c r="G5899" t="inlineStr">
        <is>
          <t>Prevnar 20</t>
        </is>
      </c>
      <c r="H5899" t="inlineStr">
        <is>
          <t>Retail pharmacy</t>
        </is>
      </c>
      <c r="I5899" t="inlineStr">
        <is>
          <t>Self-pay</t>
        </is>
      </c>
      <c r="J5899" t="inlineStr">
        <is>
          <t>Sophie Müller</t>
        </is>
      </c>
      <c r="K5899" s="70" t="n">
        <v>2777</v>
      </c>
      <c r="L5899" s="71" t="n">
        <v>356.28</v>
      </c>
      <c r="M5899" s="71" t="n">
        <v>989389.5600000001</v>
      </c>
      <c r="N5899" s="71" t="n">
        <v>346286.35</v>
      </c>
      <c r="O5899" s="71" t="n">
        <v>643103.21</v>
      </c>
      <c r="P5899" s="71" t="n">
        <v>195438.43</v>
      </c>
      <c r="Q5899" s="71" t="n">
        <v>447664.78</v>
      </c>
      <c r="R5899" t="inlineStr">
        <is>
          <t>Vaccines</t>
        </is>
      </c>
      <c r="S5899" s="70" t="n">
        <v>1774</v>
      </c>
      <c r="T5899" s="71" t="n">
        <v>146335.89</v>
      </c>
      <c r="U5899" t="inlineStr">
        <is>
          <t>Low</t>
        </is>
      </c>
      <c r="V5899">
        <f>IF(AND(OR(Dashboard!$C$6="All",E5899=Dashboard!$C$6),OR(Dashboard!$F$6="All",G5899=Dashboard!$F$6),OR(Dashboard!$I$6="All",H5899=Dashboard!$I$6)),1,0)</f>
        <v/>
      </c>
    </row>
    <row r="5900">
      <c r="A5900" t="inlineStr">
        <is>
          <t>PF105891</t>
        </is>
      </c>
      <c r="B5900" s="68" t="n">
        <v>46372</v>
      </c>
      <c r="C5900" s="69" t="n">
        <v>2026</v>
      </c>
      <c r="D5900" t="inlineStr">
        <is>
          <t>Dec</t>
        </is>
      </c>
      <c r="E5900" t="inlineStr">
        <is>
          <t>United States</t>
        </is>
      </c>
      <c r="F5900" t="inlineStr">
        <is>
          <t>USA</t>
        </is>
      </c>
      <c r="G5900" t="inlineStr">
        <is>
          <t>Paxlovid</t>
        </is>
      </c>
      <c r="H5900" t="inlineStr">
        <is>
          <t>Retail pharmacy</t>
        </is>
      </c>
      <c r="I5900" t="inlineStr">
        <is>
          <t>Public payer</t>
        </is>
      </c>
      <c r="J5900" t="inlineStr">
        <is>
          <t>Wei Chen</t>
        </is>
      </c>
      <c r="K5900" s="70" t="n">
        <v>1495</v>
      </c>
      <c r="L5900" s="71" t="n">
        <v>1589.88</v>
      </c>
      <c r="M5900" s="71" t="n">
        <v>2376870.6</v>
      </c>
      <c r="N5900" s="71" t="n">
        <v>475374.12</v>
      </c>
      <c r="O5900" s="71" t="n">
        <v>1901496.48</v>
      </c>
      <c r="P5900" s="71" t="n">
        <v>397938.7</v>
      </c>
      <c r="Q5900" s="71" t="n">
        <v>1503557.78</v>
      </c>
      <c r="R5900" t="inlineStr">
        <is>
          <t>Antiviral</t>
        </is>
      </c>
      <c r="S5900" s="70" t="n">
        <v>1183</v>
      </c>
      <c r="T5900" s="71" t="n">
        <v>395241.82</v>
      </c>
      <c r="U5900" t="inlineStr">
        <is>
          <t>Low</t>
        </is>
      </c>
      <c r="V5900">
        <f>IF(AND(OR(Dashboard!$C$6="All",E5900=Dashboard!$C$6),OR(Dashboard!$F$6="All",G5900=Dashboard!$F$6),OR(Dashboard!$I$6="All",H5900=Dashboard!$I$6)),1,0)</f>
        <v/>
      </c>
    </row>
    <row r="5901">
      <c r="A5901" t="inlineStr">
        <is>
          <t>PF105892</t>
        </is>
      </c>
      <c r="B5901" s="68" t="n">
        <v>46372</v>
      </c>
      <c r="C5901" s="69" t="n">
        <v>2026</v>
      </c>
      <c r="D5901" t="inlineStr">
        <is>
          <t>Dec</t>
        </is>
      </c>
      <c r="E5901" t="inlineStr">
        <is>
          <t>International developed</t>
        </is>
      </c>
      <c r="F5901" t="inlineStr">
        <is>
          <t>Australia</t>
        </is>
      </c>
      <c r="G5901" t="inlineStr">
        <is>
          <t>Eliquis</t>
        </is>
      </c>
      <c r="H5901" t="inlineStr">
        <is>
          <t>Hospital</t>
        </is>
      </c>
      <c r="I5901" t="inlineStr">
        <is>
          <t>Self-pay</t>
        </is>
      </c>
      <c r="J5901" t="inlineStr">
        <is>
          <t>Kofi Mensah</t>
        </is>
      </c>
      <c r="K5901" s="70" t="n">
        <v>583</v>
      </c>
      <c r="L5901" s="71" t="n">
        <v>415.92</v>
      </c>
      <c r="M5901" s="71" t="n">
        <v>242481.36</v>
      </c>
      <c r="N5901" s="71" t="n">
        <v>48496.27</v>
      </c>
      <c r="O5901" s="71" t="n">
        <v>193985.09</v>
      </c>
      <c r="P5901" s="71" t="n">
        <v>45142.62</v>
      </c>
      <c r="Q5901" s="71" t="n">
        <v>148842.47</v>
      </c>
      <c r="R5901" t="inlineStr">
        <is>
          <t>Cardiology</t>
        </is>
      </c>
      <c r="S5901" s="70" t="n">
        <v>455</v>
      </c>
      <c r="T5901" s="71" t="n">
        <v>30472.71</v>
      </c>
      <c r="U5901" t="inlineStr">
        <is>
          <t>High</t>
        </is>
      </c>
      <c r="V5901">
        <f>IF(AND(OR(Dashboard!$C$6="All",E5901=Dashboard!$C$6),OR(Dashboard!$F$6="All",G5901=Dashboard!$F$6),OR(Dashboard!$I$6="All",H5901=Dashboard!$I$6)),1,0)</f>
        <v/>
      </c>
    </row>
    <row r="5902">
      <c r="A5902" t="inlineStr">
        <is>
          <t>PF105893</t>
        </is>
      </c>
      <c r="B5902" s="68" t="n">
        <v>46372</v>
      </c>
      <c r="C5902" s="69" t="n">
        <v>2026</v>
      </c>
      <c r="D5902" t="inlineStr">
        <is>
          <t>Dec</t>
        </is>
      </c>
      <c r="E5902" t="inlineStr">
        <is>
          <t>International developed</t>
        </is>
      </c>
      <c r="F5902" t="inlineStr">
        <is>
          <t>Australia</t>
        </is>
      </c>
      <c r="G5902" t="inlineStr">
        <is>
          <t>Comirnaty</t>
        </is>
      </c>
      <c r="H5902" t="inlineStr">
        <is>
          <t>Retail pharmacy</t>
        </is>
      </c>
      <c r="I5902" t="inlineStr">
        <is>
          <t>Public payer</t>
        </is>
      </c>
      <c r="J5902" t="inlineStr">
        <is>
          <t>Zoya Ahmed</t>
        </is>
      </c>
      <c r="K5902" s="70" t="n">
        <v>944</v>
      </c>
      <c r="L5902" s="71" t="n">
        <v>83.56999999999999</v>
      </c>
      <c r="M5902" s="71" t="n">
        <v>78890.08</v>
      </c>
      <c r="N5902" s="71" t="n">
        <v>11833.51</v>
      </c>
      <c r="O5902" s="71" t="n">
        <v>67056.57000000001</v>
      </c>
      <c r="P5902" s="71" t="n">
        <v>35914.12</v>
      </c>
      <c r="Q5902" s="71" t="n">
        <v>31142.45</v>
      </c>
      <c r="R5902" t="inlineStr">
        <is>
          <t>Vaccines</t>
        </is>
      </c>
      <c r="S5902" s="70" t="n">
        <v>782</v>
      </c>
      <c r="T5902" s="71" t="n">
        <v>16801.72</v>
      </c>
      <c r="U5902" t="inlineStr">
        <is>
          <t>Low</t>
        </is>
      </c>
      <c r="V5902">
        <f>IF(AND(OR(Dashboard!$C$6="All",E5902=Dashboard!$C$6),OR(Dashboard!$F$6="All",G5902=Dashboard!$F$6),OR(Dashboard!$I$6="All",H5902=Dashboard!$I$6)),1,0)</f>
        <v/>
      </c>
    </row>
    <row r="5903">
      <c r="A5903" t="inlineStr">
        <is>
          <t>PF105894</t>
        </is>
      </c>
      <c r="B5903" s="68" t="n">
        <v>46372</v>
      </c>
      <c r="C5903" s="69" t="n">
        <v>2026</v>
      </c>
      <c r="D5903" t="inlineStr">
        <is>
          <t>Dec</t>
        </is>
      </c>
      <c r="E5903" t="inlineStr">
        <is>
          <t>Europe</t>
        </is>
      </c>
      <c r="F5903" t="inlineStr">
        <is>
          <t>Germany</t>
        </is>
      </c>
      <c r="G5903" t="inlineStr">
        <is>
          <t>Comirnaty</t>
        </is>
      </c>
      <c r="H5903" t="inlineStr">
        <is>
          <t>Government / tender</t>
        </is>
      </c>
      <c r="I5903" t="inlineStr">
        <is>
          <t>Public payer</t>
        </is>
      </c>
      <c r="J5903" t="inlineStr">
        <is>
          <t>Sara Rossi</t>
        </is>
      </c>
      <c r="K5903" s="70" t="n">
        <v>574</v>
      </c>
      <c r="L5903" s="71" t="n">
        <v>81.36</v>
      </c>
      <c r="M5903" s="71" t="n">
        <v>46700.64</v>
      </c>
      <c r="N5903" s="71" t="n">
        <v>2335.03</v>
      </c>
      <c r="O5903" s="71" t="n">
        <v>44365.61</v>
      </c>
      <c r="P5903" s="71" t="n">
        <v>22774.08</v>
      </c>
      <c r="Q5903" s="71" t="n">
        <v>21591.53</v>
      </c>
      <c r="R5903" t="inlineStr">
        <is>
          <t>Vaccines</t>
        </is>
      </c>
      <c r="S5903" s="70" t="n">
        <v>497</v>
      </c>
      <c r="T5903" s="71" t="n">
        <v>11858.66</v>
      </c>
      <c r="U5903" t="inlineStr">
        <is>
          <t>Low</t>
        </is>
      </c>
      <c r="V5903">
        <f>IF(AND(OR(Dashboard!$C$6="All",E5903=Dashboard!$C$6),OR(Dashboard!$F$6="All",G5903=Dashboard!$F$6),OR(Dashboard!$I$6="All",H5903=Dashboard!$I$6)),1,0)</f>
        <v/>
      </c>
    </row>
    <row r="5904">
      <c r="A5904" t="inlineStr">
        <is>
          <t>PF105895</t>
        </is>
      </c>
      <c r="B5904" s="68" t="n">
        <v>46373</v>
      </c>
      <c r="C5904" s="69" t="n">
        <v>2026</v>
      </c>
      <c r="D5904" t="inlineStr">
        <is>
          <t>Dec</t>
        </is>
      </c>
      <c r="E5904" t="inlineStr">
        <is>
          <t>Europe</t>
        </is>
      </c>
      <c r="F5904" t="inlineStr">
        <is>
          <t>UK</t>
        </is>
      </c>
      <c r="G5904" t="inlineStr">
        <is>
          <t>Abrysvo</t>
        </is>
      </c>
      <c r="H5904" t="inlineStr">
        <is>
          <t>Government / tender</t>
        </is>
      </c>
      <c r="I5904" t="inlineStr">
        <is>
          <t>Public payer</t>
        </is>
      </c>
      <c r="J5904" t="inlineStr">
        <is>
          <t>Kofi Mensah</t>
        </is>
      </c>
      <c r="K5904" s="70" t="n">
        <v>495</v>
      </c>
      <c r="L5904" s="71" t="n">
        <v>310.34</v>
      </c>
      <c r="M5904" s="71" t="n">
        <v>153618.3</v>
      </c>
      <c r="N5904" s="71" t="n">
        <v>38404.57</v>
      </c>
      <c r="O5904" s="71" t="n">
        <v>115213.73</v>
      </c>
      <c r="P5904" s="71" t="n">
        <v>41935.71</v>
      </c>
      <c r="Q5904" s="71" t="n">
        <v>73278.02</v>
      </c>
      <c r="R5904" t="inlineStr">
        <is>
          <t>Vaccines</t>
        </is>
      </c>
      <c r="S5904" s="70" t="n">
        <v>323</v>
      </c>
      <c r="T5904" s="71" t="n">
        <v>22242.48</v>
      </c>
      <c r="U5904" t="inlineStr">
        <is>
          <t>Low</t>
        </is>
      </c>
      <c r="V5904">
        <f>IF(AND(OR(Dashboard!$C$6="All",E5904=Dashboard!$C$6),OR(Dashboard!$F$6="All",G5904=Dashboard!$F$6),OR(Dashboard!$I$6="All",H5904=Dashboard!$I$6)),1,0)</f>
        <v/>
      </c>
    </row>
    <row r="5905">
      <c r="A5905" t="inlineStr">
        <is>
          <t>PF105896</t>
        </is>
      </c>
      <c r="B5905" s="68" t="n">
        <v>46373</v>
      </c>
      <c r="C5905" s="69" t="n">
        <v>2026</v>
      </c>
      <c r="D5905" t="inlineStr">
        <is>
          <t>Dec</t>
        </is>
      </c>
      <c r="E5905" t="inlineStr">
        <is>
          <t>Emerging markets</t>
        </is>
      </c>
      <c r="F5905" t="inlineStr">
        <is>
          <t>Mexico</t>
        </is>
      </c>
      <c r="G5905" t="inlineStr">
        <is>
          <t>Vyndaqel</t>
        </is>
      </c>
      <c r="H5905" t="inlineStr">
        <is>
          <t>Retail pharmacy</t>
        </is>
      </c>
      <c r="I5905" t="inlineStr">
        <is>
          <t>Public payer</t>
        </is>
      </c>
      <c r="J5905" t="inlineStr">
        <is>
          <t>Liam O'Brien</t>
        </is>
      </c>
      <c r="K5905" s="70" t="n">
        <v>2964</v>
      </c>
      <c r="L5905" s="71" t="n">
        <v>5396.63</v>
      </c>
      <c r="M5905" s="71" t="n">
        <v>15995611.32</v>
      </c>
      <c r="N5905" s="71" t="n">
        <v>3998902.83</v>
      </c>
      <c r="O5905" s="71" t="n">
        <v>11996708.49</v>
      </c>
      <c r="P5905" s="71" t="n">
        <v>1886029.81</v>
      </c>
      <c r="Q5905" s="71" t="n">
        <v>10110678.68</v>
      </c>
      <c r="R5905" t="inlineStr">
        <is>
          <t>Rare disease</t>
        </is>
      </c>
      <c r="S5905" s="70" t="n">
        <v>2220</v>
      </c>
      <c r="T5905" s="71" t="n">
        <v>2575568.32</v>
      </c>
      <c r="U5905" t="inlineStr">
        <is>
          <t>Medium</t>
        </is>
      </c>
      <c r="V5905">
        <f>IF(AND(OR(Dashboard!$C$6="All",E5905=Dashboard!$C$6),OR(Dashboard!$F$6="All",G5905=Dashboard!$F$6),OR(Dashboard!$I$6="All",H5905=Dashboard!$I$6)),1,0)</f>
        <v/>
      </c>
    </row>
    <row r="5906">
      <c r="A5906" t="inlineStr">
        <is>
          <t>PF105897</t>
        </is>
      </c>
      <c r="B5906" s="68" t="n">
        <v>46373</v>
      </c>
      <c r="C5906" s="69" t="n">
        <v>2026</v>
      </c>
      <c r="D5906" t="inlineStr">
        <is>
          <t>Dec</t>
        </is>
      </c>
      <c r="E5906" t="inlineStr">
        <is>
          <t>United States</t>
        </is>
      </c>
      <c r="F5906" t="inlineStr">
        <is>
          <t>USA</t>
        </is>
      </c>
      <c r="G5906" t="inlineStr">
        <is>
          <t>Ibrance</t>
        </is>
      </c>
      <c r="H5906" t="inlineStr">
        <is>
          <t>Government / tender</t>
        </is>
      </c>
      <c r="I5906" t="inlineStr">
        <is>
          <t>Private insurer</t>
        </is>
      </c>
      <c r="J5906" t="inlineStr">
        <is>
          <t>Shraddha Kulkarni</t>
        </is>
      </c>
      <c r="K5906" s="70" t="n">
        <v>1474</v>
      </c>
      <c r="L5906" s="71" t="n">
        <v>4547.95</v>
      </c>
      <c r="M5906" s="71" t="n">
        <v>6703678.3</v>
      </c>
      <c r="N5906" s="71" t="n">
        <v>2346287.4</v>
      </c>
      <c r="O5906" s="71" t="n">
        <v>4357390.9</v>
      </c>
      <c r="P5906" s="71" t="n">
        <v>619891.52</v>
      </c>
      <c r="Q5906" s="71" t="n">
        <v>3737499.38</v>
      </c>
      <c r="R5906" t="inlineStr">
        <is>
          <t>Oncology</t>
        </is>
      </c>
      <c r="S5906" s="70" t="n">
        <v>1265</v>
      </c>
      <c r="T5906" s="71" t="n">
        <v>1481890.23</v>
      </c>
      <c r="U5906" t="inlineStr">
        <is>
          <t>High</t>
        </is>
      </c>
      <c r="V5906">
        <f>IF(AND(OR(Dashboard!$C$6="All",E5906=Dashboard!$C$6),OR(Dashboard!$F$6="All",G5906=Dashboard!$F$6),OR(Dashboard!$I$6="All",H5906=Dashboard!$I$6)),1,0)</f>
        <v/>
      </c>
    </row>
    <row r="5907">
      <c r="A5907" t="inlineStr">
        <is>
          <t>PF105898</t>
        </is>
      </c>
      <c r="B5907" s="68" t="n">
        <v>46373</v>
      </c>
      <c r="C5907" s="69" t="n">
        <v>2026</v>
      </c>
      <c r="D5907" t="inlineStr">
        <is>
          <t>Dec</t>
        </is>
      </c>
      <c r="E5907" t="inlineStr">
        <is>
          <t>Emerging markets</t>
        </is>
      </c>
      <c r="F5907" t="inlineStr">
        <is>
          <t>India</t>
        </is>
      </c>
      <c r="G5907" t="inlineStr">
        <is>
          <t>Abrysvo</t>
        </is>
      </c>
      <c r="H5907" t="inlineStr">
        <is>
          <t>Retail pharmacy</t>
        </is>
      </c>
      <c r="I5907" t="inlineStr">
        <is>
          <t>Public payer</t>
        </is>
      </c>
      <c r="J5907" t="inlineStr">
        <is>
          <t>Zoya Ahmed</t>
        </is>
      </c>
      <c r="K5907" s="70" t="n">
        <v>3350</v>
      </c>
      <c r="L5907" s="71" t="n">
        <v>304</v>
      </c>
      <c r="M5907" s="71" t="n">
        <v>1018400</v>
      </c>
      <c r="N5907" s="71" t="n">
        <v>101840</v>
      </c>
      <c r="O5907" s="71" t="n">
        <v>916560</v>
      </c>
      <c r="P5907" s="71" t="n">
        <v>284086.77</v>
      </c>
      <c r="Q5907" s="71" t="n">
        <v>632473.23</v>
      </c>
      <c r="R5907" t="inlineStr">
        <is>
          <t>Vaccines</t>
        </is>
      </c>
      <c r="S5907" s="70" t="n">
        <v>2644</v>
      </c>
      <c r="T5907" s="71" t="n">
        <v>127286.88</v>
      </c>
      <c r="U5907" t="inlineStr">
        <is>
          <t>Low</t>
        </is>
      </c>
      <c r="V5907">
        <f>IF(AND(OR(Dashboard!$C$6="All",E5907=Dashboard!$C$6),OR(Dashboard!$F$6="All",G5907=Dashboard!$F$6),OR(Dashboard!$I$6="All",H5907=Dashboard!$I$6)),1,0)</f>
        <v/>
      </c>
    </row>
    <row r="5908">
      <c r="A5908" t="inlineStr">
        <is>
          <t>PF105899</t>
        </is>
      </c>
      <c r="B5908" s="68" t="n">
        <v>46373</v>
      </c>
      <c r="C5908" s="69" t="n">
        <v>2026</v>
      </c>
      <c r="D5908" t="inlineStr">
        <is>
          <t>Dec</t>
        </is>
      </c>
      <c r="E5908" t="inlineStr">
        <is>
          <t>Emerging markets</t>
        </is>
      </c>
      <c r="F5908" t="inlineStr">
        <is>
          <t>China</t>
        </is>
      </c>
      <c r="G5908" t="inlineStr">
        <is>
          <t>Comirnaty</t>
        </is>
      </c>
      <c r="H5908" t="inlineStr">
        <is>
          <t>Retail pharmacy</t>
        </is>
      </c>
      <c r="I5908" t="inlineStr">
        <is>
          <t>Private insurer</t>
        </is>
      </c>
      <c r="J5908" t="inlineStr">
        <is>
          <t>Olivia Brown</t>
        </is>
      </c>
      <c r="K5908" s="70" t="n">
        <v>1684</v>
      </c>
      <c r="L5908" s="71" t="n">
        <v>81.48999999999999</v>
      </c>
      <c r="M5908" s="71" t="n">
        <v>137229.16</v>
      </c>
      <c r="N5908" s="71" t="n">
        <v>34307.29</v>
      </c>
      <c r="O5908" s="71" t="n">
        <v>102921.87</v>
      </c>
      <c r="P5908" s="71" t="n">
        <v>62786.47</v>
      </c>
      <c r="Q5908" s="71" t="n">
        <v>40135.4</v>
      </c>
      <c r="R5908" t="inlineStr">
        <is>
          <t>Vaccines</t>
        </is>
      </c>
      <c r="S5908" s="70" t="n">
        <v>1217</v>
      </c>
      <c r="T5908" s="71" t="n">
        <v>28751.63</v>
      </c>
      <c r="U5908" t="inlineStr">
        <is>
          <t>Low</t>
        </is>
      </c>
      <c r="V5908">
        <f>IF(AND(OR(Dashboard!$C$6="All",E5908=Dashboard!$C$6),OR(Dashboard!$F$6="All",G5908=Dashboard!$F$6),OR(Dashboard!$I$6="All",H5908=Dashboard!$I$6)),1,0)</f>
        <v/>
      </c>
    </row>
    <row r="5909">
      <c r="A5909" t="inlineStr">
        <is>
          <t>PF105900</t>
        </is>
      </c>
      <c r="B5909" s="68" t="n">
        <v>46373</v>
      </c>
      <c r="C5909" s="69" t="n">
        <v>2026</v>
      </c>
      <c r="D5909" t="inlineStr">
        <is>
          <t>Dec</t>
        </is>
      </c>
      <c r="E5909" t="inlineStr">
        <is>
          <t>United States</t>
        </is>
      </c>
      <c r="F5909" t="inlineStr">
        <is>
          <t>USA</t>
        </is>
      </c>
      <c r="G5909" t="inlineStr">
        <is>
          <t>Vyndaqel</t>
        </is>
      </c>
      <c r="H5909" t="inlineStr">
        <is>
          <t>Retail pharmacy</t>
        </is>
      </c>
      <c r="I5909" t="inlineStr">
        <is>
          <t>Self-pay</t>
        </is>
      </c>
      <c r="J5909" t="inlineStr">
        <is>
          <t>Amir Khan</t>
        </is>
      </c>
      <c r="K5909" s="70" t="n">
        <v>1849</v>
      </c>
      <c r="L5909" s="71" t="n">
        <v>8985.83</v>
      </c>
      <c r="M5909" s="71" t="n">
        <v>16614799.67</v>
      </c>
      <c r="N5909" s="71" t="n">
        <v>5815179.88</v>
      </c>
      <c r="O5909" s="71" t="n">
        <v>10799619.79</v>
      </c>
      <c r="P5909" s="71" t="n">
        <v>1143994.35</v>
      </c>
      <c r="Q5909" s="71" t="n">
        <v>9655625.439999999</v>
      </c>
      <c r="R5909" t="inlineStr">
        <is>
          <t>Rare disease</t>
        </is>
      </c>
      <c r="S5909" s="70" t="n">
        <v>1659</v>
      </c>
      <c r="T5909" s="71" t="n">
        <v>2891245.22</v>
      </c>
      <c r="U5909" t="inlineStr">
        <is>
          <t>Medium</t>
        </is>
      </c>
      <c r="V5909">
        <f>IF(AND(OR(Dashboard!$C$6="All",E5909=Dashboard!$C$6),OR(Dashboard!$F$6="All",G5909=Dashboard!$F$6),OR(Dashboard!$I$6="All",H5909=Dashboard!$I$6)),1,0)</f>
        <v/>
      </c>
    </row>
    <row r="5910">
      <c r="A5910" t="inlineStr">
        <is>
          <t>PF105901</t>
        </is>
      </c>
      <c r="B5910" s="68" t="n">
        <v>46373</v>
      </c>
      <c r="C5910" s="69" t="n">
        <v>2026</v>
      </c>
      <c r="D5910" t="inlineStr">
        <is>
          <t>Dec</t>
        </is>
      </c>
      <c r="E5910" t="inlineStr">
        <is>
          <t>United States</t>
        </is>
      </c>
      <c r="F5910" t="inlineStr">
        <is>
          <t>USA</t>
        </is>
      </c>
      <c r="G5910" t="inlineStr">
        <is>
          <t>Comirnaty</t>
        </is>
      </c>
      <c r="H5910" t="inlineStr">
        <is>
          <t>Retail pharmacy</t>
        </is>
      </c>
      <c r="I5910" t="inlineStr">
        <is>
          <t>Public payer</t>
        </is>
      </c>
      <c r="J5910" t="inlineStr">
        <is>
          <t>Arjun Mehta</t>
        </is>
      </c>
      <c r="K5910" s="70" t="n">
        <v>2194</v>
      </c>
      <c r="L5910" s="71" t="n">
        <v>145.81</v>
      </c>
      <c r="M5910" s="71" t="n">
        <v>319907.14</v>
      </c>
      <c r="N5910" s="71" t="n">
        <v>111967.5</v>
      </c>
      <c r="O5910" s="71" t="n">
        <v>207939.64</v>
      </c>
      <c r="P5910" s="71" t="n">
        <v>81104.13</v>
      </c>
      <c r="Q5910" s="71" t="n">
        <v>126835.51</v>
      </c>
      <c r="R5910" t="inlineStr">
        <is>
          <t>Vaccines</t>
        </is>
      </c>
      <c r="S5910" s="70" t="n">
        <v>1676</v>
      </c>
      <c r="T5910" s="71" t="n">
        <v>69202.36</v>
      </c>
      <c r="U5910" t="inlineStr">
        <is>
          <t>Low</t>
        </is>
      </c>
      <c r="V5910">
        <f>IF(AND(OR(Dashboard!$C$6="All",E5910=Dashboard!$C$6),OR(Dashboard!$F$6="All",G5910=Dashboard!$F$6),OR(Dashboard!$I$6="All",H5910=Dashboard!$I$6)),1,0)</f>
        <v/>
      </c>
    </row>
    <row r="5911">
      <c r="A5911" t="inlineStr">
        <is>
          <t>PF105902</t>
        </is>
      </c>
      <c r="B5911" s="68" t="n">
        <v>46373</v>
      </c>
      <c r="C5911" s="69" t="n">
        <v>2026</v>
      </c>
      <c r="D5911" t="inlineStr">
        <is>
          <t>Dec</t>
        </is>
      </c>
      <c r="E5911" t="inlineStr">
        <is>
          <t>International developed</t>
        </is>
      </c>
      <c r="F5911" t="inlineStr">
        <is>
          <t>Canada</t>
        </is>
      </c>
      <c r="G5911" t="inlineStr">
        <is>
          <t>Ibrance</t>
        </is>
      </c>
      <c r="H5911" t="inlineStr">
        <is>
          <t>Retail pharmacy</t>
        </is>
      </c>
      <c r="I5911" t="inlineStr">
        <is>
          <t>Private insurer</t>
        </is>
      </c>
      <c r="J5911" t="inlineStr">
        <is>
          <t>Ravindra Patil</t>
        </is>
      </c>
      <c r="K5911" s="70" t="n">
        <v>3117</v>
      </c>
      <c r="L5911" s="71" t="n">
        <v>2785.89</v>
      </c>
      <c r="M5911" s="71" t="n">
        <v>8683619.130000001</v>
      </c>
      <c r="N5911" s="71" t="n">
        <v>1302542.87</v>
      </c>
      <c r="O5911" s="71" t="n">
        <v>7381076.26</v>
      </c>
      <c r="P5911" s="71" t="n">
        <v>1396246.2</v>
      </c>
      <c r="Q5911" s="71" t="n">
        <v>5984830.06</v>
      </c>
      <c r="R5911" t="inlineStr">
        <is>
          <t>Oncology</t>
        </is>
      </c>
      <c r="S5911" s="70" t="n">
        <v>2718</v>
      </c>
      <c r="T5911" s="71" t="n">
        <v>1266042.16</v>
      </c>
      <c r="U5911" t="inlineStr">
        <is>
          <t>High</t>
        </is>
      </c>
      <c r="V5911">
        <f>IF(AND(OR(Dashboard!$C$6="All",E5911=Dashboard!$C$6),OR(Dashboard!$F$6="All",G5911=Dashboard!$F$6),OR(Dashboard!$I$6="All",H5911=Dashboard!$I$6)),1,0)</f>
        <v/>
      </c>
    </row>
    <row r="5912">
      <c r="A5912" t="inlineStr">
        <is>
          <t>PF105903</t>
        </is>
      </c>
      <c r="B5912" s="68" t="n">
        <v>46373</v>
      </c>
      <c r="C5912" s="69" t="n">
        <v>2026</v>
      </c>
      <c r="D5912" t="inlineStr">
        <is>
          <t>Dec</t>
        </is>
      </c>
      <c r="E5912" t="inlineStr">
        <is>
          <t>Emerging markets</t>
        </is>
      </c>
      <c r="F5912" t="inlineStr">
        <is>
          <t>Mexico</t>
        </is>
      </c>
      <c r="G5912" t="inlineStr">
        <is>
          <t>Eliquis</t>
        </is>
      </c>
      <c r="H5912" t="inlineStr">
        <is>
          <t>Retail pharmacy</t>
        </is>
      </c>
      <c r="I5912" t="inlineStr">
        <is>
          <t>Self-pay</t>
        </is>
      </c>
      <c r="J5912" t="inlineStr">
        <is>
          <t>Emma Clarke</t>
        </is>
      </c>
      <c r="K5912" s="70" t="n">
        <v>1220</v>
      </c>
      <c r="L5912" s="71" t="n">
        <v>402.49</v>
      </c>
      <c r="M5912" s="71" t="n">
        <v>491037.8</v>
      </c>
      <c r="N5912" s="71" t="n">
        <v>98207.56</v>
      </c>
      <c r="O5912" s="71" t="n">
        <v>392830.24</v>
      </c>
      <c r="P5912" s="71" t="n">
        <v>91453.61</v>
      </c>
      <c r="Q5912" s="71" t="n">
        <v>301376.63</v>
      </c>
      <c r="R5912" t="inlineStr">
        <is>
          <t>Cardiology</t>
        </is>
      </c>
      <c r="S5912" s="70" t="n">
        <v>828</v>
      </c>
      <c r="T5912" s="71" t="n">
        <v>88578.60000000001</v>
      </c>
      <c r="U5912" t="inlineStr">
        <is>
          <t>High</t>
        </is>
      </c>
      <c r="V5912">
        <f>IF(AND(OR(Dashboard!$C$6="All",E5912=Dashboard!$C$6),OR(Dashboard!$F$6="All",G5912=Dashboard!$F$6),OR(Dashboard!$I$6="All",H5912=Dashboard!$I$6)),1,0)</f>
        <v/>
      </c>
    </row>
    <row r="5913">
      <c r="A5913" t="inlineStr">
        <is>
          <t>PF105904</t>
        </is>
      </c>
      <c r="B5913" s="68" t="n">
        <v>46373</v>
      </c>
      <c r="C5913" s="69" t="n">
        <v>2026</v>
      </c>
      <c r="D5913" t="inlineStr">
        <is>
          <t>Dec</t>
        </is>
      </c>
      <c r="E5913" t="inlineStr">
        <is>
          <t>United States</t>
        </is>
      </c>
      <c r="F5913" t="inlineStr">
        <is>
          <t>USA</t>
        </is>
      </c>
      <c r="G5913" t="inlineStr">
        <is>
          <t>Eliquis</t>
        </is>
      </c>
      <c r="H5913" t="inlineStr">
        <is>
          <t>Government / tender</t>
        </is>
      </c>
      <c r="I5913" t="inlineStr">
        <is>
          <t>Private insurer</t>
        </is>
      </c>
      <c r="J5913" t="inlineStr">
        <is>
          <t>Hiroshi Tanaka</t>
        </is>
      </c>
      <c r="K5913" s="70" t="n">
        <v>3356</v>
      </c>
      <c r="L5913" s="71" t="n">
        <v>737.58</v>
      </c>
      <c r="M5913" s="71" t="n">
        <v>2475318.48</v>
      </c>
      <c r="N5913" s="71" t="n">
        <v>866361.47</v>
      </c>
      <c r="O5913" s="71" t="n">
        <v>1608957.01</v>
      </c>
      <c r="P5913" s="71" t="n">
        <v>255197.29</v>
      </c>
      <c r="Q5913" s="71" t="n">
        <v>1353759.72</v>
      </c>
      <c r="R5913" t="inlineStr">
        <is>
          <t>Cardiology</t>
        </is>
      </c>
      <c r="S5913" s="70" t="n">
        <v>2436</v>
      </c>
      <c r="T5913" s="71" t="n">
        <v>438236.3</v>
      </c>
      <c r="U5913" t="inlineStr">
        <is>
          <t>High</t>
        </is>
      </c>
      <c r="V5913">
        <f>IF(AND(OR(Dashboard!$C$6="All",E5913=Dashboard!$C$6),OR(Dashboard!$F$6="All",G5913=Dashboard!$F$6),OR(Dashboard!$I$6="All",H5913=Dashboard!$I$6)),1,0)</f>
        <v/>
      </c>
    </row>
    <row r="5914">
      <c r="A5914" t="inlineStr">
        <is>
          <t>PF105905</t>
        </is>
      </c>
      <c r="B5914" s="68" t="n">
        <v>46374</v>
      </c>
      <c r="C5914" s="69" t="n">
        <v>2026</v>
      </c>
      <c r="D5914" t="inlineStr">
        <is>
          <t>Dec</t>
        </is>
      </c>
      <c r="E5914" t="inlineStr">
        <is>
          <t>United States</t>
        </is>
      </c>
      <c r="F5914" t="inlineStr">
        <is>
          <t>USA</t>
        </is>
      </c>
      <c r="G5914" t="inlineStr">
        <is>
          <t>Xeljanz</t>
        </is>
      </c>
      <c r="H5914" t="inlineStr">
        <is>
          <t>Government / tender</t>
        </is>
      </c>
      <c r="I5914" t="inlineStr">
        <is>
          <t>Private insurer</t>
        </is>
      </c>
      <c r="J5914" t="inlineStr">
        <is>
          <t>Sara Rossi</t>
        </is>
      </c>
      <c r="K5914" s="70" t="n">
        <v>2608</v>
      </c>
      <c r="L5914" s="71" t="n">
        <v>1972.17</v>
      </c>
      <c r="M5914" s="71" t="n">
        <v>5143419.36</v>
      </c>
      <c r="N5914" s="71" t="n">
        <v>771512.9</v>
      </c>
      <c r="O5914" s="71" t="n">
        <v>4371906.46</v>
      </c>
      <c r="P5914" s="71" t="n">
        <v>641018.48</v>
      </c>
      <c r="Q5914" s="71" t="n">
        <v>3730887.98</v>
      </c>
      <c r="R5914" t="inlineStr">
        <is>
          <t>Inflammation</t>
        </is>
      </c>
      <c r="S5914" s="70" t="n">
        <v>1898</v>
      </c>
      <c r="T5914" s="71" t="n">
        <v>920223.95</v>
      </c>
      <c r="U5914" t="inlineStr">
        <is>
          <t>High</t>
        </is>
      </c>
      <c r="V5914">
        <f>IF(AND(OR(Dashboard!$C$6="All",E5914=Dashboard!$C$6),OR(Dashboard!$F$6="All",G5914=Dashboard!$F$6),OR(Dashboard!$I$6="All",H5914=Dashboard!$I$6)),1,0)</f>
        <v/>
      </c>
    </row>
    <row r="5915">
      <c r="A5915" t="inlineStr">
        <is>
          <t>PF105906</t>
        </is>
      </c>
      <c r="B5915" s="68" t="n">
        <v>46374</v>
      </c>
      <c r="C5915" s="69" t="n">
        <v>2026</v>
      </c>
      <c r="D5915" t="inlineStr">
        <is>
          <t>Dec</t>
        </is>
      </c>
      <c r="E5915" t="inlineStr">
        <is>
          <t>Emerging markets</t>
        </is>
      </c>
      <c r="F5915" t="inlineStr">
        <is>
          <t>Mexico</t>
        </is>
      </c>
      <c r="G5915" t="inlineStr">
        <is>
          <t>Ibrance</t>
        </is>
      </c>
      <c r="H5915" t="inlineStr">
        <is>
          <t>Retail pharmacy</t>
        </is>
      </c>
      <c r="I5915" t="inlineStr">
        <is>
          <t>Private insurer</t>
        </is>
      </c>
      <c r="J5915" t="inlineStr">
        <is>
          <t>Hiroshi Tanaka</t>
        </is>
      </c>
      <c r="K5915" s="70" t="n">
        <v>1810</v>
      </c>
      <c r="L5915" s="71" t="n">
        <v>2887.93</v>
      </c>
      <c r="M5915" s="71" t="n">
        <v>5227153.3</v>
      </c>
      <c r="N5915" s="71" t="n">
        <v>522715.33</v>
      </c>
      <c r="O5915" s="71" t="n">
        <v>4704437.97</v>
      </c>
      <c r="P5915" s="71" t="n">
        <v>778443.9300000001</v>
      </c>
      <c r="Q5915" s="71" t="n">
        <v>3925994.04</v>
      </c>
      <c r="R5915" t="inlineStr">
        <is>
          <t>Oncology</t>
        </is>
      </c>
      <c r="S5915" s="70" t="n">
        <v>1436</v>
      </c>
      <c r="T5915" s="71" t="n">
        <v>1106570.09</v>
      </c>
      <c r="U5915" t="inlineStr">
        <is>
          <t>High</t>
        </is>
      </c>
      <c r="V5915">
        <f>IF(AND(OR(Dashboard!$C$6="All",E5915=Dashboard!$C$6),OR(Dashboard!$F$6="All",G5915=Dashboard!$F$6),OR(Dashboard!$I$6="All",H5915=Dashboard!$I$6)),1,0)</f>
        <v/>
      </c>
    </row>
    <row r="5916">
      <c r="A5916" t="inlineStr">
        <is>
          <t>PF105907</t>
        </is>
      </c>
      <c r="B5916" s="68" t="n">
        <v>46374</v>
      </c>
      <c r="C5916" s="69" t="n">
        <v>2026</v>
      </c>
      <c r="D5916" t="inlineStr">
        <is>
          <t>Dec</t>
        </is>
      </c>
      <c r="E5916" t="inlineStr">
        <is>
          <t>United States</t>
        </is>
      </c>
      <c r="F5916" t="inlineStr">
        <is>
          <t>USA</t>
        </is>
      </c>
      <c r="G5916" t="inlineStr">
        <is>
          <t>Comirnaty</t>
        </is>
      </c>
      <c r="H5916" t="inlineStr">
        <is>
          <t>Hospital</t>
        </is>
      </c>
      <c r="I5916" t="inlineStr">
        <is>
          <t>Private insurer</t>
        </is>
      </c>
      <c r="J5916" t="inlineStr">
        <is>
          <t>Ruhi Shaikh</t>
        </is>
      </c>
      <c r="K5916" s="70" t="n">
        <v>1003</v>
      </c>
      <c r="L5916" s="71" t="n">
        <v>137.61</v>
      </c>
      <c r="M5916" s="71" t="n">
        <v>138022.83</v>
      </c>
      <c r="N5916" s="71" t="n">
        <v>41406.85</v>
      </c>
      <c r="O5916" s="71" t="n">
        <v>96615.98</v>
      </c>
      <c r="P5916" s="71" t="n">
        <v>38030.92</v>
      </c>
      <c r="Q5916" s="71" t="n">
        <v>58585.06</v>
      </c>
      <c r="R5916" t="inlineStr">
        <is>
          <t>Vaccines</t>
        </is>
      </c>
      <c r="S5916" s="70" t="n">
        <v>794</v>
      </c>
      <c r="T5916" s="71" t="n">
        <v>36586.16</v>
      </c>
      <c r="U5916" t="inlineStr">
        <is>
          <t>Low</t>
        </is>
      </c>
      <c r="V5916">
        <f>IF(AND(OR(Dashboard!$C$6="All",E5916=Dashboard!$C$6),OR(Dashboard!$F$6="All",G5916=Dashboard!$F$6),OR(Dashboard!$I$6="All",H5916=Dashboard!$I$6)),1,0)</f>
        <v/>
      </c>
    </row>
    <row r="5917">
      <c r="A5917" t="inlineStr">
        <is>
          <t>PF105908</t>
        </is>
      </c>
      <c r="B5917" s="68" t="n">
        <v>46375</v>
      </c>
      <c r="C5917" s="69" t="n">
        <v>2026</v>
      </c>
      <c r="D5917" t="inlineStr">
        <is>
          <t>Dec</t>
        </is>
      </c>
      <c r="E5917" t="inlineStr">
        <is>
          <t>Europe</t>
        </is>
      </c>
      <c r="F5917" t="inlineStr">
        <is>
          <t>Italy</t>
        </is>
      </c>
      <c r="G5917" t="inlineStr">
        <is>
          <t>Prevnar 20</t>
        </is>
      </c>
      <c r="H5917" t="inlineStr">
        <is>
          <t>Hospital</t>
        </is>
      </c>
      <c r="I5917" t="inlineStr">
        <is>
          <t>Self-pay</t>
        </is>
      </c>
      <c r="J5917" t="inlineStr">
        <is>
          <t>Mei Lin</t>
        </is>
      </c>
      <c r="K5917" s="70" t="n">
        <v>284</v>
      </c>
      <c r="L5917" s="71" t="n">
        <v>232.86</v>
      </c>
      <c r="M5917" s="71" t="n">
        <v>66132.24000000001</v>
      </c>
      <c r="N5917" s="71" t="n">
        <v>16533.06</v>
      </c>
      <c r="O5917" s="71" t="n">
        <v>49599.18</v>
      </c>
      <c r="P5917" s="71" t="n">
        <v>19947.66</v>
      </c>
      <c r="Q5917" s="71" t="n">
        <v>29651.52</v>
      </c>
      <c r="R5917" t="inlineStr">
        <is>
          <t>Vaccines</t>
        </is>
      </c>
      <c r="S5917" s="70" t="n">
        <v>248</v>
      </c>
      <c r="T5917" s="71" t="n">
        <v>8072.16</v>
      </c>
      <c r="U5917" t="inlineStr">
        <is>
          <t>Low</t>
        </is>
      </c>
      <c r="V5917">
        <f>IF(AND(OR(Dashboard!$C$6="All",E5917=Dashboard!$C$6),OR(Dashboard!$F$6="All",G5917=Dashboard!$F$6),OR(Dashboard!$I$6="All",H5917=Dashboard!$I$6)),1,0)</f>
        <v/>
      </c>
    </row>
    <row r="5918">
      <c r="A5918" t="inlineStr">
        <is>
          <t>PF105909</t>
        </is>
      </c>
      <c r="B5918" s="68" t="n">
        <v>46375</v>
      </c>
      <c r="C5918" s="69" t="n">
        <v>2026</v>
      </c>
      <c r="D5918" t="inlineStr">
        <is>
          <t>Dec</t>
        </is>
      </c>
      <c r="E5918" t="inlineStr">
        <is>
          <t>United States</t>
        </is>
      </c>
      <c r="F5918" t="inlineStr">
        <is>
          <t>USA</t>
        </is>
      </c>
      <c r="G5918" t="inlineStr">
        <is>
          <t>Eliquis</t>
        </is>
      </c>
      <c r="H5918" t="inlineStr">
        <is>
          <t>Retail pharmacy</t>
        </is>
      </c>
      <c r="I5918" t="inlineStr">
        <is>
          <t>Private insurer</t>
        </is>
      </c>
      <c r="J5918" t="inlineStr">
        <is>
          <t>Carlos Silva</t>
        </is>
      </c>
      <c r="K5918" s="70" t="n">
        <v>2340</v>
      </c>
      <c r="L5918" s="71" t="n">
        <v>660.78</v>
      </c>
      <c r="M5918" s="71" t="n">
        <v>1546225.2</v>
      </c>
      <c r="N5918" s="71" t="n">
        <v>386556.3</v>
      </c>
      <c r="O5918" s="71" t="n">
        <v>1159668.9</v>
      </c>
      <c r="P5918" s="71" t="n">
        <v>177540.34</v>
      </c>
      <c r="Q5918" s="71" t="n">
        <v>982128.5600000001</v>
      </c>
      <c r="R5918" t="inlineStr">
        <is>
          <t>Cardiology</t>
        </is>
      </c>
      <c r="S5918" s="70" t="n">
        <v>1870</v>
      </c>
      <c r="T5918" s="71" t="n">
        <v>228407.52</v>
      </c>
      <c r="U5918" t="inlineStr">
        <is>
          <t>High</t>
        </is>
      </c>
      <c r="V5918">
        <f>IF(AND(OR(Dashboard!$C$6="All",E5918=Dashboard!$C$6),OR(Dashboard!$F$6="All",G5918=Dashboard!$F$6),OR(Dashboard!$I$6="All",H5918=Dashboard!$I$6)),1,0)</f>
        <v/>
      </c>
    </row>
    <row r="5919">
      <c r="A5919" t="inlineStr">
        <is>
          <t>PF105910</t>
        </is>
      </c>
      <c r="B5919" s="68" t="n">
        <v>46375</v>
      </c>
      <c r="C5919" s="69" t="n">
        <v>2026</v>
      </c>
      <c r="D5919" t="inlineStr">
        <is>
          <t>Dec</t>
        </is>
      </c>
      <c r="E5919" t="inlineStr">
        <is>
          <t>United States</t>
        </is>
      </c>
      <c r="F5919" t="inlineStr">
        <is>
          <t>USA</t>
        </is>
      </c>
      <c r="G5919" t="inlineStr">
        <is>
          <t>Xeljanz</t>
        </is>
      </c>
      <c r="H5919" t="inlineStr">
        <is>
          <t>Retail pharmacy</t>
        </is>
      </c>
      <c r="I5919" t="inlineStr">
        <is>
          <t>Private insurer</t>
        </is>
      </c>
      <c r="J5919" t="inlineStr">
        <is>
          <t>Priya Nair</t>
        </is>
      </c>
      <c r="K5919" s="70" t="n">
        <v>750</v>
      </c>
      <c r="L5919" s="71" t="n">
        <v>2131.68</v>
      </c>
      <c r="M5919" s="71" t="n">
        <v>1598760</v>
      </c>
      <c r="N5919" s="71" t="n">
        <v>479628</v>
      </c>
      <c r="O5919" s="71" t="n">
        <v>1119132</v>
      </c>
      <c r="P5919" s="71" t="n">
        <v>182167.63</v>
      </c>
      <c r="Q5919" s="71" t="n">
        <v>936964.37</v>
      </c>
      <c r="R5919" t="inlineStr">
        <is>
          <t>Inflammation</t>
        </is>
      </c>
      <c r="S5919" s="70" t="n">
        <v>509</v>
      </c>
      <c r="T5919" s="71" t="n">
        <v>261257.08</v>
      </c>
      <c r="U5919" t="inlineStr">
        <is>
          <t>High</t>
        </is>
      </c>
      <c r="V5919">
        <f>IF(AND(OR(Dashboard!$C$6="All",E5919=Dashboard!$C$6),OR(Dashboard!$F$6="All",G5919=Dashboard!$F$6),OR(Dashboard!$I$6="All",H5919=Dashboard!$I$6)),1,0)</f>
        <v/>
      </c>
    </row>
    <row r="5920">
      <c r="A5920" t="inlineStr">
        <is>
          <t>PF105911</t>
        </is>
      </c>
      <c r="B5920" s="68" t="n">
        <v>46375</v>
      </c>
      <c r="C5920" s="69" t="n">
        <v>2026</v>
      </c>
      <c r="D5920" t="inlineStr">
        <is>
          <t>Dec</t>
        </is>
      </c>
      <c r="E5920" t="inlineStr">
        <is>
          <t>United States</t>
        </is>
      </c>
      <c r="F5920" t="inlineStr">
        <is>
          <t>USA</t>
        </is>
      </c>
      <c r="G5920" t="inlineStr">
        <is>
          <t>Paxlovid</t>
        </is>
      </c>
      <c r="H5920" t="inlineStr">
        <is>
          <t>Government / tender</t>
        </is>
      </c>
      <c r="I5920" t="inlineStr">
        <is>
          <t>Public payer</t>
        </is>
      </c>
      <c r="J5920" t="inlineStr">
        <is>
          <t>Wei Chen</t>
        </is>
      </c>
      <c r="K5920" s="70" t="n">
        <v>1986</v>
      </c>
      <c r="L5920" s="71" t="n">
        <v>1416.58</v>
      </c>
      <c r="M5920" s="71" t="n">
        <v>2813327.88</v>
      </c>
      <c r="N5920" s="71" t="n">
        <v>984664.76</v>
      </c>
      <c r="O5920" s="71" t="n">
        <v>1828663.12</v>
      </c>
      <c r="P5920" s="71" t="n">
        <v>525171.21</v>
      </c>
      <c r="Q5920" s="71" t="n">
        <v>1303491.91</v>
      </c>
      <c r="R5920" t="inlineStr">
        <is>
          <t>Antiviral</t>
        </is>
      </c>
      <c r="S5920" s="70" t="n">
        <v>1632</v>
      </c>
      <c r="T5920" s="71" t="n">
        <v>663595.87</v>
      </c>
      <c r="U5920" t="inlineStr">
        <is>
          <t>Low</t>
        </is>
      </c>
      <c r="V5920">
        <f>IF(AND(OR(Dashboard!$C$6="All",E5920=Dashboard!$C$6),OR(Dashboard!$F$6="All",G5920=Dashboard!$F$6),OR(Dashboard!$I$6="All",H5920=Dashboard!$I$6)),1,0)</f>
        <v/>
      </c>
    </row>
    <row r="5921">
      <c r="A5921" t="inlineStr">
        <is>
          <t>PF105912</t>
        </is>
      </c>
      <c r="B5921" s="68" t="n">
        <v>46375</v>
      </c>
      <c r="C5921" s="69" t="n">
        <v>2026</v>
      </c>
      <c r="D5921" t="inlineStr">
        <is>
          <t>Dec</t>
        </is>
      </c>
      <c r="E5921" t="inlineStr">
        <is>
          <t>United States</t>
        </is>
      </c>
      <c r="F5921" t="inlineStr">
        <is>
          <t>USA</t>
        </is>
      </c>
      <c r="G5921" t="inlineStr">
        <is>
          <t>Eliquis</t>
        </is>
      </c>
      <c r="H5921" t="inlineStr">
        <is>
          <t>Hospital</t>
        </is>
      </c>
      <c r="I5921" t="inlineStr">
        <is>
          <t>Private insurer</t>
        </is>
      </c>
      <c r="J5921" t="inlineStr">
        <is>
          <t>Sophie Müller</t>
        </is>
      </c>
      <c r="K5921" s="70" t="n">
        <v>3618</v>
      </c>
      <c r="L5921" s="71" t="n">
        <v>647.55</v>
      </c>
      <c r="M5921" s="71" t="n">
        <v>2342835.9</v>
      </c>
      <c r="N5921" s="71" t="n">
        <v>585708.97</v>
      </c>
      <c r="O5921" s="71" t="n">
        <v>1757126.93</v>
      </c>
      <c r="P5921" s="71" t="n">
        <v>279133.97</v>
      </c>
      <c r="Q5921" s="71" t="n">
        <v>1477992.96</v>
      </c>
      <c r="R5921" t="inlineStr">
        <is>
          <t>Cardiology</t>
        </is>
      </c>
      <c r="S5921" s="70" t="n">
        <v>2633</v>
      </c>
      <c r="T5921" s="71" t="n">
        <v>343204.76</v>
      </c>
      <c r="U5921" t="inlineStr">
        <is>
          <t>High</t>
        </is>
      </c>
      <c r="V5921">
        <f>IF(AND(OR(Dashboard!$C$6="All",E5921=Dashboard!$C$6),OR(Dashboard!$F$6="All",G5921=Dashboard!$F$6),OR(Dashboard!$I$6="All",H5921=Dashboard!$I$6)),1,0)</f>
        <v/>
      </c>
    </row>
    <row r="5922">
      <c r="A5922" t="inlineStr">
        <is>
          <t>PF105913</t>
        </is>
      </c>
      <c r="B5922" s="68" t="n">
        <v>46375</v>
      </c>
      <c r="C5922" s="69" t="n">
        <v>2026</v>
      </c>
      <c r="D5922" t="inlineStr">
        <is>
          <t>Dec</t>
        </is>
      </c>
      <c r="E5922" t="inlineStr">
        <is>
          <t>United States</t>
        </is>
      </c>
      <c r="F5922" t="inlineStr">
        <is>
          <t>USA</t>
        </is>
      </c>
      <c r="G5922" t="inlineStr">
        <is>
          <t>Comirnaty</t>
        </is>
      </c>
      <c r="H5922" t="inlineStr">
        <is>
          <t>Retail pharmacy</t>
        </is>
      </c>
      <c r="I5922" t="inlineStr">
        <is>
          <t>Public payer</t>
        </is>
      </c>
      <c r="J5922" t="inlineStr">
        <is>
          <t>Wei Chen</t>
        </is>
      </c>
      <c r="K5922" s="70" t="n">
        <v>1173</v>
      </c>
      <c r="L5922" s="71" t="n">
        <v>128.22</v>
      </c>
      <c r="M5922" s="71" t="n">
        <v>150402.06</v>
      </c>
      <c r="N5922" s="71" t="n">
        <v>22560.31</v>
      </c>
      <c r="O5922" s="71" t="n">
        <v>127841.75</v>
      </c>
      <c r="P5922" s="71" t="n">
        <v>43680.4</v>
      </c>
      <c r="Q5922" s="71" t="n">
        <v>84161.35000000001</v>
      </c>
      <c r="R5922" t="inlineStr">
        <is>
          <t>Vaccines</t>
        </is>
      </c>
      <c r="S5922" s="70" t="n">
        <v>835</v>
      </c>
      <c r="T5922" s="71" t="n">
        <v>30464.18</v>
      </c>
      <c r="U5922" t="inlineStr">
        <is>
          <t>Low</t>
        </is>
      </c>
      <c r="V5922">
        <f>IF(AND(OR(Dashboard!$C$6="All",E5922=Dashboard!$C$6),OR(Dashboard!$F$6="All",G5922=Dashboard!$F$6),OR(Dashboard!$I$6="All",H5922=Dashboard!$I$6)),1,0)</f>
        <v/>
      </c>
    </row>
    <row r="5923">
      <c r="A5923" t="inlineStr">
        <is>
          <t>PF105914</t>
        </is>
      </c>
      <c r="B5923" s="68" t="n">
        <v>46375</v>
      </c>
      <c r="C5923" s="69" t="n">
        <v>2026</v>
      </c>
      <c r="D5923" t="inlineStr">
        <is>
          <t>Dec</t>
        </is>
      </c>
      <c r="E5923" t="inlineStr">
        <is>
          <t>International developed</t>
        </is>
      </c>
      <c r="F5923" t="inlineStr">
        <is>
          <t>Japan</t>
        </is>
      </c>
      <c r="G5923" t="inlineStr">
        <is>
          <t>Prevnar 20</t>
        </is>
      </c>
      <c r="H5923" t="inlineStr">
        <is>
          <t>Retail pharmacy</t>
        </is>
      </c>
      <c r="I5923" t="inlineStr">
        <is>
          <t>Private insurer</t>
        </is>
      </c>
      <c r="J5923" t="inlineStr">
        <is>
          <t>Arjun Mehta</t>
        </is>
      </c>
      <c r="K5923" s="70" t="n">
        <v>2372</v>
      </c>
      <c r="L5923" s="71" t="n">
        <v>246.1</v>
      </c>
      <c r="M5923" s="71" t="n">
        <v>583749.2</v>
      </c>
      <c r="N5923" s="71" t="n">
        <v>145937.3</v>
      </c>
      <c r="O5923" s="71" t="n">
        <v>437811.9</v>
      </c>
      <c r="P5923" s="71" t="n">
        <v>164907.44</v>
      </c>
      <c r="Q5923" s="71" t="n">
        <v>272904.46</v>
      </c>
      <c r="R5923" t="inlineStr">
        <is>
          <t>Vaccines</t>
        </is>
      </c>
      <c r="S5923" s="70" t="n">
        <v>1548</v>
      </c>
      <c r="T5923" s="71" t="n">
        <v>109316.17</v>
      </c>
      <c r="U5923" t="inlineStr">
        <is>
          <t>Low</t>
        </is>
      </c>
      <c r="V5923">
        <f>IF(AND(OR(Dashboard!$C$6="All",E5923=Dashboard!$C$6),OR(Dashboard!$F$6="All",G5923=Dashboard!$F$6),OR(Dashboard!$I$6="All",H5923=Dashboard!$I$6)),1,0)</f>
        <v/>
      </c>
    </row>
    <row r="5924">
      <c r="A5924" t="inlineStr">
        <is>
          <t>PF105915</t>
        </is>
      </c>
      <c r="B5924" s="68" t="n">
        <v>46375</v>
      </c>
      <c r="C5924" s="69" t="n">
        <v>2026</v>
      </c>
      <c r="D5924" t="inlineStr">
        <is>
          <t>Dec</t>
        </is>
      </c>
      <c r="E5924" t="inlineStr">
        <is>
          <t>Emerging markets</t>
        </is>
      </c>
      <c r="F5924" t="inlineStr">
        <is>
          <t>Mexico</t>
        </is>
      </c>
      <c r="G5924" t="inlineStr">
        <is>
          <t>Prevnar 20</t>
        </is>
      </c>
      <c r="H5924" t="inlineStr">
        <is>
          <t>Hospital</t>
        </is>
      </c>
      <c r="I5924" t="inlineStr">
        <is>
          <t>Self-pay</t>
        </is>
      </c>
      <c r="J5924" t="inlineStr">
        <is>
          <t>Olivia Brown</t>
        </is>
      </c>
      <c r="K5924" s="70" t="n">
        <v>2681</v>
      </c>
      <c r="L5924" s="71" t="n">
        <v>242.91</v>
      </c>
      <c r="M5924" s="71" t="n">
        <v>651241.71</v>
      </c>
      <c r="N5924" s="71" t="n">
        <v>97686.25999999999</v>
      </c>
      <c r="O5924" s="71" t="n">
        <v>553555.45</v>
      </c>
      <c r="P5924" s="71" t="n">
        <v>181258.68</v>
      </c>
      <c r="Q5924" s="71" t="n">
        <v>372296.77</v>
      </c>
      <c r="R5924" t="inlineStr">
        <is>
          <t>Vaccines</t>
        </is>
      </c>
      <c r="S5924" s="70" t="n">
        <v>1898</v>
      </c>
      <c r="T5924" s="71" t="n">
        <v>133907.2</v>
      </c>
      <c r="U5924" t="inlineStr">
        <is>
          <t>Low</t>
        </is>
      </c>
      <c r="V5924">
        <f>IF(AND(OR(Dashboard!$C$6="All",E5924=Dashboard!$C$6),OR(Dashboard!$F$6="All",G5924=Dashboard!$F$6),OR(Dashboard!$I$6="All",H5924=Dashboard!$I$6)),1,0)</f>
        <v/>
      </c>
    </row>
    <row r="5925">
      <c r="A5925" t="inlineStr">
        <is>
          <t>PF105916</t>
        </is>
      </c>
      <c r="B5925" s="68" t="n">
        <v>46375</v>
      </c>
      <c r="C5925" s="69" t="n">
        <v>2026</v>
      </c>
      <c r="D5925" t="inlineStr">
        <is>
          <t>Dec</t>
        </is>
      </c>
      <c r="E5925" t="inlineStr">
        <is>
          <t>United States</t>
        </is>
      </c>
      <c r="F5925" t="inlineStr">
        <is>
          <t>USA</t>
        </is>
      </c>
      <c r="G5925" t="inlineStr">
        <is>
          <t>Comirnaty</t>
        </is>
      </c>
      <c r="H5925" t="inlineStr">
        <is>
          <t>Retail pharmacy</t>
        </is>
      </c>
      <c r="I5925" t="inlineStr">
        <is>
          <t>Public payer</t>
        </is>
      </c>
      <c r="J5925" t="inlineStr">
        <is>
          <t>Emma Clarke</t>
        </is>
      </c>
      <c r="K5925" s="70" t="n">
        <v>2240</v>
      </c>
      <c r="L5925" s="71" t="n">
        <v>150.34</v>
      </c>
      <c r="M5925" s="71" t="n">
        <v>336761.6</v>
      </c>
      <c r="N5925" s="71" t="n">
        <v>84190.39999999999</v>
      </c>
      <c r="O5925" s="71" t="n">
        <v>252571.2</v>
      </c>
      <c r="P5925" s="71" t="n">
        <v>89401.03</v>
      </c>
      <c r="Q5925" s="71" t="n">
        <v>163170.17</v>
      </c>
      <c r="R5925" t="inlineStr">
        <is>
          <t>Vaccines</t>
        </is>
      </c>
      <c r="S5925" s="70" t="n">
        <v>2089</v>
      </c>
      <c r="T5925" s="71" t="n">
        <v>79056.83</v>
      </c>
      <c r="U5925" t="inlineStr">
        <is>
          <t>Low</t>
        </is>
      </c>
      <c r="V5925">
        <f>IF(AND(OR(Dashboard!$C$6="All",E5925=Dashboard!$C$6),OR(Dashboard!$F$6="All",G5925=Dashboard!$F$6),OR(Dashboard!$I$6="All",H5925=Dashboard!$I$6)),1,0)</f>
        <v/>
      </c>
    </row>
    <row r="5926">
      <c r="A5926" t="inlineStr">
        <is>
          <t>PF105917</t>
        </is>
      </c>
      <c r="B5926" s="68" t="n">
        <v>46375</v>
      </c>
      <c r="C5926" s="69" t="n">
        <v>2026</v>
      </c>
      <c r="D5926" t="inlineStr">
        <is>
          <t>Dec</t>
        </is>
      </c>
      <c r="E5926" t="inlineStr">
        <is>
          <t>United States</t>
        </is>
      </c>
      <c r="F5926" t="inlineStr">
        <is>
          <t>USA</t>
        </is>
      </c>
      <c r="G5926" t="inlineStr">
        <is>
          <t>Eliquis</t>
        </is>
      </c>
      <c r="H5926" t="inlineStr">
        <is>
          <t>Hospital</t>
        </is>
      </c>
      <c r="I5926" t="inlineStr">
        <is>
          <t>Public payer</t>
        </is>
      </c>
      <c r="J5926" t="inlineStr">
        <is>
          <t>Noah Smith</t>
        </is>
      </c>
      <c r="K5926" s="70" t="n">
        <v>2704</v>
      </c>
      <c r="L5926" s="71" t="n">
        <v>692.47</v>
      </c>
      <c r="M5926" s="71" t="n">
        <v>1872438.88</v>
      </c>
      <c r="N5926" s="71" t="n">
        <v>561731.66</v>
      </c>
      <c r="O5926" s="71" t="n">
        <v>1310707.22</v>
      </c>
      <c r="P5926" s="71" t="n">
        <v>206742.52</v>
      </c>
      <c r="Q5926" s="71" t="n">
        <v>1103964.7</v>
      </c>
      <c r="R5926" t="inlineStr">
        <is>
          <t>Cardiology</t>
        </is>
      </c>
      <c r="S5926" s="70" t="n">
        <v>1842</v>
      </c>
      <c r="T5926" s="71" t="n">
        <v>357945.95</v>
      </c>
      <c r="U5926" t="inlineStr">
        <is>
          <t>High</t>
        </is>
      </c>
      <c r="V5926">
        <f>IF(AND(OR(Dashboard!$C$6="All",E5926=Dashboard!$C$6),OR(Dashboard!$F$6="All",G5926=Dashboard!$F$6),OR(Dashboard!$I$6="All",H5926=Dashboard!$I$6)),1,0)</f>
        <v/>
      </c>
    </row>
    <row r="5927">
      <c r="A5927" t="inlineStr">
        <is>
          <t>PF105918</t>
        </is>
      </c>
      <c r="B5927" s="68" t="n">
        <v>46376</v>
      </c>
      <c r="C5927" s="69" t="n">
        <v>2026</v>
      </c>
      <c r="D5927" t="inlineStr">
        <is>
          <t>Dec</t>
        </is>
      </c>
      <c r="E5927" t="inlineStr">
        <is>
          <t>Europe</t>
        </is>
      </c>
      <c r="F5927" t="inlineStr">
        <is>
          <t>Italy</t>
        </is>
      </c>
      <c r="G5927" t="inlineStr">
        <is>
          <t>Eliquis</t>
        </is>
      </c>
      <c r="H5927" t="inlineStr">
        <is>
          <t>Retail pharmacy</t>
        </is>
      </c>
      <c r="I5927" t="inlineStr">
        <is>
          <t>Private insurer</t>
        </is>
      </c>
      <c r="J5927" t="inlineStr">
        <is>
          <t>Carlos Silva</t>
        </is>
      </c>
      <c r="K5927" s="70" t="n">
        <v>2459</v>
      </c>
      <c r="L5927" s="71" t="n">
        <v>474.64</v>
      </c>
      <c r="M5927" s="71" t="n">
        <v>1167139.76</v>
      </c>
      <c r="N5927" s="71" t="n">
        <v>175070.96</v>
      </c>
      <c r="O5927" s="71" t="n">
        <v>992068.8</v>
      </c>
      <c r="P5927" s="71" t="n">
        <v>191660</v>
      </c>
      <c r="Q5927" s="71" t="n">
        <v>800408.8</v>
      </c>
      <c r="R5927" t="inlineStr">
        <is>
          <t>Cardiology</t>
        </is>
      </c>
      <c r="S5927" s="70" t="n">
        <v>2199</v>
      </c>
      <c r="T5927" s="71" t="n">
        <v>150616.51</v>
      </c>
      <c r="U5927" t="inlineStr">
        <is>
          <t>High</t>
        </is>
      </c>
      <c r="V5927">
        <f>IF(AND(OR(Dashboard!$C$6="All",E5927=Dashboard!$C$6),OR(Dashboard!$F$6="All",G5927=Dashboard!$F$6),OR(Dashboard!$I$6="All",H5927=Dashboard!$I$6)),1,0)</f>
        <v/>
      </c>
    </row>
    <row r="5928">
      <c r="A5928" t="inlineStr">
        <is>
          <t>PF105919</t>
        </is>
      </c>
      <c r="B5928" s="68" t="n">
        <v>46376</v>
      </c>
      <c r="C5928" s="69" t="n">
        <v>2026</v>
      </c>
      <c r="D5928" t="inlineStr">
        <is>
          <t>Dec</t>
        </is>
      </c>
      <c r="E5928" t="inlineStr">
        <is>
          <t>United States</t>
        </is>
      </c>
      <c r="F5928" t="inlineStr">
        <is>
          <t>USA</t>
        </is>
      </c>
      <c r="G5928" t="inlineStr">
        <is>
          <t>Vyndaqel</t>
        </is>
      </c>
      <c r="H5928" t="inlineStr">
        <is>
          <t>Hospital</t>
        </is>
      </c>
      <c r="I5928" t="inlineStr">
        <is>
          <t>Private insurer</t>
        </is>
      </c>
      <c r="J5928" t="inlineStr">
        <is>
          <t>Fatima Al-Saud</t>
        </is>
      </c>
      <c r="K5928" s="70" t="n">
        <v>3274</v>
      </c>
      <c r="L5928" s="71" t="n">
        <v>9519.49</v>
      </c>
      <c r="M5928" s="71" t="n">
        <v>31166810.26</v>
      </c>
      <c r="N5928" s="71" t="n">
        <v>9350043.08</v>
      </c>
      <c r="O5928" s="71" t="n">
        <v>21816767.18</v>
      </c>
      <c r="P5928" s="71" t="n">
        <v>2015439.19</v>
      </c>
      <c r="Q5928" s="71" t="n">
        <v>19801327.99</v>
      </c>
      <c r="R5928" t="inlineStr">
        <is>
          <t>Rare disease</t>
        </is>
      </c>
      <c r="S5928" s="70" t="n">
        <v>2174</v>
      </c>
      <c r="T5928" s="71" t="n">
        <v>3897512.9</v>
      </c>
      <c r="U5928" t="inlineStr">
        <is>
          <t>Medium</t>
        </is>
      </c>
      <c r="V5928">
        <f>IF(AND(OR(Dashboard!$C$6="All",E5928=Dashboard!$C$6),OR(Dashboard!$F$6="All",G5928=Dashboard!$F$6),OR(Dashboard!$I$6="All",H5928=Dashboard!$I$6)),1,0)</f>
        <v/>
      </c>
    </row>
    <row r="5929">
      <c r="A5929" t="inlineStr">
        <is>
          <t>PF105920</t>
        </is>
      </c>
      <c r="B5929" s="68" t="n">
        <v>46376</v>
      </c>
      <c r="C5929" s="69" t="n">
        <v>2026</v>
      </c>
      <c r="D5929" t="inlineStr">
        <is>
          <t>Dec</t>
        </is>
      </c>
      <c r="E5929" t="inlineStr">
        <is>
          <t>Europe</t>
        </is>
      </c>
      <c r="F5929" t="inlineStr">
        <is>
          <t>Spain</t>
        </is>
      </c>
      <c r="G5929" t="inlineStr">
        <is>
          <t>Xeljanz</t>
        </is>
      </c>
      <c r="H5929" t="inlineStr">
        <is>
          <t>Hospital</t>
        </is>
      </c>
      <c r="I5929" t="inlineStr">
        <is>
          <t>Private insurer</t>
        </is>
      </c>
      <c r="J5929" t="inlineStr">
        <is>
          <t>Lucas Martin</t>
        </is>
      </c>
      <c r="K5929" s="70" t="n">
        <v>1955</v>
      </c>
      <c r="L5929" s="71" t="n">
        <v>1312.39</v>
      </c>
      <c r="M5929" s="71" t="n">
        <v>2565722.45</v>
      </c>
      <c r="N5929" s="71" t="n">
        <v>256572.25</v>
      </c>
      <c r="O5929" s="71" t="n">
        <v>2309150.2</v>
      </c>
      <c r="P5929" s="71" t="n">
        <v>507947.93</v>
      </c>
      <c r="Q5929" s="71" t="n">
        <v>1801202.27</v>
      </c>
      <c r="R5929" t="inlineStr">
        <is>
          <t>Inflammation</t>
        </is>
      </c>
      <c r="S5929" s="70" t="n">
        <v>1274</v>
      </c>
      <c r="T5929" s="71" t="n">
        <v>466507.62</v>
      </c>
      <c r="U5929" t="inlineStr">
        <is>
          <t>High</t>
        </is>
      </c>
      <c r="V5929">
        <f>IF(AND(OR(Dashboard!$C$6="All",E5929=Dashboard!$C$6),OR(Dashboard!$F$6="All",G5929=Dashboard!$F$6),OR(Dashboard!$I$6="All",H5929=Dashboard!$I$6)),1,0)</f>
        <v/>
      </c>
    </row>
    <row r="5930">
      <c r="A5930" t="inlineStr">
        <is>
          <t>PF105921</t>
        </is>
      </c>
      <c r="B5930" s="68" t="n">
        <v>46376</v>
      </c>
      <c r="C5930" s="69" t="n">
        <v>2026</v>
      </c>
      <c r="D5930" t="inlineStr">
        <is>
          <t>Dec</t>
        </is>
      </c>
      <c r="E5930" t="inlineStr">
        <is>
          <t>United States</t>
        </is>
      </c>
      <c r="F5930" t="inlineStr">
        <is>
          <t>USA</t>
        </is>
      </c>
      <c r="G5930" t="inlineStr">
        <is>
          <t>Comirnaty</t>
        </is>
      </c>
      <c r="H5930" t="inlineStr">
        <is>
          <t>Retail pharmacy</t>
        </is>
      </c>
      <c r="I5930" t="inlineStr">
        <is>
          <t>Public payer</t>
        </is>
      </c>
      <c r="J5930" t="inlineStr">
        <is>
          <t>Ana Costa</t>
        </is>
      </c>
      <c r="K5930" s="70" t="n">
        <v>2483</v>
      </c>
      <c r="L5930" s="71" t="n">
        <v>140.2</v>
      </c>
      <c r="M5930" s="71" t="n">
        <v>348116.6</v>
      </c>
      <c r="N5930" s="71" t="n">
        <v>52217.49</v>
      </c>
      <c r="O5930" s="71" t="n">
        <v>295899.11</v>
      </c>
      <c r="P5930" s="71" t="n">
        <v>99372.64</v>
      </c>
      <c r="Q5930" s="71" t="n">
        <v>196526.47</v>
      </c>
      <c r="R5930" t="inlineStr">
        <is>
          <t>Vaccines</t>
        </is>
      </c>
      <c r="S5930" s="70" t="n">
        <v>1822</v>
      </c>
      <c r="T5930" s="71" t="n">
        <v>62507.76</v>
      </c>
      <c r="U5930" t="inlineStr">
        <is>
          <t>Low</t>
        </is>
      </c>
      <c r="V5930">
        <f>IF(AND(OR(Dashboard!$C$6="All",E5930=Dashboard!$C$6),OR(Dashboard!$F$6="All",G5930=Dashboard!$F$6),OR(Dashboard!$I$6="All",H5930=Dashboard!$I$6)),1,0)</f>
        <v/>
      </c>
    </row>
    <row r="5931">
      <c r="A5931" t="inlineStr">
        <is>
          <t>PF105922</t>
        </is>
      </c>
      <c r="B5931" s="68" t="n">
        <v>46376</v>
      </c>
      <c r="C5931" s="69" t="n">
        <v>2026</v>
      </c>
      <c r="D5931" t="inlineStr">
        <is>
          <t>Dec</t>
        </is>
      </c>
      <c r="E5931" t="inlineStr">
        <is>
          <t>Emerging markets</t>
        </is>
      </c>
      <c r="F5931" t="inlineStr">
        <is>
          <t>Brazil</t>
        </is>
      </c>
      <c r="G5931" t="inlineStr">
        <is>
          <t>Paxlovid</t>
        </is>
      </c>
      <c r="H5931" t="inlineStr">
        <is>
          <t>Retail pharmacy</t>
        </is>
      </c>
      <c r="I5931" t="inlineStr">
        <is>
          <t>Public payer</t>
        </is>
      </c>
      <c r="J5931" t="inlineStr">
        <is>
          <t>Mei Lin</t>
        </is>
      </c>
      <c r="K5931" s="70" t="n">
        <v>1311</v>
      </c>
      <c r="L5931" s="71" t="n">
        <v>1006.18</v>
      </c>
      <c r="M5931" s="71" t="n">
        <v>1319101.98</v>
      </c>
      <c r="N5931" s="71" t="n">
        <v>329775.49</v>
      </c>
      <c r="O5931" s="71" t="n">
        <v>989326.49</v>
      </c>
      <c r="P5931" s="71" t="n">
        <v>349788.32</v>
      </c>
      <c r="Q5931" s="71" t="n">
        <v>639538.17</v>
      </c>
      <c r="R5931" t="inlineStr">
        <is>
          <t>Antiviral</t>
        </is>
      </c>
      <c r="S5931" s="70" t="n">
        <v>871</v>
      </c>
      <c r="T5931" s="71" t="n">
        <v>322665.43</v>
      </c>
      <c r="U5931" t="inlineStr">
        <is>
          <t>Low</t>
        </is>
      </c>
      <c r="V5931">
        <f>IF(AND(OR(Dashboard!$C$6="All",E5931=Dashboard!$C$6),OR(Dashboard!$F$6="All",G5931=Dashboard!$F$6),OR(Dashboard!$I$6="All",H5931=Dashboard!$I$6)),1,0)</f>
        <v/>
      </c>
    </row>
    <row r="5932">
      <c r="A5932" t="inlineStr">
        <is>
          <t>PF105923</t>
        </is>
      </c>
      <c r="B5932" s="68" t="n">
        <v>46376</v>
      </c>
      <c r="C5932" s="69" t="n">
        <v>2026</v>
      </c>
      <c r="D5932" t="inlineStr">
        <is>
          <t>Dec</t>
        </is>
      </c>
      <c r="E5932" t="inlineStr">
        <is>
          <t>Europe</t>
        </is>
      </c>
      <c r="F5932" t="inlineStr">
        <is>
          <t>Italy</t>
        </is>
      </c>
      <c r="G5932" t="inlineStr">
        <is>
          <t>Eliquis</t>
        </is>
      </c>
      <c r="H5932" t="inlineStr">
        <is>
          <t>Retail pharmacy</t>
        </is>
      </c>
      <c r="I5932" t="inlineStr">
        <is>
          <t>Public payer</t>
        </is>
      </c>
      <c r="J5932" t="inlineStr">
        <is>
          <t>Omar Haddad</t>
        </is>
      </c>
      <c r="K5932" s="70" t="n">
        <v>3550</v>
      </c>
      <c r="L5932" s="71" t="n">
        <v>427.44</v>
      </c>
      <c r="M5932" s="71" t="n">
        <v>1517412</v>
      </c>
      <c r="N5932" s="71" t="n">
        <v>151741.2</v>
      </c>
      <c r="O5932" s="71" t="n">
        <v>1365670.8</v>
      </c>
      <c r="P5932" s="71" t="n">
        <v>266097.28</v>
      </c>
      <c r="Q5932" s="71" t="n">
        <v>1099573.52</v>
      </c>
      <c r="R5932" t="inlineStr">
        <is>
          <t>Cardiology</t>
        </is>
      </c>
      <c r="S5932" s="70" t="n">
        <v>2953</v>
      </c>
      <c r="T5932" s="71" t="n">
        <v>260911.77</v>
      </c>
      <c r="U5932" t="inlineStr">
        <is>
          <t>High</t>
        </is>
      </c>
      <c r="V5932">
        <f>IF(AND(OR(Dashboard!$C$6="All",E5932=Dashboard!$C$6),OR(Dashboard!$F$6="All",G5932=Dashboard!$F$6),OR(Dashboard!$I$6="All",H5932=Dashboard!$I$6)),1,0)</f>
        <v/>
      </c>
    </row>
    <row r="5933">
      <c r="A5933" t="inlineStr">
        <is>
          <t>PF105924</t>
        </is>
      </c>
      <c r="B5933" s="68" t="n">
        <v>46376</v>
      </c>
      <c r="C5933" s="69" t="n">
        <v>2026</v>
      </c>
      <c r="D5933" t="inlineStr">
        <is>
          <t>Dec</t>
        </is>
      </c>
      <c r="E5933" t="inlineStr">
        <is>
          <t>International developed</t>
        </is>
      </c>
      <c r="F5933" t="inlineStr">
        <is>
          <t>Canada</t>
        </is>
      </c>
      <c r="G5933" t="inlineStr">
        <is>
          <t>Eliquis</t>
        </is>
      </c>
      <c r="H5933" t="inlineStr">
        <is>
          <t>Retail pharmacy</t>
        </is>
      </c>
      <c r="I5933" t="inlineStr">
        <is>
          <t>Private insurer</t>
        </is>
      </c>
      <c r="J5933" t="inlineStr">
        <is>
          <t>Wei Chen</t>
        </is>
      </c>
      <c r="K5933" s="70" t="n">
        <v>1290</v>
      </c>
      <c r="L5933" s="71" t="n">
        <v>406.23</v>
      </c>
      <c r="M5933" s="71" t="n">
        <v>524036.7</v>
      </c>
      <c r="N5933" s="71" t="n">
        <v>26201.84</v>
      </c>
      <c r="O5933" s="71" t="n">
        <v>497834.86</v>
      </c>
      <c r="P5933" s="71" t="n">
        <v>96786.59</v>
      </c>
      <c r="Q5933" s="71" t="n">
        <v>401048.27</v>
      </c>
      <c r="R5933" t="inlineStr">
        <is>
          <t>Cardiology</t>
        </is>
      </c>
      <c r="S5933" s="70" t="n">
        <v>862</v>
      </c>
      <c r="T5933" s="71" t="n">
        <v>75573.86</v>
      </c>
      <c r="U5933" t="inlineStr">
        <is>
          <t>High</t>
        </is>
      </c>
      <c r="V5933">
        <f>IF(AND(OR(Dashboard!$C$6="All",E5933=Dashboard!$C$6),OR(Dashboard!$F$6="All",G5933=Dashboard!$F$6),OR(Dashboard!$I$6="All",H5933=Dashboard!$I$6)),1,0)</f>
        <v/>
      </c>
    </row>
    <row r="5934">
      <c r="A5934" t="inlineStr">
        <is>
          <t>PF105925</t>
        </is>
      </c>
      <c r="B5934" s="68" t="n">
        <v>46376</v>
      </c>
      <c r="C5934" s="69" t="n">
        <v>2026</v>
      </c>
      <c r="D5934" t="inlineStr">
        <is>
          <t>Dec</t>
        </is>
      </c>
      <c r="E5934" t="inlineStr">
        <is>
          <t>United States</t>
        </is>
      </c>
      <c r="F5934" t="inlineStr">
        <is>
          <t>USA</t>
        </is>
      </c>
      <c r="G5934" t="inlineStr">
        <is>
          <t>Paxlovid</t>
        </is>
      </c>
      <c r="H5934" t="inlineStr">
        <is>
          <t>Retail pharmacy</t>
        </is>
      </c>
      <c r="I5934" t="inlineStr">
        <is>
          <t>Private insurer</t>
        </is>
      </c>
      <c r="J5934" t="inlineStr">
        <is>
          <t>Kofi Mensah</t>
        </is>
      </c>
      <c r="K5934" s="70" t="n">
        <v>1428</v>
      </c>
      <c r="L5934" s="71" t="n">
        <v>1559.64</v>
      </c>
      <c r="M5934" s="71" t="n">
        <v>2227165.92</v>
      </c>
      <c r="N5934" s="71" t="n">
        <v>668149.78</v>
      </c>
      <c r="O5934" s="71" t="n">
        <v>1559016.14</v>
      </c>
      <c r="P5934" s="71" t="n">
        <v>380626.79</v>
      </c>
      <c r="Q5934" s="71" t="n">
        <v>1178389.35</v>
      </c>
      <c r="R5934" t="inlineStr">
        <is>
          <t>Antiviral</t>
        </is>
      </c>
      <c r="S5934" s="70" t="n">
        <v>1126</v>
      </c>
      <c r="T5934" s="71" t="n">
        <v>472172.81</v>
      </c>
      <c r="U5934" t="inlineStr">
        <is>
          <t>Low</t>
        </is>
      </c>
      <c r="V5934">
        <f>IF(AND(OR(Dashboard!$C$6="All",E5934=Dashboard!$C$6),OR(Dashboard!$F$6="All",G5934=Dashboard!$F$6),OR(Dashboard!$I$6="All",H5934=Dashboard!$I$6)),1,0)</f>
        <v/>
      </c>
    </row>
    <row r="5935">
      <c r="A5935" t="inlineStr">
        <is>
          <t>PF105926</t>
        </is>
      </c>
      <c r="B5935" s="68" t="n">
        <v>46376</v>
      </c>
      <c r="C5935" s="69" t="n">
        <v>2026</v>
      </c>
      <c r="D5935" t="inlineStr">
        <is>
          <t>Dec</t>
        </is>
      </c>
      <c r="E5935" t="inlineStr">
        <is>
          <t>Emerging markets</t>
        </is>
      </c>
      <c r="F5935" t="inlineStr">
        <is>
          <t>China</t>
        </is>
      </c>
      <c r="G5935" t="inlineStr">
        <is>
          <t>Eliquis</t>
        </is>
      </c>
      <c r="H5935" t="inlineStr">
        <is>
          <t>Retail pharmacy</t>
        </is>
      </c>
      <c r="I5935" t="inlineStr">
        <is>
          <t>Private insurer</t>
        </is>
      </c>
      <c r="J5935" t="inlineStr">
        <is>
          <t>Shraddha Kulkarni</t>
        </is>
      </c>
      <c r="K5935" s="70" t="n">
        <v>888</v>
      </c>
      <c r="L5935" s="71" t="n">
        <v>423.56</v>
      </c>
      <c r="M5935" s="71" t="n">
        <v>376121.28</v>
      </c>
      <c r="N5935" s="71" t="n">
        <v>37612.13</v>
      </c>
      <c r="O5935" s="71" t="n">
        <v>338509.15</v>
      </c>
      <c r="P5935" s="71" t="n">
        <v>65058.72</v>
      </c>
      <c r="Q5935" s="71" t="n">
        <v>273450.43</v>
      </c>
      <c r="R5935" t="inlineStr">
        <is>
          <t>Cardiology</t>
        </is>
      </c>
      <c r="S5935" s="70" t="n">
        <v>668</v>
      </c>
      <c r="T5935" s="71" t="n">
        <v>62532.07</v>
      </c>
      <c r="U5935" t="inlineStr">
        <is>
          <t>High</t>
        </is>
      </c>
      <c r="V5935">
        <f>IF(AND(OR(Dashboard!$C$6="All",E5935=Dashboard!$C$6),OR(Dashboard!$F$6="All",G5935=Dashboard!$F$6),OR(Dashboard!$I$6="All",H5935=Dashboard!$I$6)),1,0)</f>
        <v/>
      </c>
    </row>
    <row r="5936">
      <c r="A5936" t="inlineStr">
        <is>
          <t>PF105927</t>
        </is>
      </c>
      <c r="B5936" s="68" t="n">
        <v>46376</v>
      </c>
      <c r="C5936" s="69" t="n">
        <v>2026</v>
      </c>
      <c r="D5936" t="inlineStr">
        <is>
          <t>Dec</t>
        </is>
      </c>
      <c r="E5936" t="inlineStr">
        <is>
          <t>International developed</t>
        </is>
      </c>
      <c r="F5936" t="inlineStr">
        <is>
          <t>Canada</t>
        </is>
      </c>
      <c r="G5936" t="inlineStr">
        <is>
          <t>Paxlovid</t>
        </is>
      </c>
      <c r="H5936" t="inlineStr">
        <is>
          <t>Hospital</t>
        </is>
      </c>
      <c r="I5936" t="inlineStr">
        <is>
          <t>Private insurer</t>
        </is>
      </c>
      <c r="J5936" t="inlineStr">
        <is>
          <t>Mei Lin</t>
        </is>
      </c>
      <c r="K5936" s="70" t="n">
        <v>2192</v>
      </c>
      <c r="L5936" s="71" t="n">
        <v>831.9299999999999</v>
      </c>
      <c r="M5936" s="71" t="n">
        <v>1823590.56</v>
      </c>
      <c r="N5936" s="71" t="n">
        <v>182359.06</v>
      </c>
      <c r="O5936" s="71" t="n">
        <v>1641231.5</v>
      </c>
      <c r="P5936" s="71" t="n">
        <v>625235.55</v>
      </c>
      <c r="Q5936" s="71" t="n">
        <v>1015995.95</v>
      </c>
      <c r="R5936" t="inlineStr">
        <is>
          <t>Antiviral</t>
        </is>
      </c>
      <c r="S5936" s="70" t="n">
        <v>2081</v>
      </c>
      <c r="T5936" s="71" t="n">
        <v>433822.47</v>
      </c>
      <c r="U5936" t="inlineStr">
        <is>
          <t>Low</t>
        </is>
      </c>
      <c r="V5936">
        <f>IF(AND(OR(Dashboard!$C$6="All",E5936=Dashboard!$C$6),OR(Dashboard!$F$6="All",G5936=Dashboard!$F$6),OR(Dashboard!$I$6="All",H5936=Dashboard!$I$6)),1,0)</f>
        <v/>
      </c>
    </row>
    <row r="5937">
      <c r="A5937" t="inlineStr">
        <is>
          <t>PF105928</t>
        </is>
      </c>
      <c r="B5937" s="68" t="n">
        <v>46376</v>
      </c>
      <c r="C5937" s="69" t="n">
        <v>2026</v>
      </c>
      <c r="D5937" t="inlineStr">
        <is>
          <t>Dec</t>
        </is>
      </c>
      <c r="E5937" t="inlineStr">
        <is>
          <t>United States</t>
        </is>
      </c>
      <c r="F5937" t="inlineStr">
        <is>
          <t>USA</t>
        </is>
      </c>
      <c r="G5937" t="inlineStr">
        <is>
          <t>Abrysvo</t>
        </is>
      </c>
      <c r="H5937" t="inlineStr">
        <is>
          <t>Government / tender</t>
        </is>
      </c>
      <c r="I5937" t="inlineStr">
        <is>
          <t>Private insurer</t>
        </is>
      </c>
      <c r="J5937" t="inlineStr">
        <is>
          <t>Omar Haddad</t>
        </is>
      </c>
      <c r="K5937" s="70" t="n">
        <v>1530</v>
      </c>
      <c r="L5937" s="71" t="n">
        <v>519.3200000000001</v>
      </c>
      <c r="M5937" s="71" t="n">
        <v>794559.6</v>
      </c>
      <c r="N5937" s="71" t="n">
        <v>238367.88</v>
      </c>
      <c r="O5937" s="71" t="n">
        <v>556191.72</v>
      </c>
      <c r="P5937" s="71" t="n">
        <v>126907.4</v>
      </c>
      <c r="Q5937" s="71" t="n">
        <v>429284.32</v>
      </c>
      <c r="R5937" t="inlineStr">
        <is>
          <t>Vaccines</t>
        </is>
      </c>
      <c r="S5937" s="70" t="n">
        <v>1116</v>
      </c>
      <c r="T5937" s="71" t="n">
        <v>107129.99</v>
      </c>
      <c r="U5937" t="inlineStr">
        <is>
          <t>Low</t>
        </is>
      </c>
      <c r="V5937">
        <f>IF(AND(OR(Dashboard!$C$6="All",E5937=Dashboard!$C$6),OR(Dashboard!$F$6="All",G5937=Dashboard!$F$6),OR(Dashboard!$I$6="All",H5937=Dashboard!$I$6)),1,0)</f>
        <v/>
      </c>
    </row>
    <row r="5938">
      <c r="A5938" t="inlineStr">
        <is>
          <t>PF105929</t>
        </is>
      </c>
      <c r="B5938" s="68" t="n">
        <v>46377</v>
      </c>
      <c r="C5938" s="69" t="n">
        <v>2026</v>
      </c>
      <c r="D5938" t="inlineStr">
        <is>
          <t>Dec</t>
        </is>
      </c>
      <c r="E5938" t="inlineStr">
        <is>
          <t>Emerging markets</t>
        </is>
      </c>
      <c r="F5938" t="inlineStr">
        <is>
          <t>Brazil</t>
        </is>
      </c>
      <c r="G5938" t="inlineStr">
        <is>
          <t>Comirnaty</t>
        </is>
      </c>
      <c r="H5938" t="inlineStr">
        <is>
          <t>Retail pharmacy</t>
        </is>
      </c>
      <c r="I5938" t="inlineStr">
        <is>
          <t>Self-pay</t>
        </is>
      </c>
      <c r="J5938" t="inlineStr">
        <is>
          <t>Lucas Martin</t>
        </is>
      </c>
      <c r="K5938" s="70" t="n">
        <v>2647</v>
      </c>
      <c r="L5938" s="71" t="n">
        <v>91.59999999999999</v>
      </c>
      <c r="M5938" s="71" t="n">
        <v>242465.2</v>
      </c>
      <c r="N5938" s="71" t="n">
        <v>12123.26</v>
      </c>
      <c r="O5938" s="71" t="n">
        <v>230341.94</v>
      </c>
      <c r="P5938" s="71" t="n">
        <v>103003.37</v>
      </c>
      <c r="Q5938" s="71" t="n">
        <v>127338.57</v>
      </c>
      <c r="R5938" t="inlineStr">
        <is>
          <t>Vaccines</t>
        </is>
      </c>
      <c r="S5938" s="70" t="n">
        <v>2411</v>
      </c>
      <c r="T5938" s="71" t="n">
        <v>41276.82</v>
      </c>
      <c r="U5938" t="inlineStr">
        <is>
          <t>Low</t>
        </is>
      </c>
      <c r="V5938">
        <f>IF(AND(OR(Dashboard!$C$6="All",E5938=Dashboard!$C$6),OR(Dashboard!$F$6="All",G5938=Dashboard!$F$6),OR(Dashboard!$I$6="All",H5938=Dashboard!$I$6)),1,0)</f>
        <v/>
      </c>
    </row>
    <row r="5939">
      <c r="A5939" t="inlineStr">
        <is>
          <t>PF105930</t>
        </is>
      </c>
      <c r="B5939" s="68" t="n">
        <v>46377</v>
      </c>
      <c r="C5939" s="69" t="n">
        <v>2026</v>
      </c>
      <c r="D5939" t="inlineStr">
        <is>
          <t>Dec</t>
        </is>
      </c>
      <c r="E5939" t="inlineStr">
        <is>
          <t>United States</t>
        </is>
      </c>
      <c r="F5939" t="inlineStr">
        <is>
          <t>USA</t>
        </is>
      </c>
      <c r="G5939" t="inlineStr">
        <is>
          <t>Eliquis</t>
        </is>
      </c>
      <c r="H5939" t="inlineStr">
        <is>
          <t>Retail pharmacy</t>
        </is>
      </c>
      <c r="I5939" t="inlineStr">
        <is>
          <t>Public payer</t>
        </is>
      </c>
      <c r="J5939" t="inlineStr">
        <is>
          <t>Amir Khan</t>
        </is>
      </c>
      <c r="K5939" s="70" t="n">
        <v>628</v>
      </c>
      <c r="L5939" s="71" t="n">
        <v>683.28</v>
      </c>
      <c r="M5939" s="71" t="n">
        <v>429099.84</v>
      </c>
      <c r="N5939" s="71" t="n">
        <v>107274.96</v>
      </c>
      <c r="O5939" s="71" t="n">
        <v>321824.88</v>
      </c>
      <c r="P5939" s="71" t="n">
        <v>47856.25</v>
      </c>
      <c r="Q5939" s="71" t="n">
        <v>273968.63</v>
      </c>
      <c r="R5939" t="inlineStr">
        <is>
          <t>Cardiology</t>
        </is>
      </c>
      <c r="S5939" s="70" t="n">
        <v>582</v>
      </c>
      <c r="T5939" s="71" t="n">
        <v>66834.3</v>
      </c>
      <c r="U5939" t="inlineStr">
        <is>
          <t>High</t>
        </is>
      </c>
      <c r="V5939">
        <f>IF(AND(OR(Dashboard!$C$6="All",E5939=Dashboard!$C$6),OR(Dashboard!$F$6="All",G5939=Dashboard!$F$6),OR(Dashboard!$I$6="All",H5939=Dashboard!$I$6)),1,0)</f>
        <v/>
      </c>
    </row>
    <row r="5940">
      <c r="A5940" t="inlineStr">
        <is>
          <t>PF105931</t>
        </is>
      </c>
      <c r="B5940" s="68" t="n">
        <v>46377</v>
      </c>
      <c r="C5940" s="69" t="n">
        <v>2026</v>
      </c>
      <c r="D5940" t="inlineStr">
        <is>
          <t>Dec</t>
        </is>
      </c>
      <c r="E5940" t="inlineStr">
        <is>
          <t>United States</t>
        </is>
      </c>
      <c r="F5940" t="inlineStr">
        <is>
          <t>USA</t>
        </is>
      </c>
      <c r="G5940" t="inlineStr">
        <is>
          <t>Xeljanz</t>
        </is>
      </c>
      <c r="H5940" t="inlineStr">
        <is>
          <t>Hospital</t>
        </is>
      </c>
      <c r="I5940" t="inlineStr">
        <is>
          <t>Private insurer</t>
        </is>
      </c>
      <c r="J5940" t="inlineStr">
        <is>
          <t>Hiroshi Tanaka</t>
        </is>
      </c>
      <c r="K5940" s="70" t="n">
        <v>3050</v>
      </c>
      <c r="L5940" s="71" t="n">
        <v>2171.71</v>
      </c>
      <c r="M5940" s="71" t="n">
        <v>6623715.5</v>
      </c>
      <c r="N5940" s="71" t="n">
        <v>1655928.88</v>
      </c>
      <c r="O5940" s="71" t="n">
        <v>4967786.62</v>
      </c>
      <c r="P5940" s="71" t="n">
        <v>756674.99</v>
      </c>
      <c r="Q5940" s="71" t="n">
        <v>4211111.63</v>
      </c>
      <c r="R5940" t="inlineStr">
        <is>
          <t>Inflammation</t>
        </is>
      </c>
      <c r="S5940" s="70" t="n">
        <v>2025</v>
      </c>
      <c r="T5940" s="71" t="n">
        <v>1102834.06</v>
      </c>
      <c r="U5940" t="inlineStr">
        <is>
          <t>High</t>
        </is>
      </c>
      <c r="V5940">
        <f>IF(AND(OR(Dashboard!$C$6="All",E5940=Dashboard!$C$6),OR(Dashboard!$F$6="All",G5940=Dashboard!$F$6),OR(Dashboard!$I$6="All",H5940=Dashboard!$I$6)),1,0)</f>
        <v/>
      </c>
    </row>
    <row r="5941">
      <c r="A5941" t="inlineStr">
        <is>
          <t>PF105932</t>
        </is>
      </c>
      <c r="B5941" s="68" t="n">
        <v>46377</v>
      </c>
      <c r="C5941" s="69" t="n">
        <v>2026</v>
      </c>
      <c r="D5941" t="inlineStr">
        <is>
          <t>Dec</t>
        </is>
      </c>
      <c r="E5941" t="inlineStr">
        <is>
          <t>United States</t>
        </is>
      </c>
      <c r="F5941" t="inlineStr">
        <is>
          <t>USA</t>
        </is>
      </c>
      <c r="G5941" t="inlineStr">
        <is>
          <t>Eliquis</t>
        </is>
      </c>
      <c r="H5941" t="inlineStr">
        <is>
          <t>Retail pharmacy</t>
        </is>
      </c>
      <c r="I5941" t="inlineStr">
        <is>
          <t>Private insurer</t>
        </is>
      </c>
      <c r="J5941" t="inlineStr">
        <is>
          <t>Olivia Brown</t>
        </is>
      </c>
      <c r="K5941" s="70" t="n">
        <v>1401</v>
      </c>
      <c r="L5941" s="71" t="n">
        <v>737.97</v>
      </c>
      <c r="M5941" s="71" t="n">
        <v>1033895.97</v>
      </c>
      <c r="N5941" s="71" t="n">
        <v>310168.79</v>
      </c>
      <c r="O5941" s="71" t="n">
        <v>723727.1800000001</v>
      </c>
      <c r="P5941" s="71" t="n">
        <v>104078.06</v>
      </c>
      <c r="Q5941" s="71" t="n">
        <v>619649.12</v>
      </c>
      <c r="R5941" t="inlineStr">
        <is>
          <t>Cardiology</t>
        </is>
      </c>
      <c r="S5941" s="70" t="n">
        <v>1293</v>
      </c>
      <c r="T5941" s="71" t="n">
        <v>170874.37</v>
      </c>
      <c r="U5941" t="inlineStr">
        <is>
          <t>High</t>
        </is>
      </c>
      <c r="V5941">
        <f>IF(AND(OR(Dashboard!$C$6="All",E5941=Dashboard!$C$6),OR(Dashboard!$F$6="All",G5941=Dashboard!$F$6),OR(Dashboard!$I$6="All",H5941=Dashboard!$I$6)),1,0)</f>
        <v/>
      </c>
    </row>
    <row r="5942">
      <c r="A5942" t="inlineStr">
        <is>
          <t>PF105933</t>
        </is>
      </c>
      <c r="B5942" s="68" t="n">
        <v>46377</v>
      </c>
      <c r="C5942" s="69" t="n">
        <v>2026</v>
      </c>
      <c r="D5942" t="inlineStr">
        <is>
          <t>Dec</t>
        </is>
      </c>
      <c r="E5942" t="inlineStr">
        <is>
          <t>Europe</t>
        </is>
      </c>
      <c r="F5942" t="inlineStr">
        <is>
          <t>Spain</t>
        </is>
      </c>
      <c r="G5942" t="inlineStr">
        <is>
          <t>Paxlovid</t>
        </is>
      </c>
      <c r="H5942" t="inlineStr">
        <is>
          <t>Government / tender</t>
        </is>
      </c>
      <c r="I5942" t="inlineStr">
        <is>
          <t>Public payer</t>
        </is>
      </c>
      <c r="J5942" t="inlineStr">
        <is>
          <t>Arjun Mehta</t>
        </is>
      </c>
      <c r="K5942" s="70" t="n">
        <v>2950</v>
      </c>
      <c r="L5942" s="71" t="n">
        <v>909.26</v>
      </c>
      <c r="M5942" s="71" t="n">
        <v>2682317</v>
      </c>
      <c r="N5942" s="71" t="n">
        <v>134115.85</v>
      </c>
      <c r="O5942" s="71" t="n">
        <v>2548201.15</v>
      </c>
      <c r="P5942" s="71" t="n">
        <v>837462.04</v>
      </c>
      <c r="Q5942" s="71" t="n">
        <v>1710739.11</v>
      </c>
      <c r="R5942" t="inlineStr">
        <is>
          <t>Antiviral</t>
        </is>
      </c>
      <c r="S5942" s="70" t="n">
        <v>2270</v>
      </c>
      <c r="T5942" s="71" t="n">
        <v>522795.47</v>
      </c>
      <c r="U5942" t="inlineStr">
        <is>
          <t>Low</t>
        </is>
      </c>
      <c r="V5942">
        <f>IF(AND(OR(Dashboard!$C$6="All",E5942=Dashboard!$C$6),OR(Dashboard!$F$6="All",G5942=Dashboard!$F$6),OR(Dashboard!$I$6="All",H5942=Dashboard!$I$6)),1,0)</f>
        <v/>
      </c>
    </row>
    <row r="5943">
      <c r="A5943" t="inlineStr">
        <is>
          <t>PF105934</t>
        </is>
      </c>
      <c r="B5943" s="68" t="n">
        <v>46377</v>
      </c>
      <c r="C5943" s="69" t="n">
        <v>2026</v>
      </c>
      <c r="D5943" t="inlineStr">
        <is>
          <t>Dec</t>
        </is>
      </c>
      <c r="E5943" t="inlineStr">
        <is>
          <t>Europe</t>
        </is>
      </c>
      <c r="F5943" t="inlineStr">
        <is>
          <t>Germany</t>
        </is>
      </c>
      <c r="G5943" t="inlineStr">
        <is>
          <t>Prevnar 20</t>
        </is>
      </c>
      <c r="H5943" t="inlineStr">
        <is>
          <t>Retail pharmacy</t>
        </is>
      </c>
      <c r="I5943" t="inlineStr">
        <is>
          <t>Public payer</t>
        </is>
      </c>
      <c r="J5943" t="inlineStr">
        <is>
          <t>Amir Khan</t>
        </is>
      </c>
      <c r="K5943" s="70" t="n">
        <v>2002</v>
      </c>
      <c r="L5943" s="71" t="n">
        <v>235.83</v>
      </c>
      <c r="M5943" s="71" t="n">
        <v>472131.66</v>
      </c>
      <c r="N5943" s="71" t="n">
        <v>23606.58</v>
      </c>
      <c r="O5943" s="71" t="n">
        <v>448525.08</v>
      </c>
      <c r="P5943" s="71" t="n">
        <v>143085.18</v>
      </c>
      <c r="Q5943" s="71" t="n">
        <v>305439.9</v>
      </c>
      <c r="R5943" t="inlineStr">
        <is>
          <t>Vaccines</t>
        </is>
      </c>
      <c r="S5943" s="70" t="n">
        <v>1423</v>
      </c>
      <c r="T5943" s="71" t="n">
        <v>65689.92</v>
      </c>
      <c r="U5943" t="inlineStr">
        <is>
          <t>Low</t>
        </is>
      </c>
      <c r="V5943">
        <f>IF(AND(OR(Dashboard!$C$6="All",E5943=Dashboard!$C$6),OR(Dashboard!$F$6="All",G5943=Dashboard!$F$6),OR(Dashboard!$I$6="All",H5943=Dashboard!$I$6)),1,0)</f>
        <v/>
      </c>
    </row>
    <row r="5944">
      <c r="A5944" t="inlineStr">
        <is>
          <t>PF105935</t>
        </is>
      </c>
      <c r="B5944" s="68" t="n">
        <v>46377</v>
      </c>
      <c r="C5944" s="69" t="n">
        <v>2026</v>
      </c>
      <c r="D5944" t="inlineStr">
        <is>
          <t>Dec</t>
        </is>
      </c>
      <c r="E5944" t="inlineStr">
        <is>
          <t>Europe</t>
        </is>
      </c>
      <c r="F5944" t="inlineStr">
        <is>
          <t>UK</t>
        </is>
      </c>
      <c r="G5944" t="inlineStr">
        <is>
          <t>Comirnaty</t>
        </is>
      </c>
      <c r="H5944" t="inlineStr">
        <is>
          <t>Government / tender</t>
        </is>
      </c>
      <c r="I5944" t="inlineStr">
        <is>
          <t>Private insurer</t>
        </is>
      </c>
      <c r="J5944" t="inlineStr">
        <is>
          <t>Ravindra Patil</t>
        </is>
      </c>
      <c r="K5944" s="70" t="n">
        <v>2267</v>
      </c>
      <c r="L5944" s="71" t="n">
        <v>81.09</v>
      </c>
      <c r="M5944" s="71" t="n">
        <v>183831.03</v>
      </c>
      <c r="N5944" s="71" t="n">
        <v>9191.549999999999</v>
      </c>
      <c r="O5944" s="71" t="n">
        <v>174639.48</v>
      </c>
      <c r="P5944" s="71" t="n">
        <v>89514.84</v>
      </c>
      <c r="Q5944" s="71" t="n">
        <v>85124.64</v>
      </c>
      <c r="R5944" t="inlineStr">
        <is>
          <t>Vaccines</t>
        </is>
      </c>
      <c r="S5944" s="70" t="n">
        <v>1762</v>
      </c>
      <c r="T5944" s="71" t="n">
        <v>28499.33</v>
      </c>
      <c r="U5944" t="inlineStr">
        <is>
          <t>Low</t>
        </is>
      </c>
      <c r="V5944">
        <f>IF(AND(OR(Dashboard!$C$6="All",E5944=Dashboard!$C$6),OR(Dashboard!$F$6="All",G5944=Dashboard!$F$6),OR(Dashboard!$I$6="All",H5944=Dashboard!$I$6)),1,0)</f>
        <v/>
      </c>
    </row>
    <row r="5945">
      <c r="A5945" t="inlineStr">
        <is>
          <t>PF105936</t>
        </is>
      </c>
      <c r="B5945" s="68" t="n">
        <v>46377</v>
      </c>
      <c r="C5945" s="69" t="n">
        <v>2026</v>
      </c>
      <c r="D5945" t="inlineStr">
        <is>
          <t>Dec</t>
        </is>
      </c>
      <c r="E5945" t="inlineStr">
        <is>
          <t>United States</t>
        </is>
      </c>
      <c r="F5945" t="inlineStr">
        <is>
          <t>USA</t>
        </is>
      </c>
      <c r="G5945" t="inlineStr">
        <is>
          <t>Comirnaty</t>
        </is>
      </c>
      <c r="H5945" t="inlineStr">
        <is>
          <t>Retail pharmacy</t>
        </is>
      </c>
      <c r="I5945" t="inlineStr">
        <is>
          <t>Self-pay</t>
        </is>
      </c>
      <c r="J5945" t="inlineStr">
        <is>
          <t>Shraddha Kulkarni</t>
        </is>
      </c>
      <c r="K5945" s="70" t="n">
        <v>1526</v>
      </c>
      <c r="L5945" s="71" t="n">
        <v>129.15</v>
      </c>
      <c r="M5945" s="71" t="n">
        <v>197082.9</v>
      </c>
      <c r="N5945" s="71" t="n">
        <v>68979.00999999999</v>
      </c>
      <c r="O5945" s="71" t="n">
        <v>128103.89</v>
      </c>
      <c r="P5945" s="71" t="n">
        <v>61083.36</v>
      </c>
      <c r="Q5945" s="71" t="n">
        <v>67020.53</v>
      </c>
      <c r="R5945" t="inlineStr">
        <is>
          <t>Vaccines</t>
        </is>
      </c>
      <c r="S5945" s="70" t="n">
        <v>1312</v>
      </c>
      <c r="T5945" s="71" t="n">
        <v>30993.67</v>
      </c>
      <c r="U5945" t="inlineStr">
        <is>
          <t>Low</t>
        </is>
      </c>
      <c r="V5945">
        <f>IF(AND(OR(Dashboard!$C$6="All",E5945=Dashboard!$C$6),OR(Dashboard!$F$6="All",G5945=Dashboard!$F$6),OR(Dashboard!$I$6="All",H5945=Dashboard!$I$6)),1,0)</f>
        <v/>
      </c>
    </row>
    <row r="5946">
      <c r="A5946" t="inlineStr">
        <is>
          <t>PF105937</t>
        </is>
      </c>
      <c r="B5946" s="68" t="n">
        <v>46377</v>
      </c>
      <c r="C5946" s="69" t="n">
        <v>2026</v>
      </c>
      <c r="D5946" t="inlineStr">
        <is>
          <t>Dec</t>
        </is>
      </c>
      <c r="E5946" t="inlineStr">
        <is>
          <t>Emerging markets</t>
        </is>
      </c>
      <c r="F5946" t="inlineStr">
        <is>
          <t>India</t>
        </is>
      </c>
      <c r="G5946" t="inlineStr">
        <is>
          <t>Xeljanz</t>
        </is>
      </c>
      <c r="H5946" t="inlineStr">
        <is>
          <t>Hospital</t>
        </is>
      </c>
      <c r="I5946" t="inlineStr">
        <is>
          <t>Self-pay</t>
        </is>
      </c>
      <c r="J5946" t="inlineStr">
        <is>
          <t>Liam O'Brien</t>
        </is>
      </c>
      <c r="K5946" s="70" t="n">
        <v>869</v>
      </c>
      <c r="L5946" s="71" t="n">
        <v>1243.42</v>
      </c>
      <c r="M5946" s="71" t="n">
        <v>1080531.98</v>
      </c>
      <c r="N5946" s="71" t="n">
        <v>54026.6</v>
      </c>
      <c r="O5946" s="71" t="n">
        <v>1026505.38</v>
      </c>
      <c r="P5946" s="71" t="n">
        <v>215539.48</v>
      </c>
      <c r="Q5946" s="71" t="n">
        <v>810965.9</v>
      </c>
      <c r="R5946" t="inlineStr">
        <is>
          <t>Inflammation</t>
        </is>
      </c>
      <c r="S5946" s="70" t="n">
        <v>594</v>
      </c>
      <c r="T5946" s="71" t="n">
        <v>196549.99</v>
      </c>
      <c r="U5946" t="inlineStr">
        <is>
          <t>High</t>
        </is>
      </c>
      <c r="V5946">
        <f>IF(AND(OR(Dashboard!$C$6="All",E5946=Dashboard!$C$6),OR(Dashboard!$F$6="All",G5946=Dashboard!$F$6),OR(Dashboard!$I$6="All",H5946=Dashboard!$I$6)),1,0)</f>
        <v/>
      </c>
    </row>
    <row r="5947">
      <c r="A5947" t="inlineStr">
        <is>
          <t>PF105938</t>
        </is>
      </c>
      <c r="B5947" s="68" t="n">
        <v>46378</v>
      </c>
      <c r="C5947" s="69" t="n">
        <v>2026</v>
      </c>
      <c r="D5947" t="inlineStr">
        <is>
          <t>Dec</t>
        </is>
      </c>
      <c r="E5947" t="inlineStr">
        <is>
          <t>International developed</t>
        </is>
      </c>
      <c r="F5947" t="inlineStr">
        <is>
          <t>Canada</t>
        </is>
      </c>
      <c r="G5947" t="inlineStr">
        <is>
          <t>Prevnar 20</t>
        </is>
      </c>
      <c r="H5947" t="inlineStr">
        <is>
          <t>Retail pharmacy</t>
        </is>
      </c>
      <c r="I5947" t="inlineStr">
        <is>
          <t>Private insurer</t>
        </is>
      </c>
      <c r="J5947" t="inlineStr">
        <is>
          <t>Ruhi Shaikh</t>
        </is>
      </c>
      <c r="K5947" s="70" t="n">
        <v>339</v>
      </c>
      <c r="L5947" s="71" t="n">
        <v>220.07</v>
      </c>
      <c r="M5947" s="71" t="n">
        <v>74603.73</v>
      </c>
      <c r="N5947" s="71" t="n">
        <v>11190.56</v>
      </c>
      <c r="O5947" s="71" t="n">
        <v>63413.17</v>
      </c>
      <c r="P5947" s="71" t="n">
        <v>22576.67</v>
      </c>
      <c r="Q5947" s="71" t="n">
        <v>40836.5</v>
      </c>
      <c r="R5947" t="inlineStr">
        <is>
          <t>Vaccines</t>
        </is>
      </c>
      <c r="S5947" s="70" t="n">
        <v>275</v>
      </c>
      <c r="T5947" s="71" t="n">
        <v>12937.01</v>
      </c>
      <c r="U5947" t="inlineStr">
        <is>
          <t>Low</t>
        </is>
      </c>
      <c r="V5947">
        <f>IF(AND(OR(Dashboard!$C$6="All",E5947=Dashboard!$C$6),OR(Dashboard!$F$6="All",G5947=Dashboard!$F$6),OR(Dashboard!$I$6="All",H5947=Dashboard!$I$6)),1,0)</f>
        <v/>
      </c>
    </row>
    <row r="5948">
      <c r="A5948" t="inlineStr">
        <is>
          <t>PF105939</t>
        </is>
      </c>
      <c r="B5948" s="68" t="n">
        <v>46378</v>
      </c>
      <c r="C5948" s="69" t="n">
        <v>2026</v>
      </c>
      <c r="D5948" t="inlineStr">
        <is>
          <t>Dec</t>
        </is>
      </c>
      <c r="E5948" t="inlineStr">
        <is>
          <t>United States</t>
        </is>
      </c>
      <c r="F5948" t="inlineStr">
        <is>
          <t>USA</t>
        </is>
      </c>
      <c r="G5948" t="inlineStr">
        <is>
          <t>Paxlovid</t>
        </is>
      </c>
      <c r="H5948" t="inlineStr">
        <is>
          <t>Government / tender</t>
        </is>
      </c>
      <c r="I5948" t="inlineStr">
        <is>
          <t>Private insurer</t>
        </is>
      </c>
      <c r="J5948" t="inlineStr">
        <is>
          <t>Kofi Mensah</t>
        </is>
      </c>
      <c r="K5948" s="70" t="n">
        <v>2554</v>
      </c>
      <c r="L5948" s="71" t="n">
        <v>1571.36</v>
      </c>
      <c r="M5948" s="71" t="n">
        <v>4013253.44</v>
      </c>
      <c r="N5948" s="71" t="n">
        <v>802650.6899999999</v>
      </c>
      <c r="O5948" s="71" t="n">
        <v>3210602.75</v>
      </c>
      <c r="P5948" s="71" t="n">
        <v>685256.86</v>
      </c>
      <c r="Q5948" s="71" t="n">
        <v>2525345.89</v>
      </c>
      <c r="R5948" t="inlineStr">
        <is>
          <t>Antiviral</t>
        </is>
      </c>
      <c r="S5948" s="70" t="n">
        <v>1608</v>
      </c>
      <c r="T5948" s="71" t="n">
        <v>586802.64</v>
      </c>
      <c r="U5948" t="inlineStr">
        <is>
          <t>Low</t>
        </is>
      </c>
      <c r="V5948">
        <f>IF(AND(OR(Dashboard!$C$6="All",E5948=Dashboard!$C$6),OR(Dashboard!$F$6="All",G5948=Dashboard!$F$6),OR(Dashboard!$I$6="All",H5948=Dashboard!$I$6)),1,0)</f>
        <v/>
      </c>
    </row>
    <row r="5949">
      <c r="A5949" t="inlineStr">
        <is>
          <t>PF105940</t>
        </is>
      </c>
      <c r="B5949" s="68" t="n">
        <v>46378</v>
      </c>
      <c r="C5949" s="69" t="n">
        <v>2026</v>
      </c>
      <c r="D5949" t="inlineStr">
        <is>
          <t>Dec</t>
        </is>
      </c>
      <c r="E5949" t="inlineStr">
        <is>
          <t>United States</t>
        </is>
      </c>
      <c r="F5949" t="inlineStr">
        <is>
          <t>USA</t>
        </is>
      </c>
      <c r="G5949" t="inlineStr">
        <is>
          <t>Prevnar 20</t>
        </is>
      </c>
      <c r="H5949" t="inlineStr">
        <is>
          <t>Hospital</t>
        </is>
      </c>
      <c r="I5949" t="inlineStr">
        <is>
          <t>Public payer</t>
        </is>
      </c>
      <c r="J5949" t="inlineStr">
        <is>
          <t>Aisha Bello</t>
        </is>
      </c>
      <c r="K5949" s="70" t="n">
        <v>390</v>
      </c>
      <c r="L5949" s="71" t="n">
        <v>340.27</v>
      </c>
      <c r="M5949" s="71" t="n">
        <v>132705.3</v>
      </c>
      <c r="N5949" s="71" t="n">
        <v>19905.8</v>
      </c>
      <c r="O5949" s="71" t="n">
        <v>112799.5</v>
      </c>
      <c r="P5949" s="71" t="n">
        <v>26166.04</v>
      </c>
      <c r="Q5949" s="71" t="n">
        <v>86633.46000000001</v>
      </c>
      <c r="R5949" t="inlineStr">
        <is>
          <t>Vaccines</t>
        </is>
      </c>
      <c r="S5949" s="70" t="n">
        <v>386</v>
      </c>
      <c r="T5949" s="71" t="n">
        <v>24140.25</v>
      </c>
      <c r="U5949" t="inlineStr">
        <is>
          <t>Low</t>
        </is>
      </c>
      <c r="V5949">
        <f>IF(AND(OR(Dashboard!$C$6="All",E5949=Dashboard!$C$6),OR(Dashboard!$F$6="All",G5949=Dashboard!$F$6),OR(Dashboard!$I$6="All",H5949=Dashboard!$I$6)),1,0)</f>
        <v/>
      </c>
    </row>
    <row r="5950">
      <c r="A5950" t="inlineStr">
        <is>
          <t>PF105941</t>
        </is>
      </c>
      <c r="B5950" s="68" t="n">
        <v>46379</v>
      </c>
      <c r="C5950" s="69" t="n">
        <v>2026</v>
      </c>
      <c r="D5950" t="inlineStr">
        <is>
          <t>Dec</t>
        </is>
      </c>
      <c r="E5950" t="inlineStr">
        <is>
          <t>United States</t>
        </is>
      </c>
      <c r="F5950" t="inlineStr">
        <is>
          <t>USA</t>
        </is>
      </c>
      <c r="G5950" t="inlineStr">
        <is>
          <t>Prevnar 20</t>
        </is>
      </c>
      <c r="H5950" t="inlineStr">
        <is>
          <t>Hospital</t>
        </is>
      </c>
      <c r="I5950" t="inlineStr">
        <is>
          <t>Self-pay</t>
        </is>
      </c>
      <c r="J5950" t="inlineStr">
        <is>
          <t>Amir Khan</t>
        </is>
      </c>
      <c r="K5950" s="70" t="n">
        <v>1519</v>
      </c>
      <c r="L5950" s="71" t="n">
        <v>390.41</v>
      </c>
      <c r="M5950" s="71" t="n">
        <v>593032.79</v>
      </c>
      <c r="N5950" s="71" t="n">
        <v>118606.56</v>
      </c>
      <c r="O5950" s="71" t="n">
        <v>474426.23</v>
      </c>
      <c r="P5950" s="71" t="n">
        <v>106914.56</v>
      </c>
      <c r="Q5950" s="71" t="n">
        <v>367511.67</v>
      </c>
      <c r="R5950" t="inlineStr">
        <is>
          <t>Vaccines</t>
        </is>
      </c>
      <c r="S5950" s="70" t="n">
        <v>1228</v>
      </c>
      <c r="T5950" s="71" t="n">
        <v>83056.99000000001</v>
      </c>
      <c r="U5950" t="inlineStr">
        <is>
          <t>Low</t>
        </is>
      </c>
      <c r="V5950">
        <f>IF(AND(OR(Dashboard!$C$6="All",E5950=Dashboard!$C$6),OR(Dashboard!$F$6="All",G5950=Dashboard!$F$6),OR(Dashboard!$I$6="All",H5950=Dashboard!$I$6)),1,0)</f>
        <v/>
      </c>
    </row>
    <row r="5951">
      <c r="A5951" t="inlineStr">
        <is>
          <t>PF105942</t>
        </is>
      </c>
      <c r="B5951" s="68" t="n">
        <v>46379</v>
      </c>
      <c r="C5951" s="69" t="n">
        <v>2026</v>
      </c>
      <c r="D5951" t="inlineStr">
        <is>
          <t>Dec</t>
        </is>
      </c>
      <c r="E5951" t="inlineStr">
        <is>
          <t>Emerging markets</t>
        </is>
      </c>
      <c r="F5951" t="inlineStr">
        <is>
          <t>India</t>
        </is>
      </c>
      <c r="G5951" t="inlineStr">
        <is>
          <t>Abrysvo</t>
        </is>
      </c>
      <c r="H5951" t="inlineStr">
        <is>
          <t>Hospital</t>
        </is>
      </c>
      <c r="I5951" t="inlineStr">
        <is>
          <t>Public payer</t>
        </is>
      </c>
      <c r="J5951" t="inlineStr">
        <is>
          <t>Priya Nair</t>
        </is>
      </c>
      <c r="K5951" s="70" t="n">
        <v>2297</v>
      </c>
      <c r="L5951" s="71" t="n">
        <v>302.36</v>
      </c>
      <c r="M5951" s="71" t="n">
        <v>694520.92</v>
      </c>
      <c r="N5951" s="71" t="n">
        <v>34726.05</v>
      </c>
      <c r="O5951" s="71" t="n">
        <v>659794.87</v>
      </c>
      <c r="P5951" s="71" t="n">
        <v>198860.79</v>
      </c>
      <c r="Q5951" s="71" t="n">
        <v>460934.08</v>
      </c>
      <c r="R5951" t="inlineStr">
        <is>
          <t>Vaccines</t>
        </is>
      </c>
      <c r="S5951" s="70" t="n">
        <v>1913</v>
      </c>
      <c r="T5951" s="71" t="n">
        <v>106677.71</v>
      </c>
      <c r="U5951" t="inlineStr">
        <is>
          <t>Low</t>
        </is>
      </c>
      <c r="V5951">
        <f>IF(AND(OR(Dashboard!$C$6="All",E5951=Dashboard!$C$6),OR(Dashboard!$F$6="All",G5951=Dashboard!$F$6),OR(Dashboard!$I$6="All",H5951=Dashboard!$I$6)),1,0)</f>
        <v/>
      </c>
    </row>
    <row r="5952">
      <c r="A5952" t="inlineStr">
        <is>
          <t>PF105943</t>
        </is>
      </c>
      <c r="B5952" s="68" t="n">
        <v>46379</v>
      </c>
      <c r="C5952" s="69" t="n">
        <v>2026</v>
      </c>
      <c r="D5952" t="inlineStr">
        <is>
          <t>Dec</t>
        </is>
      </c>
      <c r="E5952" t="inlineStr">
        <is>
          <t>United States</t>
        </is>
      </c>
      <c r="F5952" t="inlineStr">
        <is>
          <t>USA</t>
        </is>
      </c>
      <c r="G5952" t="inlineStr">
        <is>
          <t>Ibrance</t>
        </is>
      </c>
      <c r="H5952" t="inlineStr">
        <is>
          <t>Government / tender</t>
        </is>
      </c>
      <c r="I5952" t="inlineStr">
        <is>
          <t>Public payer</t>
        </is>
      </c>
      <c r="J5952" t="inlineStr">
        <is>
          <t>Amir Khan</t>
        </is>
      </c>
      <c r="K5952" s="70" t="n">
        <v>1939</v>
      </c>
      <c r="L5952" s="71" t="n">
        <v>4276.13</v>
      </c>
      <c r="M5952" s="71" t="n">
        <v>8291416.07</v>
      </c>
      <c r="N5952" s="71" t="n">
        <v>2487424.82</v>
      </c>
      <c r="O5952" s="71" t="n">
        <v>5803991.25</v>
      </c>
      <c r="P5952" s="71" t="n">
        <v>847394.13</v>
      </c>
      <c r="Q5952" s="71" t="n">
        <v>4956597.12</v>
      </c>
      <c r="R5952" t="inlineStr">
        <is>
          <t>Oncology</t>
        </is>
      </c>
      <c r="S5952" s="70" t="n">
        <v>1495</v>
      </c>
      <c r="T5952" s="71" t="n">
        <v>1695584.15</v>
      </c>
      <c r="U5952" t="inlineStr">
        <is>
          <t>High</t>
        </is>
      </c>
      <c r="V5952">
        <f>IF(AND(OR(Dashboard!$C$6="All",E5952=Dashboard!$C$6),OR(Dashboard!$F$6="All",G5952=Dashboard!$F$6),OR(Dashboard!$I$6="All",H5952=Dashboard!$I$6)),1,0)</f>
        <v/>
      </c>
    </row>
    <row r="5953">
      <c r="A5953" t="inlineStr">
        <is>
          <t>PF105944</t>
        </is>
      </c>
      <c r="B5953" s="68" t="n">
        <v>46379</v>
      </c>
      <c r="C5953" s="69" t="n">
        <v>2026</v>
      </c>
      <c r="D5953" t="inlineStr">
        <is>
          <t>Dec</t>
        </is>
      </c>
      <c r="E5953" t="inlineStr">
        <is>
          <t>Europe</t>
        </is>
      </c>
      <c r="F5953" t="inlineStr">
        <is>
          <t>Italy</t>
        </is>
      </c>
      <c r="G5953" t="inlineStr">
        <is>
          <t>Ibrance</t>
        </is>
      </c>
      <c r="H5953" t="inlineStr">
        <is>
          <t>Retail pharmacy</t>
        </is>
      </c>
      <c r="I5953" t="inlineStr">
        <is>
          <t>Private insurer</t>
        </is>
      </c>
      <c r="J5953" t="inlineStr">
        <is>
          <t>Fatima Al-Saud</t>
        </is>
      </c>
      <c r="K5953" s="70" t="n">
        <v>1001</v>
      </c>
      <c r="L5953" s="71" t="n">
        <v>2626.41</v>
      </c>
      <c r="M5953" s="71" t="n">
        <v>2629036.41</v>
      </c>
      <c r="N5953" s="71" t="n">
        <v>657259.1</v>
      </c>
      <c r="O5953" s="71" t="n">
        <v>1971777.31</v>
      </c>
      <c r="P5953" s="71" t="n">
        <v>434779.6</v>
      </c>
      <c r="Q5953" s="71" t="n">
        <v>1536997.71</v>
      </c>
      <c r="R5953" t="inlineStr">
        <is>
          <t>Oncology</t>
        </is>
      </c>
      <c r="S5953" s="70" t="n">
        <v>721</v>
      </c>
      <c r="T5953" s="71" t="n">
        <v>363451.89</v>
      </c>
      <c r="U5953" t="inlineStr">
        <is>
          <t>High</t>
        </is>
      </c>
      <c r="V5953">
        <f>IF(AND(OR(Dashboard!$C$6="All",E5953=Dashboard!$C$6),OR(Dashboard!$F$6="All",G5953=Dashboard!$F$6),OR(Dashboard!$I$6="All",H5953=Dashboard!$I$6)),1,0)</f>
        <v/>
      </c>
    </row>
    <row r="5954">
      <c r="A5954" t="inlineStr">
        <is>
          <t>PF105945</t>
        </is>
      </c>
      <c r="B5954" s="68" t="n">
        <v>46379</v>
      </c>
      <c r="C5954" s="69" t="n">
        <v>2026</v>
      </c>
      <c r="D5954" t="inlineStr">
        <is>
          <t>Dec</t>
        </is>
      </c>
      <c r="E5954" t="inlineStr">
        <is>
          <t>United States</t>
        </is>
      </c>
      <c r="F5954" t="inlineStr">
        <is>
          <t>USA</t>
        </is>
      </c>
      <c r="G5954" t="inlineStr">
        <is>
          <t>Paxlovid</t>
        </is>
      </c>
      <c r="H5954" t="inlineStr">
        <is>
          <t>Hospital</t>
        </is>
      </c>
      <c r="I5954" t="inlineStr">
        <is>
          <t>Private insurer</t>
        </is>
      </c>
      <c r="J5954" t="inlineStr">
        <is>
          <t>Omar Haddad</t>
        </is>
      </c>
      <c r="K5954" s="70" t="n">
        <v>1856</v>
      </c>
      <c r="L5954" s="71" t="n">
        <v>1513.53</v>
      </c>
      <c r="M5954" s="71" t="n">
        <v>2809111.68</v>
      </c>
      <c r="N5954" s="71" t="n">
        <v>702277.92</v>
      </c>
      <c r="O5954" s="71" t="n">
        <v>2106833.76</v>
      </c>
      <c r="P5954" s="71" t="n">
        <v>498317.52</v>
      </c>
      <c r="Q5954" s="71" t="n">
        <v>1608516.24</v>
      </c>
      <c r="R5954" t="inlineStr">
        <is>
          <t>Antiviral</t>
        </is>
      </c>
      <c r="S5954" s="70" t="n">
        <v>1493</v>
      </c>
      <c r="T5954" s="71" t="n">
        <v>534247.85</v>
      </c>
      <c r="U5954" t="inlineStr">
        <is>
          <t>Low</t>
        </is>
      </c>
      <c r="V5954">
        <f>IF(AND(OR(Dashboard!$C$6="All",E5954=Dashboard!$C$6),OR(Dashboard!$F$6="All",G5954=Dashboard!$F$6),OR(Dashboard!$I$6="All",H5954=Dashboard!$I$6)),1,0)</f>
        <v/>
      </c>
    </row>
    <row r="5955">
      <c r="A5955" t="inlineStr">
        <is>
          <t>PF105946</t>
        </is>
      </c>
      <c r="B5955" s="68" t="n">
        <v>46379</v>
      </c>
      <c r="C5955" s="69" t="n">
        <v>2026</v>
      </c>
      <c r="D5955" t="inlineStr">
        <is>
          <t>Dec</t>
        </is>
      </c>
      <c r="E5955" t="inlineStr">
        <is>
          <t>International developed</t>
        </is>
      </c>
      <c r="F5955" t="inlineStr">
        <is>
          <t>Australia</t>
        </is>
      </c>
      <c r="G5955" t="inlineStr">
        <is>
          <t>Comirnaty</t>
        </is>
      </c>
      <c r="H5955" t="inlineStr">
        <is>
          <t>Government / tender</t>
        </is>
      </c>
      <c r="I5955" t="inlineStr">
        <is>
          <t>Public payer</t>
        </is>
      </c>
      <c r="J5955" t="inlineStr">
        <is>
          <t>Olivia Brown</t>
        </is>
      </c>
      <c r="K5955" s="70" t="n">
        <v>2793</v>
      </c>
      <c r="L5955" s="71" t="n">
        <v>93.38</v>
      </c>
      <c r="M5955" s="71" t="n">
        <v>260810.34</v>
      </c>
      <c r="N5955" s="71" t="n">
        <v>52162.07</v>
      </c>
      <c r="O5955" s="71" t="n">
        <v>208648.27</v>
      </c>
      <c r="P5955" s="71" t="n">
        <v>108615.85</v>
      </c>
      <c r="Q5955" s="71" t="n">
        <v>100032.42</v>
      </c>
      <c r="R5955" t="inlineStr">
        <is>
          <t>Vaccines</t>
        </is>
      </c>
      <c r="S5955" s="70" t="n">
        <v>2259</v>
      </c>
      <c r="T5955" s="71" t="n">
        <v>63047.31</v>
      </c>
      <c r="U5955" t="inlineStr">
        <is>
          <t>Low</t>
        </is>
      </c>
      <c r="V5955">
        <f>IF(AND(OR(Dashboard!$C$6="All",E5955=Dashboard!$C$6),OR(Dashboard!$F$6="All",G5955=Dashboard!$F$6),OR(Dashboard!$I$6="All",H5955=Dashboard!$I$6)),1,0)</f>
        <v/>
      </c>
    </row>
    <row r="5956">
      <c r="A5956" t="inlineStr">
        <is>
          <t>PF105947</t>
        </is>
      </c>
      <c r="B5956" s="68" t="n">
        <v>46379</v>
      </c>
      <c r="C5956" s="69" t="n">
        <v>2026</v>
      </c>
      <c r="D5956" t="inlineStr">
        <is>
          <t>Dec</t>
        </is>
      </c>
      <c r="E5956" t="inlineStr">
        <is>
          <t>Europe</t>
        </is>
      </c>
      <c r="F5956" t="inlineStr">
        <is>
          <t>France</t>
        </is>
      </c>
      <c r="G5956" t="inlineStr">
        <is>
          <t>Vyndaqel</t>
        </is>
      </c>
      <c r="H5956" t="inlineStr">
        <is>
          <t>Government / tender</t>
        </is>
      </c>
      <c r="I5956" t="inlineStr">
        <is>
          <t>Self-pay</t>
        </is>
      </c>
      <c r="J5956" t="inlineStr">
        <is>
          <t>Yuki Sato</t>
        </is>
      </c>
      <c r="K5956" s="70" t="n">
        <v>3411</v>
      </c>
      <c r="L5956" s="71" t="n">
        <v>6071.7</v>
      </c>
      <c r="M5956" s="71" t="n">
        <v>20710568.7</v>
      </c>
      <c r="N5956" s="71" t="n">
        <v>4142113.74</v>
      </c>
      <c r="O5956" s="71" t="n">
        <v>16568454.96</v>
      </c>
      <c r="P5956" s="71" t="n">
        <v>2199072</v>
      </c>
      <c r="Q5956" s="71" t="n">
        <v>14369382.96</v>
      </c>
      <c r="R5956" t="inlineStr">
        <is>
          <t>Rare disease</t>
        </is>
      </c>
      <c r="S5956" s="70" t="n">
        <v>2402</v>
      </c>
      <c r="T5956" s="71" t="n">
        <v>3235806.22</v>
      </c>
      <c r="U5956" t="inlineStr">
        <is>
          <t>Medium</t>
        </is>
      </c>
      <c r="V5956">
        <f>IF(AND(OR(Dashboard!$C$6="All",E5956=Dashboard!$C$6),OR(Dashboard!$F$6="All",G5956=Dashboard!$F$6),OR(Dashboard!$I$6="All",H5956=Dashboard!$I$6)),1,0)</f>
        <v/>
      </c>
    </row>
    <row r="5957">
      <c r="A5957" t="inlineStr">
        <is>
          <t>PF105948</t>
        </is>
      </c>
      <c r="B5957" s="68" t="n">
        <v>46380</v>
      </c>
      <c r="C5957" s="69" t="n">
        <v>2026</v>
      </c>
      <c r="D5957" t="inlineStr">
        <is>
          <t>Dec</t>
        </is>
      </c>
      <c r="E5957" t="inlineStr">
        <is>
          <t>United States</t>
        </is>
      </c>
      <c r="F5957" t="inlineStr">
        <is>
          <t>USA</t>
        </is>
      </c>
      <c r="G5957" t="inlineStr">
        <is>
          <t>Eliquis</t>
        </is>
      </c>
      <c r="H5957" t="inlineStr">
        <is>
          <t>Retail pharmacy</t>
        </is>
      </c>
      <c r="I5957" t="inlineStr">
        <is>
          <t>Public payer</t>
        </is>
      </c>
      <c r="J5957" t="inlineStr">
        <is>
          <t>Shraddha Kulkarni</t>
        </is>
      </c>
      <c r="K5957" s="70" t="n">
        <v>2099</v>
      </c>
      <c r="L5957" s="71" t="n">
        <v>672.4299999999999</v>
      </c>
      <c r="M5957" s="71" t="n">
        <v>1411430.57</v>
      </c>
      <c r="N5957" s="71" t="n">
        <v>494000.7</v>
      </c>
      <c r="O5957" s="71" t="n">
        <v>917429.87</v>
      </c>
      <c r="P5957" s="71" t="n">
        <v>153961.98</v>
      </c>
      <c r="Q5957" s="71" t="n">
        <v>763467.89</v>
      </c>
      <c r="R5957" t="inlineStr">
        <is>
          <t>Cardiology</t>
        </is>
      </c>
      <c r="S5957" s="70" t="n">
        <v>1454</v>
      </c>
      <c r="T5957" s="71" t="n">
        <v>211018.99</v>
      </c>
      <c r="U5957" t="inlineStr">
        <is>
          <t>High</t>
        </is>
      </c>
      <c r="V5957">
        <f>IF(AND(OR(Dashboard!$C$6="All",E5957=Dashboard!$C$6),OR(Dashboard!$F$6="All",G5957=Dashboard!$F$6),OR(Dashboard!$I$6="All",H5957=Dashboard!$I$6)),1,0)</f>
        <v/>
      </c>
    </row>
    <row r="5958">
      <c r="A5958" t="inlineStr">
        <is>
          <t>PF105949</t>
        </is>
      </c>
      <c r="B5958" s="68" t="n">
        <v>46380</v>
      </c>
      <c r="C5958" s="69" t="n">
        <v>2026</v>
      </c>
      <c r="D5958" t="inlineStr">
        <is>
          <t>Dec</t>
        </is>
      </c>
      <c r="E5958" t="inlineStr">
        <is>
          <t>United States</t>
        </is>
      </c>
      <c r="F5958" t="inlineStr">
        <is>
          <t>USA</t>
        </is>
      </c>
      <c r="G5958" t="inlineStr">
        <is>
          <t>Ibrance</t>
        </is>
      </c>
      <c r="H5958" t="inlineStr">
        <is>
          <t>Hospital</t>
        </is>
      </c>
      <c r="I5958" t="inlineStr">
        <is>
          <t>Public payer</t>
        </is>
      </c>
      <c r="J5958" t="inlineStr">
        <is>
          <t>Carlos Silva</t>
        </is>
      </c>
      <c r="K5958" s="70" t="n">
        <v>2185</v>
      </c>
      <c r="L5958" s="71" t="n">
        <v>4728.74</v>
      </c>
      <c r="M5958" s="71" t="n">
        <v>10332296.9</v>
      </c>
      <c r="N5958" s="71" t="n">
        <v>2583074.23</v>
      </c>
      <c r="O5958" s="71" t="n">
        <v>7749222.67</v>
      </c>
      <c r="P5958" s="71" t="n">
        <v>975723.26</v>
      </c>
      <c r="Q5958" s="71" t="n">
        <v>6773499.41</v>
      </c>
      <c r="R5958" t="inlineStr">
        <is>
          <t>Oncology</t>
        </is>
      </c>
      <c r="S5958" s="70" t="n">
        <v>2031</v>
      </c>
      <c r="T5958" s="71" t="n">
        <v>1598381.85</v>
      </c>
      <c r="U5958" t="inlineStr">
        <is>
          <t>High</t>
        </is>
      </c>
      <c r="V5958">
        <f>IF(AND(OR(Dashboard!$C$6="All",E5958=Dashboard!$C$6),OR(Dashboard!$F$6="All",G5958=Dashboard!$F$6),OR(Dashboard!$I$6="All",H5958=Dashboard!$I$6)),1,0)</f>
        <v/>
      </c>
    </row>
    <row r="5959">
      <c r="A5959" t="inlineStr">
        <is>
          <t>PF105950</t>
        </is>
      </c>
      <c r="B5959" s="68" t="n">
        <v>46380</v>
      </c>
      <c r="C5959" s="69" t="n">
        <v>2026</v>
      </c>
      <c r="D5959" t="inlineStr">
        <is>
          <t>Dec</t>
        </is>
      </c>
      <c r="E5959" t="inlineStr">
        <is>
          <t>International developed</t>
        </is>
      </c>
      <c r="F5959" t="inlineStr">
        <is>
          <t>Japan</t>
        </is>
      </c>
      <c r="G5959" t="inlineStr">
        <is>
          <t>Xeljanz</t>
        </is>
      </c>
      <c r="H5959" t="inlineStr">
        <is>
          <t>Hospital</t>
        </is>
      </c>
      <c r="I5959" t="inlineStr">
        <is>
          <t>Public payer</t>
        </is>
      </c>
      <c r="J5959" t="inlineStr">
        <is>
          <t>Emma Clarke</t>
        </is>
      </c>
      <c r="K5959" s="70" t="n">
        <v>1333</v>
      </c>
      <c r="L5959" s="71" t="n">
        <v>1316.92</v>
      </c>
      <c r="M5959" s="71" t="n">
        <v>1755454.36</v>
      </c>
      <c r="N5959" s="71" t="n">
        <v>263318.15</v>
      </c>
      <c r="O5959" s="71" t="n">
        <v>1492136.21</v>
      </c>
      <c r="P5959" s="71" t="n">
        <v>340199.89</v>
      </c>
      <c r="Q5959" s="71" t="n">
        <v>1151936.32</v>
      </c>
      <c r="R5959" t="inlineStr">
        <is>
          <t>Inflammation</t>
        </is>
      </c>
      <c r="S5959" s="70" t="n">
        <v>1100</v>
      </c>
      <c r="T5959" s="71" t="n">
        <v>289490.18</v>
      </c>
      <c r="U5959" t="inlineStr">
        <is>
          <t>High</t>
        </is>
      </c>
      <c r="V5959">
        <f>IF(AND(OR(Dashboard!$C$6="All",E5959=Dashboard!$C$6),OR(Dashboard!$F$6="All",G5959=Dashboard!$F$6),OR(Dashboard!$I$6="All",H5959=Dashboard!$I$6)),1,0)</f>
        <v/>
      </c>
    </row>
    <row r="5960">
      <c r="A5960" t="inlineStr">
        <is>
          <t>PF105951</t>
        </is>
      </c>
      <c r="B5960" s="68" t="n">
        <v>46380</v>
      </c>
      <c r="C5960" s="69" t="n">
        <v>2026</v>
      </c>
      <c r="D5960" t="inlineStr">
        <is>
          <t>Dec</t>
        </is>
      </c>
      <c r="E5960" t="inlineStr">
        <is>
          <t>Europe</t>
        </is>
      </c>
      <c r="F5960" t="inlineStr">
        <is>
          <t>Germany</t>
        </is>
      </c>
      <c r="G5960" t="inlineStr">
        <is>
          <t>Comirnaty</t>
        </is>
      </c>
      <c r="H5960" t="inlineStr">
        <is>
          <t>Hospital</t>
        </is>
      </c>
      <c r="I5960" t="inlineStr">
        <is>
          <t>Public payer</t>
        </is>
      </c>
      <c r="J5960" t="inlineStr">
        <is>
          <t>Wei Chen</t>
        </is>
      </c>
      <c r="K5960" s="70" t="n">
        <v>746</v>
      </c>
      <c r="L5960" s="71" t="n">
        <v>81.04000000000001</v>
      </c>
      <c r="M5960" s="71" t="n">
        <v>60455.84</v>
      </c>
      <c r="N5960" s="71" t="n">
        <v>9068.379999999999</v>
      </c>
      <c r="O5960" s="71" t="n">
        <v>51387.46</v>
      </c>
      <c r="P5960" s="71" t="n">
        <v>29414.95</v>
      </c>
      <c r="Q5960" s="71" t="n">
        <v>21972.51</v>
      </c>
      <c r="R5960" t="inlineStr">
        <is>
          <t>Vaccines</t>
        </is>
      </c>
      <c r="S5960" s="70" t="n">
        <v>599</v>
      </c>
      <c r="T5960" s="71" t="n">
        <v>14906.32</v>
      </c>
      <c r="U5960" t="inlineStr">
        <is>
          <t>Low</t>
        </is>
      </c>
      <c r="V5960">
        <f>IF(AND(OR(Dashboard!$C$6="All",E5960=Dashboard!$C$6),OR(Dashboard!$F$6="All",G5960=Dashboard!$F$6),OR(Dashboard!$I$6="All",H5960=Dashboard!$I$6)),1,0)</f>
        <v/>
      </c>
    </row>
    <row r="5961">
      <c r="A5961" t="inlineStr">
        <is>
          <t>PF105952</t>
        </is>
      </c>
      <c r="B5961" s="68" t="n">
        <v>46380</v>
      </c>
      <c r="C5961" s="69" t="n">
        <v>2026</v>
      </c>
      <c r="D5961" t="inlineStr">
        <is>
          <t>Dec</t>
        </is>
      </c>
      <c r="E5961" t="inlineStr">
        <is>
          <t>United States</t>
        </is>
      </c>
      <c r="F5961" t="inlineStr">
        <is>
          <t>USA</t>
        </is>
      </c>
      <c r="G5961" t="inlineStr">
        <is>
          <t>Ibrance</t>
        </is>
      </c>
      <c r="H5961" t="inlineStr">
        <is>
          <t>Retail pharmacy</t>
        </is>
      </c>
      <c r="I5961" t="inlineStr">
        <is>
          <t>Public payer</t>
        </is>
      </c>
      <c r="J5961" t="inlineStr">
        <is>
          <t>Omar Haddad</t>
        </is>
      </c>
      <c r="K5961" s="70" t="n">
        <v>1104</v>
      </c>
      <c r="L5961" s="71" t="n">
        <v>4940.33</v>
      </c>
      <c r="M5961" s="71" t="n">
        <v>5454124.32</v>
      </c>
      <c r="N5961" s="71" t="n">
        <v>818118.65</v>
      </c>
      <c r="O5961" s="71" t="n">
        <v>4636005.67</v>
      </c>
      <c r="P5961" s="71" t="n">
        <v>495693.9</v>
      </c>
      <c r="Q5961" s="71" t="n">
        <v>4140311.77</v>
      </c>
      <c r="R5961" t="inlineStr">
        <is>
          <t>Oncology</t>
        </is>
      </c>
      <c r="S5961" s="70" t="n">
        <v>1025</v>
      </c>
      <c r="T5961" s="71" t="n">
        <v>968348.96</v>
      </c>
      <c r="U5961" t="inlineStr">
        <is>
          <t>High</t>
        </is>
      </c>
      <c r="V5961">
        <f>IF(AND(OR(Dashboard!$C$6="All",E5961=Dashboard!$C$6),OR(Dashboard!$F$6="All",G5961=Dashboard!$F$6),OR(Dashboard!$I$6="All",H5961=Dashboard!$I$6)),1,0)</f>
        <v/>
      </c>
    </row>
    <row r="5962">
      <c r="A5962" t="inlineStr">
        <is>
          <t>PF105953</t>
        </is>
      </c>
      <c r="B5962" s="68" t="n">
        <v>46380</v>
      </c>
      <c r="C5962" s="69" t="n">
        <v>2026</v>
      </c>
      <c r="D5962" t="inlineStr">
        <is>
          <t>Dec</t>
        </is>
      </c>
      <c r="E5962" t="inlineStr">
        <is>
          <t>United States</t>
        </is>
      </c>
      <c r="F5962" t="inlineStr">
        <is>
          <t>USA</t>
        </is>
      </c>
      <c r="G5962" t="inlineStr">
        <is>
          <t>Paxlovid</t>
        </is>
      </c>
      <c r="H5962" t="inlineStr">
        <is>
          <t>Retail pharmacy</t>
        </is>
      </c>
      <c r="I5962" t="inlineStr">
        <is>
          <t>Self-pay</t>
        </is>
      </c>
      <c r="J5962" t="inlineStr">
        <is>
          <t>Ruhi Shaikh</t>
        </is>
      </c>
      <c r="K5962" s="70" t="n">
        <v>1795</v>
      </c>
      <c r="L5962" s="71" t="n">
        <v>1566.08</v>
      </c>
      <c r="M5962" s="71" t="n">
        <v>2811113.6</v>
      </c>
      <c r="N5962" s="71" t="n">
        <v>702778.4</v>
      </c>
      <c r="O5962" s="71" t="n">
        <v>2108335.2</v>
      </c>
      <c r="P5962" s="71" t="n">
        <v>506217.98</v>
      </c>
      <c r="Q5962" s="71" t="n">
        <v>1602117.22</v>
      </c>
      <c r="R5962" t="inlineStr">
        <is>
          <t>Antiviral</t>
        </is>
      </c>
      <c r="S5962" s="70" t="n">
        <v>1338</v>
      </c>
      <c r="T5962" s="71" t="n">
        <v>534436.3199999999</v>
      </c>
      <c r="U5962" t="inlineStr">
        <is>
          <t>Low</t>
        </is>
      </c>
      <c r="V5962">
        <f>IF(AND(OR(Dashboard!$C$6="All",E5962=Dashboard!$C$6),OR(Dashboard!$F$6="All",G5962=Dashboard!$F$6),OR(Dashboard!$I$6="All",H5962=Dashboard!$I$6)),1,0)</f>
        <v/>
      </c>
    </row>
    <row r="5963">
      <c r="A5963" t="inlineStr">
        <is>
          <t>PF105954</t>
        </is>
      </c>
      <c r="B5963" s="68" t="n">
        <v>46380</v>
      </c>
      <c r="C5963" s="69" t="n">
        <v>2026</v>
      </c>
      <c r="D5963" t="inlineStr">
        <is>
          <t>Dec</t>
        </is>
      </c>
      <c r="E5963" t="inlineStr">
        <is>
          <t>United States</t>
        </is>
      </c>
      <c r="F5963" t="inlineStr">
        <is>
          <t>USA</t>
        </is>
      </c>
      <c r="G5963" t="inlineStr">
        <is>
          <t>Vyndaqel</t>
        </is>
      </c>
      <c r="H5963" t="inlineStr">
        <is>
          <t>Hospital</t>
        </is>
      </c>
      <c r="I5963" t="inlineStr">
        <is>
          <t>Public payer</t>
        </is>
      </c>
      <c r="J5963" t="inlineStr">
        <is>
          <t>Zoya Ahmed</t>
        </is>
      </c>
      <c r="K5963" s="70" t="n">
        <v>1615</v>
      </c>
      <c r="L5963" s="71" t="n">
        <v>9194.719999999999</v>
      </c>
      <c r="M5963" s="71" t="n">
        <v>14849472.8</v>
      </c>
      <c r="N5963" s="71" t="n">
        <v>2227420.92</v>
      </c>
      <c r="O5963" s="71" t="n">
        <v>12622051.88</v>
      </c>
      <c r="P5963" s="71" t="n">
        <v>1014111.31</v>
      </c>
      <c r="Q5963" s="71" t="n">
        <v>11607940.57</v>
      </c>
      <c r="R5963" t="inlineStr">
        <is>
          <t>Rare disease</t>
        </is>
      </c>
      <c r="S5963" s="70" t="n">
        <v>1500</v>
      </c>
      <c r="T5963" s="71" t="n">
        <v>2193938.16</v>
      </c>
      <c r="U5963" t="inlineStr">
        <is>
          <t>Medium</t>
        </is>
      </c>
      <c r="V5963">
        <f>IF(AND(OR(Dashboard!$C$6="All",E5963=Dashboard!$C$6),OR(Dashboard!$F$6="All",G5963=Dashboard!$F$6),OR(Dashboard!$I$6="All",H5963=Dashboard!$I$6)),1,0)</f>
        <v/>
      </c>
    </row>
    <row r="5964">
      <c r="A5964" t="inlineStr">
        <is>
          <t>PF105955</t>
        </is>
      </c>
      <c r="B5964" s="68" t="n">
        <v>46380</v>
      </c>
      <c r="C5964" s="69" t="n">
        <v>2026</v>
      </c>
      <c r="D5964" t="inlineStr">
        <is>
          <t>Dec</t>
        </is>
      </c>
      <c r="E5964" t="inlineStr">
        <is>
          <t>United States</t>
        </is>
      </c>
      <c r="F5964" t="inlineStr">
        <is>
          <t>USA</t>
        </is>
      </c>
      <c r="G5964" t="inlineStr">
        <is>
          <t>Abrysvo</t>
        </is>
      </c>
      <c r="H5964" t="inlineStr">
        <is>
          <t>Retail pharmacy</t>
        </is>
      </c>
      <c r="I5964" t="inlineStr">
        <is>
          <t>Public payer</t>
        </is>
      </c>
      <c r="J5964" t="inlineStr">
        <is>
          <t>Yuki Sato</t>
        </is>
      </c>
      <c r="K5964" s="70" t="n">
        <v>3181</v>
      </c>
      <c r="L5964" s="71" t="n">
        <v>467.93</v>
      </c>
      <c r="M5964" s="71" t="n">
        <v>1488485.33</v>
      </c>
      <c r="N5964" s="71" t="n">
        <v>297697.07</v>
      </c>
      <c r="O5964" s="71" t="n">
        <v>1190788.26</v>
      </c>
      <c r="P5964" s="71" t="n">
        <v>274554.7</v>
      </c>
      <c r="Q5964" s="71" t="n">
        <v>916233.5600000001</v>
      </c>
      <c r="R5964" t="inlineStr">
        <is>
          <t>Vaccines</t>
        </is>
      </c>
      <c r="S5964" s="70" t="n">
        <v>2150</v>
      </c>
      <c r="T5964" s="71" t="n">
        <v>239576.8</v>
      </c>
      <c r="U5964" t="inlineStr">
        <is>
          <t>Low</t>
        </is>
      </c>
      <c r="V5964">
        <f>IF(AND(OR(Dashboard!$C$6="All",E5964=Dashboard!$C$6),OR(Dashboard!$F$6="All",G5964=Dashboard!$F$6),OR(Dashboard!$I$6="All",H5964=Dashboard!$I$6)),1,0)</f>
        <v/>
      </c>
    </row>
    <row r="5965">
      <c r="A5965" t="inlineStr">
        <is>
          <t>PF105956</t>
        </is>
      </c>
      <c r="B5965" s="68" t="n">
        <v>46380</v>
      </c>
      <c r="C5965" s="69" t="n">
        <v>2026</v>
      </c>
      <c r="D5965" t="inlineStr">
        <is>
          <t>Dec</t>
        </is>
      </c>
      <c r="E5965" t="inlineStr">
        <is>
          <t>Emerging markets</t>
        </is>
      </c>
      <c r="F5965" t="inlineStr">
        <is>
          <t>India</t>
        </is>
      </c>
      <c r="G5965" t="inlineStr">
        <is>
          <t>Eliquis</t>
        </is>
      </c>
      <c r="H5965" t="inlineStr">
        <is>
          <t>Retail pharmacy</t>
        </is>
      </c>
      <c r="I5965" t="inlineStr">
        <is>
          <t>Private insurer</t>
        </is>
      </c>
      <c r="J5965" t="inlineStr">
        <is>
          <t>Wei Chen</t>
        </is>
      </c>
      <c r="K5965" s="70" t="n">
        <v>3068</v>
      </c>
      <c r="L5965" s="71" t="n">
        <v>408.65</v>
      </c>
      <c r="M5965" s="71" t="n">
        <v>1253738.2</v>
      </c>
      <c r="N5965" s="71" t="n">
        <v>125373.82</v>
      </c>
      <c r="O5965" s="71" t="n">
        <v>1128364.38</v>
      </c>
      <c r="P5965" s="71" t="n">
        <v>230536.15</v>
      </c>
      <c r="Q5965" s="71" t="n">
        <v>897828.23</v>
      </c>
      <c r="R5965" t="inlineStr">
        <is>
          <t>Cardiology</t>
        </is>
      </c>
      <c r="S5965" s="70" t="n">
        <v>2840</v>
      </c>
      <c r="T5965" s="71" t="n">
        <v>175460.8</v>
      </c>
      <c r="U5965" t="inlineStr">
        <is>
          <t>High</t>
        </is>
      </c>
      <c r="V5965">
        <f>IF(AND(OR(Dashboard!$C$6="All",E5965=Dashboard!$C$6),OR(Dashboard!$F$6="All",G5965=Dashboard!$F$6),OR(Dashboard!$I$6="All",H5965=Dashboard!$I$6)),1,0)</f>
        <v/>
      </c>
    </row>
    <row r="5966">
      <c r="A5966" t="inlineStr">
        <is>
          <t>PF105957</t>
        </is>
      </c>
      <c r="B5966" s="68" t="n">
        <v>46380</v>
      </c>
      <c r="C5966" s="69" t="n">
        <v>2026</v>
      </c>
      <c r="D5966" t="inlineStr">
        <is>
          <t>Dec</t>
        </is>
      </c>
      <c r="E5966" t="inlineStr">
        <is>
          <t>United States</t>
        </is>
      </c>
      <c r="F5966" t="inlineStr">
        <is>
          <t>USA</t>
        </is>
      </c>
      <c r="G5966" t="inlineStr">
        <is>
          <t>Prevnar 20</t>
        </is>
      </c>
      <c r="H5966" t="inlineStr">
        <is>
          <t>Retail pharmacy</t>
        </is>
      </c>
      <c r="I5966" t="inlineStr">
        <is>
          <t>Private insurer</t>
        </is>
      </c>
      <c r="J5966" t="inlineStr">
        <is>
          <t>Wei Chen</t>
        </is>
      </c>
      <c r="K5966" s="70" t="n">
        <v>560</v>
      </c>
      <c r="L5966" s="71" t="n">
        <v>358.43</v>
      </c>
      <c r="M5966" s="71" t="n">
        <v>200720.8</v>
      </c>
      <c r="N5966" s="71" t="n">
        <v>50180.2</v>
      </c>
      <c r="O5966" s="71" t="n">
        <v>150540.6</v>
      </c>
      <c r="P5966" s="71" t="n">
        <v>39297.88</v>
      </c>
      <c r="Q5966" s="71" t="n">
        <v>111242.72</v>
      </c>
      <c r="R5966" t="inlineStr">
        <is>
          <t>Vaccines</t>
        </is>
      </c>
      <c r="S5966" s="70" t="n">
        <v>405</v>
      </c>
      <c r="T5966" s="71" t="n">
        <v>25513.27</v>
      </c>
      <c r="U5966" t="inlineStr">
        <is>
          <t>Low</t>
        </is>
      </c>
      <c r="V5966">
        <f>IF(AND(OR(Dashboard!$C$6="All",E5966=Dashboard!$C$6),OR(Dashboard!$F$6="All",G5966=Dashboard!$F$6),OR(Dashboard!$I$6="All",H5966=Dashboard!$I$6)),1,0)</f>
        <v/>
      </c>
    </row>
    <row r="5967">
      <c r="A5967" t="inlineStr">
        <is>
          <t>PF105958</t>
        </is>
      </c>
      <c r="B5967" s="68" t="n">
        <v>46381</v>
      </c>
      <c r="C5967" s="69" t="n">
        <v>2026</v>
      </c>
      <c r="D5967" t="inlineStr">
        <is>
          <t>Dec</t>
        </is>
      </c>
      <c r="E5967" t="inlineStr">
        <is>
          <t>Europe</t>
        </is>
      </c>
      <c r="F5967" t="inlineStr">
        <is>
          <t>Spain</t>
        </is>
      </c>
      <c r="G5967" t="inlineStr">
        <is>
          <t>Comirnaty</t>
        </is>
      </c>
      <c r="H5967" t="inlineStr">
        <is>
          <t>Retail pharmacy</t>
        </is>
      </c>
      <c r="I5967" t="inlineStr">
        <is>
          <t>Private insurer</t>
        </is>
      </c>
      <c r="J5967" t="inlineStr">
        <is>
          <t>Hiroshi Tanaka</t>
        </is>
      </c>
      <c r="K5967" s="70" t="n">
        <v>1389</v>
      </c>
      <c r="L5967" s="71" t="n">
        <v>93.15000000000001</v>
      </c>
      <c r="M5967" s="71" t="n">
        <v>129385.35</v>
      </c>
      <c r="N5967" s="71" t="n">
        <v>32346.34</v>
      </c>
      <c r="O5967" s="71" t="n">
        <v>97039.00999999999</v>
      </c>
      <c r="P5967" s="71" t="n">
        <v>52927.28</v>
      </c>
      <c r="Q5967" s="71" t="n">
        <v>44111.73</v>
      </c>
      <c r="R5967" t="inlineStr">
        <is>
          <t>Vaccines</t>
        </is>
      </c>
      <c r="S5967" s="70" t="n">
        <v>916</v>
      </c>
      <c r="T5967" s="71" t="n">
        <v>34935.48</v>
      </c>
      <c r="U5967" t="inlineStr">
        <is>
          <t>Low</t>
        </is>
      </c>
      <c r="V5967">
        <f>IF(AND(OR(Dashboard!$C$6="All",E5967=Dashboard!$C$6),OR(Dashboard!$F$6="All",G5967=Dashboard!$F$6),OR(Dashboard!$I$6="All",H5967=Dashboard!$I$6)),1,0)</f>
        <v/>
      </c>
    </row>
    <row r="5968">
      <c r="A5968" t="inlineStr">
        <is>
          <t>PF105959</t>
        </is>
      </c>
      <c r="B5968" s="68" t="n">
        <v>46381</v>
      </c>
      <c r="C5968" s="69" t="n">
        <v>2026</v>
      </c>
      <c r="D5968" t="inlineStr">
        <is>
          <t>Dec</t>
        </is>
      </c>
      <c r="E5968" t="inlineStr">
        <is>
          <t>Europe</t>
        </is>
      </c>
      <c r="F5968" t="inlineStr">
        <is>
          <t>France</t>
        </is>
      </c>
      <c r="G5968" t="inlineStr">
        <is>
          <t>Prevnar 20</t>
        </is>
      </c>
      <c r="H5968" t="inlineStr">
        <is>
          <t>Hospital</t>
        </is>
      </c>
      <c r="I5968" t="inlineStr">
        <is>
          <t>Public payer</t>
        </is>
      </c>
      <c r="J5968" t="inlineStr">
        <is>
          <t>Mei Lin</t>
        </is>
      </c>
      <c r="K5968" s="70" t="n">
        <v>605</v>
      </c>
      <c r="L5968" s="71" t="n">
        <v>226.9</v>
      </c>
      <c r="M5968" s="71" t="n">
        <v>137274.5</v>
      </c>
      <c r="N5968" s="71" t="n">
        <v>20591.17</v>
      </c>
      <c r="O5968" s="71" t="n">
        <v>116683.33</v>
      </c>
      <c r="P5968" s="71" t="n">
        <v>42232.21</v>
      </c>
      <c r="Q5968" s="71" t="n">
        <v>74451.12</v>
      </c>
      <c r="R5968" t="inlineStr">
        <is>
          <t>Vaccines</t>
        </is>
      </c>
      <c r="S5968" s="70" t="n">
        <v>557</v>
      </c>
      <c r="T5968" s="71" t="n">
        <v>21628.83</v>
      </c>
      <c r="U5968" t="inlineStr">
        <is>
          <t>Low</t>
        </is>
      </c>
      <c r="V5968">
        <f>IF(AND(OR(Dashboard!$C$6="All",E5968=Dashboard!$C$6),OR(Dashboard!$F$6="All",G5968=Dashboard!$F$6),OR(Dashboard!$I$6="All",H5968=Dashboard!$I$6)),1,0)</f>
        <v/>
      </c>
    </row>
    <row r="5969">
      <c r="A5969" t="inlineStr">
        <is>
          <t>PF105960</t>
        </is>
      </c>
      <c r="B5969" s="68" t="n">
        <v>46381</v>
      </c>
      <c r="C5969" s="69" t="n">
        <v>2026</v>
      </c>
      <c r="D5969" t="inlineStr">
        <is>
          <t>Dec</t>
        </is>
      </c>
      <c r="E5969" t="inlineStr">
        <is>
          <t>Europe</t>
        </is>
      </c>
      <c r="F5969" t="inlineStr">
        <is>
          <t>Germany</t>
        </is>
      </c>
      <c r="G5969" t="inlineStr">
        <is>
          <t>Prevnar 20</t>
        </is>
      </c>
      <c r="H5969" t="inlineStr">
        <is>
          <t>Government / tender</t>
        </is>
      </c>
      <c r="I5969" t="inlineStr">
        <is>
          <t>Private insurer</t>
        </is>
      </c>
      <c r="J5969" t="inlineStr">
        <is>
          <t>Ravindra Patil</t>
        </is>
      </c>
      <c r="K5969" s="70" t="n">
        <v>2095</v>
      </c>
      <c r="L5969" s="71" t="n">
        <v>217.52</v>
      </c>
      <c r="M5969" s="71" t="n">
        <v>455704.4</v>
      </c>
      <c r="N5969" s="71" t="n">
        <v>45570.44</v>
      </c>
      <c r="O5969" s="71" t="n">
        <v>410133.96</v>
      </c>
      <c r="P5969" s="71" t="n">
        <v>149888.79</v>
      </c>
      <c r="Q5969" s="71" t="n">
        <v>260245.17</v>
      </c>
      <c r="R5969" t="inlineStr">
        <is>
          <t>Vaccines</t>
        </is>
      </c>
      <c r="S5969" s="70" t="n">
        <v>1765</v>
      </c>
      <c r="T5969" s="71" t="n">
        <v>86574.23</v>
      </c>
      <c r="U5969" t="inlineStr">
        <is>
          <t>Low</t>
        </is>
      </c>
      <c r="V5969">
        <f>IF(AND(OR(Dashboard!$C$6="All",E5969=Dashboard!$C$6),OR(Dashboard!$F$6="All",G5969=Dashboard!$F$6),OR(Dashboard!$I$6="All",H5969=Dashboard!$I$6)),1,0)</f>
        <v/>
      </c>
    </row>
    <row r="5970">
      <c r="A5970" t="inlineStr">
        <is>
          <t>PF105961</t>
        </is>
      </c>
      <c r="B5970" s="68" t="n">
        <v>46381</v>
      </c>
      <c r="C5970" s="69" t="n">
        <v>2026</v>
      </c>
      <c r="D5970" t="inlineStr">
        <is>
          <t>Dec</t>
        </is>
      </c>
      <c r="E5970" t="inlineStr">
        <is>
          <t>Europe</t>
        </is>
      </c>
      <c r="F5970" t="inlineStr">
        <is>
          <t>Spain</t>
        </is>
      </c>
      <c r="G5970" t="inlineStr">
        <is>
          <t>Ibrance</t>
        </is>
      </c>
      <c r="H5970" t="inlineStr">
        <is>
          <t>Retail pharmacy</t>
        </is>
      </c>
      <c r="I5970" t="inlineStr">
        <is>
          <t>Public payer</t>
        </is>
      </c>
      <c r="J5970" t="inlineStr">
        <is>
          <t>Arjun Mehta</t>
        </is>
      </c>
      <c r="K5970" s="70" t="n">
        <v>556</v>
      </c>
      <c r="L5970" s="71" t="n">
        <v>3035.04</v>
      </c>
      <c r="M5970" s="71" t="n">
        <v>1687482.24</v>
      </c>
      <c r="N5970" s="71" t="n">
        <v>337496.45</v>
      </c>
      <c r="O5970" s="71" t="n">
        <v>1349985.79</v>
      </c>
      <c r="P5970" s="71" t="n">
        <v>238851.19</v>
      </c>
      <c r="Q5970" s="71" t="n">
        <v>1111134.6</v>
      </c>
      <c r="R5970" t="inlineStr">
        <is>
          <t>Oncology</t>
        </is>
      </c>
      <c r="S5970" s="70" t="n">
        <v>373</v>
      </c>
      <c r="T5970" s="71" t="n">
        <v>257692.8</v>
      </c>
      <c r="U5970" t="inlineStr">
        <is>
          <t>High</t>
        </is>
      </c>
      <c r="V5970">
        <f>IF(AND(OR(Dashboard!$C$6="All",E5970=Dashboard!$C$6),OR(Dashboard!$F$6="All",G5970=Dashboard!$F$6),OR(Dashboard!$I$6="All",H5970=Dashboard!$I$6)),1,0)</f>
        <v/>
      </c>
    </row>
    <row r="5971">
      <c r="A5971" t="inlineStr">
        <is>
          <t>PF105962</t>
        </is>
      </c>
      <c r="B5971" s="68" t="n">
        <v>46381</v>
      </c>
      <c r="C5971" s="69" t="n">
        <v>2026</v>
      </c>
      <c r="D5971" t="inlineStr">
        <is>
          <t>Dec</t>
        </is>
      </c>
      <c r="E5971" t="inlineStr">
        <is>
          <t>United States</t>
        </is>
      </c>
      <c r="F5971" t="inlineStr">
        <is>
          <t>USA</t>
        </is>
      </c>
      <c r="G5971" t="inlineStr">
        <is>
          <t>Prevnar 20</t>
        </is>
      </c>
      <c r="H5971" t="inlineStr">
        <is>
          <t>Retail pharmacy</t>
        </is>
      </c>
      <c r="I5971" t="inlineStr">
        <is>
          <t>Private insurer</t>
        </is>
      </c>
      <c r="J5971" t="inlineStr">
        <is>
          <t>Ruhi Shaikh</t>
        </is>
      </c>
      <c r="K5971" s="70" t="n">
        <v>509</v>
      </c>
      <c r="L5971" s="71" t="n">
        <v>373.63</v>
      </c>
      <c r="M5971" s="71" t="n">
        <v>190177.67</v>
      </c>
      <c r="N5971" s="71" t="n">
        <v>28526.65</v>
      </c>
      <c r="O5971" s="71" t="n">
        <v>161651.02</v>
      </c>
      <c r="P5971" s="71" t="n">
        <v>35575.98</v>
      </c>
      <c r="Q5971" s="71" t="n">
        <v>126075.04</v>
      </c>
      <c r="R5971" t="inlineStr">
        <is>
          <t>Vaccines</t>
        </is>
      </c>
      <c r="S5971" s="70" t="n">
        <v>389</v>
      </c>
      <c r="T5971" s="71" t="n">
        <v>27039.75</v>
      </c>
      <c r="U5971" t="inlineStr">
        <is>
          <t>Low</t>
        </is>
      </c>
      <c r="V5971">
        <f>IF(AND(OR(Dashboard!$C$6="All",E5971=Dashboard!$C$6),OR(Dashboard!$F$6="All",G5971=Dashboard!$F$6),OR(Dashboard!$I$6="All",H5971=Dashboard!$I$6)),1,0)</f>
        <v/>
      </c>
    </row>
    <row r="5972">
      <c r="A5972" t="inlineStr">
        <is>
          <t>PF105963</t>
        </is>
      </c>
      <c r="B5972" s="68" t="n">
        <v>46381</v>
      </c>
      <c r="C5972" s="69" t="n">
        <v>2026</v>
      </c>
      <c r="D5972" t="inlineStr">
        <is>
          <t>Dec</t>
        </is>
      </c>
      <c r="E5972" t="inlineStr">
        <is>
          <t>United States</t>
        </is>
      </c>
      <c r="F5972" t="inlineStr">
        <is>
          <t>USA</t>
        </is>
      </c>
      <c r="G5972" t="inlineStr">
        <is>
          <t>Comirnaty</t>
        </is>
      </c>
      <c r="H5972" t="inlineStr">
        <is>
          <t>Retail pharmacy</t>
        </is>
      </c>
      <c r="I5972" t="inlineStr">
        <is>
          <t>Private insurer</t>
        </is>
      </c>
      <c r="J5972" t="inlineStr">
        <is>
          <t>Amir Khan</t>
        </is>
      </c>
      <c r="K5972" s="70" t="n">
        <v>1623</v>
      </c>
      <c r="L5972" s="71" t="n">
        <v>155.62</v>
      </c>
      <c r="M5972" s="71" t="n">
        <v>252571.26</v>
      </c>
      <c r="N5972" s="71" t="n">
        <v>63142.82</v>
      </c>
      <c r="O5972" s="71" t="n">
        <v>189428.44</v>
      </c>
      <c r="P5972" s="71" t="n">
        <v>64630.97</v>
      </c>
      <c r="Q5972" s="71" t="n">
        <v>124797.47</v>
      </c>
      <c r="R5972" t="inlineStr">
        <is>
          <t>Vaccines</t>
        </is>
      </c>
      <c r="S5972" s="70" t="n">
        <v>1488</v>
      </c>
      <c r="T5972" s="71" t="n">
        <v>66656.63</v>
      </c>
      <c r="U5972" t="inlineStr">
        <is>
          <t>Low</t>
        </is>
      </c>
      <c r="V5972">
        <f>IF(AND(OR(Dashboard!$C$6="All",E5972=Dashboard!$C$6),OR(Dashboard!$F$6="All",G5972=Dashboard!$F$6),OR(Dashboard!$I$6="All",H5972=Dashboard!$I$6)),1,0)</f>
        <v/>
      </c>
    </row>
    <row r="5973">
      <c r="A5973" t="inlineStr">
        <is>
          <t>PF105964</t>
        </is>
      </c>
      <c r="B5973" s="68" t="n">
        <v>46381</v>
      </c>
      <c r="C5973" s="69" t="n">
        <v>2026</v>
      </c>
      <c r="D5973" t="inlineStr">
        <is>
          <t>Dec</t>
        </is>
      </c>
      <c r="E5973" t="inlineStr">
        <is>
          <t>Emerging markets</t>
        </is>
      </c>
      <c r="F5973" t="inlineStr">
        <is>
          <t>India</t>
        </is>
      </c>
      <c r="G5973" t="inlineStr">
        <is>
          <t>Eliquis</t>
        </is>
      </c>
      <c r="H5973" t="inlineStr">
        <is>
          <t>Hospital</t>
        </is>
      </c>
      <c r="I5973" t="inlineStr">
        <is>
          <t>Self-pay</t>
        </is>
      </c>
      <c r="J5973" t="inlineStr">
        <is>
          <t>Mei Lin</t>
        </is>
      </c>
      <c r="K5973" s="70" t="n">
        <v>2511</v>
      </c>
      <c r="L5973" s="71" t="n">
        <v>398.26</v>
      </c>
      <c r="M5973" s="71" t="n">
        <v>1000030.86</v>
      </c>
      <c r="N5973" s="71" t="n">
        <v>200006.17</v>
      </c>
      <c r="O5973" s="71" t="n">
        <v>800024.6899999999</v>
      </c>
      <c r="P5973" s="71" t="n">
        <v>187306.94</v>
      </c>
      <c r="Q5973" s="71" t="n">
        <v>612717.75</v>
      </c>
      <c r="R5973" t="inlineStr">
        <is>
          <t>Cardiology</t>
        </is>
      </c>
      <c r="S5973" s="70" t="n">
        <v>1668</v>
      </c>
      <c r="T5973" s="71" t="n">
        <v>122883.69</v>
      </c>
      <c r="U5973" t="inlineStr">
        <is>
          <t>High</t>
        </is>
      </c>
      <c r="V5973">
        <f>IF(AND(OR(Dashboard!$C$6="All",E5973=Dashboard!$C$6),OR(Dashboard!$F$6="All",G5973=Dashboard!$F$6),OR(Dashboard!$I$6="All",H5973=Dashboard!$I$6)),1,0)</f>
        <v/>
      </c>
    </row>
    <row r="5974">
      <c r="A5974" t="inlineStr">
        <is>
          <t>PF105965</t>
        </is>
      </c>
      <c r="B5974" s="68" t="n">
        <v>46381</v>
      </c>
      <c r="C5974" s="69" t="n">
        <v>2026</v>
      </c>
      <c r="D5974" t="inlineStr">
        <is>
          <t>Dec</t>
        </is>
      </c>
      <c r="E5974" t="inlineStr">
        <is>
          <t>United States</t>
        </is>
      </c>
      <c r="F5974" t="inlineStr">
        <is>
          <t>USA</t>
        </is>
      </c>
      <c r="G5974" t="inlineStr">
        <is>
          <t>Abrysvo</t>
        </is>
      </c>
      <c r="H5974" t="inlineStr">
        <is>
          <t>Government / tender</t>
        </is>
      </c>
      <c r="I5974" t="inlineStr">
        <is>
          <t>Private insurer</t>
        </is>
      </c>
      <c r="J5974" t="inlineStr">
        <is>
          <t>Carlos Silva</t>
        </is>
      </c>
      <c r="K5974" s="70" t="n">
        <v>1648</v>
      </c>
      <c r="L5974" s="71" t="n">
        <v>479.08</v>
      </c>
      <c r="M5974" s="71" t="n">
        <v>789523.84</v>
      </c>
      <c r="N5974" s="71" t="n">
        <v>118428.58</v>
      </c>
      <c r="O5974" s="71" t="n">
        <v>671095.26</v>
      </c>
      <c r="P5974" s="71" t="n">
        <v>137254.6</v>
      </c>
      <c r="Q5974" s="71" t="n">
        <v>533840.66</v>
      </c>
      <c r="R5974" t="inlineStr">
        <is>
          <t>Vaccines</t>
        </is>
      </c>
      <c r="S5974" s="70" t="n">
        <v>1563</v>
      </c>
      <c r="T5974" s="71" t="n">
        <v>113695.57</v>
      </c>
      <c r="U5974" t="inlineStr">
        <is>
          <t>Low</t>
        </is>
      </c>
      <c r="V5974">
        <f>IF(AND(OR(Dashboard!$C$6="All",E5974=Dashboard!$C$6),OR(Dashboard!$F$6="All",G5974=Dashboard!$F$6),OR(Dashboard!$I$6="All",H5974=Dashboard!$I$6)),1,0)</f>
        <v/>
      </c>
    </row>
    <row r="5975">
      <c r="A5975" t="inlineStr">
        <is>
          <t>PF105966</t>
        </is>
      </c>
      <c r="B5975" s="68" t="n">
        <v>46381</v>
      </c>
      <c r="C5975" s="69" t="n">
        <v>2026</v>
      </c>
      <c r="D5975" t="inlineStr">
        <is>
          <t>Dec</t>
        </is>
      </c>
      <c r="E5975" t="inlineStr">
        <is>
          <t>Emerging markets</t>
        </is>
      </c>
      <c r="F5975" t="inlineStr">
        <is>
          <t>China</t>
        </is>
      </c>
      <c r="G5975" t="inlineStr">
        <is>
          <t>Eliquis</t>
        </is>
      </c>
      <c r="H5975" t="inlineStr">
        <is>
          <t>Government / tender</t>
        </is>
      </c>
      <c r="I5975" t="inlineStr">
        <is>
          <t>Public payer</t>
        </is>
      </c>
      <c r="J5975" t="inlineStr">
        <is>
          <t>Aisha Bello</t>
        </is>
      </c>
      <c r="K5975" s="70" t="n">
        <v>1085</v>
      </c>
      <c r="L5975" s="71" t="n">
        <v>420.82</v>
      </c>
      <c r="M5975" s="71" t="n">
        <v>456589.7</v>
      </c>
      <c r="N5975" s="71" t="n">
        <v>114147.43</v>
      </c>
      <c r="O5975" s="71" t="n">
        <v>342442.27</v>
      </c>
      <c r="P5975" s="71" t="n">
        <v>83934.06</v>
      </c>
      <c r="Q5975" s="71" t="n">
        <v>258508.21</v>
      </c>
      <c r="R5975" t="inlineStr">
        <is>
          <t>Cardiology</t>
        </is>
      </c>
      <c r="S5975" s="70" t="n">
        <v>932</v>
      </c>
      <c r="T5975" s="71" t="n">
        <v>84374.53</v>
      </c>
      <c r="U5975" t="inlineStr">
        <is>
          <t>High</t>
        </is>
      </c>
      <c r="V5975">
        <f>IF(AND(OR(Dashboard!$C$6="All",E5975=Dashboard!$C$6),OR(Dashboard!$F$6="All",G5975=Dashboard!$F$6),OR(Dashboard!$I$6="All",H5975=Dashboard!$I$6)),1,0)</f>
        <v/>
      </c>
    </row>
    <row r="5976">
      <c r="A5976" t="inlineStr">
        <is>
          <t>PF105967</t>
        </is>
      </c>
      <c r="B5976" s="68" t="n">
        <v>46382</v>
      </c>
      <c r="C5976" s="69" t="n">
        <v>2026</v>
      </c>
      <c r="D5976" t="inlineStr">
        <is>
          <t>Dec</t>
        </is>
      </c>
      <c r="E5976" t="inlineStr">
        <is>
          <t>Europe</t>
        </is>
      </c>
      <c r="F5976" t="inlineStr">
        <is>
          <t>France</t>
        </is>
      </c>
      <c r="G5976" t="inlineStr">
        <is>
          <t>Eliquis</t>
        </is>
      </c>
      <c r="H5976" t="inlineStr">
        <is>
          <t>Retail pharmacy</t>
        </is>
      </c>
      <c r="I5976" t="inlineStr">
        <is>
          <t>Private insurer</t>
        </is>
      </c>
      <c r="J5976" t="inlineStr">
        <is>
          <t>Olivia Brown</t>
        </is>
      </c>
      <c r="K5976" s="70" t="n">
        <v>2105</v>
      </c>
      <c r="L5976" s="71" t="n">
        <v>471.55</v>
      </c>
      <c r="M5976" s="71" t="n">
        <v>992612.75</v>
      </c>
      <c r="N5976" s="71" t="n">
        <v>248153.19</v>
      </c>
      <c r="O5976" s="71" t="n">
        <v>744459.5600000001</v>
      </c>
      <c r="P5976" s="71" t="n">
        <v>156184.79</v>
      </c>
      <c r="Q5976" s="71" t="n">
        <v>588274.77</v>
      </c>
      <c r="R5976" t="inlineStr">
        <is>
          <t>Cardiology</t>
        </is>
      </c>
      <c r="S5976" s="70" t="n">
        <v>1855</v>
      </c>
      <c r="T5976" s="71" t="n">
        <v>203714.89</v>
      </c>
      <c r="U5976" t="inlineStr">
        <is>
          <t>High</t>
        </is>
      </c>
      <c r="V5976">
        <f>IF(AND(OR(Dashboard!$C$6="All",E5976=Dashboard!$C$6),OR(Dashboard!$F$6="All",G5976=Dashboard!$F$6),OR(Dashboard!$I$6="All",H5976=Dashboard!$I$6)),1,0)</f>
        <v/>
      </c>
    </row>
    <row r="5977">
      <c r="A5977" t="inlineStr">
        <is>
          <t>PF105968</t>
        </is>
      </c>
      <c r="B5977" s="68" t="n">
        <v>46382</v>
      </c>
      <c r="C5977" s="69" t="n">
        <v>2026</v>
      </c>
      <c r="D5977" t="inlineStr">
        <is>
          <t>Dec</t>
        </is>
      </c>
      <c r="E5977" t="inlineStr">
        <is>
          <t>United States</t>
        </is>
      </c>
      <c r="F5977" t="inlineStr">
        <is>
          <t>USA</t>
        </is>
      </c>
      <c r="G5977" t="inlineStr">
        <is>
          <t>Abrysvo</t>
        </is>
      </c>
      <c r="H5977" t="inlineStr">
        <is>
          <t>Government / tender</t>
        </is>
      </c>
      <c r="I5977" t="inlineStr">
        <is>
          <t>Private insurer</t>
        </is>
      </c>
      <c r="J5977" t="inlineStr">
        <is>
          <t>Omar Haddad</t>
        </is>
      </c>
      <c r="K5977" s="70" t="n">
        <v>970</v>
      </c>
      <c r="L5977" s="71" t="n">
        <v>520.16</v>
      </c>
      <c r="M5977" s="71" t="n">
        <v>504555.2</v>
      </c>
      <c r="N5977" s="71" t="n">
        <v>176594.32</v>
      </c>
      <c r="O5977" s="71" t="n">
        <v>327960.88</v>
      </c>
      <c r="P5977" s="71" t="n">
        <v>78278.58</v>
      </c>
      <c r="Q5977" s="71" t="n">
        <v>249682.3</v>
      </c>
      <c r="R5977" t="inlineStr">
        <is>
          <t>Vaccines</t>
        </is>
      </c>
      <c r="S5977" s="70" t="n">
        <v>735</v>
      </c>
      <c r="T5977" s="71" t="n">
        <v>77650.75999999999</v>
      </c>
      <c r="U5977" t="inlineStr">
        <is>
          <t>Low</t>
        </is>
      </c>
      <c r="V5977">
        <f>IF(AND(OR(Dashboard!$C$6="All",E5977=Dashboard!$C$6),OR(Dashboard!$F$6="All",G5977=Dashboard!$F$6),OR(Dashboard!$I$6="All",H5977=Dashboard!$I$6)),1,0)</f>
        <v/>
      </c>
    </row>
    <row r="5978">
      <c r="A5978" t="inlineStr">
        <is>
          <t>PF105969</t>
        </is>
      </c>
      <c r="B5978" s="68" t="n">
        <v>46382</v>
      </c>
      <c r="C5978" s="69" t="n">
        <v>2026</v>
      </c>
      <c r="D5978" t="inlineStr">
        <is>
          <t>Dec</t>
        </is>
      </c>
      <c r="E5978" t="inlineStr">
        <is>
          <t>United States</t>
        </is>
      </c>
      <c r="F5978" t="inlineStr">
        <is>
          <t>USA</t>
        </is>
      </c>
      <c r="G5978" t="inlineStr">
        <is>
          <t>Comirnaty</t>
        </is>
      </c>
      <c r="H5978" t="inlineStr">
        <is>
          <t>Hospital</t>
        </is>
      </c>
      <c r="I5978" t="inlineStr">
        <is>
          <t>Private insurer</t>
        </is>
      </c>
      <c r="J5978" t="inlineStr">
        <is>
          <t>Yuki Sato</t>
        </is>
      </c>
      <c r="K5978" s="70" t="n">
        <v>684</v>
      </c>
      <c r="L5978" s="71" t="n">
        <v>144.69</v>
      </c>
      <c r="M5978" s="71" t="n">
        <v>98967.96000000001</v>
      </c>
      <c r="N5978" s="71" t="n">
        <v>34638.79</v>
      </c>
      <c r="O5978" s="71" t="n">
        <v>64329.17</v>
      </c>
      <c r="P5978" s="71" t="n">
        <v>26020.49</v>
      </c>
      <c r="Q5978" s="71" t="n">
        <v>38308.68</v>
      </c>
      <c r="R5978" t="inlineStr">
        <is>
          <t>Vaccines</t>
        </is>
      </c>
      <c r="S5978" s="70" t="n">
        <v>548</v>
      </c>
      <c r="T5978" s="71" t="n">
        <v>16420.37</v>
      </c>
      <c r="U5978" t="inlineStr">
        <is>
          <t>Low</t>
        </is>
      </c>
      <c r="V5978">
        <f>IF(AND(OR(Dashboard!$C$6="All",E5978=Dashboard!$C$6),OR(Dashboard!$F$6="All",G5978=Dashboard!$F$6),OR(Dashboard!$I$6="All",H5978=Dashboard!$I$6)),1,0)</f>
        <v/>
      </c>
    </row>
    <row r="5979">
      <c r="A5979" t="inlineStr">
        <is>
          <t>PF105970</t>
        </is>
      </c>
      <c r="B5979" s="68" t="n">
        <v>46382</v>
      </c>
      <c r="C5979" s="69" t="n">
        <v>2026</v>
      </c>
      <c r="D5979" t="inlineStr">
        <is>
          <t>Dec</t>
        </is>
      </c>
      <c r="E5979" t="inlineStr">
        <is>
          <t>United States</t>
        </is>
      </c>
      <c r="F5979" t="inlineStr">
        <is>
          <t>USA</t>
        </is>
      </c>
      <c r="G5979" t="inlineStr">
        <is>
          <t>Vyndaqel</t>
        </is>
      </c>
      <c r="H5979" t="inlineStr">
        <is>
          <t>Retail pharmacy</t>
        </is>
      </c>
      <c r="I5979" t="inlineStr">
        <is>
          <t>Private insurer</t>
        </is>
      </c>
      <c r="J5979" t="inlineStr">
        <is>
          <t>Ruhi Shaikh</t>
        </is>
      </c>
      <c r="K5979" s="70" t="n">
        <v>3075</v>
      </c>
      <c r="L5979" s="71" t="n">
        <v>8321.370000000001</v>
      </c>
      <c r="M5979" s="71" t="n">
        <v>25588212.75</v>
      </c>
      <c r="N5979" s="71" t="n">
        <v>7676463.83</v>
      </c>
      <c r="O5979" s="71" t="n">
        <v>17911748.92</v>
      </c>
      <c r="P5979" s="71" t="n">
        <v>1990253.14</v>
      </c>
      <c r="Q5979" s="71" t="n">
        <v>15921495.78</v>
      </c>
      <c r="R5979" t="inlineStr">
        <is>
          <t>Rare disease</t>
        </is>
      </c>
      <c r="S5979" s="70" t="n">
        <v>2220</v>
      </c>
      <c r="T5979" s="71" t="n">
        <v>3727461.62</v>
      </c>
      <c r="U5979" t="inlineStr">
        <is>
          <t>Medium</t>
        </is>
      </c>
      <c r="V5979">
        <f>IF(AND(OR(Dashboard!$C$6="All",E5979=Dashboard!$C$6),OR(Dashboard!$F$6="All",G5979=Dashboard!$F$6),OR(Dashboard!$I$6="All",H5979=Dashboard!$I$6)),1,0)</f>
        <v/>
      </c>
    </row>
    <row r="5980">
      <c r="A5980" t="inlineStr">
        <is>
          <t>PF105971</t>
        </is>
      </c>
      <c r="B5980" s="68" t="n">
        <v>46382</v>
      </c>
      <c r="C5980" s="69" t="n">
        <v>2026</v>
      </c>
      <c r="D5980" t="inlineStr">
        <is>
          <t>Dec</t>
        </is>
      </c>
      <c r="E5980" t="inlineStr">
        <is>
          <t>Europe</t>
        </is>
      </c>
      <c r="F5980" t="inlineStr">
        <is>
          <t>Italy</t>
        </is>
      </c>
      <c r="G5980" t="inlineStr">
        <is>
          <t>Ibrance</t>
        </is>
      </c>
      <c r="H5980" t="inlineStr">
        <is>
          <t>Government / tender</t>
        </is>
      </c>
      <c r="I5980" t="inlineStr">
        <is>
          <t>Self-pay</t>
        </is>
      </c>
      <c r="J5980" t="inlineStr">
        <is>
          <t>Zoya Ahmed</t>
        </is>
      </c>
      <c r="K5980" s="70" t="n">
        <v>3035</v>
      </c>
      <c r="L5980" s="71" t="n">
        <v>2945.64</v>
      </c>
      <c r="M5980" s="71" t="n">
        <v>8940017.4</v>
      </c>
      <c r="N5980" s="71" t="n">
        <v>1788003.48</v>
      </c>
      <c r="O5980" s="71" t="n">
        <v>7152013.92</v>
      </c>
      <c r="P5980" s="71" t="n">
        <v>1333650.85</v>
      </c>
      <c r="Q5980" s="71" t="n">
        <v>5818363.07</v>
      </c>
      <c r="R5980" t="inlineStr">
        <is>
          <t>Oncology</t>
        </is>
      </c>
      <c r="S5980" s="70" t="n">
        <v>2259</v>
      </c>
      <c r="T5980" s="71" t="n">
        <v>1606676.64</v>
      </c>
      <c r="U5980" t="inlineStr">
        <is>
          <t>High</t>
        </is>
      </c>
      <c r="V5980">
        <f>IF(AND(OR(Dashboard!$C$6="All",E5980=Dashboard!$C$6),OR(Dashboard!$F$6="All",G5980=Dashboard!$F$6),OR(Dashboard!$I$6="All",H5980=Dashboard!$I$6)),1,0)</f>
        <v/>
      </c>
    </row>
    <row r="5981">
      <c r="A5981" t="inlineStr">
        <is>
          <t>PF105972</t>
        </is>
      </c>
      <c r="B5981" s="68" t="n">
        <v>46382</v>
      </c>
      <c r="C5981" s="69" t="n">
        <v>2026</v>
      </c>
      <c r="D5981" t="inlineStr">
        <is>
          <t>Dec</t>
        </is>
      </c>
      <c r="E5981" t="inlineStr">
        <is>
          <t>United States</t>
        </is>
      </c>
      <c r="F5981" t="inlineStr">
        <is>
          <t>USA</t>
        </is>
      </c>
      <c r="G5981" t="inlineStr">
        <is>
          <t>Paxlovid</t>
        </is>
      </c>
      <c r="H5981" t="inlineStr">
        <is>
          <t>Retail pharmacy</t>
        </is>
      </c>
      <c r="I5981" t="inlineStr">
        <is>
          <t>Private insurer</t>
        </is>
      </c>
      <c r="J5981" t="inlineStr">
        <is>
          <t>Olivia Brown</t>
        </is>
      </c>
      <c r="K5981" s="70" t="n">
        <v>551</v>
      </c>
      <c r="L5981" s="71" t="n">
        <v>1469.58</v>
      </c>
      <c r="M5981" s="71" t="n">
        <v>809738.58</v>
      </c>
      <c r="N5981" s="71" t="n">
        <v>242921.57</v>
      </c>
      <c r="O5981" s="71" t="n">
        <v>566817.01</v>
      </c>
      <c r="P5981" s="71" t="n">
        <v>156819</v>
      </c>
      <c r="Q5981" s="71" t="n">
        <v>409998.01</v>
      </c>
      <c r="R5981" t="inlineStr">
        <is>
          <t>Antiviral</t>
        </is>
      </c>
      <c r="S5981" s="70" t="n">
        <v>463</v>
      </c>
      <c r="T5981" s="71" t="n">
        <v>169681.45</v>
      </c>
      <c r="U5981" t="inlineStr">
        <is>
          <t>Low</t>
        </is>
      </c>
      <c r="V5981">
        <f>IF(AND(OR(Dashboard!$C$6="All",E5981=Dashboard!$C$6),OR(Dashboard!$F$6="All",G5981=Dashboard!$F$6),OR(Dashboard!$I$6="All",H5981=Dashboard!$I$6)),1,0)</f>
        <v/>
      </c>
    </row>
    <row r="5982">
      <c r="A5982" t="inlineStr">
        <is>
          <t>PF105973</t>
        </is>
      </c>
      <c r="B5982" s="68" t="n">
        <v>46382</v>
      </c>
      <c r="C5982" s="69" t="n">
        <v>2026</v>
      </c>
      <c r="D5982" t="inlineStr">
        <is>
          <t>Dec</t>
        </is>
      </c>
      <c r="E5982" t="inlineStr">
        <is>
          <t>United States</t>
        </is>
      </c>
      <c r="F5982" t="inlineStr">
        <is>
          <t>USA</t>
        </is>
      </c>
      <c r="G5982" t="inlineStr">
        <is>
          <t>Abrysvo</t>
        </is>
      </c>
      <c r="H5982" t="inlineStr">
        <is>
          <t>Retail pharmacy</t>
        </is>
      </c>
      <c r="I5982" t="inlineStr">
        <is>
          <t>Private insurer</t>
        </is>
      </c>
      <c r="J5982" t="inlineStr">
        <is>
          <t>Shraddha Kulkarni</t>
        </is>
      </c>
      <c r="K5982" s="70" t="n">
        <v>2490</v>
      </c>
      <c r="L5982" s="71" t="n">
        <v>467.38</v>
      </c>
      <c r="M5982" s="71" t="n">
        <v>1163776.2</v>
      </c>
      <c r="N5982" s="71" t="n">
        <v>174566.43</v>
      </c>
      <c r="O5982" s="71" t="n">
        <v>989209.77</v>
      </c>
      <c r="P5982" s="71" t="n">
        <v>204192.36</v>
      </c>
      <c r="Q5982" s="71" t="n">
        <v>785017.41</v>
      </c>
      <c r="R5982" t="inlineStr">
        <is>
          <t>Vaccines</t>
        </is>
      </c>
      <c r="S5982" s="70" t="n">
        <v>1699</v>
      </c>
      <c r="T5982" s="71" t="n">
        <v>221327.19</v>
      </c>
      <c r="U5982" t="inlineStr">
        <is>
          <t>Low</t>
        </is>
      </c>
      <c r="V5982">
        <f>IF(AND(OR(Dashboard!$C$6="All",E5982=Dashboard!$C$6),OR(Dashboard!$F$6="All",G5982=Dashboard!$F$6),OR(Dashboard!$I$6="All",H5982=Dashboard!$I$6)),1,0)</f>
        <v/>
      </c>
    </row>
    <row r="5983">
      <c r="A5983" t="inlineStr">
        <is>
          <t>PF105974</t>
        </is>
      </c>
      <c r="B5983" s="68" t="n">
        <v>46382</v>
      </c>
      <c r="C5983" s="69" t="n">
        <v>2026</v>
      </c>
      <c r="D5983" t="inlineStr">
        <is>
          <t>Dec</t>
        </is>
      </c>
      <c r="E5983" t="inlineStr">
        <is>
          <t>International developed</t>
        </is>
      </c>
      <c r="F5983" t="inlineStr">
        <is>
          <t>Australia</t>
        </is>
      </c>
      <c r="G5983" t="inlineStr">
        <is>
          <t>Eliquis</t>
        </is>
      </c>
      <c r="H5983" t="inlineStr">
        <is>
          <t>Retail pharmacy</t>
        </is>
      </c>
      <c r="I5983" t="inlineStr">
        <is>
          <t>Private insurer</t>
        </is>
      </c>
      <c r="J5983" t="inlineStr">
        <is>
          <t>Sara Rossi</t>
        </is>
      </c>
      <c r="K5983" s="70" t="n">
        <v>288</v>
      </c>
      <c r="L5983" s="71" t="n">
        <v>430.09</v>
      </c>
      <c r="M5983" s="71" t="n">
        <v>123865.92</v>
      </c>
      <c r="N5983" s="71" t="n">
        <v>6193.3</v>
      </c>
      <c r="O5983" s="71" t="n">
        <v>117672.62</v>
      </c>
      <c r="P5983" s="71" t="n">
        <v>22095.33</v>
      </c>
      <c r="Q5983" s="71" t="n">
        <v>95577.28999999999</v>
      </c>
      <c r="R5983" t="inlineStr">
        <is>
          <t>Cardiology</t>
        </is>
      </c>
      <c r="S5983" s="70" t="n">
        <v>283</v>
      </c>
      <c r="T5983" s="71" t="n">
        <v>18026.43</v>
      </c>
      <c r="U5983" t="inlineStr">
        <is>
          <t>High</t>
        </is>
      </c>
      <c r="V5983">
        <f>IF(AND(OR(Dashboard!$C$6="All",E5983=Dashboard!$C$6),OR(Dashboard!$F$6="All",G5983=Dashboard!$F$6),OR(Dashboard!$I$6="All",H5983=Dashboard!$I$6)),1,0)</f>
        <v/>
      </c>
    </row>
    <row r="5984">
      <c r="A5984" t="inlineStr">
        <is>
          <t>PF105975</t>
        </is>
      </c>
      <c r="B5984" s="68" t="n">
        <v>46382</v>
      </c>
      <c r="C5984" s="69" t="n">
        <v>2026</v>
      </c>
      <c r="D5984" t="inlineStr">
        <is>
          <t>Dec</t>
        </is>
      </c>
      <c r="E5984" t="inlineStr">
        <is>
          <t>Europe</t>
        </is>
      </c>
      <c r="F5984" t="inlineStr">
        <is>
          <t>France</t>
        </is>
      </c>
      <c r="G5984" t="inlineStr">
        <is>
          <t>Eliquis</t>
        </is>
      </c>
      <c r="H5984" t="inlineStr">
        <is>
          <t>Hospital</t>
        </is>
      </c>
      <c r="I5984" t="inlineStr">
        <is>
          <t>Public payer</t>
        </is>
      </c>
      <c r="J5984" t="inlineStr">
        <is>
          <t>Omar Haddad</t>
        </is>
      </c>
      <c r="K5984" s="70" t="n">
        <v>2062</v>
      </c>
      <c r="L5984" s="71" t="n">
        <v>393.62</v>
      </c>
      <c r="M5984" s="71" t="n">
        <v>811644.4399999999</v>
      </c>
      <c r="N5984" s="71" t="n">
        <v>121746.67</v>
      </c>
      <c r="O5984" s="71" t="n">
        <v>689897.77</v>
      </c>
      <c r="P5984" s="71" t="n">
        <v>161345.64</v>
      </c>
      <c r="Q5984" s="71" t="n">
        <v>528552.13</v>
      </c>
      <c r="R5984" t="inlineStr">
        <is>
          <t>Cardiology</t>
        </is>
      </c>
      <c r="S5984" s="70" t="n">
        <v>2033</v>
      </c>
      <c r="T5984" s="71" t="n">
        <v>155775.04</v>
      </c>
      <c r="U5984" t="inlineStr">
        <is>
          <t>High</t>
        </is>
      </c>
      <c r="V5984">
        <f>IF(AND(OR(Dashboard!$C$6="All",E5984=Dashboard!$C$6),OR(Dashboard!$F$6="All",G5984=Dashboard!$F$6),OR(Dashboard!$I$6="All",H5984=Dashboard!$I$6)),1,0)</f>
        <v/>
      </c>
    </row>
    <row r="5985">
      <c r="A5985" t="inlineStr">
        <is>
          <t>PF105976</t>
        </is>
      </c>
      <c r="B5985" s="68" t="n">
        <v>46382</v>
      </c>
      <c r="C5985" s="69" t="n">
        <v>2026</v>
      </c>
      <c r="D5985" t="inlineStr">
        <is>
          <t>Dec</t>
        </is>
      </c>
      <c r="E5985" t="inlineStr">
        <is>
          <t>Europe</t>
        </is>
      </c>
      <c r="F5985" t="inlineStr">
        <is>
          <t>Germany</t>
        </is>
      </c>
      <c r="G5985" t="inlineStr">
        <is>
          <t>Ibrance</t>
        </is>
      </c>
      <c r="H5985" t="inlineStr">
        <is>
          <t>Retail pharmacy</t>
        </is>
      </c>
      <c r="I5985" t="inlineStr">
        <is>
          <t>Public payer</t>
        </is>
      </c>
      <c r="J5985" t="inlineStr">
        <is>
          <t>Amir Khan</t>
        </is>
      </c>
      <c r="K5985" s="70" t="n">
        <v>1711</v>
      </c>
      <c r="L5985" s="71" t="n">
        <v>2646.16</v>
      </c>
      <c r="M5985" s="71" t="n">
        <v>4527579.76</v>
      </c>
      <c r="N5985" s="71" t="n">
        <v>452757.98</v>
      </c>
      <c r="O5985" s="71" t="n">
        <v>4074821.78</v>
      </c>
      <c r="P5985" s="71" t="n">
        <v>752264.1</v>
      </c>
      <c r="Q5985" s="71" t="n">
        <v>3322557.68</v>
      </c>
      <c r="R5985" t="inlineStr">
        <is>
          <t>Oncology</t>
        </is>
      </c>
      <c r="S5985" s="70" t="n">
        <v>1588</v>
      </c>
      <c r="T5985" s="71" t="n">
        <v>754545.63</v>
      </c>
      <c r="U5985" t="inlineStr">
        <is>
          <t>High</t>
        </is>
      </c>
      <c r="V5985">
        <f>IF(AND(OR(Dashboard!$C$6="All",E5985=Dashboard!$C$6),OR(Dashboard!$F$6="All",G5985=Dashboard!$F$6),OR(Dashboard!$I$6="All",H5985=Dashboard!$I$6)),1,0)</f>
        <v/>
      </c>
    </row>
    <row r="5986">
      <c r="A5986" t="inlineStr">
        <is>
          <t>PF105977</t>
        </is>
      </c>
      <c r="B5986" s="68" t="n">
        <v>46382</v>
      </c>
      <c r="C5986" s="69" t="n">
        <v>2026</v>
      </c>
      <c r="D5986" t="inlineStr">
        <is>
          <t>Dec</t>
        </is>
      </c>
      <c r="E5986" t="inlineStr">
        <is>
          <t>Europe</t>
        </is>
      </c>
      <c r="F5986" t="inlineStr">
        <is>
          <t>Germany</t>
        </is>
      </c>
      <c r="G5986" t="inlineStr">
        <is>
          <t>Eliquis</t>
        </is>
      </c>
      <c r="H5986" t="inlineStr">
        <is>
          <t>Retail pharmacy</t>
        </is>
      </c>
      <c r="I5986" t="inlineStr">
        <is>
          <t>Self-pay</t>
        </is>
      </c>
      <c r="J5986" t="inlineStr">
        <is>
          <t>Liam O'Brien</t>
        </is>
      </c>
      <c r="K5986" s="70" t="n">
        <v>418</v>
      </c>
      <c r="L5986" s="71" t="n">
        <v>470.11</v>
      </c>
      <c r="M5986" s="71" t="n">
        <v>196505.98</v>
      </c>
      <c r="N5986" s="71" t="n">
        <v>19650.6</v>
      </c>
      <c r="O5986" s="71" t="n">
        <v>176855.38</v>
      </c>
      <c r="P5986" s="71" t="n">
        <v>32054.35</v>
      </c>
      <c r="Q5986" s="71" t="n">
        <v>144801.03</v>
      </c>
      <c r="R5986" t="inlineStr">
        <is>
          <t>Cardiology</t>
        </is>
      </c>
      <c r="S5986" s="70" t="n">
        <v>276</v>
      </c>
      <c r="T5986" s="71" t="n">
        <v>40518.5</v>
      </c>
      <c r="U5986" t="inlineStr">
        <is>
          <t>High</t>
        </is>
      </c>
      <c r="V5986">
        <f>IF(AND(OR(Dashboard!$C$6="All",E5986=Dashboard!$C$6),OR(Dashboard!$F$6="All",G5986=Dashboard!$F$6),OR(Dashboard!$I$6="All",H5986=Dashboard!$I$6)),1,0)</f>
        <v/>
      </c>
    </row>
    <row r="5987">
      <c r="A5987" t="inlineStr">
        <is>
          <t>PF105978</t>
        </is>
      </c>
      <c r="B5987" s="68" t="n">
        <v>46382</v>
      </c>
      <c r="C5987" s="69" t="n">
        <v>2026</v>
      </c>
      <c r="D5987" t="inlineStr">
        <is>
          <t>Dec</t>
        </is>
      </c>
      <c r="E5987" t="inlineStr">
        <is>
          <t>Emerging markets</t>
        </is>
      </c>
      <c r="F5987" t="inlineStr">
        <is>
          <t>India</t>
        </is>
      </c>
      <c r="G5987" t="inlineStr">
        <is>
          <t>Eliquis</t>
        </is>
      </c>
      <c r="H5987" t="inlineStr">
        <is>
          <t>Retail pharmacy</t>
        </is>
      </c>
      <c r="I5987" t="inlineStr">
        <is>
          <t>Private insurer</t>
        </is>
      </c>
      <c r="J5987" t="inlineStr">
        <is>
          <t>Olivia Brown</t>
        </is>
      </c>
      <c r="K5987" s="70" t="n">
        <v>1161</v>
      </c>
      <c r="L5987" s="71" t="n">
        <v>434.86</v>
      </c>
      <c r="M5987" s="71" t="n">
        <v>504872.46</v>
      </c>
      <c r="N5987" s="71" t="n">
        <v>126218.12</v>
      </c>
      <c r="O5987" s="71" t="n">
        <v>378654.34</v>
      </c>
      <c r="P5987" s="71" t="n">
        <v>91200.42999999999</v>
      </c>
      <c r="Q5987" s="71" t="n">
        <v>287453.91</v>
      </c>
      <c r="R5987" t="inlineStr">
        <is>
          <t>Cardiology</t>
        </is>
      </c>
      <c r="S5987" s="70" t="n">
        <v>746</v>
      </c>
      <c r="T5987" s="71" t="n">
        <v>75643.89999999999</v>
      </c>
      <c r="U5987" t="inlineStr">
        <is>
          <t>High</t>
        </is>
      </c>
      <c r="V5987">
        <f>IF(AND(OR(Dashboard!$C$6="All",E5987=Dashboard!$C$6),OR(Dashboard!$F$6="All",G5987=Dashboard!$F$6),OR(Dashboard!$I$6="All",H5987=Dashboard!$I$6)),1,0)</f>
        <v/>
      </c>
    </row>
    <row r="5988">
      <c r="A5988" t="inlineStr">
        <is>
          <t>PF105979</t>
        </is>
      </c>
      <c r="B5988" s="68" t="n">
        <v>46382</v>
      </c>
      <c r="C5988" s="69" t="n">
        <v>2026</v>
      </c>
      <c r="D5988" t="inlineStr">
        <is>
          <t>Dec</t>
        </is>
      </c>
      <c r="E5988" t="inlineStr">
        <is>
          <t>Europe</t>
        </is>
      </c>
      <c r="F5988" t="inlineStr">
        <is>
          <t>UK</t>
        </is>
      </c>
      <c r="G5988" t="inlineStr">
        <is>
          <t>Vyndaqel</t>
        </is>
      </c>
      <c r="H5988" t="inlineStr">
        <is>
          <t>Hospital</t>
        </is>
      </c>
      <c r="I5988" t="inlineStr">
        <is>
          <t>Public payer</t>
        </is>
      </c>
      <c r="J5988" t="inlineStr">
        <is>
          <t>Sophie Müller</t>
        </is>
      </c>
      <c r="K5988" s="70" t="n">
        <v>3653</v>
      </c>
      <c r="L5988" s="71" t="n">
        <v>5687.25</v>
      </c>
      <c r="M5988" s="71" t="n">
        <v>20775524.25</v>
      </c>
      <c r="N5988" s="71" t="n">
        <v>5193881.06</v>
      </c>
      <c r="O5988" s="71" t="n">
        <v>15581643.19</v>
      </c>
      <c r="P5988" s="71" t="n">
        <v>2339784.41</v>
      </c>
      <c r="Q5988" s="71" t="n">
        <v>13241858.78</v>
      </c>
      <c r="R5988" t="inlineStr">
        <is>
          <t>Rare disease</t>
        </is>
      </c>
      <c r="S5988" s="70" t="n">
        <v>2895</v>
      </c>
      <c r="T5988" s="71" t="n">
        <v>2389591.25</v>
      </c>
      <c r="U5988" t="inlineStr">
        <is>
          <t>Medium</t>
        </is>
      </c>
      <c r="V5988">
        <f>IF(AND(OR(Dashboard!$C$6="All",E5988=Dashboard!$C$6),OR(Dashboard!$F$6="All",G5988=Dashboard!$F$6),OR(Dashboard!$I$6="All",H5988=Dashboard!$I$6)),1,0)</f>
        <v/>
      </c>
    </row>
    <row r="5989">
      <c r="A5989" t="inlineStr">
        <is>
          <t>PF105980</t>
        </is>
      </c>
      <c r="B5989" s="68" t="n">
        <v>46382</v>
      </c>
      <c r="C5989" s="69" t="n">
        <v>2026</v>
      </c>
      <c r="D5989" t="inlineStr">
        <is>
          <t>Dec</t>
        </is>
      </c>
      <c r="E5989" t="inlineStr">
        <is>
          <t>Europe</t>
        </is>
      </c>
      <c r="F5989" t="inlineStr">
        <is>
          <t>UK</t>
        </is>
      </c>
      <c r="G5989" t="inlineStr">
        <is>
          <t>Eliquis</t>
        </is>
      </c>
      <c r="H5989" t="inlineStr">
        <is>
          <t>Retail pharmacy</t>
        </is>
      </c>
      <c r="I5989" t="inlineStr">
        <is>
          <t>Public payer</t>
        </is>
      </c>
      <c r="J5989" t="inlineStr">
        <is>
          <t>Ravindra Patil</t>
        </is>
      </c>
      <c r="K5989" s="70" t="n">
        <v>3051</v>
      </c>
      <c r="L5989" s="71" t="n">
        <v>445.94</v>
      </c>
      <c r="M5989" s="71" t="n">
        <v>1360562.94</v>
      </c>
      <c r="N5989" s="71" t="n">
        <v>68028.14999999999</v>
      </c>
      <c r="O5989" s="71" t="n">
        <v>1292534.79</v>
      </c>
      <c r="P5989" s="71" t="n">
        <v>221680.2</v>
      </c>
      <c r="Q5989" s="71" t="n">
        <v>1070854.59</v>
      </c>
      <c r="R5989" t="inlineStr">
        <is>
          <t>Cardiology</t>
        </is>
      </c>
      <c r="S5989" s="70" t="n">
        <v>2228</v>
      </c>
      <c r="T5989" s="71" t="n">
        <v>277867.49</v>
      </c>
      <c r="U5989" t="inlineStr">
        <is>
          <t>High</t>
        </is>
      </c>
      <c r="V5989">
        <f>IF(AND(OR(Dashboard!$C$6="All",E5989=Dashboard!$C$6),OR(Dashboard!$F$6="All",G5989=Dashboard!$F$6),OR(Dashboard!$I$6="All",H5989=Dashboard!$I$6)),1,0)</f>
        <v/>
      </c>
    </row>
    <row r="5990">
      <c r="A5990" t="inlineStr">
        <is>
          <t>PF105981</t>
        </is>
      </c>
      <c r="B5990" s="68" t="n">
        <v>46382</v>
      </c>
      <c r="C5990" s="69" t="n">
        <v>2026</v>
      </c>
      <c r="D5990" t="inlineStr">
        <is>
          <t>Dec</t>
        </is>
      </c>
      <c r="E5990" t="inlineStr">
        <is>
          <t>Emerging markets</t>
        </is>
      </c>
      <c r="F5990" t="inlineStr">
        <is>
          <t>Mexico</t>
        </is>
      </c>
      <c r="G5990" t="inlineStr">
        <is>
          <t>Eliquis</t>
        </is>
      </c>
      <c r="H5990" t="inlineStr">
        <is>
          <t>Hospital</t>
        </is>
      </c>
      <c r="I5990" t="inlineStr">
        <is>
          <t>Private insurer</t>
        </is>
      </c>
      <c r="J5990" t="inlineStr">
        <is>
          <t>Omar Haddad</t>
        </is>
      </c>
      <c r="K5990" s="70" t="n">
        <v>2145</v>
      </c>
      <c r="L5990" s="71" t="n">
        <v>397.85</v>
      </c>
      <c r="M5990" s="71" t="n">
        <v>853388.25</v>
      </c>
      <c r="N5990" s="71" t="n">
        <v>128008.24</v>
      </c>
      <c r="O5990" s="71" t="n">
        <v>725380.01</v>
      </c>
      <c r="P5990" s="71" t="n">
        <v>168170.36</v>
      </c>
      <c r="Q5990" s="71" t="n">
        <v>557209.65</v>
      </c>
      <c r="R5990" t="inlineStr">
        <is>
          <t>Cardiology</t>
        </is>
      </c>
      <c r="S5990" s="70" t="n">
        <v>1394</v>
      </c>
      <c r="T5990" s="71" t="n">
        <v>169781.86</v>
      </c>
      <c r="U5990" t="inlineStr">
        <is>
          <t>High</t>
        </is>
      </c>
      <c r="V5990">
        <f>IF(AND(OR(Dashboard!$C$6="All",E5990=Dashboard!$C$6),OR(Dashboard!$F$6="All",G5990=Dashboard!$F$6),OR(Dashboard!$I$6="All",H5990=Dashboard!$I$6)),1,0)</f>
        <v/>
      </c>
    </row>
    <row r="5991">
      <c r="A5991" t="inlineStr">
        <is>
          <t>PF105982</t>
        </is>
      </c>
      <c r="B5991" s="68" t="n">
        <v>46382</v>
      </c>
      <c r="C5991" s="69" t="n">
        <v>2026</v>
      </c>
      <c r="D5991" t="inlineStr">
        <is>
          <t>Dec</t>
        </is>
      </c>
      <c r="E5991" t="inlineStr">
        <is>
          <t>United States</t>
        </is>
      </c>
      <c r="F5991" t="inlineStr">
        <is>
          <t>USA</t>
        </is>
      </c>
      <c r="G5991" t="inlineStr">
        <is>
          <t>Ibrance</t>
        </is>
      </c>
      <c r="H5991" t="inlineStr">
        <is>
          <t>Hospital</t>
        </is>
      </c>
      <c r="I5991" t="inlineStr">
        <is>
          <t>Public payer</t>
        </is>
      </c>
      <c r="J5991" t="inlineStr">
        <is>
          <t>Sara Rossi</t>
        </is>
      </c>
      <c r="K5991" s="70" t="n">
        <v>1344</v>
      </c>
      <c r="L5991" s="71" t="n">
        <v>4974.16</v>
      </c>
      <c r="M5991" s="71" t="n">
        <v>6685271.04</v>
      </c>
      <c r="N5991" s="71" t="n">
        <v>2005581.31</v>
      </c>
      <c r="O5991" s="71" t="n">
        <v>4679689.73</v>
      </c>
      <c r="P5991" s="71" t="n">
        <v>596777.4</v>
      </c>
      <c r="Q5991" s="71" t="n">
        <v>4082912.33</v>
      </c>
      <c r="R5991" t="inlineStr">
        <is>
          <t>Oncology</t>
        </is>
      </c>
      <c r="S5991" s="70" t="n">
        <v>984</v>
      </c>
      <c r="T5991" s="71" t="n">
        <v>1173468.35</v>
      </c>
      <c r="U5991" t="inlineStr">
        <is>
          <t>High</t>
        </is>
      </c>
      <c r="V5991">
        <f>IF(AND(OR(Dashboard!$C$6="All",E5991=Dashboard!$C$6),OR(Dashboard!$F$6="All",G5991=Dashboard!$F$6),OR(Dashboard!$I$6="All",H5991=Dashboard!$I$6)),1,0)</f>
        <v/>
      </c>
    </row>
    <row r="5992">
      <c r="A5992" t="inlineStr">
        <is>
          <t>PF105983</t>
        </is>
      </c>
      <c r="B5992" s="68" t="n">
        <v>46382</v>
      </c>
      <c r="C5992" s="69" t="n">
        <v>2026</v>
      </c>
      <c r="D5992" t="inlineStr">
        <is>
          <t>Dec</t>
        </is>
      </c>
      <c r="E5992" t="inlineStr">
        <is>
          <t>United States</t>
        </is>
      </c>
      <c r="F5992" t="inlineStr">
        <is>
          <t>USA</t>
        </is>
      </c>
      <c r="G5992" t="inlineStr">
        <is>
          <t>Abrysvo</t>
        </is>
      </c>
      <c r="H5992" t="inlineStr">
        <is>
          <t>Hospital</t>
        </is>
      </c>
      <c r="I5992" t="inlineStr">
        <is>
          <t>Private insurer</t>
        </is>
      </c>
      <c r="J5992" t="inlineStr">
        <is>
          <t>Sophie Müller</t>
        </is>
      </c>
      <c r="K5992" s="70" t="n">
        <v>3268</v>
      </c>
      <c r="L5992" s="71" t="n">
        <v>504.72</v>
      </c>
      <c r="M5992" s="71" t="n">
        <v>1649424.96</v>
      </c>
      <c r="N5992" s="71" t="n">
        <v>412356.24</v>
      </c>
      <c r="O5992" s="71" t="n">
        <v>1237068.72</v>
      </c>
      <c r="P5992" s="71" t="n">
        <v>281310.21</v>
      </c>
      <c r="Q5992" s="71" t="n">
        <v>955758.51</v>
      </c>
      <c r="R5992" t="inlineStr">
        <is>
          <t>Vaccines</t>
        </is>
      </c>
      <c r="S5992" s="70" t="n">
        <v>2478</v>
      </c>
      <c r="T5992" s="71" t="n">
        <v>291039.81</v>
      </c>
      <c r="U5992" t="inlineStr">
        <is>
          <t>Low</t>
        </is>
      </c>
      <c r="V5992">
        <f>IF(AND(OR(Dashboard!$C$6="All",E5992=Dashboard!$C$6),OR(Dashboard!$F$6="All",G5992=Dashboard!$F$6),OR(Dashboard!$I$6="All",H5992=Dashboard!$I$6)),1,0)</f>
        <v/>
      </c>
    </row>
    <row r="5993">
      <c r="A5993" t="inlineStr">
        <is>
          <t>PF105984</t>
        </is>
      </c>
      <c r="B5993" s="68" t="n">
        <v>46383</v>
      </c>
      <c r="C5993" s="69" t="n">
        <v>2026</v>
      </c>
      <c r="D5993" t="inlineStr">
        <is>
          <t>Dec</t>
        </is>
      </c>
      <c r="E5993" t="inlineStr">
        <is>
          <t>United States</t>
        </is>
      </c>
      <c r="F5993" t="inlineStr">
        <is>
          <t>USA</t>
        </is>
      </c>
      <c r="G5993" t="inlineStr">
        <is>
          <t>Comirnaty</t>
        </is>
      </c>
      <c r="H5993" t="inlineStr">
        <is>
          <t>Government / tender</t>
        </is>
      </c>
      <c r="I5993" t="inlineStr">
        <is>
          <t>Public payer</t>
        </is>
      </c>
      <c r="J5993" t="inlineStr">
        <is>
          <t>Mei Lin</t>
        </is>
      </c>
      <c r="K5993" s="70" t="n">
        <v>378</v>
      </c>
      <c r="L5993" s="71" t="n">
        <v>150.94</v>
      </c>
      <c r="M5993" s="71" t="n">
        <v>57055.32</v>
      </c>
      <c r="N5993" s="71" t="n">
        <v>14263.83</v>
      </c>
      <c r="O5993" s="71" t="n">
        <v>42791.49</v>
      </c>
      <c r="P5993" s="71" t="n">
        <v>14259.29</v>
      </c>
      <c r="Q5993" s="71" t="n">
        <v>28532.2</v>
      </c>
      <c r="R5993" t="inlineStr">
        <is>
          <t>Vaccines</t>
        </is>
      </c>
      <c r="S5993" s="70" t="n">
        <v>273</v>
      </c>
      <c r="T5993" s="71" t="n">
        <v>14272.32</v>
      </c>
      <c r="U5993" t="inlineStr">
        <is>
          <t>Low</t>
        </is>
      </c>
      <c r="V5993">
        <f>IF(AND(OR(Dashboard!$C$6="All",E5993=Dashboard!$C$6),OR(Dashboard!$F$6="All",G5993=Dashboard!$F$6),OR(Dashboard!$I$6="All",H5993=Dashboard!$I$6)),1,0)</f>
        <v/>
      </c>
    </row>
    <row r="5994">
      <c r="A5994" t="inlineStr">
        <is>
          <t>PF105985</t>
        </is>
      </c>
      <c r="B5994" s="68" t="n">
        <v>46383</v>
      </c>
      <c r="C5994" s="69" t="n">
        <v>2026</v>
      </c>
      <c r="D5994" t="inlineStr">
        <is>
          <t>Dec</t>
        </is>
      </c>
      <c r="E5994" t="inlineStr">
        <is>
          <t>United States</t>
        </is>
      </c>
      <c r="F5994" t="inlineStr">
        <is>
          <t>USA</t>
        </is>
      </c>
      <c r="G5994" t="inlineStr">
        <is>
          <t>Paxlovid</t>
        </is>
      </c>
      <c r="H5994" t="inlineStr">
        <is>
          <t>Hospital</t>
        </is>
      </c>
      <c r="I5994" t="inlineStr">
        <is>
          <t>Self-pay</t>
        </is>
      </c>
      <c r="J5994" t="inlineStr">
        <is>
          <t>Yuki Sato</t>
        </is>
      </c>
      <c r="K5994" s="70" t="n">
        <v>1290</v>
      </c>
      <c r="L5994" s="71" t="n">
        <v>1334.55</v>
      </c>
      <c r="M5994" s="71" t="n">
        <v>1721569.5</v>
      </c>
      <c r="N5994" s="71" t="n">
        <v>516470.85</v>
      </c>
      <c r="O5994" s="71" t="n">
        <v>1205098.65</v>
      </c>
      <c r="P5994" s="71" t="n">
        <v>347957.17</v>
      </c>
      <c r="Q5994" s="71" t="n">
        <v>857141.48</v>
      </c>
      <c r="R5994" t="inlineStr">
        <is>
          <t>Antiviral</t>
        </is>
      </c>
      <c r="S5994" s="70" t="n">
        <v>871</v>
      </c>
      <c r="T5994" s="71" t="n">
        <v>293807.54</v>
      </c>
      <c r="U5994" t="inlineStr">
        <is>
          <t>Low</t>
        </is>
      </c>
      <c r="V5994">
        <f>IF(AND(OR(Dashboard!$C$6="All",E5994=Dashboard!$C$6),OR(Dashboard!$F$6="All",G5994=Dashboard!$F$6),OR(Dashboard!$I$6="All",H5994=Dashboard!$I$6)),1,0)</f>
        <v/>
      </c>
    </row>
    <row r="5995">
      <c r="A5995" t="inlineStr">
        <is>
          <t>PF105986</t>
        </is>
      </c>
      <c r="B5995" s="68" t="n">
        <v>46383</v>
      </c>
      <c r="C5995" s="69" t="n">
        <v>2026</v>
      </c>
      <c r="D5995" t="inlineStr">
        <is>
          <t>Dec</t>
        </is>
      </c>
      <c r="E5995" t="inlineStr">
        <is>
          <t>Europe</t>
        </is>
      </c>
      <c r="F5995" t="inlineStr">
        <is>
          <t>Germany</t>
        </is>
      </c>
      <c r="G5995" t="inlineStr">
        <is>
          <t>Ibrance</t>
        </is>
      </c>
      <c r="H5995" t="inlineStr">
        <is>
          <t>Hospital</t>
        </is>
      </c>
      <c r="I5995" t="inlineStr">
        <is>
          <t>Private insurer</t>
        </is>
      </c>
      <c r="J5995" t="inlineStr">
        <is>
          <t>Yuki Sato</t>
        </is>
      </c>
      <c r="K5995" s="70" t="n">
        <v>2511</v>
      </c>
      <c r="L5995" s="71" t="n">
        <v>2904.1</v>
      </c>
      <c r="M5995" s="71" t="n">
        <v>7292195.1</v>
      </c>
      <c r="N5995" s="71" t="n">
        <v>1458439.02</v>
      </c>
      <c r="O5995" s="71" t="n">
        <v>5833756.08</v>
      </c>
      <c r="P5995" s="71" t="n">
        <v>1109949.41</v>
      </c>
      <c r="Q5995" s="71" t="n">
        <v>4723806.67</v>
      </c>
      <c r="R5995" t="inlineStr">
        <is>
          <t>Oncology</t>
        </is>
      </c>
      <c r="S5995" s="70" t="n">
        <v>1655</v>
      </c>
      <c r="T5995" s="71" t="n">
        <v>1489059.08</v>
      </c>
      <c r="U5995" t="inlineStr">
        <is>
          <t>High</t>
        </is>
      </c>
      <c r="V5995">
        <f>IF(AND(OR(Dashboard!$C$6="All",E5995=Dashboard!$C$6),OR(Dashboard!$F$6="All",G5995=Dashboard!$F$6),OR(Dashboard!$I$6="All",H5995=Dashboard!$I$6)),1,0)</f>
        <v/>
      </c>
    </row>
    <row r="5996">
      <c r="A5996" t="inlineStr">
        <is>
          <t>PF105987</t>
        </is>
      </c>
      <c r="B5996" s="68" t="n">
        <v>46383</v>
      </c>
      <c r="C5996" s="69" t="n">
        <v>2026</v>
      </c>
      <c r="D5996" t="inlineStr">
        <is>
          <t>Dec</t>
        </is>
      </c>
      <c r="E5996" t="inlineStr">
        <is>
          <t>Europe</t>
        </is>
      </c>
      <c r="F5996" t="inlineStr">
        <is>
          <t>UK</t>
        </is>
      </c>
      <c r="G5996" t="inlineStr">
        <is>
          <t>Comirnaty</t>
        </is>
      </c>
      <c r="H5996" t="inlineStr">
        <is>
          <t>Hospital</t>
        </is>
      </c>
      <c r="I5996" t="inlineStr">
        <is>
          <t>Self-pay</t>
        </is>
      </c>
      <c r="J5996" t="inlineStr">
        <is>
          <t>Lucas Martin</t>
        </is>
      </c>
      <c r="K5996" s="70" t="n">
        <v>1414</v>
      </c>
      <c r="L5996" s="71" t="n">
        <v>95.72</v>
      </c>
      <c r="M5996" s="71" t="n">
        <v>135348.08</v>
      </c>
      <c r="N5996" s="71" t="n">
        <v>20302.21</v>
      </c>
      <c r="O5996" s="71" t="n">
        <v>115045.87</v>
      </c>
      <c r="P5996" s="71" t="n">
        <v>54552.78</v>
      </c>
      <c r="Q5996" s="71" t="n">
        <v>60493.09</v>
      </c>
      <c r="R5996" t="inlineStr">
        <is>
          <t>Vaccines</t>
        </is>
      </c>
      <c r="S5996" s="70" t="n">
        <v>1247</v>
      </c>
      <c r="T5996" s="71" t="n">
        <v>29421.71</v>
      </c>
      <c r="U5996" t="inlineStr">
        <is>
          <t>Low</t>
        </is>
      </c>
      <c r="V5996">
        <f>IF(AND(OR(Dashboard!$C$6="All",E5996=Dashboard!$C$6),OR(Dashboard!$F$6="All",G5996=Dashboard!$F$6),OR(Dashboard!$I$6="All",H5996=Dashboard!$I$6)),1,0)</f>
        <v/>
      </c>
    </row>
    <row r="5997">
      <c r="A5997" t="inlineStr">
        <is>
          <t>PF105988</t>
        </is>
      </c>
      <c r="B5997" s="68" t="n">
        <v>46383</v>
      </c>
      <c r="C5997" s="69" t="n">
        <v>2026</v>
      </c>
      <c r="D5997" t="inlineStr">
        <is>
          <t>Dec</t>
        </is>
      </c>
      <c r="E5997" t="inlineStr">
        <is>
          <t>United States</t>
        </is>
      </c>
      <c r="F5997" t="inlineStr">
        <is>
          <t>USA</t>
        </is>
      </c>
      <c r="G5997" t="inlineStr">
        <is>
          <t>Comirnaty</t>
        </is>
      </c>
      <c r="H5997" t="inlineStr">
        <is>
          <t>Hospital</t>
        </is>
      </c>
      <c r="I5997" t="inlineStr">
        <is>
          <t>Public payer</t>
        </is>
      </c>
      <c r="J5997" t="inlineStr">
        <is>
          <t>Ravindra Patil</t>
        </is>
      </c>
      <c r="K5997" s="70" t="n">
        <v>1699</v>
      </c>
      <c r="L5997" s="71" t="n">
        <v>134.13</v>
      </c>
      <c r="M5997" s="71" t="n">
        <v>227886.87</v>
      </c>
      <c r="N5997" s="71" t="n">
        <v>68366.06</v>
      </c>
      <c r="O5997" s="71" t="n">
        <v>159520.81</v>
      </c>
      <c r="P5997" s="71" t="n">
        <v>63335.55</v>
      </c>
      <c r="Q5997" s="71" t="n">
        <v>96185.25999999999</v>
      </c>
      <c r="R5997" t="inlineStr">
        <is>
          <t>Vaccines</t>
        </is>
      </c>
      <c r="S5997" s="70" t="n">
        <v>1389</v>
      </c>
      <c r="T5997" s="71" t="n">
        <v>53876.45</v>
      </c>
      <c r="U5997" t="inlineStr">
        <is>
          <t>Low</t>
        </is>
      </c>
      <c r="V5997">
        <f>IF(AND(OR(Dashboard!$C$6="All",E5997=Dashboard!$C$6),OR(Dashboard!$F$6="All",G5997=Dashboard!$F$6),OR(Dashboard!$I$6="All",H5997=Dashboard!$I$6)),1,0)</f>
        <v/>
      </c>
    </row>
    <row r="5998">
      <c r="A5998" t="inlineStr">
        <is>
          <t>PF105989</t>
        </is>
      </c>
      <c r="B5998" s="68" t="n">
        <v>46383</v>
      </c>
      <c r="C5998" s="69" t="n">
        <v>2026</v>
      </c>
      <c r="D5998" t="inlineStr">
        <is>
          <t>Dec</t>
        </is>
      </c>
      <c r="E5998" t="inlineStr">
        <is>
          <t>Europe</t>
        </is>
      </c>
      <c r="F5998" t="inlineStr">
        <is>
          <t>France</t>
        </is>
      </c>
      <c r="G5998" t="inlineStr">
        <is>
          <t>Ibrance</t>
        </is>
      </c>
      <c r="H5998" t="inlineStr">
        <is>
          <t>Hospital</t>
        </is>
      </c>
      <c r="I5998" t="inlineStr">
        <is>
          <t>Public payer</t>
        </is>
      </c>
      <c r="J5998" t="inlineStr">
        <is>
          <t>Kofi Mensah</t>
        </is>
      </c>
      <c r="K5998" s="70" t="n">
        <v>2050</v>
      </c>
      <c r="L5998" s="71" t="n">
        <v>2705.96</v>
      </c>
      <c r="M5998" s="71" t="n">
        <v>5547218</v>
      </c>
      <c r="N5998" s="71" t="n">
        <v>554721.8</v>
      </c>
      <c r="O5998" s="71" t="n">
        <v>4992496.2</v>
      </c>
      <c r="P5998" s="71" t="n">
        <v>864071.23</v>
      </c>
      <c r="Q5998" s="71" t="n">
        <v>4128424.97</v>
      </c>
      <c r="R5998" t="inlineStr">
        <is>
          <t>Oncology</t>
        </is>
      </c>
      <c r="S5998" s="70" t="n">
        <v>1911</v>
      </c>
      <c r="T5998" s="71" t="n">
        <v>1183370.15</v>
      </c>
      <c r="U5998" t="inlineStr">
        <is>
          <t>High</t>
        </is>
      </c>
      <c r="V5998">
        <f>IF(AND(OR(Dashboard!$C$6="All",E5998=Dashboard!$C$6),OR(Dashboard!$F$6="All",G5998=Dashboard!$F$6),OR(Dashboard!$I$6="All",H5998=Dashboard!$I$6)),1,0)</f>
        <v/>
      </c>
    </row>
    <row r="5999">
      <c r="A5999" t="inlineStr">
        <is>
          <t>PF105990</t>
        </is>
      </c>
      <c r="B5999" s="68" t="n">
        <v>46383</v>
      </c>
      <c r="C5999" s="69" t="n">
        <v>2026</v>
      </c>
      <c r="D5999" t="inlineStr">
        <is>
          <t>Dec</t>
        </is>
      </c>
      <c r="E5999" t="inlineStr">
        <is>
          <t>International developed</t>
        </is>
      </c>
      <c r="F5999" t="inlineStr">
        <is>
          <t>Japan</t>
        </is>
      </c>
      <c r="G5999" t="inlineStr">
        <is>
          <t>Paxlovid</t>
        </is>
      </c>
      <c r="H5999" t="inlineStr">
        <is>
          <t>Government / tender</t>
        </is>
      </c>
      <c r="I5999" t="inlineStr">
        <is>
          <t>Public payer</t>
        </is>
      </c>
      <c r="J5999" t="inlineStr">
        <is>
          <t>Kofi Mensah</t>
        </is>
      </c>
      <c r="K5999" s="70" t="n">
        <v>98</v>
      </c>
      <c r="L5999" s="71" t="n">
        <v>928.1799999999999</v>
      </c>
      <c r="M5999" s="71" t="n">
        <v>90961.64</v>
      </c>
      <c r="N5999" s="71" t="n">
        <v>9096.16</v>
      </c>
      <c r="O5999" s="71" t="n">
        <v>81865.48</v>
      </c>
      <c r="P5999" s="71" t="n">
        <v>27020.1</v>
      </c>
      <c r="Q5999" s="71" t="n">
        <v>54845.38</v>
      </c>
      <c r="R5999" t="inlineStr">
        <is>
          <t>Antiviral</t>
        </is>
      </c>
      <c r="S5999" s="70" t="n">
        <v>88</v>
      </c>
      <c r="T5999" s="71" t="n">
        <v>15121.4</v>
      </c>
      <c r="U5999" t="inlineStr">
        <is>
          <t>Low</t>
        </is>
      </c>
      <c r="V5999">
        <f>IF(AND(OR(Dashboard!$C$6="All",E5999=Dashboard!$C$6),OR(Dashboard!$F$6="All",G5999=Dashboard!$F$6),OR(Dashboard!$I$6="All",H5999=Dashboard!$I$6)),1,0)</f>
        <v/>
      </c>
    </row>
    <row r="6000">
      <c r="A6000" t="inlineStr">
        <is>
          <t>PF105991</t>
        </is>
      </c>
      <c r="B6000" s="68" t="n">
        <v>46383</v>
      </c>
      <c r="C6000" s="69" t="n">
        <v>2026</v>
      </c>
      <c r="D6000" t="inlineStr">
        <is>
          <t>Dec</t>
        </is>
      </c>
      <c r="E6000" t="inlineStr">
        <is>
          <t>United States</t>
        </is>
      </c>
      <c r="F6000" t="inlineStr">
        <is>
          <t>USA</t>
        </is>
      </c>
      <c r="G6000" t="inlineStr">
        <is>
          <t>Abrysvo</t>
        </is>
      </c>
      <c r="H6000" t="inlineStr">
        <is>
          <t>Hospital</t>
        </is>
      </c>
      <c r="I6000" t="inlineStr">
        <is>
          <t>Private insurer</t>
        </is>
      </c>
      <c r="J6000" t="inlineStr">
        <is>
          <t>Carlos Silva</t>
        </is>
      </c>
      <c r="K6000" s="70" t="n">
        <v>2268</v>
      </c>
      <c r="L6000" s="71" t="n">
        <v>520.16</v>
      </c>
      <c r="M6000" s="71" t="n">
        <v>1179722.88</v>
      </c>
      <c r="N6000" s="71" t="n">
        <v>294930.72</v>
      </c>
      <c r="O6000" s="71" t="n">
        <v>884792.16</v>
      </c>
      <c r="P6000" s="71" t="n">
        <v>196051.84</v>
      </c>
      <c r="Q6000" s="71" t="n">
        <v>688740.3199999999</v>
      </c>
      <c r="R6000" t="inlineStr">
        <is>
          <t>Vaccines</t>
        </is>
      </c>
      <c r="S6000" s="70" t="n">
        <v>2218</v>
      </c>
      <c r="T6000" s="71" t="n">
        <v>150167.48</v>
      </c>
      <c r="U6000" t="inlineStr">
        <is>
          <t>Low</t>
        </is>
      </c>
      <c r="V6000">
        <f>IF(AND(OR(Dashboard!$C$6="All",E6000=Dashboard!$C$6),OR(Dashboard!$F$6="All",G6000=Dashboard!$F$6),OR(Dashboard!$I$6="All",H6000=Dashboard!$I$6)),1,0)</f>
        <v/>
      </c>
    </row>
    <row r="6001">
      <c r="A6001" t="inlineStr">
        <is>
          <t>PF105992</t>
        </is>
      </c>
      <c r="B6001" s="68" t="n">
        <v>46384</v>
      </c>
      <c r="C6001" s="69" t="n">
        <v>2026</v>
      </c>
      <c r="D6001" t="inlineStr">
        <is>
          <t>Dec</t>
        </is>
      </c>
      <c r="E6001" t="inlineStr">
        <is>
          <t>United States</t>
        </is>
      </c>
      <c r="F6001" t="inlineStr">
        <is>
          <t>USA</t>
        </is>
      </c>
      <c r="G6001" t="inlineStr">
        <is>
          <t>Abrysvo</t>
        </is>
      </c>
      <c r="H6001" t="inlineStr">
        <is>
          <t>Retail pharmacy</t>
        </is>
      </c>
      <c r="I6001" t="inlineStr">
        <is>
          <t>Private insurer</t>
        </is>
      </c>
      <c r="J6001" t="inlineStr">
        <is>
          <t>Zoya Ahmed</t>
        </is>
      </c>
      <c r="K6001" s="70" t="n">
        <v>4021</v>
      </c>
      <c r="L6001" s="71" t="n">
        <v>543.52</v>
      </c>
      <c r="M6001" s="71" t="n">
        <v>2185493.92</v>
      </c>
      <c r="N6001" s="71" t="n">
        <v>764922.87</v>
      </c>
      <c r="O6001" s="71" t="n">
        <v>1420571.05</v>
      </c>
      <c r="P6001" s="71" t="n">
        <v>324818.66</v>
      </c>
      <c r="Q6001" s="71" t="n">
        <v>1095752.39</v>
      </c>
      <c r="R6001" t="inlineStr">
        <is>
          <t>Vaccines</t>
        </is>
      </c>
      <c r="S6001" s="70" t="n">
        <v>3277</v>
      </c>
      <c r="T6001" s="71" t="n">
        <v>232059.01</v>
      </c>
      <c r="U6001" t="inlineStr">
        <is>
          <t>Low</t>
        </is>
      </c>
      <c r="V6001">
        <f>IF(AND(OR(Dashboard!$C$6="All",E6001=Dashboard!$C$6),OR(Dashboard!$F$6="All",G6001=Dashboard!$F$6),OR(Dashboard!$I$6="All",H6001=Dashboard!$I$6)),1,0)</f>
        <v/>
      </c>
    </row>
    <row r="6002">
      <c r="A6002" t="inlineStr">
        <is>
          <t>PF105993</t>
        </is>
      </c>
      <c r="B6002" s="68" t="n">
        <v>46384</v>
      </c>
      <c r="C6002" s="69" t="n">
        <v>2026</v>
      </c>
      <c r="D6002" t="inlineStr">
        <is>
          <t>Dec</t>
        </is>
      </c>
      <c r="E6002" t="inlineStr">
        <is>
          <t>United States</t>
        </is>
      </c>
      <c r="F6002" t="inlineStr">
        <is>
          <t>USA</t>
        </is>
      </c>
      <c r="G6002" t="inlineStr">
        <is>
          <t>Eliquis</t>
        </is>
      </c>
      <c r="H6002" t="inlineStr">
        <is>
          <t>Government / tender</t>
        </is>
      </c>
      <c r="I6002" t="inlineStr">
        <is>
          <t>Self-pay</t>
        </is>
      </c>
      <c r="J6002" t="inlineStr">
        <is>
          <t>Aisha Bello</t>
        </is>
      </c>
      <c r="K6002" s="70" t="n">
        <v>1860</v>
      </c>
      <c r="L6002" s="71" t="n">
        <v>640.55</v>
      </c>
      <c r="M6002" s="71" t="n">
        <v>1191423</v>
      </c>
      <c r="N6002" s="71" t="n">
        <v>357426.9</v>
      </c>
      <c r="O6002" s="71" t="n">
        <v>833996.1</v>
      </c>
      <c r="P6002" s="71" t="n">
        <v>143960.41</v>
      </c>
      <c r="Q6002" s="71" t="n">
        <v>690035.6899999999</v>
      </c>
      <c r="R6002" t="inlineStr">
        <is>
          <t>Cardiology</t>
        </is>
      </c>
      <c r="S6002" s="70" t="n">
        <v>1177</v>
      </c>
      <c r="T6002" s="71" t="n">
        <v>204708.9</v>
      </c>
      <c r="U6002" t="inlineStr">
        <is>
          <t>High</t>
        </is>
      </c>
      <c r="V6002">
        <f>IF(AND(OR(Dashboard!$C$6="All",E6002=Dashboard!$C$6),OR(Dashboard!$F$6="All",G6002=Dashboard!$F$6),OR(Dashboard!$I$6="All",H6002=Dashboard!$I$6)),1,0)</f>
        <v/>
      </c>
    </row>
    <row r="6003">
      <c r="A6003" t="inlineStr">
        <is>
          <t>PF105994</t>
        </is>
      </c>
      <c r="B6003" s="68" t="n">
        <v>46384</v>
      </c>
      <c r="C6003" s="69" t="n">
        <v>2026</v>
      </c>
      <c r="D6003" t="inlineStr">
        <is>
          <t>Dec</t>
        </is>
      </c>
      <c r="E6003" t="inlineStr">
        <is>
          <t>International developed</t>
        </is>
      </c>
      <c r="F6003" t="inlineStr">
        <is>
          <t>Australia</t>
        </is>
      </c>
      <c r="G6003" t="inlineStr">
        <is>
          <t>Abrysvo</t>
        </is>
      </c>
      <c r="H6003" t="inlineStr">
        <is>
          <t>Retail pharmacy</t>
        </is>
      </c>
      <c r="I6003" t="inlineStr">
        <is>
          <t>Private insurer</t>
        </is>
      </c>
      <c r="J6003" t="inlineStr">
        <is>
          <t>Hiroshi Tanaka</t>
        </is>
      </c>
      <c r="K6003" s="70" t="n">
        <v>4000</v>
      </c>
      <c r="L6003" s="71" t="n">
        <v>312.66</v>
      </c>
      <c r="M6003" s="71" t="n">
        <v>1250640</v>
      </c>
      <c r="N6003" s="71" t="n">
        <v>250128</v>
      </c>
      <c r="O6003" s="71" t="n">
        <v>1000512</v>
      </c>
      <c r="P6003" s="71" t="n">
        <v>344867.61</v>
      </c>
      <c r="Q6003" s="71" t="n">
        <v>655644.39</v>
      </c>
      <c r="R6003" t="inlineStr">
        <is>
          <t>Vaccines</t>
        </is>
      </c>
      <c r="S6003" s="70" t="n">
        <v>3369</v>
      </c>
      <c r="T6003" s="71" t="n">
        <v>180249.73</v>
      </c>
      <c r="U6003" t="inlineStr">
        <is>
          <t>Low</t>
        </is>
      </c>
      <c r="V6003">
        <f>IF(AND(OR(Dashboard!$C$6="All",E6003=Dashboard!$C$6),OR(Dashboard!$F$6="All",G6003=Dashboard!$F$6),OR(Dashboard!$I$6="All",H6003=Dashboard!$I$6)),1,0)</f>
        <v/>
      </c>
    </row>
    <row r="6004">
      <c r="A6004" t="inlineStr">
        <is>
          <t>PF105995</t>
        </is>
      </c>
      <c r="B6004" s="68" t="n">
        <v>46384</v>
      </c>
      <c r="C6004" s="69" t="n">
        <v>2026</v>
      </c>
      <c r="D6004" t="inlineStr">
        <is>
          <t>Dec</t>
        </is>
      </c>
      <c r="E6004" t="inlineStr">
        <is>
          <t>Emerging markets</t>
        </is>
      </c>
      <c r="F6004" t="inlineStr">
        <is>
          <t>Brazil</t>
        </is>
      </c>
      <c r="G6004" t="inlineStr">
        <is>
          <t>Abrysvo</t>
        </is>
      </c>
      <c r="H6004" t="inlineStr">
        <is>
          <t>Retail pharmacy</t>
        </is>
      </c>
      <c r="I6004" t="inlineStr">
        <is>
          <t>Self-pay</t>
        </is>
      </c>
      <c r="J6004" t="inlineStr">
        <is>
          <t>Ravindra Patil</t>
        </is>
      </c>
      <c r="K6004" s="70" t="n">
        <v>807</v>
      </c>
      <c r="L6004" s="71" t="n">
        <v>295.51</v>
      </c>
      <c r="M6004" s="71" t="n">
        <v>238476.57</v>
      </c>
      <c r="N6004" s="71" t="n">
        <v>35771.49</v>
      </c>
      <c r="O6004" s="71" t="n">
        <v>202705.08</v>
      </c>
      <c r="P6004" s="71" t="n">
        <v>69766.00999999999</v>
      </c>
      <c r="Q6004" s="71" t="n">
        <v>132939.07</v>
      </c>
      <c r="R6004" t="inlineStr">
        <is>
          <t>Vaccines</t>
        </is>
      </c>
      <c r="S6004" s="70" t="n">
        <v>523</v>
      </c>
      <c r="T6004" s="71" t="n">
        <v>30914.61</v>
      </c>
      <c r="U6004" t="inlineStr">
        <is>
          <t>Low</t>
        </is>
      </c>
      <c r="V6004">
        <f>IF(AND(OR(Dashboard!$C$6="All",E6004=Dashboard!$C$6),OR(Dashboard!$F$6="All",G6004=Dashboard!$F$6),OR(Dashboard!$I$6="All",H6004=Dashboard!$I$6)),1,0)</f>
        <v/>
      </c>
    </row>
    <row r="6005">
      <c r="A6005" t="inlineStr">
        <is>
          <t>PF105996</t>
        </is>
      </c>
      <c r="B6005" s="68" t="n">
        <v>46384</v>
      </c>
      <c r="C6005" s="69" t="n">
        <v>2026</v>
      </c>
      <c r="D6005" t="inlineStr">
        <is>
          <t>Dec</t>
        </is>
      </c>
      <c r="E6005" t="inlineStr">
        <is>
          <t>United States</t>
        </is>
      </c>
      <c r="F6005" t="inlineStr">
        <is>
          <t>USA</t>
        </is>
      </c>
      <c r="G6005" t="inlineStr">
        <is>
          <t>Eliquis</t>
        </is>
      </c>
      <c r="H6005" t="inlineStr">
        <is>
          <t>Hospital</t>
        </is>
      </c>
      <c r="I6005" t="inlineStr">
        <is>
          <t>Public payer</t>
        </is>
      </c>
      <c r="J6005" t="inlineStr">
        <is>
          <t>Arjun Mehta</t>
        </is>
      </c>
      <c r="K6005" s="70" t="n">
        <v>1979</v>
      </c>
      <c r="L6005" s="71" t="n">
        <v>709.8200000000001</v>
      </c>
      <c r="M6005" s="71" t="n">
        <v>1404733.78</v>
      </c>
      <c r="N6005" s="71" t="n">
        <v>351183.45</v>
      </c>
      <c r="O6005" s="71" t="n">
        <v>1053550.33</v>
      </c>
      <c r="P6005" s="71" t="n">
        <v>143856.07</v>
      </c>
      <c r="Q6005" s="71" t="n">
        <v>909694.26</v>
      </c>
      <c r="R6005" t="inlineStr">
        <is>
          <t>Cardiology</t>
        </is>
      </c>
      <c r="S6005" s="70" t="n">
        <v>1270</v>
      </c>
      <c r="T6005" s="71" t="n">
        <v>194080.75</v>
      </c>
      <c r="U6005" t="inlineStr">
        <is>
          <t>High</t>
        </is>
      </c>
      <c r="V6005">
        <f>IF(AND(OR(Dashboard!$C$6="All",E6005=Dashboard!$C$6),OR(Dashboard!$F$6="All",G6005=Dashboard!$F$6),OR(Dashboard!$I$6="All",H6005=Dashboard!$I$6)),1,0)</f>
        <v/>
      </c>
    </row>
    <row r="6006">
      <c r="A6006" t="inlineStr">
        <is>
          <t>PF105997</t>
        </is>
      </c>
      <c r="B6006" s="68" t="n">
        <v>46384</v>
      </c>
      <c r="C6006" s="69" t="n">
        <v>2026</v>
      </c>
      <c r="D6006" t="inlineStr">
        <is>
          <t>Dec</t>
        </is>
      </c>
      <c r="E6006" t="inlineStr">
        <is>
          <t>United States</t>
        </is>
      </c>
      <c r="F6006" t="inlineStr">
        <is>
          <t>USA</t>
        </is>
      </c>
      <c r="G6006" t="inlineStr">
        <is>
          <t>Prevnar 20</t>
        </is>
      </c>
      <c r="H6006" t="inlineStr">
        <is>
          <t>Retail pharmacy</t>
        </is>
      </c>
      <c r="I6006" t="inlineStr">
        <is>
          <t>Private insurer</t>
        </is>
      </c>
      <c r="J6006" t="inlineStr">
        <is>
          <t>Ravindra Patil</t>
        </is>
      </c>
      <c r="K6006" s="70" t="n">
        <v>1323</v>
      </c>
      <c r="L6006" s="71" t="n">
        <v>381.93</v>
      </c>
      <c r="M6006" s="71" t="n">
        <v>505293.39</v>
      </c>
      <c r="N6006" s="71" t="n">
        <v>151588.02</v>
      </c>
      <c r="O6006" s="71" t="n">
        <v>353705.37</v>
      </c>
      <c r="P6006" s="71" t="n">
        <v>88840.16</v>
      </c>
      <c r="Q6006" s="71" t="n">
        <v>264865.21</v>
      </c>
      <c r="R6006" t="inlineStr">
        <is>
          <t>Vaccines</t>
        </is>
      </c>
      <c r="S6006" s="70" t="n">
        <v>1036</v>
      </c>
      <c r="T6006" s="71" t="n">
        <v>89225.53</v>
      </c>
      <c r="U6006" t="inlineStr">
        <is>
          <t>Low</t>
        </is>
      </c>
      <c r="V6006">
        <f>IF(AND(OR(Dashboard!$C$6="All",E6006=Dashboard!$C$6),OR(Dashboard!$F$6="All",G6006=Dashboard!$F$6),OR(Dashboard!$I$6="All",H6006=Dashboard!$I$6)),1,0)</f>
        <v/>
      </c>
    </row>
    <row r="6007">
      <c r="A6007" t="inlineStr">
        <is>
          <t>PF105998</t>
        </is>
      </c>
      <c r="B6007" s="68" t="n">
        <v>46384</v>
      </c>
      <c r="C6007" s="69" t="n">
        <v>2026</v>
      </c>
      <c r="D6007" t="inlineStr">
        <is>
          <t>Dec</t>
        </is>
      </c>
      <c r="E6007" t="inlineStr">
        <is>
          <t>United States</t>
        </is>
      </c>
      <c r="F6007" t="inlineStr">
        <is>
          <t>USA</t>
        </is>
      </c>
      <c r="G6007" t="inlineStr">
        <is>
          <t>Xeljanz</t>
        </is>
      </c>
      <c r="H6007" t="inlineStr">
        <is>
          <t>Hospital</t>
        </is>
      </c>
      <c r="I6007" t="inlineStr">
        <is>
          <t>Private insurer</t>
        </is>
      </c>
      <c r="J6007" t="inlineStr">
        <is>
          <t>Mei Lin</t>
        </is>
      </c>
      <c r="K6007" s="70" t="n">
        <v>693</v>
      </c>
      <c r="L6007" s="71" t="n">
        <v>2096.6</v>
      </c>
      <c r="M6007" s="71" t="n">
        <v>1452943.8</v>
      </c>
      <c r="N6007" s="71" t="n">
        <v>435883.14</v>
      </c>
      <c r="O6007" s="71" t="n">
        <v>1017060.66</v>
      </c>
      <c r="P6007" s="71" t="n">
        <v>177951.09</v>
      </c>
      <c r="Q6007" s="71" t="n">
        <v>839109.5699999999</v>
      </c>
      <c r="R6007" t="inlineStr">
        <is>
          <t>Inflammation</t>
        </is>
      </c>
      <c r="S6007" s="70" t="n">
        <v>624</v>
      </c>
      <c r="T6007" s="71" t="n">
        <v>210488.92</v>
      </c>
      <c r="U6007" t="inlineStr">
        <is>
          <t>High</t>
        </is>
      </c>
      <c r="V6007">
        <f>IF(AND(OR(Dashboard!$C$6="All",E6007=Dashboard!$C$6),OR(Dashboard!$F$6="All",G6007=Dashboard!$F$6),OR(Dashboard!$I$6="All",H6007=Dashboard!$I$6)),1,0)</f>
        <v/>
      </c>
    </row>
    <row r="6008">
      <c r="A6008" t="inlineStr">
        <is>
          <t>PF105999</t>
        </is>
      </c>
      <c r="B6008" s="68" t="n">
        <v>46384</v>
      </c>
      <c r="C6008" s="69" t="n">
        <v>2026</v>
      </c>
      <c r="D6008" t="inlineStr">
        <is>
          <t>Dec</t>
        </is>
      </c>
      <c r="E6008" t="inlineStr">
        <is>
          <t>International developed</t>
        </is>
      </c>
      <c r="F6008" t="inlineStr">
        <is>
          <t>Canada</t>
        </is>
      </c>
      <c r="G6008" t="inlineStr">
        <is>
          <t>Eliquis</t>
        </is>
      </c>
      <c r="H6008" t="inlineStr">
        <is>
          <t>Government / tender</t>
        </is>
      </c>
      <c r="I6008" t="inlineStr">
        <is>
          <t>Private insurer</t>
        </is>
      </c>
      <c r="J6008" t="inlineStr">
        <is>
          <t>Arjun Mehta</t>
        </is>
      </c>
      <c r="K6008" s="70" t="n">
        <v>120</v>
      </c>
      <c r="L6008" s="71" t="n">
        <v>408.54</v>
      </c>
      <c r="M6008" s="71" t="n">
        <v>49024.8</v>
      </c>
      <c r="N6008" s="71" t="n">
        <v>12256.2</v>
      </c>
      <c r="O6008" s="71" t="n">
        <v>36768.6</v>
      </c>
      <c r="P6008" s="71" t="n">
        <v>9266.23</v>
      </c>
      <c r="Q6008" s="71" t="n">
        <v>27502.37</v>
      </c>
      <c r="R6008" t="inlineStr">
        <is>
          <t>Cardiology</t>
        </is>
      </c>
      <c r="S6008" s="70" t="n">
        <v>78</v>
      </c>
      <c r="T6008" s="71" t="n">
        <v>7541.58</v>
      </c>
      <c r="U6008" t="inlineStr">
        <is>
          <t>High</t>
        </is>
      </c>
      <c r="V6008">
        <f>IF(AND(OR(Dashboard!$C$6="All",E6008=Dashboard!$C$6),OR(Dashboard!$F$6="All",G6008=Dashboard!$F$6),OR(Dashboard!$I$6="All",H6008=Dashboard!$I$6)),1,0)</f>
        <v/>
      </c>
    </row>
    <row r="6009">
      <c r="A6009" t="inlineStr">
        <is>
          <t>PF106000</t>
        </is>
      </c>
      <c r="B6009" s="68" t="n">
        <v>46384</v>
      </c>
      <c r="C6009" s="69" t="n">
        <v>2026</v>
      </c>
      <c r="D6009" t="inlineStr">
        <is>
          <t>Dec</t>
        </is>
      </c>
      <c r="E6009" t="inlineStr">
        <is>
          <t>United States</t>
        </is>
      </c>
      <c r="F6009" t="inlineStr">
        <is>
          <t>USA</t>
        </is>
      </c>
      <c r="G6009" t="inlineStr">
        <is>
          <t>Eliquis</t>
        </is>
      </c>
      <c r="H6009" t="inlineStr">
        <is>
          <t>Retail pharmacy</t>
        </is>
      </c>
      <c r="I6009" t="inlineStr">
        <is>
          <t>Public payer</t>
        </is>
      </c>
      <c r="J6009" t="inlineStr">
        <is>
          <t>Aisha Bello</t>
        </is>
      </c>
      <c r="K6009" s="70" t="n">
        <v>2200</v>
      </c>
      <c r="L6009" s="71" t="n">
        <v>732.75</v>
      </c>
      <c r="M6009" s="71" t="n">
        <v>1612050</v>
      </c>
      <c r="N6009" s="71" t="n">
        <v>483615</v>
      </c>
      <c r="O6009" s="71" t="n">
        <v>1128435</v>
      </c>
      <c r="P6009" s="71" t="n">
        <v>159760.88</v>
      </c>
      <c r="Q6009" s="71" t="n">
        <v>968674.12</v>
      </c>
      <c r="R6009" t="inlineStr">
        <is>
          <t>Cardiology</t>
        </is>
      </c>
      <c r="S6009" s="70" t="n">
        <v>2125</v>
      </c>
      <c r="T6009" s="71" t="n">
        <v>216787.11</v>
      </c>
      <c r="U6009" t="inlineStr">
        <is>
          <t>High</t>
        </is>
      </c>
      <c r="V6009">
        <f>IF(AND(OR(Dashboard!$C$6="All",E6009=Dashboard!$C$6),OR(Dashboard!$F$6="All",G6009=Dashboard!$F$6),OR(Dashboard!$I$6="All",H6009=Dashboard!$I$6)),1,0)</f>
        <v/>
      </c>
    </row>
    <row r="6011">
      <c r="A6011" s="72" t="inlineStr">
        <is>
          <t>EXAMPLE DATA: every number in this workbook is made up for practice. It is not real Pfizer data and not an official report.</t>
        </is>
      </c>
    </row>
  </sheetData>
  <mergeCells count="7">
    <mergeCell ref="A1:J1"/>
    <mergeCell ref="A3:N3"/>
    <mergeCell ref="A6:N6"/>
    <mergeCell ref="A4:N4"/>
    <mergeCell ref="A2:N2"/>
    <mergeCell ref="A7:N7"/>
    <mergeCell ref="A5:N5"/>
  </mergeCells>
  <conditionalFormatting sqref="Q10:Q6009">
    <cfRule type="cellIs" priority="1" operator="lessThan" dxfId="4">
      <formula>0</formula>
    </cfRule>
  </conditionalFormatting>
  <pageMargins left="0.75" right="0.75" top="1" bottom="1" header="0.5" footer="0.5"/>
  <pageSetup orientation="landscape" fitToHeight="1" fitToWidth="1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tabColor rgb="000000C9"/>
    <outlinePr summaryBelow="1" summaryRight="1"/>
    <pageSetUpPr fitToPage="1"/>
  </sheetPr>
  <dimension ref="A1:BB53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72" t="inlineStr">
        <is>
          <t>Helper tables for the charts. They follow the Dashboard filters (Inc = 1). EXAMPLE DATA: every number in this workbook is made up for practice. It is not real Pfizer data and not an official report.</t>
        </is>
      </c>
      <c r="AD1" s="49" t="inlineStr">
        <is>
          <t>Sparkline data (24 months per KPI, follows the filters)</t>
        </is>
      </c>
      <c r="AE1" s="73" t="inlineStr">
        <is>
          <t>Jan 2025</t>
        </is>
      </c>
      <c r="AF1" s="73" t="inlineStr">
        <is>
          <t>Feb 2025</t>
        </is>
      </c>
      <c r="AG1" s="73" t="inlineStr">
        <is>
          <t>Mar 2025</t>
        </is>
      </c>
      <c r="AH1" s="73" t="inlineStr">
        <is>
          <t>Apr 2025</t>
        </is>
      </c>
      <c r="AI1" s="73" t="inlineStr">
        <is>
          <t>May 2025</t>
        </is>
      </c>
      <c r="AJ1" s="73" t="inlineStr">
        <is>
          <t>Jun 2025</t>
        </is>
      </c>
      <c r="AK1" s="73" t="inlineStr">
        <is>
          <t>Jul 2025</t>
        </is>
      </c>
      <c r="AL1" s="73" t="inlineStr">
        <is>
          <t>Aug 2025</t>
        </is>
      </c>
      <c r="AM1" s="73" t="inlineStr">
        <is>
          <t>Sep 2025</t>
        </is>
      </c>
      <c r="AN1" s="73" t="inlineStr">
        <is>
          <t>Oct 2025</t>
        </is>
      </c>
      <c r="AO1" s="73" t="inlineStr">
        <is>
          <t>Nov 2025</t>
        </is>
      </c>
      <c r="AP1" s="73" t="inlineStr">
        <is>
          <t>Dec 2025</t>
        </is>
      </c>
      <c r="AQ1" s="73" t="inlineStr">
        <is>
          <t>Jan 2026</t>
        </is>
      </c>
      <c r="AR1" s="73" t="inlineStr">
        <is>
          <t>Feb 2026</t>
        </is>
      </c>
      <c r="AS1" s="73" t="inlineStr">
        <is>
          <t>Mar 2026</t>
        </is>
      </c>
      <c r="AT1" s="73" t="inlineStr">
        <is>
          <t>Apr 2026</t>
        </is>
      </c>
      <c r="AU1" s="73" t="inlineStr">
        <is>
          <t>May 2026</t>
        </is>
      </c>
      <c r="AV1" s="73" t="inlineStr">
        <is>
          <t>Jun 2026</t>
        </is>
      </c>
      <c r="AW1" s="73" t="inlineStr">
        <is>
          <t>Jul 2026</t>
        </is>
      </c>
      <c r="AX1" s="73" t="inlineStr">
        <is>
          <t>Aug 2026</t>
        </is>
      </c>
      <c r="AY1" s="73" t="inlineStr">
        <is>
          <t>Sep 2026</t>
        </is>
      </c>
      <c r="AZ1" s="73" t="inlineStr">
        <is>
          <t>Oct 2026</t>
        </is>
      </c>
      <c r="BA1" s="73" t="inlineStr">
        <is>
          <t>Nov 2026</t>
        </is>
      </c>
      <c r="BB1" s="73" t="inlineStr">
        <is>
          <t>Dec 2026</t>
        </is>
      </c>
    </row>
    <row r="2">
      <c r="AD2" s="74" t="inlineStr">
        <is>
          <t>💰 Revenue (trend)</t>
        </is>
      </c>
      <c r="AE2" s="75">
        <f>SUMIFS(Data!$O$10:$O$6009,Data!$V$10:$V$6009,1,Data!$C$10:$C$6009,2025,Data!$D$10:$D$6009,"Jan")</f>
        <v/>
      </c>
      <c r="AF2" s="75">
        <f>SUMIFS(Data!$O$10:$O$6009,Data!$V$10:$V$6009,1,Data!$C$10:$C$6009,2025,Data!$D$10:$D$6009,"Feb")</f>
        <v/>
      </c>
      <c r="AG2" s="75">
        <f>SUMIFS(Data!$O$10:$O$6009,Data!$V$10:$V$6009,1,Data!$C$10:$C$6009,2025,Data!$D$10:$D$6009,"Mar")</f>
        <v/>
      </c>
      <c r="AH2" s="75">
        <f>SUMIFS(Data!$O$10:$O$6009,Data!$V$10:$V$6009,1,Data!$C$10:$C$6009,2025,Data!$D$10:$D$6009,"Apr")</f>
        <v/>
      </c>
      <c r="AI2" s="75">
        <f>SUMIFS(Data!$O$10:$O$6009,Data!$V$10:$V$6009,1,Data!$C$10:$C$6009,2025,Data!$D$10:$D$6009,"May")</f>
        <v/>
      </c>
      <c r="AJ2" s="75">
        <f>SUMIFS(Data!$O$10:$O$6009,Data!$V$10:$V$6009,1,Data!$C$10:$C$6009,2025,Data!$D$10:$D$6009,"Jun")</f>
        <v/>
      </c>
      <c r="AK2" s="75">
        <f>SUMIFS(Data!$O$10:$O$6009,Data!$V$10:$V$6009,1,Data!$C$10:$C$6009,2025,Data!$D$10:$D$6009,"Jul")</f>
        <v/>
      </c>
      <c r="AL2" s="75">
        <f>SUMIFS(Data!$O$10:$O$6009,Data!$V$10:$V$6009,1,Data!$C$10:$C$6009,2025,Data!$D$10:$D$6009,"Aug")</f>
        <v/>
      </c>
      <c r="AM2" s="75">
        <f>SUMIFS(Data!$O$10:$O$6009,Data!$V$10:$V$6009,1,Data!$C$10:$C$6009,2025,Data!$D$10:$D$6009,"Sep")</f>
        <v/>
      </c>
      <c r="AN2" s="75">
        <f>SUMIFS(Data!$O$10:$O$6009,Data!$V$10:$V$6009,1,Data!$C$10:$C$6009,2025,Data!$D$10:$D$6009,"Oct")</f>
        <v/>
      </c>
      <c r="AO2" s="75">
        <f>SUMIFS(Data!$O$10:$O$6009,Data!$V$10:$V$6009,1,Data!$C$10:$C$6009,2025,Data!$D$10:$D$6009,"Nov")</f>
        <v/>
      </c>
      <c r="AP2" s="75">
        <f>SUMIFS(Data!$O$10:$O$6009,Data!$V$10:$V$6009,1,Data!$C$10:$C$6009,2025,Data!$D$10:$D$6009,"Dec")</f>
        <v/>
      </c>
      <c r="AQ2" s="75">
        <f>SUMIFS(Data!$O$10:$O$6009,Data!$V$10:$V$6009,1,Data!$C$10:$C$6009,2026,Data!$D$10:$D$6009,"Jan")</f>
        <v/>
      </c>
      <c r="AR2" s="75">
        <f>SUMIFS(Data!$O$10:$O$6009,Data!$V$10:$V$6009,1,Data!$C$10:$C$6009,2026,Data!$D$10:$D$6009,"Feb")</f>
        <v/>
      </c>
      <c r="AS2" s="75">
        <f>SUMIFS(Data!$O$10:$O$6009,Data!$V$10:$V$6009,1,Data!$C$10:$C$6009,2026,Data!$D$10:$D$6009,"Mar")</f>
        <v/>
      </c>
      <c r="AT2" s="75">
        <f>SUMIFS(Data!$O$10:$O$6009,Data!$V$10:$V$6009,1,Data!$C$10:$C$6009,2026,Data!$D$10:$D$6009,"Apr")</f>
        <v/>
      </c>
      <c r="AU2" s="75">
        <f>SUMIFS(Data!$O$10:$O$6009,Data!$V$10:$V$6009,1,Data!$C$10:$C$6009,2026,Data!$D$10:$D$6009,"May")</f>
        <v/>
      </c>
      <c r="AV2" s="75">
        <f>SUMIFS(Data!$O$10:$O$6009,Data!$V$10:$V$6009,1,Data!$C$10:$C$6009,2026,Data!$D$10:$D$6009,"Jun")</f>
        <v/>
      </c>
      <c r="AW2" s="75">
        <f>SUMIFS(Data!$O$10:$O$6009,Data!$V$10:$V$6009,1,Data!$C$10:$C$6009,2026,Data!$D$10:$D$6009,"Jul")</f>
        <v/>
      </c>
      <c r="AX2" s="75">
        <f>SUMIFS(Data!$O$10:$O$6009,Data!$V$10:$V$6009,1,Data!$C$10:$C$6009,2026,Data!$D$10:$D$6009,"Aug")</f>
        <v/>
      </c>
      <c r="AY2" s="75">
        <f>SUMIFS(Data!$O$10:$O$6009,Data!$V$10:$V$6009,1,Data!$C$10:$C$6009,2026,Data!$D$10:$D$6009,"Sep")</f>
        <v/>
      </c>
      <c r="AZ2" s="75">
        <f>SUMIFS(Data!$O$10:$O$6009,Data!$V$10:$V$6009,1,Data!$C$10:$C$6009,2026,Data!$D$10:$D$6009,"Oct")</f>
        <v/>
      </c>
      <c r="BA2" s="75">
        <f>SUMIFS(Data!$O$10:$O$6009,Data!$V$10:$V$6009,1,Data!$C$10:$C$6009,2026,Data!$D$10:$D$6009,"Nov")</f>
        <v/>
      </c>
      <c r="BB2" s="75">
        <f>SUMIFS(Data!$O$10:$O$6009,Data!$V$10:$V$6009,1,Data!$C$10:$C$6009,2026,Data!$D$10:$D$6009,"Dec")</f>
        <v/>
      </c>
    </row>
    <row r="3">
      <c r="A3" s="76" t="inlineStr">
        <is>
          <t>Monthly trend: AC 2026 vs PY 2025</t>
        </is>
      </c>
      <c r="AD3" s="74" t="inlineStr">
        <is>
          <t>📈 Profit (trend)</t>
        </is>
      </c>
      <c r="AE3" s="75">
        <f>SUMIFS(Data!$Q$10:$Q$6009,Data!$V$10:$V$6009,1,Data!$C$10:$C$6009,2025,Data!$D$10:$D$6009,"Jan")</f>
        <v/>
      </c>
      <c r="AF3" s="75">
        <f>SUMIFS(Data!$Q$10:$Q$6009,Data!$V$10:$V$6009,1,Data!$C$10:$C$6009,2025,Data!$D$10:$D$6009,"Feb")</f>
        <v/>
      </c>
      <c r="AG3" s="75">
        <f>SUMIFS(Data!$Q$10:$Q$6009,Data!$V$10:$V$6009,1,Data!$C$10:$C$6009,2025,Data!$D$10:$D$6009,"Mar")</f>
        <v/>
      </c>
      <c r="AH3" s="75">
        <f>SUMIFS(Data!$Q$10:$Q$6009,Data!$V$10:$V$6009,1,Data!$C$10:$C$6009,2025,Data!$D$10:$D$6009,"Apr")</f>
        <v/>
      </c>
      <c r="AI3" s="75">
        <f>SUMIFS(Data!$Q$10:$Q$6009,Data!$V$10:$V$6009,1,Data!$C$10:$C$6009,2025,Data!$D$10:$D$6009,"May")</f>
        <v/>
      </c>
      <c r="AJ3" s="75">
        <f>SUMIFS(Data!$Q$10:$Q$6009,Data!$V$10:$V$6009,1,Data!$C$10:$C$6009,2025,Data!$D$10:$D$6009,"Jun")</f>
        <v/>
      </c>
      <c r="AK3" s="75">
        <f>SUMIFS(Data!$Q$10:$Q$6009,Data!$V$10:$V$6009,1,Data!$C$10:$C$6009,2025,Data!$D$10:$D$6009,"Jul")</f>
        <v/>
      </c>
      <c r="AL3" s="75">
        <f>SUMIFS(Data!$Q$10:$Q$6009,Data!$V$10:$V$6009,1,Data!$C$10:$C$6009,2025,Data!$D$10:$D$6009,"Aug")</f>
        <v/>
      </c>
      <c r="AM3" s="75">
        <f>SUMIFS(Data!$Q$10:$Q$6009,Data!$V$10:$V$6009,1,Data!$C$10:$C$6009,2025,Data!$D$10:$D$6009,"Sep")</f>
        <v/>
      </c>
      <c r="AN3" s="75">
        <f>SUMIFS(Data!$Q$10:$Q$6009,Data!$V$10:$V$6009,1,Data!$C$10:$C$6009,2025,Data!$D$10:$D$6009,"Oct")</f>
        <v/>
      </c>
      <c r="AO3" s="75">
        <f>SUMIFS(Data!$Q$10:$Q$6009,Data!$V$10:$V$6009,1,Data!$C$10:$C$6009,2025,Data!$D$10:$D$6009,"Nov")</f>
        <v/>
      </c>
      <c r="AP3" s="75">
        <f>SUMIFS(Data!$Q$10:$Q$6009,Data!$V$10:$V$6009,1,Data!$C$10:$C$6009,2025,Data!$D$10:$D$6009,"Dec")</f>
        <v/>
      </c>
      <c r="AQ3" s="75">
        <f>SUMIFS(Data!$Q$10:$Q$6009,Data!$V$10:$V$6009,1,Data!$C$10:$C$6009,2026,Data!$D$10:$D$6009,"Jan")</f>
        <v/>
      </c>
      <c r="AR3" s="75">
        <f>SUMIFS(Data!$Q$10:$Q$6009,Data!$V$10:$V$6009,1,Data!$C$10:$C$6009,2026,Data!$D$10:$D$6009,"Feb")</f>
        <v/>
      </c>
      <c r="AS3" s="75">
        <f>SUMIFS(Data!$Q$10:$Q$6009,Data!$V$10:$V$6009,1,Data!$C$10:$C$6009,2026,Data!$D$10:$D$6009,"Mar")</f>
        <v/>
      </c>
      <c r="AT3" s="75">
        <f>SUMIFS(Data!$Q$10:$Q$6009,Data!$V$10:$V$6009,1,Data!$C$10:$C$6009,2026,Data!$D$10:$D$6009,"Apr")</f>
        <v/>
      </c>
      <c r="AU3" s="75">
        <f>SUMIFS(Data!$Q$10:$Q$6009,Data!$V$10:$V$6009,1,Data!$C$10:$C$6009,2026,Data!$D$10:$D$6009,"May")</f>
        <v/>
      </c>
      <c r="AV3" s="75">
        <f>SUMIFS(Data!$Q$10:$Q$6009,Data!$V$10:$V$6009,1,Data!$C$10:$C$6009,2026,Data!$D$10:$D$6009,"Jun")</f>
        <v/>
      </c>
      <c r="AW3" s="75">
        <f>SUMIFS(Data!$Q$10:$Q$6009,Data!$V$10:$V$6009,1,Data!$C$10:$C$6009,2026,Data!$D$10:$D$6009,"Jul")</f>
        <v/>
      </c>
      <c r="AX3" s="75">
        <f>SUMIFS(Data!$Q$10:$Q$6009,Data!$V$10:$V$6009,1,Data!$C$10:$C$6009,2026,Data!$D$10:$D$6009,"Aug")</f>
        <v/>
      </c>
      <c r="AY3" s="75">
        <f>SUMIFS(Data!$Q$10:$Q$6009,Data!$V$10:$V$6009,1,Data!$C$10:$C$6009,2026,Data!$D$10:$D$6009,"Sep")</f>
        <v/>
      </c>
      <c r="AZ3" s="75">
        <f>SUMIFS(Data!$Q$10:$Q$6009,Data!$V$10:$V$6009,1,Data!$C$10:$C$6009,2026,Data!$D$10:$D$6009,"Oct")</f>
        <v/>
      </c>
      <c r="BA3" s="75">
        <f>SUMIFS(Data!$Q$10:$Q$6009,Data!$V$10:$V$6009,1,Data!$C$10:$C$6009,2026,Data!$D$10:$D$6009,"Nov")</f>
        <v/>
      </c>
      <c r="BB3" s="75">
        <f>SUMIFS(Data!$Q$10:$Q$6009,Data!$V$10:$V$6009,1,Data!$C$10:$C$6009,2026,Data!$D$10:$D$6009,"Dec")</f>
        <v/>
      </c>
    </row>
    <row r="4">
      <c r="A4" s="77" t="inlineStr">
        <is>
          <t>Month</t>
        </is>
      </c>
      <c r="B4" s="77" t="inlineStr">
        <is>
          <t>PY 2025</t>
        </is>
      </c>
      <c r="C4" s="77" t="inlineStr">
        <is>
          <t>AC 2026</t>
        </is>
      </c>
      <c r="D4" s="77" t="inlineStr">
        <is>
          <t>ΔPY%</t>
        </is>
      </c>
      <c r="AD4" s="74" t="inlineStr">
        <is>
          <t>🎯 Margin % (trend)</t>
        </is>
      </c>
      <c r="AE4" s="75">
        <f>IFERROR(SUMIFS(Data!$Q$10:$Q$6009,Data!$V$10:$V$6009,1,Data!$C$10:$C$6009,2025,Data!$D$10:$D$6009,"Jan")/SUMIFS(Data!$O$10:$O$6009,Data!$V$10:$V$6009,1,Data!$C$10:$C$6009,2025,Data!$D$10:$D$6009,"Jan"),0)</f>
        <v/>
      </c>
      <c r="AF4" s="75">
        <f>IFERROR(SUMIFS(Data!$Q$10:$Q$6009,Data!$V$10:$V$6009,1,Data!$C$10:$C$6009,2025,Data!$D$10:$D$6009,"Feb")/SUMIFS(Data!$O$10:$O$6009,Data!$V$10:$V$6009,1,Data!$C$10:$C$6009,2025,Data!$D$10:$D$6009,"Feb"),0)</f>
        <v/>
      </c>
      <c r="AG4" s="75">
        <f>IFERROR(SUMIFS(Data!$Q$10:$Q$6009,Data!$V$10:$V$6009,1,Data!$C$10:$C$6009,2025,Data!$D$10:$D$6009,"Mar")/SUMIFS(Data!$O$10:$O$6009,Data!$V$10:$V$6009,1,Data!$C$10:$C$6009,2025,Data!$D$10:$D$6009,"Mar"),0)</f>
        <v/>
      </c>
      <c r="AH4" s="75">
        <f>IFERROR(SUMIFS(Data!$Q$10:$Q$6009,Data!$V$10:$V$6009,1,Data!$C$10:$C$6009,2025,Data!$D$10:$D$6009,"Apr")/SUMIFS(Data!$O$10:$O$6009,Data!$V$10:$V$6009,1,Data!$C$10:$C$6009,2025,Data!$D$10:$D$6009,"Apr"),0)</f>
        <v/>
      </c>
      <c r="AI4" s="75">
        <f>IFERROR(SUMIFS(Data!$Q$10:$Q$6009,Data!$V$10:$V$6009,1,Data!$C$10:$C$6009,2025,Data!$D$10:$D$6009,"May")/SUMIFS(Data!$O$10:$O$6009,Data!$V$10:$V$6009,1,Data!$C$10:$C$6009,2025,Data!$D$10:$D$6009,"May"),0)</f>
        <v/>
      </c>
      <c r="AJ4" s="75">
        <f>IFERROR(SUMIFS(Data!$Q$10:$Q$6009,Data!$V$10:$V$6009,1,Data!$C$10:$C$6009,2025,Data!$D$10:$D$6009,"Jun")/SUMIFS(Data!$O$10:$O$6009,Data!$V$10:$V$6009,1,Data!$C$10:$C$6009,2025,Data!$D$10:$D$6009,"Jun"),0)</f>
        <v/>
      </c>
      <c r="AK4" s="75">
        <f>IFERROR(SUMIFS(Data!$Q$10:$Q$6009,Data!$V$10:$V$6009,1,Data!$C$10:$C$6009,2025,Data!$D$10:$D$6009,"Jul")/SUMIFS(Data!$O$10:$O$6009,Data!$V$10:$V$6009,1,Data!$C$10:$C$6009,2025,Data!$D$10:$D$6009,"Jul"),0)</f>
        <v/>
      </c>
      <c r="AL4" s="75">
        <f>IFERROR(SUMIFS(Data!$Q$10:$Q$6009,Data!$V$10:$V$6009,1,Data!$C$10:$C$6009,2025,Data!$D$10:$D$6009,"Aug")/SUMIFS(Data!$O$10:$O$6009,Data!$V$10:$V$6009,1,Data!$C$10:$C$6009,2025,Data!$D$10:$D$6009,"Aug"),0)</f>
        <v/>
      </c>
      <c r="AM4" s="75">
        <f>IFERROR(SUMIFS(Data!$Q$10:$Q$6009,Data!$V$10:$V$6009,1,Data!$C$10:$C$6009,2025,Data!$D$10:$D$6009,"Sep")/SUMIFS(Data!$O$10:$O$6009,Data!$V$10:$V$6009,1,Data!$C$10:$C$6009,2025,Data!$D$10:$D$6009,"Sep"),0)</f>
        <v/>
      </c>
      <c r="AN4" s="75">
        <f>IFERROR(SUMIFS(Data!$Q$10:$Q$6009,Data!$V$10:$V$6009,1,Data!$C$10:$C$6009,2025,Data!$D$10:$D$6009,"Oct")/SUMIFS(Data!$O$10:$O$6009,Data!$V$10:$V$6009,1,Data!$C$10:$C$6009,2025,Data!$D$10:$D$6009,"Oct"),0)</f>
        <v/>
      </c>
      <c r="AO4" s="75">
        <f>IFERROR(SUMIFS(Data!$Q$10:$Q$6009,Data!$V$10:$V$6009,1,Data!$C$10:$C$6009,2025,Data!$D$10:$D$6009,"Nov")/SUMIFS(Data!$O$10:$O$6009,Data!$V$10:$V$6009,1,Data!$C$10:$C$6009,2025,Data!$D$10:$D$6009,"Nov"),0)</f>
        <v/>
      </c>
      <c r="AP4" s="75">
        <f>IFERROR(SUMIFS(Data!$Q$10:$Q$6009,Data!$V$10:$V$6009,1,Data!$C$10:$C$6009,2025,Data!$D$10:$D$6009,"Dec")/SUMIFS(Data!$O$10:$O$6009,Data!$V$10:$V$6009,1,Data!$C$10:$C$6009,2025,Data!$D$10:$D$6009,"Dec"),0)</f>
        <v/>
      </c>
      <c r="AQ4" s="75">
        <f>IFERROR(SUMIFS(Data!$Q$10:$Q$6009,Data!$V$10:$V$6009,1,Data!$C$10:$C$6009,2026,Data!$D$10:$D$6009,"Jan")/SUMIFS(Data!$O$10:$O$6009,Data!$V$10:$V$6009,1,Data!$C$10:$C$6009,2026,Data!$D$10:$D$6009,"Jan"),0)</f>
        <v/>
      </c>
      <c r="AR4" s="75">
        <f>IFERROR(SUMIFS(Data!$Q$10:$Q$6009,Data!$V$10:$V$6009,1,Data!$C$10:$C$6009,2026,Data!$D$10:$D$6009,"Feb")/SUMIFS(Data!$O$10:$O$6009,Data!$V$10:$V$6009,1,Data!$C$10:$C$6009,2026,Data!$D$10:$D$6009,"Feb"),0)</f>
        <v/>
      </c>
      <c r="AS4" s="75">
        <f>IFERROR(SUMIFS(Data!$Q$10:$Q$6009,Data!$V$10:$V$6009,1,Data!$C$10:$C$6009,2026,Data!$D$10:$D$6009,"Mar")/SUMIFS(Data!$O$10:$O$6009,Data!$V$10:$V$6009,1,Data!$C$10:$C$6009,2026,Data!$D$10:$D$6009,"Mar"),0)</f>
        <v/>
      </c>
      <c r="AT4" s="75">
        <f>IFERROR(SUMIFS(Data!$Q$10:$Q$6009,Data!$V$10:$V$6009,1,Data!$C$10:$C$6009,2026,Data!$D$10:$D$6009,"Apr")/SUMIFS(Data!$O$10:$O$6009,Data!$V$10:$V$6009,1,Data!$C$10:$C$6009,2026,Data!$D$10:$D$6009,"Apr"),0)</f>
        <v/>
      </c>
      <c r="AU4" s="75">
        <f>IFERROR(SUMIFS(Data!$Q$10:$Q$6009,Data!$V$10:$V$6009,1,Data!$C$10:$C$6009,2026,Data!$D$10:$D$6009,"May")/SUMIFS(Data!$O$10:$O$6009,Data!$V$10:$V$6009,1,Data!$C$10:$C$6009,2026,Data!$D$10:$D$6009,"May"),0)</f>
        <v/>
      </c>
      <c r="AV4" s="75">
        <f>IFERROR(SUMIFS(Data!$Q$10:$Q$6009,Data!$V$10:$V$6009,1,Data!$C$10:$C$6009,2026,Data!$D$10:$D$6009,"Jun")/SUMIFS(Data!$O$10:$O$6009,Data!$V$10:$V$6009,1,Data!$C$10:$C$6009,2026,Data!$D$10:$D$6009,"Jun"),0)</f>
        <v/>
      </c>
      <c r="AW4" s="75">
        <f>IFERROR(SUMIFS(Data!$Q$10:$Q$6009,Data!$V$10:$V$6009,1,Data!$C$10:$C$6009,2026,Data!$D$10:$D$6009,"Jul")/SUMIFS(Data!$O$10:$O$6009,Data!$V$10:$V$6009,1,Data!$C$10:$C$6009,2026,Data!$D$10:$D$6009,"Jul"),0)</f>
        <v/>
      </c>
      <c r="AX4" s="75">
        <f>IFERROR(SUMIFS(Data!$Q$10:$Q$6009,Data!$V$10:$V$6009,1,Data!$C$10:$C$6009,2026,Data!$D$10:$D$6009,"Aug")/SUMIFS(Data!$O$10:$O$6009,Data!$V$10:$V$6009,1,Data!$C$10:$C$6009,2026,Data!$D$10:$D$6009,"Aug"),0)</f>
        <v/>
      </c>
      <c r="AY4" s="75">
        <f>IFERROR(SUMIFS(Data!$Q$10:$Q$6009,Data!$V$10:$V$6009,1,Data!$C$10:$C$6009,2026,Data!$D$10:$D$6009,"Sep")/SUMIFS(Data!$O$10:$O$6009,Data!$V$10:$V$6009,1,Data!$C$10:$C$6009,2026,Data!$D$10:$D$6009,"Sep"),0)</f>
        <v/>
      </c>
      <c r="AZ4" s="75">
        <f>IFERROR(SUMIFS(Data!$Q$10:$Q$6009,Data!$V$10:$V$6009,1,Data!$C$10:$C$6009,2026,Data!$D$10:$D$6009,"Oct")/SUMIFS(Data!$O$10:$O$6009,Data!$V$10:$V$6009,1,Data!$C$10:$C$6009,2026,Data!$D$10:$D$6009,"Oct"),0)</f>
        <v/>
      </c>
      <c r="BA4" s="75">
        <f>IFERROR(SUMIFS(Data!$Q$10:$Q$6009,Data!$V$10:$V$6009,1,Data!$C$10:$C$6009,2026,Data!$D$10:$D$6009,"Nov")/SUMIFS(Data!$O$10:$O$6009,Data!$V$10:$V$6009,1,Data!$C$10:$C$6009,2026,Data!$D$10:$D$6009,"Nov"),0)</f>
        <v/>
      </c>
      <c r="BB4" s="75">
        <f>IFERROR(SUMIFS(Data!$Q$10:$Q$6009,Data!$V$10:$V$6009,1,Data!$C$10:$C$6009,2026,Data!$D$10:$D$6009,"Dec")/SUMIFS(Data!$O$10:$O$6009,Data!$V$10:$V$6009,1,Data!$C$10:$C$6009,2026,Data!$D$10:$D$6009,"Dec"),0)</f>
        <v/>
      </c>
    </row>
    <row r="5">
      <c r="A5" s="78" t="inlineStr">
        <is>
          <t>Jan</t>
        </is>
      </c>
      <c r="B5" s="79">
        <f>SUMIFS(Data!$O$10:$O$6009,Data!$V$10:$V$6009,1,Data!$D$10:$D$6009,$A5,Data!$C$10:$C$6009,2025)</f>
        <v/>
      </c>
      <c r="C5" s="79">
        <f>SUMIFS(Data!$O$10:$O$6009,Data!$V$10:$V$6009,1,Data!$D$10:$D$6009,$A5,Data!$C$10:$C$6009,2026)</f>
        <v/>
      </c>
      <c r="D5" s="80">
        <f>IFERROR(C5/B5-1,0)</f>
        <v/>
      </c>
      <c r="AD5" s="74" t="inlineStr">
        <is>
          <t>🚀 YoY growth (revenue trend)</t>
        </is>
      </c>
      <c r="AE5" s="75">
        <f>SUMIFS(Data!$O$10:$O$6009,Data!$V$10:$V$6009,1,Data!$C$10:$C$6009,2025,Data!$D$10:$D$6009,"Jan")</f>
        <v/>
      </c>
      <c r="AF5" s="75">
        <f>SUMIFS(Data!$O$10:$O$6009,Data!$V$10:$V$6009,1,Data!$C$10:$C$6009,2025,Data!$D$10:$D$6009,"Feb")</f>
        <v/>
      </c>
      <c r="AG5" s="75">
        <f>SUMIFS(Data!$O$10:$O$6009,Data!$V$10:$V$6009,1,Data!$C$10:$C$6009,2025,Data!$D$10:$D$6009,"Mar")</f>
        <v/>
      </c>
      <c r="AH5" s="75">
        <f>SUMIFS(Data!$O$10:$O$6009,Data!$V$10:$V$6009,1,Data!$C$10:$C$6009,2025,Data!$D$10:$D$6009,"Apr")</f>
        <v/>
      </c>
      <c r="AI5" s="75">
        <f>SUMIFS(Data!$O$10:$O$6009,Data!$V$10:$V$6009,1,Data!$C$10:$C$6009,2025,Data!$D$10:$D$6009,"May")</f>
        <v/>
      </c>
      <c r="AJ5" s="75">
        <f>SUMIFS(Data!$O$10:$O$6009,Data!$V$10:$V$6009,1,Data!$C$10:$C$6009,2025,Data!$D$10:$D$6009,"Jun")</f>
        <v/>
      </c>
      <c r="AK5" s="75">
        <f>SUMIFS(Data!$O$10:$O$6009,Data!$V$10:$V$6009,1,Data!$C$10:$C$6009,2025,Data!$D$10:$D$6009,"Jul")</f>
        <v/>
      </c>
      <c r="AL5" s="75">
        <f>SUMIFS(Data!$O$10:$O$6009,Data!$V$10:$V$6009,1,Data!$C$10:$C$6009,2025,Data!$D$10:$D$6009,"Aug")</f>
        <v/>
      </c>
      <c r="AM5" s="75">
        <f>SUMIFS(Data!$O$10:$O$6009,Data!$V$10:$V$6009,1,Data!$C$10:$C$6009,2025,Data!$D$10:$D$6009,"Sep")</f>
        <v/>
      </c>
      <c r="AN5" s="75">
        <f>SUMIFS(Data!$O$10:$O$6009,Data!$V$10:$V$6009,1,Data!$C$10:$C$6009,2025,Data!$D$10:$D$6009,"Oct")</f>
        <v/>
      </c>
      <c r="AO5" s="75">
        <f>SUMIFS(Data!$O$10:$O$6009,Data!$V$10:$V$6009,1,Data!$C$10:$C$6009,2025,Data!$D$10:$D$6009,"Nov")</f>
        <v/>
      </c>
      <c r="AP5" s="75">
        <f>SUMIFS(Data!$O$10:$O$6009,Data!$V$10:$V$6009,1,Data!$C$10:$C$6009,2025,Data!$D$10:$D$6009,"Dec")</f>
        <v/>
      </c>
      <c r="AQ5" s="75">
        <f>SUMIFS(Data!$O$10:$O$6009,Data!$V$10:$V$6009,1,Data!$C$10:$C$6009,2026,Data!$D$10:$D$6009,"Jan")</f>
        <v/>
      </c>
      <c r="AR5" s="75">
        <f>SUMIFS(Data!$O$10:$O$6009,Data!$V$10:$V$6009,1,Data!$C$10:$C$6009,2026,Data!$D$10:$D$6009,"Feb")</f>
        <v/>
      </c>
      <c r="AS5" s="75">
        <f>SUMIFS(Data!$O$10:$O$6009,Data!$V$10:$V$6009,1,Data!$C$10:$C$6009,2026,Data!$D$10:$D$6009,"Mar")</f>
        <v/>
      </c>
      <c r="AT5" s="75">
        <f>SUMIFS(Data!$O$10:$O$6009,Data!$V$10:$V$6009,1,Data!$C$10:$C$6009,2026,Data!$D$10:$D$6009,"Apr")</f>
        <v/>
      </c>
      <c r="AU5" s="75">
        <f>SUMIFS(Data!$O$10:$O$6009,Data!$V$10:$V$6009,1,Data!$C$10:$C$6009,2026,Data!$D$10:$D$6009,"May")</f>
        <v/>
      </c>
      <c r="AV5" s="75">
        <f>SUMIFS(Data!$O$10:$O$6009,Data!$V$10:$V$6009,1,Data!$C$10:$C$6009,2026,Data!$D$10:$D$6009,"Jun")</f>
        <v/>
      </c>
      <c r="AW5" s="75">
        <f>SUMIFS(Data!$O$10:$O$6009,Data!$V$10:$V$6009,1,Data!$C$10:$C$6009,2026,Data!$D$10:$D$6009,"Jul")</f>
        <v/>
      </c>
      <c r="AX5" s="75">
        <f>SUMIFS(Data!$O$10:$O$6009,Data!$V$10:$V$6009,1,Data!$C$10:$C$6009,2026,Data!$D$10:$D$6009,"Aug")</f>
        <v/>
      </c>
      <c r="AY5" s="75">
        <f>SUMIFS(Data!$O$10:$O$6009,Data!$V$10:$V$6009,1,Data!$C$10:$C$6009,2026,Data!$D$10:$D$6009,"Sep")</f>
        <v/>
      </c>
      <c r="AZ5" s="75">
        <f>SUMIFS(Data!$O$10:$O$6009,Data!$V$10:$V$6009,1,Data!$C$10:$C$6009,2026,Data!$D$10:$D$6009,"Oct")</f>
        <v/>
      </c>
      <c r="BA5" s="75">
        <f>SUMIFS(Data!$O$10:$O$6009,Data!$V$10:$V$6009,1,Data!$C$10:$C$6009,2026,Data!$D$10:$D$6009,"Nov")</f>
        <v/>
      </c>
      <c r="BB5" s="75">
        <f>SUMIFS(Data!$O$10:$O$6009,Data!$V$10:$V$6009,1,Data!$C$10:$C$6009,2026,Data!$D$10:$D$6009,"Dec")</f>
        <v/>
      </c>
    </row>
    <row r="6">
      <c r="A6" s="78" t="inlineStr">
        <is>
          <t>Feb</t>
        </is>
      </c>
      <c r="B6" s="79">
        <f>SUMIFS(Data!$O$10:$O$6009,Data!$V$10:$V$6009,1,Data!$D$10:$D$6009,$A6,Data!$C$10:$C$6009,2025)</f>
        <v/>
      </c>
      <c r="C6" s="79">
        <f>SUMIFS(Data!$O$10:$O$6009,Data!$V$10:$V$6009,1,Data!$D$10:$D$6009,$A6,Data!$C$10:$C$6009,2026)</f>
        <v/>
      </c>
      <c r="D6" s="80">
        <f>IFERROR(C6/B6-1,0)</f>
        <v/>
      </c>
      <c r="AD6" s="74" t="inlineStr">
        <is>
          <t>📦 Packs sold (trend)</t>
        </is>
      </c>
      <c r="AE6" s="75">
        <f>SUMIFS(Data!$K$10:$K$6009,Data!$V$10:$V$6009,1,Data!$C$10:$C$6009,2025,Data!$D$10:$D$6009,"Jan")</f>
        <v/>
      </c>
      <c r="AF6" s="75">
        <f>SUMIFS(Data!$K$10:$K$6009,Data!$V$10:$V$6009,1,Data!$C$10:$C$6009,2025,Data!$D$10:$D$6009,"Feb")</f>
        <v/>
      </c>
      <c r="AG6" s="75">
        <f>SUMIFS(Data!$K$10:$K$6009,Data!$V$10:$V$6009,1,Data!$C$10:$C$6009,2025,Data!$D$10:$D$6009,"Mar")</f>
        <v/>
      </c>
      <c r="AH6" s="75">
        <f>SUMIFS(Data!$K$10:$K$6009,Data!$V$10:$V$6009,1,Data!$C$10:$C$6009,2025,Data!$D$10:$D$6009,"Apr")</f>
        <v/>
      </c>
      <c r="AI6" s="75">
        <f>SUMIFS(Data!$K$10:$K$6009,Data!$V$10:$V$6009,1,Data!$C$10:$C$6009,2025,Data!$D$10:$D$6009,"May")</f>
        <v/>
      </c>
      <c r="AJ6" s="75">
        <f>SUMIFS(Data!$K$10:$K$6009,Data!$V$10:$V$6009,1,Data!$C$10:$C$6009,2025,Data!$D$10:$D$6009,"Jun")</f>
        <v/>
      </c>
      <c r="AK6" s="75">
        <f>SUMIFS(Data!$K$10:$K$6009,Data!$V$10:$V$6009,1,Data!$C$10:$C$6009,2025,Data!$D$10:$D$6009,"Jul")</f>
        <v/>
      </c>
      <c r="AL6" s="75">
        <f>SUMIFS(Data!$K$10:$K$6009,Data!$V$10:$V$6009,1,Data!$C$10:$C$6009,2025,Data!$D$10:$D$6009,"Aug")</f>
        <v/>
      </c>
      <c r="AM6" s="75">
        <f>SUMIFS(Data!$K$10:$K$6009,Data!$V$10:$V$6009,1,Data!$C$10:$C$6009,2025,Data!$D$10:$D$6009,"Sep")</f>
        <v/>
      </c>
      <c r="AN6" s="75">
        <f>SUMIFS(Data!$K$10:$K$6009,Data!$V$10:$V$6009,1,Data!$C$10:$C$6009,2025,Data!$D$10:$D$6009,"Oct")</f>
        <v/>
      </c>
      <c r="AO6" s="75">
        <f>SUMIFS(Data!$K$10:$K$6009,Data!$V$10:$V$6009,1,Data!$C$10:$C$6009,2025,Data!$D$10:$D$6009,"Nov")</f>
        <v/>
      </c>
      <c r="AP6" s="75">
        <f>SUMIFS(Data!$K$10:$K$6009,Data!$V$10:$V$6009,1,Data!$C$10:$C$6009,2025,Data!$D$10:$D$6009,"Dec")</f>
        <v/>
      </c>
      <c r="AQ6" s="75">
        <f>SUMIFS(Data!$K$10:$K$6009,Data!$V$10:$V$6009,1,Data!$C$10:$C$6009,2026,Data!$D$10:$D$6009,"Jan")</f>
        <v/>
      </c>
      <c r="AR6" s="75">
        <f>SUMIFS(Data!$K$10:$K$6009,Data!$V$10:$V$6009,1,Data!$C$10:$C$6009,2026,Data!$D$10:$D$6009,"Feb")</f>
        <v/>
      </c>
      <c r="AS6" s="75">
        <f>SUMIFS(Data!$K$10:$K$6009,Data!$V$10:$V$6009,1,Data!$C$10:$C$6009,2026,Data!$D$10:$D$6009,"Mar")</f>
        <v/>
      </c>
      <c r="AT6" s="75">
        <f>SUMIFS(Data!$K$10:$K$6009,Data!$V$10:$V$6009,1,Data!$C$10:$C$6009,2026,Data!$D$10:$D$6009,"Apr")</f>
        <v/>
      </c>
      <c r="AU6" s="75">
        <f>SUMIFS(Data!$K$10:$K$6009,Data!$V$10:$V$6009,1,Data!$C$10:$C$6009,2026,Data!$D$10:$D$6009,"May")</f>
        <v/>
      </c>
      <c r="AV6" s="75">
        <f>SUMIFS(Data!$K$10:$K$6009,Data!$V$10:$V$6009,1,Data!$C$10:$C$6009,2026,Data!$D$10:$D$6009,"Jun")</f>
        <v/>
      </c>
      <c r="AW6" s="75">
        <f>SUMIFS(Data!$K$10:$K$6009,Data!$V$10:$V$6009,1,Data!$C$10:$C$6009,2026,Data!$D$10:$D$6009,"Jul")</f>
        <v/>
      </c>
      <c r="AX6" s="75">
        <f>SUMIFS(Data!$K$10:$K$6009,Data!$V$10:$V$6009,1,Data!$C$10:$C$6009,2026,Data!$D$10:$D$6009,"Aug")</f>
        <v/>
      </c>
      <c r="AY6" s="75">
        <f>SUMIFS(Data!$K$10:$K$6009,Data!$V$10:$V$6009,1,Data!$C$10:$C$6009,2026,Data!$D$10:$D$6009,"Sep")</f>
        <v/>
      </c>
      <c r="AZ6" s="75">
        <f>SUMIFS(Data!$K$10:$K$6009,Data!$V$10:$V$6009,1,Data!$C$10:$C$6009,2026,Data!$D$10:$D$6009,"Oct")</f>
        <v/>
      </c>
      <c r="BA6" s="75">
        <f>SUMIFS(Data!$K$10:$K$6009,Data!$V$10:$V$6009,1,Data!$C$10:$C$6009,2026,Data!$D$10:$D$6009,"Nov")</f>
        <v/>
      </c>
      <c r="BB6" s="75">
        <f>SUMIFS(Data!$K$10:$K$6009,Data!$V$10:$V$6009,1,Data!$C$10:$C$6009,2026,Data!$D$10:$D$6009,"Dec")</f>
        <v/>
      </c>
    </row>
    <row r="7">
      <c r="A7" s="78" t="inlineStr">
        <is>
          <t>Mar</t>
        </is>
      </c>
      <c r="B7" s="79">
        <f>SUMIFS(Data!$O$10:$O$6009,Data!$V$10:$V$6009,1,Data!$D$10:$D$6009,$A7,Data!$C$10:$C$6009,2025)</f>
        <v/>
      </c>
      <c r="C7" s="79">
        <f>SUMIFS(Data!$O$10:$O$6009,Data!$V$10:$V$6009,1,Data!$D$10:$D$6009,$A7,Data!$C$10:$C$6009,2026)</f>
        <v/>
      </c>
      <c r="D7" s="80">
        <f>IFERROR(C7/B7-1,0)</f>
        <v/>
      </c>
      <c r="AD7" s="74" t="inlineStr">
        <is>
          <t>🏷️ Discount % (trend)</t>
        </is>
      </c>
      <c r="AE7" s="75">
        <f>IFERROR(SUMIFS(Data!$N$10:$N$6009,Data!$V$10:$V$6009,1,Data!$C$10:$C$6009,2025,Data!$D$10:$D$6009,"Jan")/SUMIFS(Data!$M$10:$M$6009,Data!$V$10:$V$6009,1,Data!$C$10:$C$6009,2025,Data!$D$10:$D$6009,"Jan"),0)</f>
        <v/>
      </c>
      <c r="AF7" s="75">
        <f>IFERROR(SUMIFS(Data!$N$10:$N$6009,Data!$V$10:$V$6009,1,Data!$C$10:$C$6009,2025,Data!$D$10:$D$6009,"Feb")/SUMIFS(Data!$M$10:$M$6009,Data!$V$10:$V$6009,1,Data!$C$10:$C$6009,2025,Data!$D$10:$D$6009,"Feb"),0)</f>
        <v/>
      </c>
      <c r="AG7" s="75">
        <f>IFERROR(SUMIFS(Data!$N$10:$N$6009,Data!$V$10:$V$6009,1,Data!$C$10:$C$6009,2025,Data!$D$10:$D$6009,"Mar")/SUMIFS(Data!$M$10:$M$6009,Data!$V$10:$V$6009,1,Data!$C$10:$C$6009,2025,Data!$D$10:$D$6009,"Mar"),0)</f>
        <v/>
      </c>
      <c r="AH7" s="75">
        <f>IFERROR(SUMIFS(Data!$N$10:$N$6009,Data!$V$10:$V$6009,1,Data!$C$10:$C$6009,2025,Data!$D$10:$D$6009,"Apr")/SUMIFS(Data!$M$10:$M$6009,Data!$V$10:$V$6009,1,Data!$C$10:$C$6009,2025,Data!$D$10:$D$6009,"Apr"),0)</f>
        <v/>
      </c>
      <c r="AI7" s="75">
        <f>IFERROR(SUMIFS(Data!$N$10:$N$6009,Data!$V$10:$V$6009,1,Data!$C$10:$C$6009,2025,Data!$D$10:$D$6009,"May")/SUMIFS(Data!$M$10:$M$6009,Data!$V$10:$V$6009,1,Data!$C$10:$C$6009,2025,Data!$D$10:$D$6009,"May"),0)</f>
        <v/>
      </c>
      <c r="AJ7" s="75">
        <f>IFERROR(SUMIFS(Data!$N$10:$N$6009,Data!$V$10:$V$6009,1,Data!$C$10:$C$6009,2025,Data!$D$10:$D$6009,"Jun")/SUMIFS(Data!$M$10:$M$6009,Data!$V$10:$V$6009,1,Data!$C$10:$C$6009,2025,Data!$D$10:$D$6009,"Jun"),0)</f>
        <v/>
      </c>
      <c r="AK7" s="75">
        <f>IFERROR(SUMIFS(Data!$N$10:$N$6009,Data!$V$10:$V$6009,1,Data!$C$10:$C$6009,2025,Data!$D$10:$D$6009,"Jul")/SUMIFS(Data!$M$10:$M$6009,Data!$V$10:$V$6009,1,Data!$C$10:$C$6009,2025,Data!$D$10:$D$6009,"Jul"),0)</f>
        <v/>
      </c>
      <c r="AL7" s="75">
        <f>IFERROR(SUMIFS(Data!$N$10:$N$6009,Data!$V$10:$V$6009,1,Data!$C$10:$C$6009,2025,Data!$D$10:$D$6009,"Aug")/SUMIFS(Data!$M$10:$M$6009,Data!$V$10:$V$6009,1,Data!$C$10:$C$6009,2025,Data!$D$10:$D$6009,"Aug"),0)</f>
        <v/>
      </c>
      <c r="AM7" s="75">
        <f>IFERROR(SUMIFS(Data!$N$10:$N$6009,Data!$V$10:$V$6009,1,Data!$C$10:$C$6009,2025,Data!$D$10:$D$6009,"Sep")/SUMIFS(Data!$M$10:$M$6009,Data!$V$10:$V$6009,1,Data!$C$10:$C$6009,2025,Data!$D$10:$D$6009,"Sep"),0)</f>
        <v/>
      </c>
      <c r="AN7" s="75">
        <f>IFERROR(SUMIFS(Data!$N$10:$N$6009,Data!$V$10:$V$6009,1,Data!$C$10:$C$6009,2025,Data!$D$10:$D$6009,"Oct")/SUMIFS(Data!$M$10:$M$6009,Data!$V$10:$V$6009,1,Data!$C$10:$C$6009,2025,Data!$D$10:$D$6009,"Oct"),0)</f>
        <v/>
      </c>
      <c r="AO7" s="75">
        <f>IFERROR(SUMIFS(Data!$N$10:$N$6009,Data!$V$10:$V$6009,1,Data!$C$10:$C$6009,2025,Data!$D$10:$D$6009,"Nov")/SUMIFS(Data!$M$10:$M$6009,Data!$V$10:$V$6009,1,Data!$C$10:$C$6009,2025,Data!$D$10:$D$6009,"Nov"),0)</f>
        <v/>
      </c>
      <c r="AP7" s="75">
        <f>IFERROR(SUMIFS(Data!$N$10:$N$6009,Data!$V$10:$V$6009,1,Data!$C$10:$C$6009,2025,Data!$D$10:$D$6009,"Dec")/SUMIFS(Data!$M$10:$M$6009,Data!$V$10:$V$6009,1,Data!$C$10:$C$6009,2025,Data!$D$10:$D$6009,"Dec"),0)</f>
        <v/>
      </c>
      <c r="AQ7" s="75">
        <f>IFERROR(SUMIFS(Data!$N$10:$N$6009,Data!$V$10:$V$6009,1,Data!$C$10:$C$6009,2026,Data!$D$10:$D$6009,"Jan")/SUMIFS(Data!$M$10:$M$6009,Data!$V$10:$V$6009,1,Data!$C$10:$C$6009,2026,Data!$D$10:$D$6009,"Jan"),0)</f>
        <v/>
      </c>
      <c r="AR7" s="75">
        <f>IFERROR(SUMIFS(Data!$N$10:$N$6009,Data!$V$10:$V$6009,1,Data!$C$10:$C$6009,2026,Data!$D$10:$D$6009,"Feb")/SUMIFS(Data!$M$10:$M$6009,Data!$V$10:$V$6009,1,Data!$C$10:$C$6009,2026,Data!$D$10:$D$6009,"Feb"),0)</f>
        <v/>
      </c>
      <c r="AS7" s="75">
        <f>IFERROR(SUMIFS(Data!$N$10:$N$6009,Data!$V$10:$V$6009,1,Data!$C$10:$C$6009,2026,Data!$D$10:$D$6009,"Mar")/SUMIFS(Data!$M$10:$M$6009,Data!$V$10:$V$6009,1,Data!$C$10:$C$6009,2026,Data!$D$10:$D$6009,"Mar"),0)</f>
        <v/>
      </c>
      <c r="AT7" s="75">
        <f>IFERROR(SUMIFS(Data!$N$10:$N$6009,Data!$V$10:$V$6009,1,Data!$C$10:$C$6009,2026,Data!$D$10:$D$6009,"Apr")/SUMIFS(Data!$M$10:$M$6009,Data!$V$10:$V$6009,1,Data!$C$10:$C$6009,2026,Data!$D$10:$D$6009,"Apr"),0)</f>
        <v/>
      </c>
      <c r="AU7" s="75">
        <f>IFERROR(SUMIFS(Data!$N$10:$N$6009,Data!$V$10:$V$6009,1,Data!$C$10:$C$6009,2026,Data!$D$10:$D$6009,"May")/SUMIFS(Data!$M$10:$M$6009,Data!$V$10:$V$6009,1,Data!$C$10:$C$6009,2026,Data!$D$10:$D$6009,"May"),0)</f>
        <v/>
      </c>
      <c r="AV7" s="75">
        <f>IFERROR(SUMIFS(Data!$N$10:$N$6009,Data!$V$10:$V$6009,1,Data!$C$10:$C$6009,2026,Data!$D$10:$D$6009,"Jun")/SUMIFS(Data!$M$10:$M$6009,Data!$V$10:$V$6009,1,Data!$C$10:$C$6009,2026,Data!$D$10:$D$6009,"Jun"),0)</f>
        <v/>
      </c>
      <c r="AW7" s="75">
        <f>IFERROR(SUMIFS(Data!$N$10:$N$6009,Data!$V$10:$V$6009,1,Data!$C$10:$C$6009,2026,Data!$D$10:$D$6009,"Jul")/SUMIFS(Data!$M$10:$M$6009,Data!$V$10:$V$6009,1,Data!$C$10:$C$6009,2026,Data!$D$10:$D$6009,"Jul"),0)</f>
        <v/>
      </c>
      <c r="AX7" s="75">
        <f>IFERROR(SUMIFS(Data!$N$10:$N$6009,Data!$V$10:$V$6009,1,Data!$C$10:$C$6009,2026,Data!$D$10:$D$6009,"Aug")/SUMIFS(Data!$M$10:$M$6009,Data!$V$10:$V$6009,1,Data!$C$10:$C$6009,2026,Data!$D$10:$D$6009,"Aug"),0)</f>
        <v/>
      </c>
      <c r="AY7" s="75">
        <f>IFERROR(SUMIFS(Data!$N$10:$N$6009,Data!$V$10:$V$6009,1,Data!$C$10:$C$6009,2026,Data!$D$10:$D$6009,"Sep")/SUMIFS(Data!$M$10:$M$6009,Data!$V$10:$V$6009,1,Data!$C$10:$C$6009,2026,Data!$D$10:$D$6009,"Sep"),0)</f>
        <v/>
      </c>
      <c r="AZ7" s="75">
        <f>IFERROR(SUMIFS(Data!$N$10:$N$6009,Data!$V$10:$V$6009,1,Data!$C$10:$C$6009,2026,Data!$D$10:$D$6009,"Oct")/SUMIFS(Data!$M$10:$M$6009,Data!$V$10:$V$6009,1,Data!$C$10:$C$6009,2026,Data!$D$10:$D$6009,"Oct"),0)</f>
        <v/>
      </c>
      <c r="BA7" s="75">
        <f>IFERROR(SUMIFS(Data!$N$10:$N$6009,Data!$V$10:$V$6009,1,Data!$C$10:$C$6009,2026,Data!$D$10:$D$6009,"Nov")/SUMIFS(Data!$M$10:$M$6009,Data!$V$10:$V$6009,1,Data!$C$10:$C$6009,2026,Data!$D$10:$D$6009,"Nov"),0)</f>
        <v/>
      </c>
      <c r="BB7" s="75">
        <f>IFERROR(SUMIFS(Data!$N$10:$N$6009,Data!$V$10:$V$6009,1,Data!$C$10:$C$6009,2026,Data!$D$10:$D$6009,"Dec")/SUMIFS(Data!$M$10:$M$6009,Data!$V$10:$V$6009,1,Data!$C$10:$C$6009,2026,Data!$D$10:$D$6009,"Dec"),0)</f>
        <v/>
      </c>
    </row>
    <row r="8">
      <c r="A8" s="78" t="inlineStr">
        <is>
          <t>Apr</t>
        </is>
      </c>
      <c r="B8" s="79">
        <f>SUMIFS(Data!$O$10:$O$6009,Data!$V$10:$V$6009,1,Data!$D$10:$D$6009,$A8,Data!$C$10:$C$6009,2025)</f>
        <v/>
      </c>
      <c r="C8" s="79">
        <f>SUMIFS(Data!$O$10:$O$6009,Data!$V$10:$V$6009,1,Data!$D$10:$D$6009,$A8,Data!$C$10:$C$6009,2026)</f>
        <v/>
      </c>
      <c r="D8" s="80">
        <f>IFERROR(C8/B8-1,0)</f>
        <v/>
      </c>
      <c r="AD8" s="74" t="inlineStr">
        <is>
          <t>📝 Prescriptions (trend)</t>
        </is>
      </c>
      <c r="AE8" s="75">
        <f>SUMIFS(Data!$S$10:$S$6009,Data!$V$10:$V$6009,1,Data!$C$10:$C$6009,2025,Data!$D$10:$D$6009,"Jan")</f>
        <v/>
      </c>
      <c r="AF8" s="75">
        <f>SUMIFS(Data!$S$10:$S$6009,Data!$V$10:$V$6009,1,Data!$C$10:$C$6009,2025,Data!$D$10:$D$6009,"Feb")</f>
        <v/>
      </c>
      <c r="AG8" s="75">
        <f>SUMIFS(Data!$S$10:$S$6009,Data!$V$10:$V$6009,1,Data!$C$10:$C$6009,2025,Data!$D$10:$D$6009,"Mar")</f>
        <v/>
      </c>
      <c r="AH8" s="75">
        <f>SUMIFS(Data!$S$10:$S$6009,Data!$V$10:$V$6009,1,Data!$C$10:$C$6009,2025,Data!$D$10:$D$6009,"Apr")</f>
        <v/>
      </c>
      <c r="AI8" s="75">
        <f>SUMIFS(Data!$S$10:$S$6009,Data!$V$10:$V$6009,1,Data!$C$10:$C$6009,2025,Data!$D$10:$D$6009,"May")</f>
        <v/>
      </c>
      <c r="AJ8" s="75">
        <f>SUMIFS(Data!$S$10:$S$6009,Data!$V$10:$V$6009,1,Data!$C$10:$C$6009,2025,Data!$D$10:$D$6009,"Jun")</f>
        <v/>
      </c>
      <c r="AK8" s="75">
        <f>SUMIFS(Data!$S$10:$S$6009,Data!$V$10:$V$6009,1,Data!$C$10:$C$6009,2025,Data!$D$10:$D$6009,"Jul")</f>
        <v/>
      </c>
      <c r="AL8" s="75">
        <f>SUMIFS(Data!$S$10:$S$6009,Data!$V$10:$V$6009,1,Data!$C$10:$C$6009,2025,Data!$D$10:$D$6009,"Aug")</f>
        <v/>
      </c>
      <c r="AM8" s="75">
        <f>SUMIFS(Data!$S$10:$S$6009,Data!$V$10:$V$6009,1,Data!$C$10:$C$6009,2025,Data!$D$10:$D$6009,"Sep")</f>
        <v/>
      </c>
      <c r="AN8" s="75">
        <f>SUMIFS(Data!$S$10:$S$6009,Data!$V$10:$V$6009,1,Data!$C$10:$C$6009,2025,Data!$D$10:$D$6009,"Oct")</f>
        <v/>
      </c>
      <c r="AO8" s="75">
        <f>SUMIFS(Data!$S$10:$S$6009,Data!$V$10:$V$6009,1,Data!$C$10:$C$6009,2025,Data!$D$10:$D$6009,"Nov")</f>
        <v/>
      </c>
      <c r="AP8" s="75">
        <f>SUMIFS(Data!$S$10:$S$6009,Data!$V$10:$V$6009,1,Data!$C$10:$C$6009,2025,Data!$D$10:$D$6009,"Dec")</f>
        <v/>
      </c>
      <c r="AQ8" s="75">
        <f>SUMIFS(Data!$S$10:$S$6009,Data!$V$10:$V$6009,1,Data!$C$10:$C$6009,2026,Data!$D$10:$D$6009,"Jan")</f>
        <v/>
      </c>
      <c r="AR8" s="75">
        <f>SUMIFS(Data!$S$10:$S$6009,Data!$V$10:$V$6009,1,Data!$C$10:$C$6009,2026,Data!$D$10:$D$6009,"Feb")</f>
        <v/>
      </c>
      <c r="AS8" s="75">
        <f>SUMIFS(Data!$S$10:$S$6009,Data!$V$10:$V$6009,1,Data!$C$10:$C$6009,2026,Data!$D$10:$D$6009,"Mar")</f>
        <v/>
      </c>
      <c r="AT8" s="75">
        <f>SUMIFS(Data!$S$10:$S$6009,Data!$V$10:$V$6009,1,Data!$C$10:$C$6009,2026,Data!$D$10:$D$6009,"Apr")</f>
        <v/>
      </c>
      <c r="AU8" s="75">
        <f>SUMIFS(Data!$S$10:$S$6009,Data!$V$10:$V$6009,1,Data!$C$10:$C$6009,2026,Data!$D$10:$D$6009,"May")</f>
        <v/>
      </c>
      <c r="AV8" s="75">
        <f>SUMIFS(Data!$S$10:$S$6009,Data!$V$10:$V$6009,1,Data!$C$10:$C$6009,2026,Data!$D$10:$D$6009,"Jun")</f>
        <v/>
      </c>
      <c r="AW8" s="75">
        <f>SUMIFS(Data!$S$10:$S$6009,Data!$V$10:$V$6009,1,Data!$C$10:$C$6009,2026,Data!$D$10:$D$6009,"Jul")</f>
        <v/>
      </c>
      <c r="AX8" s="75">
        <f>SUMIFS(Data!$S$10:$S$6009,Data!$V$10:$V$6009,1,Data!$C$10:$C$6009,2026,Data!$D$10:$D$6009,"Aug")</f>
        <v/>
      </c>
      <c r="AY8" s="75">
        <f>SUMIFS(Data!$S$10:$S$6009,Data!$V$10:$V$6009,1,Data!$C$10:$C$6009,2026,Data!$D$10:$D$6009,"Sep")</f>
        <v/>
      </c>
      <c r="AZ8" s="75">
        <f>SUMIFS(Data!$S$10:$S$6009,Data!$V$10:$V$6009,1,Data!$C$10:$C$6009,2026,Data!$D$10:$D$6009,"Oct")</f>
        <v/>
      </c>
      <c r="BA8" s="75">
        <f>SUMIFS(Data!$S$10:$S$6009,Data!$V$10:$V$6009,1,Data!$C$10:$C$6009,2026,Data!$D$10:$D$6009,"Nov")</f>
        <v/>
      </c>
      <c r="BB8" s="75">
        <f>SUMIFS(Data!$S$10:$S$6009,Data!$V$10:$V$6009,1,Data!$C$10:$C$6009,2026,Data!$D$10:$D$6009,"Dec")</f>
        <v/>
      </c>
    </row>
    <row r="9">
      <c r="A9" s="78" t="inlineStr">
        <is>
          <t>May</t>
        </is>
      </c>
      <c r="B9" s="79">
        <f>SUMIFS(Data!$O$10:$O$6009,Data!$V$10:$V$6009,1,Data!$D$10:$D$6009,$A9,Data!$C$10:$C$6009,2025)</f>
        <v/>
      </c>
      <c r="C9" s="79">
        <f>SUMIFS(Data!$O$10:$O$6009,Data!$V$10:$V$6009,1,Data!$D$10:$D$6009,$A9,Data!$C$10:$C$6009,2026)</f>
        <v/>
      </c>
      <c r="D9" s="80">
        <f>IFERROR(C9/B9-1,0)</f>
        <v/>
      </c>
      <c r="AD9" s="74" t="inlineStr">
        <is>
          <t>💊 Revenue per Rx (trend)</t>
        </is>
      </c>
      <c r="AE9" s="75">
        <f>IFERROR(SUMIFS(Data!$O$10:$O$6009,Data!$V$10:$V$6009,1,Data!$C$10:$C$6009,2025,Data!$D$10:$D$6009,"Jan")/SUMIFS(Data!$S$10:$S$6009,Data!$V$10:$V$6009,1,Data!$C$10:$C$6009,2025,Data!$D$10:$D$6009,"Jan"),0)</f>
        <v/>
      </c>
      <c r="AF9" s="75">
        <f>IFERROR(SUMIFS(Data!$O$10:$O$6009,Data!$V$10:$V$6009,1,Data!$C$10:$C$6009,2025,Data!$D$10:$D$6009,"Feb")/SUMIFS(Data!$S$10:$S$6009,Data!$V$10:$V$6009,1,Data!$C$10:$C$6009,2025,Data!$D$10:$D$6009,"Feb"),0)</f>
        <v/>
      </c>
      <c r="AG9" s="75">
        <f>IFERROR(SUMIFS(Data!$O$10:$O$6009,Data!$V$10:$V$6009,1,Data!$C$10:$C$6009,2025,Data!$D$10:$D$6009,"Mar")/SUMIFS(Data!$S$10:$S$6009,Data!$V$10:$V$6009,1,Data!$C$10:$C$6009,2025,Data!$D$10:$D$6009,"Mar"),0)</f>
        <v/>
      </c>
      <c r="AH9" s="75">
        <f>IFERROR(SUMIFS(Data!$O$10:$O$6009,Data!$V$10:$V$6009,1,Data!$C$10:$C$6009,2025,Data!$D$10:$D$6009,"Apr")/SUMIFS(Data!$S$10:$S$6009,Data!$V$10:$V$6009,1,Data!$C$10:$C$6009,2025,Data!$D$10:$D$6009,"Apr"),0)</f>
        <v/>
      </c>
      <c r="AI9" s="75">
        <f>IFERROR(SUMIFS(Data!$O$10:$O$6009,Data!$V$10:$V$6009,1,Data!$C$10:$C$6009,2025,Data!$D$10:$D$6009,"May")/SUMIFS(Data!$S$10:$S$6009,Data!$V$10:$V$6009,1,Data!$C$10:$C$6009,2025,Data!$D$10:$D$6009,"May"),0)</f>
        <v/>
      </c>
      <c r="AJ9" s="75">
        <f>IFERROR(SUMIFS(Data!$O$10:$O$6009,Data!$V$10:$V$6009,1,Data!$C$10:$C$6009,2025,Data!$D$10:$D$6009,"Jun")/SUMIFS(Data!$S$10:$S$6009,Data!$V$10:$V$6009,1,Data!$C$10:$C$6009,2025,Data!$D$10:$D$6009,"Jun"),0)</f>
        <v/>
      </c>
      <c r="AK9" s="75">
        <f>IFERROR(SUMIFS(Data!$O$10:$O$6009,Data!$V$10:$V$6009,1,Data!$C$10:$C$6009,2025,Data!$D$10:$D$6009,"Jul")/SUMIFS(Data!$S$10:$S$6009,Data!$V$10:$V$6009,1,Data!$C$10:$C$6009,2025,Data!$D$10:$D$6009,"Jul"),0)</f>
        <v/>
      </c>
      <c r="AL9" s="75">
        <f>IFERROR(SUMIFS(Data!$O$10:$O$6009,Data!$V$10:$V$6009,1,Data!$C$10:$C$6009,2025,Data!$D$10:$D$6009,"Aug")/SUMIFS(Data!$S$10:$S$6009,Data!$V$10:$V$6009,1,Data!$C$10:$C$6009,2025,Data!$D$10:$D$6009,"Aug"),0)</f>
        <v/>
      </c>
      <c r="AM9" s="75">
        <f>IFERROR(SUMIFS(Data!$O$10:$O$6009,Data!$V$10:$V$6009,1,Data!$C$10:$C$6009,2025,Data!$D$10:$D$6009,"Sep")/SUMIFS(Data!$S$10:$S$6009,Data!$V$10:$V$6009,1,Data!$C$10:$C$6009,2025,Data!$D$10:$D$6009,"Sep"),0)</f>
        <v/>
      </c>
      <c r="AN9" s="75">
        <f>IFERROR(SUMIFS(Data!$O$10:$O$6009,Data!$V$10:$V$6009,1,Data!$C$10:$C$6009,2025,Data!$D$10:$D$6009,"Oct")/SUMIFS(Data!$S$10:$S$6009,Data!$V$10:$V$6009,1,Data!$C$10:$C$6009,2025,Data!$D$10:$D$6009,"Oct"),0)</f>
        <v/>
      </c>
      <c r="AO9" s="75">
        <f>IFERROR(SUMIFS(Data!$O$10:$O$6009,Data!$V$10:$V$6009,1,Data!$C$10:$C$6009,2025,Data!$D$10:$D$6009,"Nov")/SUMIFS(Data!$S$10:$S$6009,Data!$V$10:$V$6009,1,Data!$C$10:$C$6009,2025,Data!$D$10:$D$6009,"Nov"),0)</f>
        <v/>
      </c>
      <c r="AP9" s="75">
        <f>IFERROR(SUMIFS(Data!$O$10:$O$6009,Data!$V$10:$V$6009,1,Data!$C$10:$C$6009,2025,Data!$D$10:$D$6009,"Dec")/SUMIFS(Data!$S$10:$S$6009,Data!$V$10:$V$6009,1,Data!$C$10:$C$6009,2025,Data!$D$10:$D$6009,"Dec"),0)</f>
        <v/>
      </c>
      <c r="AQ9" s="75">
        <f>IFERROR(SUMIFS(Data!$O$10:$O$6009,Data!$V$10:$V$6009,1,Data!$C$10:$C$6009,2026,Data!$D$10:$D$6009,"Jan")/SUMIFS(Data!$S$10:$S$6009,Data!$V$10:$V$6009,1,Data!$C$10:$C$6009,2026,Data!$D$10:$D$6009,"Jan"),0)</f>
        <v/>
      </c>
      <c r="AR9" s="75">
        <f>IFERROR(SUMIFS(Data!$O$10:$O$6009,Data!$V$10:$V$6009,1,Data!$C$10:$C$6009,2026,Data!$D$10:$D$6009,"Feb")/SUMIFS(Data!$S$10:$S$6009,Data!$V$10:$V$6009,1,Data!$C$10:$C$6009,2026,Data!$D$10:$D$6009,"Feb"),0)</f>
        <v/>
      </c>
      <c r="AS9" s="75">
        <f>IFERROR(SUMIFS(Data!$O$10:$O$6009,Data!$V$10:$V$6009,1,Data!$C$10:$C$6009,2026,Data!$D$10:$D$6009,"Mar")/SUMIFS(Data!$S$10:$S$6009,Data!$V$10:$V$6009,1,Data!$C$10:$C$6009,2026,Data!$D$10:$D$6009,"Mar"),0)</f>
        <v/>
      </c>
      <c r="AT9" s="75">
        <f>IFERROR(SUMIFS(Data!$O$10:$O$6009,Data!$V$10:$V$6009,1,Data!$C$10:$C$6009,2026,Data!$D$10:$D$6009,"Apr")/SUMIFS(Data!$S$10:$S$6009,Data!$V$10:$V$6009,1,Data!$C$10:$C$6009,2026,Data!$D$10:$D$6009,"Apr"),0)</f>
        <v/>
      </c>
      <c r="AU9" s="75">
        <f>IFERROR(SUMIFS(Data!$O$10:$O$6009,Data!$V$10:$V$6009,1,Data!$C$10:$C$6009,2026,Data!$D$10:$D$6009,"May")/SUMIFS(Data!$S$10:$S$6009,Data!$V$10:$V$6009,1,Data!$C$10:$C$6009,2026,Data!$D$10:$D$6009,"May"),0)</f>
        <v/>
      </c>
      <c r="AV9" s="75">
        <f>IFERROR(SUMIFS(Data!$O$10:$O$6009,Data!$V$10:$V$6009,1,Data!$C$10:$C$6009,2026,Data!$D$10:$D$6009,"Jun")/SUMIFS(Data!$S$10:$S$6009,Data!$V$10:$V$6009,1,Data!$C$10:$C$6009,2026,Data!$D$10:$D$6009,"Jun"),0)</f>
        <v/>
      </c>
      <c r="AW9" s="75">
        <f>IFERROR(SUMIFS(Data!$O$10:$O$6009,Data!$V$10:$V$6009,1,Data!$C$10:$C$6009,2026,Data!$D$10:$D$6009,"Jul")/SUMIFS(Data!$S$10:$S$6009,Data!$V$10:$V$6009,1,Data!$C$10:$C$6009,2026,Data!$D$10:$D$6009,"Jul"),0)</f>
        <v/>
      </c>
      <c r="AX9" s="75">
        <f>IFERROR(SUMIFS(Data!$O$10:$O$6009,Data!$V$10:$V$6009,1,Data!$C$10:$C$6009,2026,Data!$D$10:$D$6009,"Aug")/SUMIFS(Data!$S$10:$S$6009,Data!$V$10:$V$6009,1,Data!$C$10:$C$6009,2026,Data!$D$10:$D$6009,"Aug"),0)</f>
        <v/>
      </c>
      <c r="AY9" s="75">
        <f>IFERROR(SUMIFS(Data!$O$10:$O$6009,Data!$V$10:$V$6009,1,Data!$C$10:$C$6009,2026,Data!$D$10:$D$6009,"Sep")/SUMIFS(Data!$S$10:$S$6009,Data!$V$10:$V$6009,1,Data!$C$10:$C$6009,2026,Data!$D$10:$D$6009,"Sep"),0)</f>
        <v/>
      </c>
      <c r="AZ9" s="75">
        <f>IFERROR(SUMIFS(Data!$O$10:$O$6009,Data!$V$10:$V$6009,1,Data!$C$10:$C$6009,2026,Data!$D$10:$D$6009,"Oct")/SUMIFS(Data!$S$10:$S$6009,Data!$V$10:$V$6009,1,Data!$C$10:$C$6009,2026,Data!$D$10:$D$6009,"Oct"),0)</f>
        <v/>
      </c>
      <c r="BA9" s="75">
        <f>IFERROR(SUMIFS(Data!$O$10:$O$6009,Data!$V$10:$V$6009,1,Data!$C$10:$C$6009,2026,Data!$D$10:$D$6009,"Nov")/SUMIFS(Data!$S$10:$S$6009,Data!$V$10:$V$6009,1,Data!$C$10:$C$6009,2026,Data!$D$10:$D$6009,"Nov"),0)</f>
        <v/>
      </c>
      <c r="BB9" s="75">
        <f>IFERROR(SUMIFS(Data!$O$10:$O$6009,Data!$V$10:$V$6009,1,Data!$C$10:$C$6009,2026,Data!$D$10:$D$6009,"Dec")/SUMIFS(Data!$S$10:$S$6009,Data!$V$10:$V$6009,1,Data!$C$10:$C$6009,2026,Data!$D$10:$D$6009,"Dec"),0)</f>
        <v/>
      </c>
    </row>
    <row r="10">
      <c r="A10" s="78" t="inlineStr">
        <is>
          <t>Jun</t>
        </is>
      </c>
      <c r="B10" s="79">
        <f>SUMIFS(Data!$O$10:$O$6009,Data!$V$10:$V$6009,1,Data!$D$10:$D$6009,$A10,Data!$C$10:$C$6009,2025)</f>
        <v/>
      </c>
      <c r="C10" s="79">
        <f>SUMIFS(Data!$O$10:$O$6009,Data!$V$10:$V$6009,1,Data!$D$10:$D$6009,$A10,Data!$C$10:$C$6009,2026)</f>
        <v/>
      </c>
      <c r="D10" s="80">
        <f>IFERROR(C10/B10-1,0)</f>
        <v/>
      </c>
      <c r="AD10" s="74" t="inlineStr">
        <is>
          <t>🔬 R&amp;D % of revenue (trend)</t>
        </is>
      </c>
      <c r="AE10" s="75">
        <f>IFERROR(SUMIFS(Data!$T$10:$T$6009,Data!$V$10:$V$6009,1,Data!$C$10:$C$6009,2025,Data!$D$10:$D$6009,"Jan")/SUMIFS(Data!$O$10:$O$6009,Data!$V$10:$V$6009,1,Data!$C$10:$C$6009,2025,Data!$D$10:$D$6009,"Jan"),0)</f>
        <v/>
      </c>
      <c r="AF10" s="75">
        <f>IFERROR(SUMIFS(Data!$T$10:$T$6009,Data!$V$10:$V$6009,1,Data!$C$10:$C$6009,2025,Data!$D$10:$D$6009,"Feb")/SUMIFS(Data!$O$10:$O$6009,Data!$V$10:$V$6009,1,Data!$C$10:$C$6009,2025,Data!$D$10:$D$6009,"Feb"),0)</f>
        <v/>
      </c>
      <c r="AG10" s="75">
        <f>IFERROR(SUMIFS(Data!$T$10:$T$6009,Data!$V$10:$V$6009,1,Data!$C$10:$C$6009,2025,Data!$D$10:$D$6009,"Mar")/SUMIFS(Data!$O$10:$O$6009,Data!$V$10:$V$6009,1,Data!$C$10:$C$6009,2025,Data!$D$10:$D$6009,"Mar"),0)</f>
        <v/>
      </c>
      <c r="AH10" s="75">
        <f>IFERROR(SUMIFS(Data!$T$10:$T$6009,Data!$V$10:$V$6009,1,Data!$C$10:$C$6009,2025,Data!$D$10:$D$6009,"Apr")/SUMIFS(Data!$O$10:$O$6009,Data!$V$10:$V$6009,1,Data!$C$10:$C$6009,2025,Data!$D$10:$D$6009,"Apr"),0)</f>
        <v/>
      </c>
      <c r="AI10" s="75">
        <f>IFERROR(SUMIFS(Data!$T$10:$T$6009,Data!$V$10:$V$6009,1,Data!$C$10:$C$6009,2025,Data!$D$10:$D$6009,"May")/SUMIFS(Data!$O$10:$O$6009,Data!$V$10:$V$6009,1,Data!$C$10:$C$6009,2025,Data!$D$10:$D$6009,"May"),0)</f>
        <v/>
      </c>
      <c r="AJ10" s="75">
        <f>IFERROR(SUMIFS(Data!$T$10:$T$6009,Data!$V$10:$V$6009,1,Data!$C$10:$C$6009,2025,Data!$D$10:$D$6009,"Jun")/SUMIFS(Data!$O$10:$O$6009,Data!$V$10:$V$6009,1,Data!$C$10:$C$6009,2025,Data!$D$10:$D$6009,"Jun"),0)</f>
        <v/>
      </c>
      <c r="AK10" s="75">
        <f>IFERROR(SUMIFS(Data!$T$10:$T$6009,Data!$V$10:$V$6009,1,Data!$C$10:$C$6009,2025,Data!$D$10:$D$6009,"Jul")/SUMIFS(Data!$O$10:$O$6009,Data!$V$10:$V$6009,1,Data!$C$10:$C$6009,2025,Data!$D$10:$D$6009,"Jul"),0)</f>
        <v/>
      </c>
      <c r="AL10" s="75">
        <f>IFERROR(SUMIFS(Data!$T$10:$T$6009,Data!$V$10:$V$6009,1,Data!$C$10:$C$6009,2025,Data!$D$10:$D$6009,"Aug")/SUMIFS(Data!$O$10:$O$6009,Data!$V$10:$V$6009,1,Data!$C$10:$C$6009,2025,Data!$D$10:$D$6009,"Aug"),0)</f>
        <v/>
      </c>
      <c r="AM10" s="75">
        <f>IFERROR(SUMIFS(Data!$T$10:$T$6009,Data!$V$10:$V$6009,1,Data!$C$10:$C$6009,2025,Data!$D$10:$D$6009,"Sep")/SUMIFS(Data!$O$10:$O$6009,Data!$V$10:$V$6009,1,Data!$C$10:$C$6009,2025,Data!$D$10:$D$6009,"Sep"),0)</f>
        <v/>
      </c>
      <c r="AN10" s="75">
        <f>IFERROR(SUMIFS(Data!$T$10:$T$6009,Data!$V$10:$V$6009,1,Data!$C$10:$C$6009,2025,Data!$D$10:$D$6009,"Oct")/SUMIFS(Data!$O$10:$O$6009,Data!$V$10:$V$6009,1,Data!$C$10:$C$6009,2025,Data!$D$10:$D$6009,"Oct"),0)</f>
        <v/>
      </c>
      <c r="AO10" s="75">
        <f>IFERROR(SUMIFS(Data!$T$10:$T$6009,Data!$V$10:$V$6009,1,Data!$C$10:$C$6009,2025,Data!$D$10:$D$6009,"Nov")/SUMIFS(Data!$O$10:$O$6009,Data!$V$10:$V$6009,1,Data!$C$10:$C$6009,2025,Data!$D$10:$D$6009,"Nov"),0)</f>
        <v/>
      </c>
      <c r="AP10" s="75">
        <f>IFERROR(SUMIFS(Data!$T$10:$T$6009,Data!$V$10:$V$6009,1,Data!$C$10:$C$6009,2025,Data!$D$10:$D$6009,"Dec")/SUMIFS(Data!$O$10:$O$6009,Data!$V$10:$V$6009,1,Data!$C$10:$C$6009,2025,Data!$D$10:$D$6009,"Dec"),0)</f>
        <v/>
      </c>
      <c r="AQ10" s="75">
        <f>IFERROR(SUMIFS(Data!$T$10:$T$6009,Data!$V$10:$V$6009,1,Data!$C$10:$C$6009,2026,Data!$D$10:$D$6009,"Jan")/SUMIFS(Data!$O$10:$O$6009,Data!$V$10:$V$6009,1,Data!$C$10:$C$6009,2026,Data!$D$10:$D$6009,"Jan"),0)</f>
        <v/>
      </c>
      <c r="AR10" s="75">
        <f>IFERROR(SUMIFS(Data!$T$10:$T$6009,Data!$V$10:$V$6009,1,Data!$C$10:$C$6009,2026,Data!$D$10:$D$6009,"Feb")/SUMIFS(Data!$O$10:$O$6009,Data!$V$10:$V$6009,1,Data!$C$10:$C$6009,2026,Data!$D$10:$D$6009,"Feb"),0)</f>
        <v/>
      </c>
      <c r="AS10" s="75">
        <f>IFERROR(SUMIFS(Data!$T$10:$T$6009,Data!$V$10:$V$6009,1,Data!$C$10:$C$6009,2026,Data!$D$10:$D$6009,"Mar")/SUMIFS(Data!$O$10:$O$6009,Data!$V$10:$V$6009,1,Data!$C$10:$C$6009,2026,Data!$D$10:$D$6009,"Mar"),0)</f>
        <v/>
      </c>
      <c r="AT10" s="75">
        <f>IFERROR(SUMIFS(Data!$T$10:$T$6009,Data!$V$10:$V$6009,1,Data!$C$10:$C$6009,2026,Data!$D$10:$D$6009,"Apr")/SUMIFS(Data!$O$10:$O$6009,Data!$V$10:$V$6009,1,Data!$C$10:$C$6009,2026,Data!$D$10:$D$6009,"Apr"),0)</f>
        <v/>
      </c>
      <c r="AU10" s="75">
        <f>IFERROR(SUMIFS(Data!$T$10:$T$6009,Data!$V$10:$V$6009,1,Data!$C$10:$C$6009,2026,Data!$D$10:$D$6009,"May")/SUMIFS(Data!$O$10:$O$6009,Data!$V$10:$V$6009,1,Data!$C$10:$C$6009,2026,Data!$D$10:$D$6009,"May"),0)</f>
        <v/>
      </c>
      <c r="AV10" s="75">
        <f>IFERROR(SUMIFS(Data!$T$10:$T$6009,Data!$V$10:$V$6009,1,Data!$C$10:$C$6009,2026,Data!$D$10:$D$6009,"Jun")/SUMIFS(Data!$O$10:$O$6009,Data!$V$10:$V$6009,1,Data!$C$10:$C$6009,2026,Data!$D$10:$D$6009,"Jun"),0)</f>
        <v/>
      </c>
      <c r="AW10" s="75">
        <f>IFERROR(SUMIFS(Data!$T$10:$T$6009,Data!$V$10:$V$6009,1,Data!$C$10:$C$6009,2026,Data!$D$10:$D$6009,"Jul")/SUMIFS(Data!$O$10:$O$6009,Data!$V$10:$V$6009,1,Data!$C$10:$C$6009,2026,Data!$D$10:$D$6009,"Jul"),0)</f>
        <v/>
      </c>
      <c r="AX10" s="75">
        <f>IFERROR(SUMIFS(Data!$T$10:$T$6009,Data!$V$10:$V$6009,1,Data!$C$10:$C$6009,2026,Data!$D$10:$D$6009,"Aug")/SUMIFS(Data!$O$10:$O$6009,Data!$V$10:$V$6009,1,Data!$C$10:$C$6009,2026,Data!$D$10:$D$6009,"Aug"),0)</f>
        <v/>
      </c>
      <c r="AY10" s="75">
        <f>IFERROR(SUMIFS(Data!$T$10:$T$6009,Data!$V$10:$V$6009,1,Data!$C$10:$C$6009,2026,Data!$D$10:$D$6009,"Sep")/SUMIFS(Data!$O$10:$O$6009,Data!$V$10:$V$6009,1,Data!$C$10:$C$6009,2026,Data!$D$10:$D$6009,"Sep"),0)</f>
        <v/>
      </c>
      <c r="AZ10" s="75">
        <f>IFERROR(SUMIFS(Data!$T$10:$T$6009,Data!$V$10:$V$6009,1,Data!$C$10:$C$6009,2026,Data!$D$10:$D$6009,"Oct")/SUMIFS(Data!$O$10:$O$6009,Data!$V$10:$V$6009,1,Data!$C$10:$C$6009,2026,Data!$D$10:$D$6009,"Oct"),0)</f>
        <v/>
      </c>
      <c r="BA10" s="75">
        <f>IFERROR(SUMIFS(Data!$T$10:$T$6009,Data!$V$10:$V$6009,1,Data!$C$10:$C$6009,2026,Data!$D$10:$D$6009,"Nov")/SUMIFS(Data!$O$10:$O$6009,Data!$V$10:$V$6009,1,Data!$C$10:$C$6009,2026,Data!$D$10:$D$6009,"Nov"),0)</f>
        <v/>
      </c>
      <c r="BB10" s="75">
        <f>IFERROR(SUMIFS(Data!$T$10:$T$6009,Data!$V$10:$V$6009,1,Data!$C$10:$C$6009,2026,Data!$D$10:$D$6009,"Dec")/SUMIFS(Data!$O$10:$O$6009,Data!$V$10:$V$6009,1,Data!$C$10:$C$6009,2026,Data!$D$10:$D$6009,"Dec"),0)</f>
        <v/>
      </c>
    </row>
    <row r="11">
      <c r="A11" s="78" t="inlineStr">
        <is>
          <t>Jul</t>
        </is>
      </c>
      <c r="B11" s="79">
        <f>SUMIFS(Data!$O$10:$O$6009,Data!$V$10:$V$6009,1,Data!$D$10:$D$6009,$A11,Data!$C$10:$C$6009,2025)</f>
        <v/>
      </c>
      <c r="C11" s="79">
        <f>SUMIFS(Data!$O$10:$O$6009,Data!$V$10:$V$6009,1,Data!$D$10:$D$6009,$A11,Data!$C$10:$C$6009,2026)</f>
        <v/>
      </c>
      <c r="D11" s="80">
        <f>IFERROR(C11/B11-1,0)</f>
        <v/>
      </c>
      <c r="AD11" s="74" t="inlineStr">
        <is>
          <t>⏳ Patent-risk revenue (trend)</t>
        </is>
      </c>
      <c r="AE11" s="75">
        <f>IFERROR(SUMIFS(Data!$O$10:$O$6009,Data!$V$10:$V$6009,1,Data!$C$10:$C$6009,2025,Data!$D$10:$D$6009,"Jan",Data!$U$10:$U$6009,"High")/SUMIFS(Data!$O$10:$O$6009,Data!$V$10:$V$6009,1,Data!$C$10:$C$6009,2025,Data!$D$10:$D$6009,"Jan"),0)</f>
        <v/>
      </c>
      <c r="AF11" s="75">
        <f>IFERROR(SUMIFS(Data!$O$10:$O$6009,Data!$V$10:$V$6009,1,Data!$C$10:$C$6009,2025,Data!$D$10:$D$6009,"Feb",Data!$U$10:$U$6009,"High")/SUMIFS(Data!$O$10:$O$6009,Data!$V$10:$V$6009,1,Data!$C$10:$C$6009,2025,Data!$D$10:$D$6009,"Feb"),0)</f>
        <v/>
      </c>
      <c r="AG11" s="75">
        <f>IFERROR(SUMIFS(Data!$O$10:$O$6009,Data!$V$10:$V$6009,1,Data!$C$10:$C$6009,2025,Data!$D$10:$D$6009,"Mar",Data!$U$10:$U$6009,"High")/SUMIFS(Data!$O$10:$O$6009,Data!$V$10:$V$6009,1,Data!$C$10:$C$6009,2025,Data!$D$10:$D$6009,"Mar"),0)</f>
        <v/>
      </c>
      <c r="AH11" s="75">
        <f>IFERROR(SUMIFS(Data!$O$10:$O$6009,Data!$V$10:$V$6009,1,Data!$C$10:$C$6009,2025,Data!$D$10:$D$6009,"Apr",Data!$U$10:$U$6009,"High")/SUMIFS(Data!$O$10:$O$6009,Data!$V$10:$V$6009,1,Data!$C$10:$C$6009,2025,Data!$D$10:$D$6009,"Apr"),0)</f>
        <v/>
      </c>
      <c r="AI11" s="75">
        <f>IFERROR(SUMIFS(Data!$O$10:$O$6009,Data!$V$10:$V$6009,1,Data!$C$10:$C$6009,2025,Data!$D$10:$D$6009,"May",Data!$U$10:$U$6009,"High")/SUMIFS(Data!$O$10:$O$6009,Data!$V$10:$V$6009,1,Data!$C$10:$C$6009,2025,Data!$D$10:$D$6009,"May"),0)</f>
        <v/>
      </c>
      <c r="AJ11" s="75">
        <f>IFERROR(SUMIFS(Data!$O$10:$O$6009,Data!$V$10:$V$6009,1,Data!$C$10:$C$6009,2025,Data!$D$10:$D$6009,"Jun",Data!$U$10:$U$6009,"High")/SUMIFS(Data!$O$10:$O$6009,Data!$V$10:$V$6009,1,Data!$C$10:$C$6009,2025,Data!$D$10:$D$6009,"Jun"),0)</f>
        <v/>
      </c>
      <c r="AK11" s="75">
        <f>IFERROR(SUMIFS(Data!$O$10:$O$6009,Data!$V$10:$V$6009,1,Data!$C$10:$C$6009,2025,Data!$D$10:$D$6009,"Jul",Data!$U$10:$U$6009,"High")/SUMIFS(Data!$O$10:$O$6009,Data!$V$10:$V$6009,1,Data!$C$10:$C$6009,2025,Data!$D$10:$D$6009,"Jul"),0)</f>
        <v/>
      </c>
      <c r="AL11" s="75">
        <f>IFERROR(SUMIFS(Data!$O$10:$O$6009,Data!$V$10:$V$6009,1,Data!$C$10:$C$6009,2025,Data!$D$10:$D$6009,"Aug",Data!$U$10:$U$6009,"High")/SUMIFS(Data!$O$10:$O$6009,Data!$V$10:$V$6009,1,Data!$C$10:$C$6009,2025,Data!$D$10:$D$6009,"Aug"),0)</f>
        <v/>
      </c>
      <c r="AM11" s="75">
        <f>IFERROR(SUMIFS(Data!$O$10:$O$6009,Data!$V$10:$V$6009,1,Data!$C$10:$C$6009,2025,Data!$D$10:$D$6009,"Sep",Data!$U$10:$U$6009,"High")/SUMIFS(Data!$O$10:$O$6009,Data!$V$10:$V$6009,1,Data!$C$10:$C$6009,2025,Data!$D$10:$D$6009,"Sep"),0)</f>
        <v/>
      </c>
      <c r="AN11" s="75">
        <f>IFERROR(SUMIFS(Data!$O$10:$O$6009,Data!$V$10:$V$6009,1,Data!$C$10:$C$6009,2025,Data!$D$10:$D$6009,"Oct",Data!$U$10:$U$6009,"High")/SUMIFS(Data!$O$10:$O$6009,Data!$V$10:$V$6009,1,Data!$C$10:$C$6009,2025,Data!$D$10:$D$6009,"Oct"),0)</f>
        <v/>
      </c>
      <c r="AO11" s="75">
        <f>IFERROR(SUMIFS(Data!$O$10:$O$6009,Data!$V$10:$V$6009,1,Data!$C$10:$C$6009,2025,Data!$D$10:$D$6009,"Nov",Data!$U$10:$U$6009,"High")/SUMIFS(Data!$O$10:$O$6009,Data!$V$10:$V$6009,1,Data!$C$10:$C$6009,2025,Data!$D$10:$D$6009,"Nov"),0)</f>
        <v/>
      </c>
      <c r="AP11" s="75">
        <f>IFERROR(SUMIFS(Data!$O$10:$O$6009,Data!$V$10:$V$6009,1,Data!$C$10:$C$6009,2025,Data!$D$10:$D$6009,"Dec",Data!$U$10:$U$6009,"High")/SUMIFS(Data!$O$10:$O$6009,Data!$V$10:$V$6009,1,Data!$C$10:$C$6009,2025,Data!$D$10:$D$6009,"Dec"),0)</f>
        <v/>
      </c>
      <c r="AQ11" s="75">
        <f>IFERROR(SUMIFS(Data!$O$10:$O$6009,Data!$V$10:$V$6009,1,Data!$C$10:$C$6009,2026,Data!$D$10:$D$6009,"Jan",Data!$U$10:$U$6009,"High")/SUMIFS(Data!$O$10:$O$6009,Data!$V$10:$V$6009,1,Data!$C$10:$C$6009,2026,Data!$D$10:$D$6009,"Jan"),0)</f>
        <v/>
      </c>
      <c r="AR11" s="75">
        <f>IFERROR(SUMIFS(Data!$O$10:$O$6009,Data!$V$10:$V$6009,1,Data!$C$10:$C$6009,2026,Data!$D$10:$D$6009,"Feb",Data!$U$10:$U$6009,"High")/SUMIFS(Data!$O$10:$O$6009,Data!$V$10:$V$6009,1,Data!$C$10:$C$6009,2026,Data!$D$10:$D$6009,"Feb"),0)</f>
        <v/>
      </c>
      <c r="AS11" s="75">
        <f>IFERROR(SUMIFS(Data!$O$10:$O$6009,Data!$V$10:$V$6009,1,Data!$C$10:$C$6009,2026,Data!$D$10:$D$6009,"Mar",Data!$U$10:$U$6009,"High")/SUMIFS(Data!$O$10:$O$6009,Data!$V$10:$V$6009,1,Data!$C$10:$C$6009,2026,Data!$D$10:$D$6009,"Mar"),0)</f>
        <v/>
      </c>
      <c r="AT11" s="75">
        <f>IFERROR(SUMIFS(Data!$O$10:$O$6009,Data!$V$10:$V$6009,1,Data!$C$10:$C$6009,2026,Data!$D$10:$D$6009,"Apr",Data!$U$10:$U$6009,"High")/SUMIFS(Data!$O$10:$O$6009,Data!$V$10:$V$6009,1,Data!$C$10:$C$6009,2026,Data!$D$10:$D$6009,"Apr"),0)</f>
        <v/>
      </c>
      <c r="AU11" s="75">
        <f>IFERROR(SUMIFS(Data!$O$10:$O$6009,Data!$V$10:$V$6009,1,Data!$C$10:$C$6009,2026,Data!$D$10:$D$6009,"May",Data!$U$10:$U$6009,"High")/SUMIFS(Data!$O$10:$O$6009,Data!$V$10:$V$6009,1,Data!$C$10:$C$6009,2026,Data!$D$10:$D$6009,"May"),0)</f>
        <v/>
      </c>
      <c r="AV11" s="75">
        <f>IFERROR(SUMIFS(Data!$O$10:$O$6009,Data!$V$10:$V$6009,1,Data!$C$10:$C$6009,2026,Data!$D$10:$D$6009,"Jun",Data!$U$10:$U$6009,"High")/SUMIFS(Data!$O$10:$O$6009,Data!$V$10:$V$6009,1,Data!$C$10:$C$6009,2026,Data!$D$10:$D$6009,"Jun"),0)</f>
        <v/>
      </c>
      <c r="AW11" s="75">
        <f>IFERROR(SUMIFS(Data!$O$10:$O$6009,Data!$V$10:$V$6009,1,Data!$C$10:$C$6009,2026,Data!$D$10:$D$6009,"Jul",Data!$U$10:$U$6009,"High")/SUMIFS(Data!$O$10:$O$6009,Data!$V$10:$V$6009,1,Data!$C$10:$C$6009,2026,Data!$D$10:$D$6009,"Jul"),0)</f>
        <v/>
      </c>
      <c r="AX11" s="75">
        <f>IFERROR(SUMIFS(Data!$O$10:$O$6009,Data!$V$10:$V$6009,1,Data!$C$10:$C$6009,2026,Data!$D$10:$D$6009,"Aug",Data!$U$10:$U$6009,"High")/SUMIFS(Data!$O$10:$O$6009,Data!$V$10:$V$6009,1,Data!$C$10:$C$6009,2026,Data!$D$10:$D$6009,"Aug"),0)</f>
        <v/>
      </c>
      <c r="AY11" s="75">
        <f>IFERROR(SUMIFS(Data!$O$10:$O$6009,Data!$V$10:$V$6009,1,Data!$C$10:$C$6009,2026,Data!$D$10:$D$6009,"Sep",Data!$U$10:$U$6009,"High")/SUMIFS(Data!$O$10:$O$6009,Data!$V$10:$V$6009,1,Data!$C$10:$C$6009,2026,Data!$D$10:$D$6009,"Sep"),0)</f>
        <v/>
      </c>
      <c r="AZ11" s="75">
        <f>IFERROR(SUMIFS(Data!$O$10:$O$6009,Data!$V$10:$V$6009,1,Data!$C$10:$C$6009,2026,Data!$D$10:$D$6009,"Oct",Data!$U$10:$U$6009,"High")/SUMIFS(Data!$O$10:$O$6009,Data!$V$10:$V$6009,1,Data!$C$10:$C$6009,2026,Data!$D$10:$D$6009,"Oct"),0)</f>
        <v/>
      </c>
      <c r="BA11" s="75">
        <f>IFERROR(SUMIFS(Data!$O$10:$O$6009,Data!$V$10:$V$6009,1,Data!$C$10:$C$6009,2026,Data!$D$10:$D$6009,"Nov",Data!$U$10:$U$6009,"High")/SUMIFS(Data!$O$10:$O$6009,Data!$V$10:$V$6009,1,Data!$C$10:$C$6009,2026,Data!$D$10:$D$6009,"Nov"),0)</f>
        <v/>
      </c>
      <c r="BB11" s="75">
        <f>IFERROR(SUMIFS(Data!$O$10:$O$6009,Data!$V$10:$V$6009,1,Data!$C$10:$C$6009,2026,Data!$D$10:$D$6009,"Dec",Data!$U$10:$U$6009,"High")/SUMIFS(Data!$O$10:$O$6009,Data!$V$10:$V$6009,1,Data!$C$10:$C$6009,2026,Data!$D$10:$D$6009,"Dec"),0)</f>
        <v/>
      </c>
    </row>
    <row r="12">
      <c r="A12" s="78" t="inlineStr">
        <is>
          <t>Aug</t>
        </is>
      </c>
      <c r="B12" s="79">
        <f>SUMIFS(Data!$O$10:$O$6009,Data!$V$10:$V$6009,1,Data!$D$10:$D$6009,$A12,Data!$C$10:$C$6009,2025)</f>
        <v/>
      </c>
      <c r="C12" s="79">
        <f>SUMIFS(Data!$O$10:$O$6009,Data!$V$10:$V$6009,1,Data!$D$10:$D$6009,$A12,Data!$C$10:$C$6009,2026)</f>
        <v/>
      </c>
      <c r="D12" s="80">
        <f>IFERROR(C12/B12-1,0)</f>
        <v/>
      </c>
      <c r="AD12" s="74" t="inlineStr">
        <is>
          <t>🇺🇸 US share (trend)</t>
        </is>
      </c>
      <c r="AE12" s="75">
        <f>IFERROR(SUMIFS(Data!$O$10:$O$6009,Data!$V$10:$V$6009,1,Data!$C$10:$C$6009,2025,Data!$D$10:$D$6009,"Jan",Data!$E$10:$E$6009,"United States")/SUMIFS(Data!$O$10:$O$6009,Data!$V$10:$V$6009,1,Data!$C$10:$C$6009,2025,Data!$D$10:$D$6009,"Jan"),0)</f>
        <v/>
      </c>
      <c r="AF12" s="75">
        <f>IFERROR(SUMIFS(Data!$O$10:$O$6009,Data!$V$10:$V$6009,1,Data!$C$10:$C$6009,2025,Data!$D$10:$D$6009,"Feb",Data!$E$10:$E$6009,"United States")/SUMIFS(Data!$O$10:$O$6009,Data!$V$10:$V$6009,1,Data!$C$10:$C$6009,2025,Data!$D$10:$D$6009,"Feb"),0)</f>
        <v/>
      </c>
      <c r="AG12" s="75">
        <f>IFERROR(SUMIFS(Data!$O$10:$O$6009,Data!$V$10:$V$6009,1,Data!$C$10:$C$6009,2025,Data!$D$10:$D$6009,"Mar",Data!$E$10:$E$6009,"United States")/SUMIFS(Data!$O$10:$O$6009,Data!$V$10:$V$6009,1,Data!$C$10:$C$6009,2025,Data!$D$10:$D$6009,"Mar"),0)</f>
        <v/>
      </c>
      <c r="AH12" s="75">
        <f>IFERROR(SUMIFS(Data!$O$10:$O$6009,Data!$V$10:$V$6009,1,Data!$C$10:$C$6009,2025,Data!$D$10:$D$6009,"Apr",Data!$E$10:$E$6009,"United States")/SUMIFS(Data!$O$10:$O$6009,Data!$V$10:$V$6009,1,Data!$C$10:$C$6009,2025,Data!$D$10:$D$6009,"Apr"),0)</f>
        <v/>
      </c>
      <c r="AI12" s="75">
        <f>IFERROR(SUMIFS(Data!$O$10:$O$6009,Data!$V$10:$V$6009,1,Data!$C$10:$C$6009,2025,Data!$D$10:$D$6009,"May",Data!$E$10:$E$6009,"United States")/SUMIFS(Data!$O$10:$O$6009,Data!$V$10:$V$6009,1,Data!$C$10:$C$6009,2025,Data!$D$10:$D$6009,"May"),0)</f>
        <v/>
      </c>
      <c r="AJ12" s="75">
        <f>IFERROR(SUMIFS(Data!$O$10:$O$6009,Data!$V$10:$V$6009,1,Data!$C$10:$C$6009,2025,Data!$D$10:$D$6009,"Jun",Data!$E$10:$E$6009,"United States")/SUMIFS(Data!$O$10:$O$6009,Data!$V$10:$V$6009,1,Data!$C$10:$C$6009,2025,Data!$D$10:$D$6009,"Jun"),0)</f>
        <v/>
      </c>
      <c r="AK12" s="75">
        <f>IFERROR(SUMIFS(Data!$O$10:$O$6009,Data!$V$10:$V$6009,1,Data!$C$10:$C$6009,2025,Data!$D$10:$D$6009,"Jul",Data!$E$10:$E$6009,"United States")/SUMIFS(Data!$O$10:$O$6009,Data!$V$10:$V$6009,1,Data!$C$10:$C$6009,2025,Data!$D$10:$D$6009,"Jul"),0)</f>
        <v/>
      </c>
      <c r="AL12" s="75">
        <f>IFERROR(SUMIFS(Data!$O$10:$O$6009,Data!$V$10:$V$6009,1,Data!$C$10:$C$6009,2025,Data!$D$10:$D$6009,"Aug",Data!$E$10:$E$6009,"United States")/SUMIFS(Data!$O$10:$O$6009,Data!$V$10:$V$6009,1,Data!$C$10:$C$6009,2025,Data!$D$10:$D$6009,"Aug"),0)</f>
        <v/>
      </c>
      <c r="AM12" s="75">
        <f>IFERROR(SUMIFS(Data!$O$10:$O$6009,Data!$V$10:$V$6009,1,Data!$C$10:$C$6009,2025,Data!$D$10:$D$6009,"Sep",Data!$E$10:$E$6009,"United States")/SUMIFS(Data!$O$10:$O$6009,Data!$V$10:$V$6009,1,Data!$C$10:$C$6009,2025,Data!$D$10:$D$6009,"Sep"),0)</f>
        <v/>
      </c>
      <c r="AN12" s="75">
        <f>IFERROR(SUMIFS(Data!$O$10:$O$6009,Data!$V$10:$V$6009,1,Data!$C$10:$C$6009,2025,Data!$D$10:$D$6009,"Oct",Data!$E$10:$E$6009,"United States")/SUMIFS(Data!$O$10:$O$6009,Data!$V$10:$V$6009,1,Data!$C$10:$C$6009,2025,Data!$D$10:$D$6009,"Oct"),0)</f>
        <v/>
      </c>
      <c r="AO12" s="75">
        <f>IFERROR(SUMIFS(Data!$O$10:$O$6009,Data!$V$10:$V$6009,1,Data!$C$10:$C$6009,2025,Data!$D$10:$D$6009,"Nov",Data!$E$10:$E$6009,"United States")/SUMIFS(Data!$O$10:$O$6009,Data!$V$10:$V$6009,1,Data!$C$10:$C$6009,2025,Data!$D$10:$D$6009,"Nov"),0)</f>
        <v/>
      </c>
      <c r="AP12" s="75">
        <f>IFERROR(SUMIFS(Data!$O$10:$O$6009,Data!$V$10:$V$6009,1,Data!$C$10:$C$6009,2025,Data!$D$10:$D$6009,"Dec",Data!$E$10:$E$6009,"United States")/SUMIFS(Data!$O$10:$O$6009,Data!$V$10:$V$6009,1,Data!$C$10:$C$6009,2025,Data!$D$10:$D$6009,"Dec"),0)</f>
        <v/>
      </c>
      <c r="AQ12" s="75">
        <f>IFERROR(SUMIFS(Data!$O$10:$O$6009,Data!$V$10:$V$6009,1,Data!$C$10:$C$6009,2026,Data!$D$10:$D$6009,"Jan",Data!$E$10:$E$6009,"United States")/SUMIFS(Data!$O$10:$O$6009,Data!$V$10:$V$6009,1,Data!$C$10:$C$6009,2026,Data!$D$10:$D$6009,"Jan"),0)</f>
        <v/>
      </c>
      <c r="AR12" s="75">
        <f>IFERROR(SUMIFS(Data!$O$10:$O$6009,Data!$V$10:$V$6009,1,Data!$C$10:$C$6009,2026,Data!$D$10:$D$6009,"Feb",Data!$E$10:$E$6009,"United States")/SUMIFS(Data!$O$10:$O$6009,Data!$V$10:$V$6009,1,Data!$C$10:$C$6009,2026,Data!$D$10:$D$6009,"Feb"),0)</f>
        <v/>
      </c>
      <c r="AS12" s="75">
        <f>IFERROR(SUMIFS(Data!$O$10:$O$6009,Data!$V$10:$V$6009,1,Data!$C$10:$C$6009,2026,Data!$D$10:$D$6009,"Mar",Data!$E$10:$E$6009,"United States")/SUMIFS(Data!$O$10:$O$6009,Data!$V$10:$V$6009,1,Data!$C$10:$C$6009,2026,Data!$D$10:$D$6009,"Mar"),0)</f>
        <v/>
      </c>
      <c r="AT12" s="75">
        <f>IFERROR(SUMIFS(Data!$O$10:$O$6009,Data!$V$10:$V$6009,1,Data!$C$10:$C$6009,2026,Data!$D$10:$D$6009,"Apr",Data!$E$10:$E$6009,"United States")/SUMIFS(Data!$O$10:$O$6009,Data!$V$10:$V$6009,1,Data!$C$10:$C$6009,2026,Data!$D$10:$D$6009,"Apr"),0)</f>
        <v/>
      </c>
      <c r="AU12" s="75">
        <f>IFERROR(SUMIFS(Data!$O$10:$O$6009,Data!$V$10:$V$6009,1,Data!$C$10:$C$6009,2026,Data!$D$10:$D$6009,"May",Data!$E$10:$E$6009,"United States")/SUMIFS(Data!$O$10:$O$6009,Data!$V$10:$V$6009,1,Data!$C$10:$C$6009,2026,Data!$D$10:$D$6009,"May"),0)</f>
        <v/>
      </c>
      <c r="AV12" s="75">
        <f>IFERROR(SUMIFS(Data!$O$10:$O$6009,Data!$V$10:$V$6009,1,Data!$C$10:$C$6009,2026,Data!$D$10:$D$6009,"Jun",Data!$E$10:$E$6009,"United States")/SUMIFS(Data!$O$10:$O$6009,Data!$V$10:$V$6009,1,Data!$C$10:$C$6009,2026,Data!$D$10:$D$6009,"Jun"),0)</f>
        <v/>
      </c>
      <c r="AW12" s="75">
        <f>IFERROR(SUMIFS(Data!$O$10:$O$6009,Data!$V$10:$V$6009,1,Data!$C$10:$C$6009,2026,Data!$D$10:$D$6009,"Jul",Data!$E$10:$E$6009,"United States")/SUMIFS(Data!$O$10:$O$6009,Data!$V$10:$V$6009,1,Data!$C$10:$C$6009,2026,Data!$D$10:$D$6009,"Jul"),0)</f>
        <v/>
      </c>
      <c r="AX12" s="75">
        <f>IFERROR(SUMIFS(Data!$O$10:$O$6009,Data!$V$10:$V$6009,1,Data!$C$10:$C$6009,2026,Data!$D$10:$D$6009,"Aug",Data!$E$10:$E$6009,"United States")/SUMIFS(Data!$O$10:$O$6009,Data!$V$10:$V$6009,1,Data!$C$10:$C$6009,2026,Data!$D$10:$D$6009,"Aug"),0)</f>
        <v/>
      </c>
      <c r="AY12" s="75">
        <f>IFERROR(SUMIFS(Data!$O$10:$O$6009,Data!$V$10:$V$6009,1,Data!$C$10:$C$6009,2026,Data!$D$10:$D$6009,"Sep",Data!$E$10:$E$6009,"United States")/SUMIFS(Data!$O$10:$O$6009,Data!$V$10:$V$6009,1,Data!$C$10:$C$6009,2026,Data!$D$10:$D$6009,"Sep"),0)</f>
        <v/>
      </c>
      <c r="AZ12" s="75">
        <f>IFERROR(SUMIFS(Data!$O$10:$O$6009,Data!$V$10:$V$6009,1,Data!$C$10:$C$6009,2026,Data!$D$10:$D$6009,"Oct",Data!$E$10:$E$6009,"United States")/SUMIFS(Data!$O$10:$O$6009,Data!$V$10:$V$6009,1,Data!$C$10:$C$6009,2026,Data!$D$10:$D$6009,"Oct"),0)</f>
        <v/>
      </c>
      <c r="BA12" s="75">
        <f>IFERROR(SUMIFS(Data!$O$10:$O$6009,Data!$V$10:$V$6009,1,Data!$C$10:$C$6009,2026,Data!$D$10:$D$6009,"Nov",Data!$E$10:$E$6009,"United States")/SUMIFS(Data!$O$10:$O$6009,Data!$V$10:$V$6009,1,Data!$C$10:$C$6009,2026,Data!$D$10:$D$6009,"Nov"),0)</f>
        <v/>
      </c>
      <c r="BB12" s="75">
        <f>IFERROR(SUMIFS(Data!$O$10:$O$6009,Data!$V$10:$V$6009,1,Data!$C$10:$C$6009,2026,Data!$D$10:$D$6009,"Dec",Data!$E$10:$E$6009,"United States")/SUMIFS(Data!$O$10:$O$6009,Data!$V$10:$V$6009,1,Data!$C$10:$C$6009,2026,Data!$D$10:$D$6009,"Dec"),0)</f>
        <v/>
      </c>
    </row>
    <row r="13">
      <c r="A13" s="78" t="inlineStr">
        <is>
          <t>Sep</t>
        </is>
      </c>
      <c r="B13" s="79">
        <f>SUMIFS(Data!$O$10:$O$6009,Data!$V$10:$V$6009,1,Data!$D$10:$D$6009,$A13,Data!$C$10:$C$6009,2025)</f>
        <v/>
      </c>
      <c r="C13" s="79">
        <f>SUMIFS(Data!$O$10:$O$6009,Data!$V$10:$V$6009,1,Data!$D$10:$D$6009,$A13,Data!$C$10:$C$6009,2026)</f>
        <v/>
      </c>
      <c r="D13" s="80">
        <f>IFERROR(C13/B13-1,0)</f>
        <v/>
      </c>
      <c r="AD13" s="74" t="inlineStr">
        <is>
          <t>💉 Vaccines share (trend)</t>
        </is>
      </c>
      <c r="AE13" s="75">
        <f>IFERROR(SUMIFS(Data!$O$10:$O$6009,Data!$V$10:$V$6009,1,Data!$C$10:$C$6009,2025,Data!$D$10:$D$6009,"Jan",Data!$R$10:$R$6009,"Vaccines")/SUMIFS(Data!$O$10:$O$6009,Data!$V$10:$V$6009,1,Data!$C$10:$C$6009,2025,Data!$D$10:$D$6009,"Jan"),0)</f>
        <v/>
      </c>
      <c r="AF13" s="75">
        <f>IFERROR(SUMIFS(Data!$O$10:$O$6009,Data!$V$10:$V$6009,1,Data!$C$10:$C$6009,2025,Data!$D$10:$D$6009,"Feb",Data!$R$10:$R$6009,"Vaccines")/SUMIFS(Data!$O$10:$O$6009,Data!$V$10:$V$6009,1,Data!$C$10:$C$6009,2025,Data!$D$10:$D$6009,"Feb"),0)</f>
        <v/>
      </c>
      <c r="AG13" s="75">
        <f>IFERROR(SUMIFS(Data!$O$10:$O$6009,Data!$V$10:$V$6009,1,Data!$C$10:$C$6009,2025,Data!$D$10:$D$6009,"Mar",Data!$R$10:$R$6009,"Vaccines")/SUMIFS(Data!$O$10:$O$6009,Data!$V$10:$V$6009,1,Data!$C$10:$C$6009,2025,Data!$D$10:$D$6009,"Mar"),0)</f>
        <v/>
      </c>
      <c r="AH13" s="75">
        <f>IFERROR(SUMIFS(Data!$O$10:$O$6009,Data!$V$10:$V$6009,1,Data!$C$10:$C$6009,2025,Data!$D$10:$D$6009,"Apr",Data!$R$10:$R$6009,"Vaccines")/SUMIFS(Data!$O$10:$O$6009,Data!$V$10:$V$6009,1,Data!$C$10:$C$6009,2025,Data!$D$10:$D$6009,"Apr"),0)</f>
        <v/>
      </c>
      <c r="AI13" s="75">
        <f>IFERROR(SUMIFS(Data!$O$10:$O$6009,Data!$V$10:$V$6009,1,Data!$C$10:$C$6009,2025,Data!$D$10:$D$6009,"May",Data!$R$10:$R$6009,"Vaccines")/SUMIFS(Data!$O$10:$O$6009,Data!$V$10:$V$6009,1,Data!$C$10:$C$6009,2025,Data!$D$10:$D$6009,"May"),0)</f>
        <v/>
      </c>
      <c r="AJ13" s="75">
        <f>IFERROR(SUMIFS(Data!$O$10:$O$6009,Data!$V$10:$V$6009,1,Data!$C$10:$C$6009,2025,Data!$D$10:$D$6009,"Jun",Data!$R$10:$R$6009,"Vaccines")/SUMIFS(Data!$O$10:$O$6009,Data!$V$10:$V$6009,1,Data!$C$10:$C$6009,2025,Data!$D$10:$D$6009,"Jun"),0)</f>
        <v/>
      </c>
      <c r="AK13" s="75">
        <f>IFERROR(SUMIFS(Data!$O$10:$O$6009,Data!$V$10:$V$6009,1,Data!$C$10:$C$6009,2025,Data!$D$10:$D$6009,"Jul",Data!$R$10:$R$6009,"Vaccines")/SUMIFS(Data!$O$10:$O$6009,Data!$V$10:$V$6009,1,Data!$C$10:$C$6009,2025,Data!$D$10:$D$6009,"Jul"),0)</f>
        <v/>
      </c>
      <c r="AL13" s="75">
        <f>IFERROR(SUMIFS(Data!$O$10:$O$6009,Data!$V$10:$V$6009,1,Data!$C$10:$C$6009,2025,Data!$D$10:$D$6009,"Aug",Data!$R$10:$R$6009,"Vaccines")/SUMIFS(Data!$O$10:$O$6009,Data!$V$10:$V$6009,1,Data!$C$10:$C$6009,2025,Data!$D$10:$D$6009,"Aug"),0)</f>
        <v/>
      </c>
      <c r="AM13" s="75">
        <f>IFERROR(SUMIFS(Data!$O$10:$O$6009,Data!$V$10:$V$6009,1,Data!$C$10:$C$6009,2025,Data!$D$10:$D$6009,"Sep",Data!$R$10:$R$6009,"Vaccines")/SUMIFS(Data!$O$10:$O$6009,Data!$V$10:$V$6009,1,Data!$C$10:$C$6009,2025,Data!$D$10:$D$6009,"Sep"),0)</f>
        <v/>
      </c>
      <c r="AN13" s="75">
        <f>IFERROR(SUMIFS(Data!$O$10:$O$6009,Data!$V$10:$V$6009,1,Data!$C$10:$C$6009,2025,Data!$D$10:$D$6009,"Oct",Data!$R$10:$R$6009,"Vaccines")/SUMIFS(Data!$O$10:$O$6009,Data!$V$10:$V$6009,1,Data!$C$10:$C$6009,2025,Data!$D$10:$D$6009,"Oct"),0)</f>
        <v/>
      </c>
      <c r="AO13" s="75">
        <f>IFERROR(SUMIFS(Data!$O$10:$O$6009,Data!$V$10:$V$6009,1,Data!$C$10:$C$6009,2025,Data!$D$10:$D$6009,"Nov",Data!$R$10:$R$6009,"Vaccines")/SUMIFS(Data!$O$10:$O$6009,Data!$V$10:$V$6009,1,Data!$C$10:$C$6009,2025,Data!$D$10:$D$6009,"Nov"),0)</f>
        <v/>
      </c>
      <c r="AP13" s="75">
        <f>IFERROR(SUMIFS(Data!$O$10:$O$6009,Data!$V$10:$V$6009,1,Data!$C$10:$C$6009,2025,Data!$D$10:$D$6009,"Dec",Data!$R$10:$R$6009,"Vaccines")/SUMIFS(Data!$O$10:$O$6009,Data!$V$10:$V$6009,1,Data!$C$10:$C$6009,2025,Data!$D$10:$D$6009,"Dec"),0)</f>
        <v/>
      </c>
      <c r="AQ13" s="75">
        <f>IFERROR(SUMIFS(Data!$O$10:$O$6009,Data!$V$10:$V$6009,1,Data!$C$10:$C$6009,2026,Data!$D$10:$D$6009,"Jan",Data!$R$10:$R$6009,"Vaccines")/SUMIFS(Data!$O$10:$O$6009,Data!$V$10:$V$6009,1,Data!$C$10:$C$6009,2026,Data!$D$10:$D$6009,"Jan"),0)</f>
        <v/>
      </c>
      <c r="AR13" s="75">
        <f>IFERROR(SUMIFS(Data!$O$10:$O$6009,Data!$V$10:$V$6009,1,Data!$C$10:$C$6009,2026,Data!$D$10:$D$6009,"Feb",Data!$R$10:$R$6009,"Vaccines")/SUMIFS(Data!$O$10:$O$6009,Data!$V$10:$V$6009,1,Data!$C$10:$C$6009,2026,Data!$D$10:$D$6009,"Feb"),0)</f>
        <v/>
      </c>
      <c r="AS13" s="75">
        <f>IFERROR(SUMIFS(Data!$O$10:$O$6009,Data!$V$10:$V$6009,1,Data!$C$10:$C$6009,2026,Data!$D$10:$D$6009,"Mar",Data!$R$10:$R$6009,"Vaccines")/SUMIFS(Data!$O$10:$O$6009,Data!$V$10:$V$6009,1,Data!$C$10:$C$6009,2026,Data!$D$10:$D$6009,"Mar"),0)</f>
        <v/>
      </c>
      <c r="AT13" s="75">
        <f>IFERROR(SUMIFS(Data!$O$10:$O$6009,Data!$V$10:$V$6009,1,Data!$C$10:$C$6009,2026,Data!$D$10:$D$6009,"Apr",Data!$R$10:$R$6009,"Vaccines")/SUMIFS(Data!$O$10:$O$6009,Data!$V$10:$V$6009,1,Data!$C$10:$C$6009,2026,Data!$D$10:$D$6009,"Apr"),0)</f>
        <v/>
      </c>
      <c r="AU13" s="75">
        <f>IFERROR(SUMIFS(Data!$O$10:$O$6009,Data!$V$10:$V$6009,1,Data!$C$10:$C$6009,2026,Data!$D$10:$D$6009,"May",Data!$R$10:$R$6009,"Vaccines")/SUMIFS(Data!$O$10:$O$6009,Data!$V$10:$V$6009,1,Data!$C$10:$C$6009,2026,Data!$D$10:$D$6009,"May"),0)</f>
        <v/>
      </c>
      <c r="AV13" s="75">
        <f>IFERROR(SUMIFS(Data!$O$10:$O$6009,Data!$V$10:$V$6009,1,Data!$C$10:$C$6009,2026,Data!$D$10:$D$6009,"Jun",Data!$R$10:$R$6009,"Vaccines")/SUMIFS(Data!$O$10:$O$6009,Data!$V$10:$V$6009,1,Data!$C$10:$C$6009,2026,Data!$D$10:$D$6009,"Jun"),0)</f>
        <v/>
      </c>
      <c r="AW13" s="75">
        <f>IFERROR(SUMIFS(Data!$O$10:$O$6009,Data!$V$10:$V$6009,1,Data!$C$10:$C$6009,2026,Data!$D$10:$D$6009,"Jul",Data!$R$10:$R$6009,"Vaccines")/SUMIFS(Data!$O$10:$O$6009,Data!$V$10:$V$6009,1,Data!$C$10:$C$6009,2026,Data!$D$10:$D$6009,"Jul"),0)</f>
        <v/>
      </c>
      <c r="AX13" s="75">
        <f>IFERROR(SUMIFS(Data!$O$10:$O$6009,Data!$V$10:$V$6009,1,Data!$C$10:$C$6009,2026,Data!$D$10:$D$6009,"Aug",Data!$R$10:$R$6009,"Vaccines")/SUMIFS(Data!$O$10:$O$6009,Data!$V$10:$V$6009,1,Data!$C$10:$C$6009,2026,Data!$D$10:$D$6009,"Aug"),0)</f>
        <v/>
      </c>
      <c r="AY13" s="75">
        <f>IFERROR(SUMIFS(Data!$O$10:$O$6009,Data!$V$10:$V$6009,1,Data!$C$10:$C$6009,2026,Data!$D$10:$D$6009,"Sep",Data!$R$10:$R$6009,"Vaccines")/SUMIFS(Data!$O$10:$O$6009,Data!$V$10:$V$6009,1,Data!$C$10:$C$6009,2026,Data!$D$10:$D$6009,"Sep"),0)</f>
        <v/>
      </c>
      <c r="AZ13" s="75">
        <f>IFERROR(SUMIFS(Data!$O$10:$O$6009,Data!$V$10:$V$6009,1,Data!$C$10:$C$6009,2026,Data!$D$10:$D$6009,"Oct",Data!$R$10:$R$6009,"Vaccines")/SUMIFS(Data!$O$10:$O$6009,Data!$V$10:$V$6009,1,Data!$C$10:$C$6009,2026,Data!$D$10:$D$6009,"Oct"),0)</f>
        <v/>
      </c>
      <c r="BA13" s="75">
        <f>IFERROR(SUMIFS(Data!$O$10:$O$6009,Data!$V$10:$V$6009,1,Data!$C$10:$C$6009,2026,Data!$D$10:$D$6009,"Nov",Data!$R$10:$R$6009,"Vaccines")/SUMIFS(Data!$O$10:$O$6009,Data!$V$10:$V$6009,1,Data!$C$10:$C$6009,2026,Data!$D$10:$D$6009,"Nov"),0)</f>
        <v/>
      </c>
      <c r="BB13" s="75">
        <f>IFERROR(SUMIFS(Data!$O$10:$O$6009,Data!$V$10:$V$6009,1,Data!$C$10:$C$6009,2026,Data!$D$10:$D$6009,"Dec",Data!$R$10:$R$6009,"Vaccines")/SUMIFS(Data!$O$10:$O$6009,Data!$V$10:$V$6009,1,Data!$C$10:$C$6009,2026,Data!$D$10:$D$6009,"Dec"),0)</f>
        <v/>
      </c>
    </row>
    <row r="14">
      <c r="A14" s="78" t="inlineStr">
        <is>
          <t>Oct</t>
        </is>
      </c>
      <c r="B14" s="79">
        <f>SUMIFS(Data!$O$10:$O$6009,Data!$V$10:$V$6009,1,Data!$D$10:$D$6009,$A14,Data!$C$10:$C$6009,2025)</f>
        <v/>
      </c>
      <c r="C14" s="79">
        <f>SUMIFS(Data!$O$10:$O$6009,Data!$V$10:$V$6009,1,Data!$D$10:$D$6009,$A14,Data!$C$10:$C$6009,2026)</f>
        <v/>
      </c>
      <c r="D14" s="80">
        <f>IFERROR(C14/B14-1,0)</f>
        <v/>
      </c>
    </row>
    <row r="15">
      <c r="A15" s="78" t="inlineStr">
        <is>
          <t>Nov</t>
        </is>
      </c>
      <c r="B15" s="79">
        <f>SUMIFS(Data!$O$10:$O$6009,Data!$V$10:$V$6009,1,Data!$D$10:$D$6009,$A15,Data!$C$10:$C$6009,2025)</f>
        <v/>
      </c>
      <c r="C15" s="79">
        <f>SUMIFS(Data!$O$10:$O$6009,Data!$V$10:$V$6009,1,Data!$D$10:$D$6009,$A15,Data!$C$10:$C$6009,2026)</f>
        <v/>
      </c>
      <c r="D15" s="80">
        <f>IFERROR(C15/B15-1,0)</f>
        <v/>
      </c>
      <c r="AD15" s="49" t="inlineStr">
        <is>
          <t>Chart insight titles (formulas)</t>
        </is>
      </c>
    </row>
    <row r="16">
      <c r="A16" s="78" t="inlineStr">
        <is>
          <t>Dec</t>
        </is>
      </c>
      <c r="B16" s="79">
        <f>SUMIFS(Data!$O$10:$O$6009,Data!$V$10:$V$6009,1,Data!$D$10:$D$6009,$A16,Data!$C$10:$C$6009,2025)</f>
        <v/>
      </c>
      <c r="C16" s="79">
        <f>SUMIFS(Data!$O$10:$O$6009,Data!$V$10:$V$6009,1,Data!$D$10:$D$6009,$A16,Data!$C$10:$C$6009,2026)</f>
        <v/>
      </c>
      <c r="D16" s="80">
        <f>IFERROR(C16/B16-1,0)</f>
        <v/>
      </c>
      <c r="AD16">
        <f>"Revenue "&amp;IF(SUM(Calc!$C$5:$C$16)&gt;=SUM(Calc!$B$5:$B$16),"up ","down ")&amp;TEXT(ABS(IFERROR(SUM(Calc!$C$5:$C$16)/SUM(Calc!$B$5:$B$16)-1,0)),"0.0%")&amp;" vs 2025 · AC 2026 vs PY 2025"</f>
        <v/>
      </c>
    </row>
    <row r="17">
      <c r="AD17">
        <f>INDEX(Calc!$A$21:$A$24,MATCH(MAX(Calc!$B$21:$B$24),Calc!$B$21:$B$24,0))&amp;" leads revenue ("&amp;TEXT(IFERROR(MAX(Calc!$B$21:$B$24)/SUM(Calc!$B$21:$B$24),0),"0%")&amp;") · bars = revenue, line = margin %"</f>
        <v/>
      </c>
    </row>
    <row r="18">
      <c r="AD18">
        <f>INDEX(Calc!$A$29:$A$36,MATCH(MAX(Calc!$B$29:$B$36),Calc!$B$29:$B$36,0))&amp;" leads with "&amp;TEXT(IFERROR(MAX(Calc!$B$29:$B$36)/SUM(Calc!$B$29:$B$36),0),"0%")&amp;" · Medicine revenue mix"</f>
        <v/>
      </c>
    </row>
    <row r="19">
      <c r="A19" s="76" t="inlineStr">
        <is>
          <t>By region</t>
        </is>
      </c>
      <c r="AD19">
        <f>INDEX(Calc!$A$41:$A$43,MATCH(MAX(Calc!$B$41:$B$43),Calc!$B$41:$B$43,0))&amp;" leads with "&amp;TEXT(IFERROR(MAX(Calc!$B$41:$B$43)/SUM(Calc!$B$41:$B$43),0),"0%")&amp;" · Revenue by channel"</f>
        <v/>
      </c>
    </row>
    <row r="20">
      <c r="A20" s="77" t="inlineStr">
        <is>
          <t>Region</t>
        </is>
      </c>
      <c r="B20" s="77" t="inlineStr">
        <is>
          <t>Revenue</t>
        </is>
      </c>
      <c r="C20" s="77" t="inlineStr">
        <is>
          <t>Profit</t>
        </is>
      </c>
      <c r="D20" s="77" t="inlineStr">
        <is>
          <t>Margin %</t>
        </is>
      </c>
      <c r="E20" s="77" t="inlineStr">
        <is>
          <t>Share</t>
        </is>
      </c>
      <c r="AD20">
        <f>INDEX(Calc!$A$29:$A$36,MATCH(MAX(Calc!$D$29:$D$36),Calc!$D$29:$D$36,0))&amp;" leads with "&amp;TEXT(IFERROR(MAX(Calc!$D$29:$D$36)/SUM(Calc!$D$29:$D$36),0),"0%")&amp;" · Profit by medicine"</f>
        <v/>
      </c>
    </row>
    <row r="21">
      <c r="A21" s="78" t="inlineStr">
        <is>
          <t>United States</t>
        </is>
      </c>
      <c r="B21" s="79">
        <f>SUMIFS(Data!$O$10:$O$6009,Data!$V$10:$V$6009,1,Data!$E$10:$E$6009,$A21)</f>
        <v/>
      </c>
      <c r="C21" s="79">
        <f>SUMIFS(Data!$Q$10:$Q$6009,Data!$V$10:$V$6009,1,Data!$E$10:$E$6009,$A21)</f>
        <v/>
      </c>
      <c r="D21" s="81">
        <f>IFERROR(C21/B21,0)</f>
        <v/>
      </c>
      <c r="E21" s="81">
        <f>IFERROR(B21/SUM(Calc!$B$21:$B$24),0)</f>
        <v/>
      </c>
      <c r="AD21">
        <f>INDEX(Calc!$A$48:$A$53,MATCH(MAX(Calc!$B$48:$B$53),Calc!$B$48:$B$53,0))&amp;" leads with "&amp;TEXT(IFERROR(MAX(Calc!$B$48:$B$53)/SUM(Calc!$B$48:$B$53),0),"0%")&amp;" · Revenue by therapy area"</f>
        <v/>
      </c>
    </row>
    <row r="22">
      <c r="A22" s="78" t="inlineStr">
        <is>
          <t>Europe</t>
        </is>
      </c>
      <c r="B22" s="79">
        <f>SUMIFS(Data!$O$10:$O$6009,Data!$V$10:$V$6009,1,Data!$E$10:$E$6009,$A22)</f>
        <v/>
      </c>
      <c r="C22" s="79">
        <f>SUMIFS(Data!$Q$10:$Q$6009,Data!$V$10:$V$6009,1,Data!$E$10:$E$6009,$A22)</f>
        <v/>
      </c>
      <c r="D22" s="81">
        <f>IFERROR(C22/B22,0)</f>
        <v/>
      </c>
      <c r="E22" s="81">
        <f>IFERROR(B22/SUM(Calc!$B$21:$B$24),0)</f>
        <v/>
      </c>
    </row>
    <row r="23">
      <c r="A23" s="78" t="inlineStr">
        <is>
          <t>International developed</t>
        </is>
      </c>
      <c r="B23" s="79">
        <f>SUMIFS(Data!$O$10:$O$6009,Data!$V$10:$V$6009,1,Data!$E$10:$E$6009,$A23)</f>
        <v/>
      </c>
      <c r="C23" s="79">
        <f>SUMIFS(Data!$Q$10:$Q$6009,Data!$V$10:$V$6009,1,Data!$E$10:$E$6009,$A23)</f>
        <v/>
      </c>
      <c r="D23" s="81">
        <f>IFERROR(C23/B23,0)</f>
        <v/>
      </c>
      <c r="E23" s="81">
        <f>IFERROR(B23/SUM(Calc!$B$21:$B$24),0)</f>
        <v/>
      </c>
    </row>
    <row r="24">
      <c r="A24" s="78" t="inlineStr">
        <is>
          <t>Emerging markets</t>
        </is>
      </c>
      <c r="B24" s="79">
        <f>SUMIFS(Data!$O$10:$O$6009,Data!$V$10:$V$6009,1,Data!$E$10:$E$6009,$A24)</f>
        <v/>
      </c>
      <c r="C24" s="79">
        <f>SUMIFS(Data!$Q$10:$Q$6009,Data!$V$10:$V$6009,1,Data!$E$10:$E$6009,$A24)</f>
        <v/>
      </c>
      <c r="D24" s="81">
        <f>IFERROR(C24/B24,0)</f>
        <v/>
      </c>
      <c r="E24" s="81">
        <f>IFERROR(B24/SUM(Calc!$B$21:$B$24),0)</f>
        <v/>
      </c>
    </row>
    <row r="27">
      <c r="A27" s="76" t="inlineStr">
        <is>
          <t>By medicine</t>
        </is>
      </c>
    </row>
    <row r="28">
      <c r="A28" s="77" t="inlineStr">
        <is>
          <t>Product</t>
        </is>
      </c>
      <c r="B28" s="77" t="inlineStr">
        <is>
          <t>Revenue</t>
        </is>
      </c>
      <c r="C28" s="77" t="inlineStr">
        <is>
          <t>Packs sold</t>
        </is>
      </c>
      <c r="D28" s="77" t="inlineStr">
        <is>
          <t>Profit</t>
        </is>
      </c>
      <c r="E28" s="77" t="inlineStr">
        <is>
          <t>Margin %</t>
        </is>
      </c>
      <c r="F28" s="77" t="inlineStr">
        <is>
          <t>Rank key</t>
        </is>
      </c>
    </row>
    <row r="29">
      <c r="A29" s="78" t="inlineStr">
        <is>
          <t>Eliquis</t>
        </is>
      </c>
      <c r="B29" s="79">
        <f>SUMIFS(Data!$O$10:$O$6009,Data!$V$10:$V$6009,1,Data!$G$10:$G$6009,$A29)</f>
        <v/>
      </c>
      <c r="C29" s="82">
        <f>SUMIFS(Data!$K$10:$K$6009,Data!$V$10:$V$6009,1,Data!$G$10:$G$6009,$A29)</f>
        <v/>
      </c>
      <c r="D29" s="79">
        <f>SUMIFS(Data!$Q$10:$Q$6009,Data!$V$10:$V$6009,1,Data!$G$10:$G$6009,$A29)</f>
        <v/>
      </c>
      <c r="E29" s="81">
        <f>IFERROR(D29/B29,0)</f>
        <v/>
      </c>
      <c r="F29" s="83">
        <f>B29+ROW()/1000000</f>
        <v/>
      </c>
    </row>
    <row r="30">
      <c r="A30" s="78" t="inlineStr">
        <is>
          <t>Prevnar 20</t>
        </is>
      </c>
      <c r="B30" s="79">
        <f>SUMIFS(Data!$O$10:$O$6009,Data!$V$10:$V$6009,1,Data!$G$10:$G$6009,$A30)</f>
        <v/>
      </c>
      <c r="C30" s="82">
        <f>SUMIFS(Data!$K$10:$K$6009,Data!$V$10:$V$6009,1,Data!$G$10:$G$6009,$A30)</f>
        <v/>
      </c>
      <c r="D30" s="79">
        <f>SUMIFS(Data!$Q$10:$Q$6009,Data!$V$10:$V$6009,1,Data!$G$10:$G$6009,$A30)</f>
        <v/>
      </c>
      <c r="E30" s="81">
        <f>IFERROR(D30/B30,0)</f>
        <v/>
      </c>
      <c r="F30" s="83">
        <f>B30+ROW()/1000000</f>
        <v/>
      </c>
    </row>
    <row r="31">
      <c r="A31" s="78" t="inlineStr">
        <is>
          <t>Ibrance</t>
        </is>
      </c>
      <c r="B31" s="79">
        <f>SUMIFS(Data!$O$10:$O$6009,Data!$V$10:$V$6009,1,Data!$G$10:$G$6009,$A31)</f>
        <v/>
      </c>
      <c r="C31" s="82">
        <f>SUMIFS(Data!$K$10:$K$6009,Data!$V$10:$V$6009,1,Data!$G$10:$G$6009,$A31)</f>
        <v/>
      </c>
      <c r="D31" s="79">
        <f>SUMIFS(Data!$Q$10:$Q$6009,Data!$V$10:$V$6009,1,Data!$G$10:$G$6009,$A31)</f>
        <v/>
      </c>
      <c r="E31" s="81">
        <f>IFERROR(D31/B31,0)</f>
        <v/>
      </c>
      <c r="F31" s="83">
        <f>B31+ROW()/1000000</f>
        <v/>
      </c>
    </row>
    <row r="32">
      <c r="A32" s="78" t="inlineStr">
        <is>
          <t>Vyndaqel</t>
        </is>
      </c>
      <c r="B32" s="79">
        <f>SUMIFS(Data!$O$10:$O$6009,Data!$V$10:$V$6009,1,Data!$G$10:$G$6009,$A32)</f>
        <v/>
      </c>
      <c r="C32" s="82">
        <f>SUMIFS(Data!$K$10:$K$6009,Data!$V$10:$V$6009,1,Data!$G$10:$G$6009,$A32)</f>
        <v/>
      </c>
      <c r="D32" s="79">
        <f>SUMIFS(Data!$Q$10:$Q$6009,Data!$V$10:$V$6009,1,Data!$G$10:$G$6009,$A32)</f>
        <v/>
      </c>
      <c r="E32" s="81">
        <f>IFERROR(D32/B32,0)</f>
        <v/>
      </c>
      <c r="F32" s="83">
        <f>B32+ROW()/1000000</f>
        <v/>
      </c>
    </row>
    <row r="33">
      <c r="A33" s="78" t="inlineStr">
        <is>
          <t>Comirnaty</t>
        </is>
      </c>
      <c r="B33" s="79">
        <f>SUMIFS(Data!$O$10:$O$6009,Data!$V$10:$V$6009,1,Data!$G$10:$G$6009,$A33)</f>
        <v/>
      </c>
      <c r="C33" s="82">
        <f>SUMIFS(Data!$K$10:$K$6009,Data!$V$10:$V$6009,1,Data!$G$10:$G$6009,$A33)</f>
        <v/>
      </c>
      <c r="D33" s="79">
        <f>SUMIFS(Data!$Q$10:$Q$6009,Data!$V$10:$V$6009,1,Data!$G$10:$G$6009,$A33)</f>
        <v/>
      </c>
      <c r="E33" s="81">
        <f>IFERROR(D33/B33,0)</f>
        <v/>
      </c>
      <c r="F33" s="83">
        <f>B33+ROW()/1000000</f>
        <v/>
      </c>
    </row>
    <row r="34">
      <c r="A34" s="78" t="inlineStr">
        <is>
          <t>Paxlovid</t>
        </is>
      </c>
      <c r="B34" s="79">
        <f>SUMIFS(Data!$O$10:$O$6009,Data!$V$10:$V$6009,1,Data!$G$10:$G$6009,$A34)</f>
        <v/>
      </c>
      <c r="C34" s="82">
        <f>SUMIFS(Data!$K$10:$K$6009,Data!$V$10:$V$6009,1,Data!$G$10:$G$6009,$A34)</f>
        <v/>
      </c>
      <c r="D34" s="79">
        <f>SUMIFS(Data!$Q$10:$Q$6009,Data!$V$10:$V$6009,1,Data!$G$10:$G$6009,$A34)</f>
        <v/>
      </c>
      <c r="E34" s="81">
        <f>IFERROR(D34/B34,0)</f>
        <v/>
      </c>
      <c r="F34" s="83">
        <f>B34+ROW()/1000000</f>
        <v/>
      </c>
    </row>
    <row r="35">
      <c r="A35" s="78" t="inlineStr">
        <is>
          <t>Xeljanz</t>
        </is>
      </c>
      <c r="B35" s="79">
        <f>SUMIFS(Data!$O$10:$O$6009,Data!$V$10:$V$6009,1,Data!$G$10:$G$6009,$A35)</f>
        <v/>
      </c>
      <c r="C35" s="82">
        <f>SUMIFS(Data!$K$10:$K$6009,Data!$V$10:$V$6009,1,Data!$G$10:$G$6009,$A35)</f>
        <v/>
      </c>
      <c r="D35" s="79">
        <f>SUMIFS(Data!$Q$10:$Q$6009,Data!$V$10:$V$6009,1,Data!$G$10:$G$6009,$A35)</f>
        <v/>
      </c>
      <c r="E35" s="81">
        <f>IFERROR(D35/B35,0)</f>
        <v/>
      </c>
      <c r="F35" s="83">
        <f>B35+ROW()/1000000</f>
        <v/>
      </c>
    </row>
    <row r="36">
      <c r="A36" s="78" t="inlineStr">
        <is>
          <t>Abrysvo</t>
        </is>
      </c>
      <c r="B36" s="79">
        <f>SUMIFS(Data!$O$10:$O$6009,Data!$V$10:$V$6009,1,Data!$G$10:$G$6009,$A36)</f>
        <v/>
      </c>
      <c r="C36" s="82">
        <f>SUMIFS(Data!$K$10:$K$6009,Data!$V$10:$V$6009,1,Data!$G$10:$G$6009,$A36)</f>
        <v/>
      </c>
      <c r="D36" s="79">
        <f>SUMIFS(Data!$Q$10:$Q$6009,Data!$V$10:$V$6009,1,Data!$G$10:$G$6009,$A36)</f>
        <v/>
      </c>
      <c r="E36" s="81">
        <f>IFERROR(D36/B36,0)</f>
        <v/>
      </c>
      <c r="F36" s="83">
        <f>B36+ROW()/1000000</f>
        <v/>
      </c>
    </row>
    <row r="39">
      <c r="A39" s="76" t="inlineStr">
        <is>
          <t>By channel</t>
        </is>
      </c>
    </row>
    <row r="40">
      <c r="A40" s="77" t="inlineStr">
        <is>
          <t>Channel</t>
        </is>
      </c>
      <c r="B40" s="77" t="inlineStr">
        <is>
          <t>Revenue</t>
        </is>
      </c>
      <c r="C40" s="77" t="inlineStr">
        <is>
          <t>Margin %</t>
        </is>
      </c>
    </row>
    <row r="41">
      <c r="A41" s="78" t="inlineStr">
        <is>
          <t>Hospital</t>
        </is>
      </c>
      <c r="B41" s="79">
        <f>SUMIFS(Data!$O$10:$O$6009,Data!$V$10:$V$6009,1,Data!$H$10:$H$6009,$A41)</f>
        <v/>
      </c>
      <c r="C41" s="81">
        <f>IFERROR(SUMIFS(Data!$Q$10:$Q$6009,Data!$V$10:$V$6009,1,Data!$H$10:$H$6009,$A41)/B41,0)</f>
        <v/>
      </c>
    </row>
    <row r="42">
      <c r="A42" s="78" t="inlineStr">
        <is>
          <t>Retail pharmacy</t>
        </is>
      </c>
      <c r="B42" s="79">
        <f>SUMIFS(Data!$O$10:$O$6009,Data!$V$10:$V$6009,1,Data!$H$10:$H$6009,$A42)</f>
        <v/>
      </c>
      <c r="C42" s="81">
        <f>IFERROR(SUMIFS(Data!$Q$10:$Q$6009,Data!$V$10:$V$6009,1,Data!$H$10:$H$6009,$A42)/B42,0)</f>
        <v/>
      </c>
    </row>
    <row r="43">
      <c r="A43" s="78" t="inlineStr">
        <is>
          <t>Government / tender</t>
        </is>
      </c>
      <c r="B43" s="79">
        <f>SUMIFS(Data!$O$10:$O$6009,Data!$V$10:$V$6009,1,Data!$H$10:$H$6009,$A43)</f>
        <v/>
      </c>
      <c r="C43" s="81">
        <f>IFERROR(SUMIFS(Data!$Q$10:$Q$6009,Data!$V$10:$V$6009,1,Data!$H$10:$H$6009,$A43)/B43,0)</f>
        <v/>
      </c>
    </row>
    <row r="46">
      <c r="A46" s="76" t="inlineStr">
        <is>
          <t>By therapy area</t>
        </is>
      </c>
    </row>
    <row r="47">
      <c r="A47" s="77" t="inlineStr">
        <is>
          <t>Therapy</t>
        </is>
      </c>
      <c r="B47" s="77" t="inlineStr">
        <is>
          <t>Revenue</t>
        </is>
      </c>
    </row>
    <row r="48">
      <c r="A48" s="78" t="inlineStr">
        <is>
          <t>Cardiology</t>
        </is>
      </c>
      <c r="B48" s="79">
        <f>SUMIFS(Data!$O$10:$O$6009,Data!$V$10:$V$6009,1,Data!$R$10:$R$6009,$A48)</f>
        <v/>
      </c>
    </row>
    <row r="49">
      <c r="A49" s="78" t="inlineStr">
        <is>
          <t>Vaccines</t>
        </is>
      </c>
      <c r="B49" s="79">
        <f>SUMIFS(Data!$O$10:$O$6009,Data!$V$10:$V$6009,1,Data!$R$10:$R$6009,$A49)</f>
        <v/>
      </c>
    </row>
    <row r="50">
      <c r="A50" s="78" t="inlineStr">
        <is>
          <t>Oncology</t>
        </is>
      </c>
      <c r="B50" s="79">
        <f>SUMIFS(Data!$O$10:$O$6009,Data!$V$10:$V$6009,1,Data!$R$10:$R$6009,$A50)</f>
        <v/>
      </c>
    </row>
    <row r="51">
      <c r="A51" s="78" t="inlineStr">
        <is>
          <t>Rare disease</t>
        </is>
      </c>
      <c r="B51" s="79">
        <f>SUMIFS(Data!$O$10:$O$6009,Data!$V$10:$V$6009,1,Data!$R$10:$R$6009,$A51)</f>
        <v/>
      </c>
    </row>
    <row r="52">
      <c r="A52" s="78" t="inlineStr">
        <is>
          <t>Antiviral</t>
        </is>
      </c>
      <c r="B52" s="79">
        <f>SUMIFS(Data!$O$10:$O$6009,Data!$V$10:$V$6009,1,Data!$R$10:$R$6009,$A52)</f>
        <v/>
      </c>
    </row>
    <row r="53">
      <c r="A53" s="78" t="inlineStr">
        <is>
          <t>Inflammation</t>
        </is>
      </c>
      <c r="B53" s="79">
        <f>SUMIFS(Data!$O$10:$O$6009,Data!$V$10:$V$6009,1,Data!$R$10:$R$6009,$A53)</f>
        <v/>
      </c>
    </row>
  </sheetData>
  <conditionalFormatting sqref="B5:B16">
    <cfRule type="dataBar" priority="1">
      <dataBar>
        <cfvo type="min"/>
        <cfvo type="max"/>
        <color rgb="000000C9"/>
      </dataBar>
    </cfRule>
  </conditionalFormatting>
  <conditionalFormatting sqref="C5:C16">
    <cfRule type="dataBar" priority="2">
      <dataBar>
        <cfvo type="min"/>
        <cfvo type="max"/>
        <color rgb="000000C9"/>
      </dataBar>
    </cfRule>
  </conditionalFormatting>
  <conditionalFormatting sqref="D5:D16">
    <cfRule type="dataBar" priority="3">
      <dataBar>
        <cfvo type="min"/>
        <cfvo type="max"/>
        <color rgb="000000C9"/>
      </dataBar>
    </cfRule>
  </conditionalFormatting>
  <conditionalFormatting sqref="B21:B24">
    <cfRule type="dataBar" priority="4">
      <dataBar>
        <cfvo type="min"/>
        <cfvo type="max"/>
        <color rgb="000000C9"/>
      </dataBar>
    </cfRule>
  </conditionalFormatting>
  <conditionalFormatting sqref="C21:C24">
    <cfRule type="dataBar" priority="5">
      <dataBar>
        <cfvo type="min"/>
        <cfvo type="max"/>
        <color rgb="000000C9"/>
      </dataBar>
    </cfRule>
  </conditionalFormatting>
  <conditionalFormatting sqref="D21:D24">
    <cfRule type="dataBar" priority="6">
      <dataBar>
        <cfvo type="min"/>
        <cfvo type="max"/>
        <color rgb="000000C9"/>
      </dataBar>
    </cfRule>
  </conditionalFormatting>
  <conditionalFormatting sqref="E21:E24">
    <cfRule type="dataBar" priority="7">
      <dataBar>
        <cfvo type="min"/>
        <cfvo type="max"/>
        <color rgb="000000C9"/>
      </dataBar>
    </cfRule>
  </conditionalFormatting>
  <conditionalFormatting sqref="B29:B36">
    <cfRule type="dataBar" priority="8">
      <dataBar>
        <cfvo type="min"/>
        <cfvo type="max"/>
        <color rgb="000000C9"/>
      </dataBar>
    </cfRule>
  </conditionalFormatting>
  <conditionalFormatting sqref="C29:C36">
    <cfRule type="dataBar" priority="9">
      <dataBar>
        <cfvo type="min"/>
        <cfvo type="max"/>
        <color rgb="000000C9"/>
      </dataBar>
    </cfRule>
  </conditionalFormatting>
  <conditionalFormatting sqref="D29:D36">
    <cfRule type="dataBar" priority="10">
      <dataBar>
        <cfvo type="min"/>
        <cfvo type="max"/>
        <color rgb="000000C9"/>
      </dataBar>
    </cfRule>
  </conditionalFormatting>
  <conditionalFormatting sqref="E29:E36">
    <cfRule type="dataBar" priority="11">
      <dataBar>
        <cfvo type="min"/>
        <cfvo type="max"/>
        <color rgb="000000C9"/>
      </dataBar>
    </cfRule>
  </conditionalFormatting>
  <conditionalFormatting sqref="F29:F36">
    <cfRule type="dataBar" priority="12">
      <dataBar>
        <cfvo type="min"/>
        <cfvo type="max"/>
        <color rgb="000000C9"/>
      </dataBar>
    </cfRule>
  </conditionalFormatting>
  <conditionalFormatting sqref="B41:B43">
    <cfRule type="dataBar" priority="13">
      <dataBar>
        <cfvo type="min"/>
        <cfvo type="max"/>
        <color rgb="000000C9"/>
      </dataBar>
    </cfRule>
  </conditionalFormatting>
  <conditionalFormatting sqref="C41:C43">
    <cfRule type="dataBar" priority="14">
      <dataBar>
        <cfvo type="min"/>
        <cfvo type="max"/>
        <color rgb="000000C9"/>
      </dataBar>
    </cfRule>
  </conditionalFormatting>
  <conditionalFormatting sqref="B48:B53">
    <cfRule type="dataBar" priority="15">
      <dataBar>
        <cfvo type="min"/>
        <cfvo type="max"/>
        <color rgb="000000C9"/>
      </dataBar>
    </cfRule>
  </conditionalFormatting>
  <pageMargins left="0.75" right="0.75" top="1" bottom="1" header="0.5" footer="0.5"/>
  <pageSetup orientation="landscape" fitToHeight="1" fitToWidth="1"/>
</worksheet>
</file>

<file path=xl/worksheets/sheet8.xml><?xml version="1.0" encoding="utf-8"?>
<worksheet xmlns="http://schemas.openxmlformats.org/spreadsheetml/2006/main">
  <sheetPr>
    <tabColor rgb="000000C9"/>
    <outlinePr summaryBelow="1" summaryRight="1"/>
    <pageSetUpPr fitToPage="1"/>
  </sheetPr>
  <dimension ref="B1:D5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60" customWidth="1" min="3" max="3"/>
    <col width="60" customWidth="1" min="4" max="4"/>
  </cols>
  <sheetData>
    <row r="1" ht="34" customHeight="1">
      <c r="B1" s="84" t="inlineStr">
        <is>
          <t>Pfizer dashboard: rules and instructions</t>
        </is>
      </c>
      <c r="C1" s="84" t="n"/>
      <c r="D1" s="84" t="n"/>
    </row>
    <row r="2">
      <c r="B2" s="85" t="inlineStr">
        <is>
          <t>EXAMPLE DATA: every number in this workbook is made up for practice. It is not real Pfizer data and not an official report.</t>
        </is>
      </c>
      <c r="C2" s="85" t="n"/>
      <c r="D2" s="85" t="n"/>
    </row>
    <row r="4">
      <c r="B4" s="86" t="inlineStr">
        <is>
          <t xml:space="preserve">  1. How to use this dashboard</t>
        </is>
      </c>
      <c r="C4" s="86" t="n"/>
      <c r="D4" s="86" t="n"/>
    </row>
    <row r="5" ht="18" customHeight="1">
      <c r="B5" s="87" t="inlineStr">
        <is>
          <t>Step 1</t>
        </is>
      </c>
      <c r="C5" s="88" t="inlineStr">
        <is>
          <t>Open the Dashboard sheet.</t>
        </is>
      </c>
      <c r="D5" s="88" t="inlineStr"/>
    </row>
    <row r="6" ht="30" customHeight="1">
      <c r="B6" s="87" t="inlineStr">
        <is>
          <t>Step 2</t>
        </is>
      </c>
      <c r="C6" s="88" t="inlineStr">
        <is>
          <t>Pick values in the yellow drop-down cells in row 6 (Region, Medicine, Channel). Pick All to remove a filter.</t>
        </is>
      </c>
      <c r="D6" s="88" t="inlineStr"/>
    </row>
    <row r="7" ht="30" customHeight="1">
      <c r="B7" s="87" t="inlineStr">
        <is>
          <t>Step 3</t>
        </is>
      </c>
      <c r="C7" s="88" t="inlineStr">
        <is>
          <t>The KPI cards, charts and the top table update at once. Row 6 shows how many data rows are in view.</t>
        </is>
      </c>
      <c r="D7" s="88" t="inlineStr"/>
    </row>
    <row r="8" ht="30" customHeight="1">
      <c r="B8" s="87" t="inlineStr">
        <is>
          <t>Step 4</t>
        </is>
      </c>
      <c r="C8" s="88" t="inlineStr">
        <is>
          <t>Green card = good against the target rule, red card = needs attention (see section 2).</t>
        </is>
      </c>
      <c r="D8" s="88" t="inlineStr"/>
    </row>
    <row r="9" ht="30" customHeight="1">
      <c r="B9" s="87" t="inlineStr">
        <is>
          <t>Step 5</t>
        </is>
      </c>
      <c r="C9" s="88" t="inlineStr">
        <is>
          <t>Open the Calc sheet to see the helper tables behind each chart.</t>
        </is>
      </c>
      <c r="D9" s="88" t="inlineStr"/>
    </row>
    <row r="10" ht="18" customHeight="1">
      <c r="B10" s="87" t="inlineStr">
        <is>
          <t>Step 6</t>
        </is>
      </c>
      <c r="C10" s="88" t="inlineStr">
        <is>
          <t>Open 'Formulas used' to learn every formula, cell by cell.</t>
        </is>
      </c>
      <c r="D10" s="88" t="inlineStr"/>
    </row>
    <row r="12">
      <c r="B12" s="86" t="inlineStr">
        <is>
          <t xml:space="preserve">  2. What each KPI means</t>
        </is>
      </c>
      <c r="C12" s="86" t="n"/>
      <c r="D12" s="86" t="n"/>
    </row>
    <row r="13" ht="18" customHeight="1">
      <c r="B13" s="87" t="inlineStr">
        <is>
          <t>KPI</t>
        </is>
      </c>
      <c r="C13" s="87" t="inlineStr">
        <is>
          <t>Meaning (plain words)</t>
        </is>
      </c>
      <c r="D13" s="87" t="inlineStr">
        <is>
          <t>Formula on the Dashboard</t>
        </is>
      </c>
    </row>
    <row r="14" ht="18" customHeight="1">
      <c r="B14" s="87" t="inlineStr">
        <is>
          <t>💰 Revenue</t>
        </is>
      </c>
      <c r="C14" s="88" t="inlineStr">
        <is>
          <t>Money from sales after discount, both years in view.</t>
        </is>
      </c>
      <c r="D14" s="88" t="inlineStr">
        <is>
          <t>B9:  =SUMIFS(Data[Revenue],Data[Inc],1)</t>
        </is>
      </c>
    </row>
    <row r="15" ht="18" customHeight="1">
      <c r="B15" s="87" t="inlineStr">
        <is>
          <t>📈 Profit</t>
        </is>
      </c>
      <c r="C15" s="88" t="inlineStr">
        <is>
          <t>Revenue minus cost.  [Card turns red when value &lt; 0]</t>
        </is>
      </c>
      <c r="D15" s="88" t="inlineStr">
        <is>
          <t>F9:  =SUMIFS(Data[Profit],Data[Inc],1)</t>
        </is>
      </c>
    </row>
    <row r="16" ht="30" customHeight="1">
      <c r="B16" s="87" t="inlineStr">
        <is>
          <t>🎯 Margin %</t>
        </is>
      </c>
      <c r="C16" s="88" t="inlineStr">
        <is>
          <t>Profit as a share of revenue.  [Card turns green when value &gt;= 0.6]</t>
        </is>
      </c>
      <c r="D16" s="88" t="inlineStr">
        <is>
          <t>J9:  =IFERROR(SUMIFS(Data[Profit],Data[Inc],1)/SUMIFS(Data[Revenue],Data[Inc],1),0)</t>
        </is>
      </c>
    </row>
    <row r="17" ht="30" customHeight="1">
      <c r="B17" s="87" t="inlineStr">
        <is>
          <t>🚀 YoY growth</t>
        </is>
      </c>
      <c r="C17" s="88" t="inlineStr">
        <is>
          <t>Revenue growth of 2026 over 2025 (ΔPY%).  [Card turns green when value &gt;= 0]</t>
        </is>
      </c>
      <c r="D17" s="88" t="inlineStr">
        <is>
          <t>N9:  =IFERROR(SUMIFS(Data[Revenue],Data[Inc],1,Data[Year],2026)/SUMIFS(Data[Revenue],Data[Inc],1,Data[Year],2025)-1,0)</t>
        </is>
      </c>
    </row>
    <row r="18" ht="18" customHeight="1">
      <c r="B18" s="87" t="inlineStr">
        <is>
          <t>📦 Packs sold</t>
        </is>
      </c>
      <c r="C18" s="88" t="inlineStr">
        <is>
          <t>packs (or vaccine doses) sold</t>
        </is>
      </c>
      <c r="D18" s="88" t="inlineStr">
        <is>
          <t>R9:  =SUMIFS(Data[Qty],Data[Inc],1)</t>
        </is>
      </c>
    </row>
    <row r="19" ht="30" customHeight="1">
      <c r="B19" s="87" t="inlineStr">
        <is>
          <t>🏷️ Discount %</t>
        </is>
      </c>
      <c r="C19" s="88" t="inlineStr">
        <is>
          <t>Discount given as a share of gross sales.  [Card turns red when value &gt; 0.15]</t>
        </is>
      </c>
      <c r="D19" s="88" t="inlineStr">
        <is>
          <t>V9:  =IFERROR(SUMIFS(Data[Discount],Data[Inc],1)/SUMIFS(Data[GrossSales],Data[Inc],1),0)</t>
        </is>
      </c>
    </row>
    <row r="20" ht="18" customHeight="1">
      <c r="B20" s="87" t="inlineStr">
        <is>
          <t>📝 Prescriptions</t>
        </is>
      </c>
      <c r="C20" s="88" t="inlineStr">
        <is>
          <t>Number of prescriptions filled.</t>
        </is>
      </c>
      <c r="D20" s="88" t="inlineStr">
        <is>
          <t>B13:  =SUMIFS(Data[Prescriptions],Data[Inc],1)</t>
        </is>
      </c>
    </row>
    <row r="21" ht="30" customHeight="1">
      <c r="B21" s="87" t="inlineStr">
        <is>
          <t>💊 Revenue per Rx</t>
        </is>
      </c>
      <c r="C21" s="88" t="inlineStr">
        <is>
          <t>Average revenue from one prescription.</t>
        </is>
      </c>
      <c r="D21" s="88" t="inlineStr">
        <is>
          <t>F13:  =IFERROR(SUMIFS(Data[Revenue],Data[Inc],1)/SUMIFS(Data[Prescriptions],Data[Inc],1),0)</t>
        </is>
      </c>
    </row>
    <row r="22" ht="30" customHeight="1">
      <c r="B22" s="87" t="inlineStr">
        <is>
          <t>🔬 R&amp;D % of revenue</t>
        </is>
      </c>
      <c r="C22" s="88" t="inlineStr">
        <is>
          <t>R&amp;D spend as a share of revenue.</t>
        </is>
      </c>
      <c r="D22" s="88" t="inlineStr">
        <is>
          <t>J13:  =IFERROR(SUMIFS(Data[RnD],Data[Inc],1)/SUMIFS(Data[Revenue],Data[Inc],1),0)</t>
        </is>
      </c>
    </row>
    <row r="23" ht="30" customHeight="1">
      <c r="B23" s="87" t="inlineStr">
        <is>
          <t>⏳ Patent-risk revenue</t>
        </is>
      </c>
      <c r="C23" s="88" t="inlineStr">
        <is>
          <t>Share of revenue from medicines tagged High patent risk.  [Card turns red when value &gt; 0.4]</t>
        </is>
      </c>
      <c r="D23" s="88" t="inlineStr">
        <is>
          <t>N13:  =IFERROR(SUMIFS(Data[Revenue],Data[Inc],1,Data[PatentRisk],"High")/SUMIFS(Data[Revenue],Data[Inc],1),0)</t>
        </is>
      </c>
    </row>
    <row r="24" ht="30" customHeight="1">
      <c r="B24" s="87" t="inlineStr">
        <is>
          <t>🇺🇸 US share</t>
        </is>
      </c>
      <c r="C24" s="88" t="inlineStr">
        <is>
          <t>Share of revenue from the United States.</t>
        </is>
      </c>
      <c r="D24" s="88" t="inlineStr">
        <is>
          <t>R13:  =IFERROR(SUMIFS(Data[Revenue],Data[Inc],1,Data[Region],"United States")/SUMIFS(Data[Revenue],Data[Inc],1),0)</t>
        </is>
      </c>
    </row>
    <row r="25" ht="30" customHeight="1">
      <c r="B25" s="87" t="inlineStr">
        <is>
          <t>💉 Vaccines share</t>
        </is>
      </c>
      <c r="C25" s="88" t="inlineStr">
        <is>
          <t>Share of revenue from vaccines.</t>
        </is>
      </c>
      <c r="D25" s="88" t="inlineStr">
        <is>
          <t>V13:  =IFERROR(SUMIFS(Data[Revenue],Data[Inc],1,Data[Therapy],"Vaccines")/SUMIFS(Data[Revenue],Data[Inc],1),0)</t>
        </is>
      </c>
    </row>
    <row r="27">
      <c r="B27" s="86" t="inlineStr">
        <is>
          <t xml:space="preserve">  3. Data rules (columns on the Data sheet)</t>
        </is>
      </c>
      <c r="C27" s="86" t="n"/>
      <c r="D27" s="86" t="n"/>
    </row>
    <row r="28" ht="18" customHeight="1">
      <c r="B28" s="87" t="inlineStr">
        <is>
          <t>Column</t>
        </is>
      </c>
      <c r="C28" s="87" t="inlineStr">
        <is>
          <t>What it holds</t>
        </is>
      </c>
      <c r="D28" s="87" t="inlineStr">
        <is>
          <t>Rule</t>
        </is>
      </c>
    </row>
    <row r="29" ht="18" customHeight="1">
      <c r="B29" s="87" t="inlineStr">
        <is>
          <t>ID</t>
        </is>
      </c>
      <c r="C29" s="88" t="inlineStr">
        <is>
          <t>Unique row number</t>
        </is>
      </c>
      <c r="D29" s="88" t="inlineStr">
        <is>
          <t>Never repeat</t>
        </is>
      </c>
    </row>
    <row r="30" ht="18" customHeight="1">
      <c r="B30" s="87" t="inlineStr">
        <is>
          <t>Date / Year / Month</t>
        </is>
      </c>
      <c r="C30" s="88" t="inlineStr">
        <is>
          <t>When it happened</t>
        </is>
      </c>
      <c r="D30" s="88" t="inlineStr">
        <is>
          <t>Year 2025 or 2026; Month as Jan..Dec</t>
        </is>
      </c>
    </row>
    <row r="31" ht="18" customHeight="1">
      <c r="B31" s="87" t="inlineStr">
        <is>
          <t>Region / Country</t>
        </is>
      </c>
      <c r="C31" s="88" t="inlineStr">
        <is>
          <t>Where</t>
        </is>
      </c>
      <c r="D31" s="88" t="inlineStr">
        <is>
          <t>Use names from the Lists sheet</t>
        </is>
      </c>
    </row>
    <row r="32" ht="30" customHeight="1">
      <c r="B32" s="87" t="inlineStr">
        <is>
          <t>Product</t>
        </is>
      </c>
      <c r="C32" s="88" t="inlineStr">
        <is>
          <t>Medicine</t>
        </is>
      </c>
      <c r="D32" s="88" t="inlineStr">
        <is>
          <t>One of: Eliquis, Prevnar 20, Ibrance, Vyndaqel, Comirnaty, Paxlovid, Xeljanz, Abrysvo</t>
        </is>
      </c>
    </row>
    <row r="33" ht="18" customHeight="1">
      <c r="B33" s="87" t="inlineStr">
        <is>
          <t>Channel</t>
        </is>
      </c>
      <c r="C33" s="88" t="inlineStr">
        <is>
          <t>How it was sold</t>
        </is>
      </c>
      <c r="D33" s="88" t="inlineStr">
        <is>
          <t>One of: Hospital, Retail pharmacy, Government / tender</t>
        </is>
      </c>
    </row>
    <row r="34" ht="18" customHeight="1">
      <c r="B34" s="87" t="inlineStr">
        <is>
          <t>Qty, Price</t>
        </is>
      </c>
      <c r="C34" s="88" t="inlineStr">
        <is>
          <t>Quantity and unit price</t>
        </is>
      </c>
      <c r="D34" s="88" t="inlineStr">
        <is>
          <t>Numbers only</t>
        </is>
      </c>
    </row>
    <row r="35" ht="18" customHeight="1">
      <c r="B35" s="87" t="inlineStr">
        <is>
          <t>GrossSales, Discount, Revenue</t>
        </is>
      </c>
      <c r="C35" s="88" t="inlineStr">
        <is>
          <t>Money columns</t>
        </is>
      </c>
      <c r="D35" s="88" t="inlineStr">
        <is>
          <t>Revenue = GrossSales − Discount</t>
        </is>
      </c>
    </row>
    <row r="36" ht="18" customHeight="1">
      <c r="B36" s="87" t="inlineStr">
        <is>
          <t>Cost, Profit</t>
        </is>
      </c>
      <c r="C36" s="88" t="inlineStr">
        <is>
          <t>Cost and profit</t>
        </is>
      </c>
      <c r="D36" s="88" t="inlineStr">
        <is>
          <t>Profit = Revenue − Cost</t>
        </is>
      </c>
    </row>
    <row r="37" ht="18" customHeight="1">
      <c r="B37" s="87" t="inlineStr">
        <is>
          <t>Therapy</t>
        </is>
      </c>
      <c r="C37" s="88" t="inlineStr">
        <is>
          <t>therapy area</t>
        </is>
      </c>
      <c r="D37" s="88" t="inlineStr">
        <is>
          <t>From the Lists</t>
        </is>
      </c>
    </row>
    <row r="38" ht="18" customHeight="1">
      <c r="B38" s="87" t="inlineStr">
        <is>
          <t>Prescriptions</t>
        </is>
      </c>
      <c r="C38" s="88" t="inlineStr">
        <is>
          <t>prescriptions (or vaccination orders) filled</t>
        </is>
      </c>
      <c r="D38" s="88" t="inlineStr">
        <is>
          <t>Whole number</t>
        </is>
      </c>
    </row>
    <row r="39" ht="18" customHeight="1">
      <c r="B39" s="87" t="inlineStr">
        <is>
          <t>RnD</t>
        </is>
      </c>
      <c r="C39" s="88" t="inlineStr">
        <is>
          <t>R&amp;D spend allocated to this row (example)</t>
        </is>
      </c>
      <c r="D39" s="88" t="inlineStr">
        <is>
          <t>Number</t>
        </is>
      </c>
    </row>
    <row r="40" ht="18" customHeight="1">
      <c r="B40" s="87" t="inlineStr">
        <is>
          <t>PatentRisk</t>
        </is>
      </c>
      <c r="C40" s="88" t="inlineStr">
        <is>
          <t>EXAMPLE tag: High, Medium or Low risk of losing patent soon</t>
        </is>
      </c>
      <c r="D40" s="88" t="inlineStr">
        <is>
          <t>High, Medium or Low</t>
        </is>
      </c>
    </row>
    <row r="41" ht="18" customHeight="1">
      <c r="B41" s="87" t="inlineStr">
        <is>
          <t>Inc</t>
        </is>
      </c>
      <c r="C41" s="88" t="inlineStr">
        <is>
          <t>1 = row matches all Dashboard filters, 0 = it does not</t>
        </is>
      </c>
      <c r="D41" s="88" t="inlineStr">
        <is>
          <t>Formula column. Never type in it; copy it down for new rows.</t>
        </is>
      </c>
    </row>
    <row r="43">
      <c r="B43" s="86" t="inlineStr">
        <is>
          <t xml:space="preserve">  4. How to refresh or add data</t>
        </is>
      </c>
      <c r="C43" s="86" t="n"/>
      <c r="D43" s="86" t="n"/>
    </row>
    <row r="44" ht="45" customHeight="1">
      <c r="B44" s="87" t="inlineStr">
        <is>
          <t>Add rows</t>
        </is>
      </c>
      <c r="C44" s="88" t="inlineStr">
        <is>
          <t>Type or paste new rows directly under the last row of the Data table. The table grows by itself, and the Inc formula fills down.</t>
        </is>
      </c>
      <c r="D44" s="88" t="inlineStr"/>
    </row>
    <row r="45" ht="60" customHeight="1">
      <c r="B45" s="87" t="inlineStr">
        <is>
          <t>Ranges</t>
        </is>
      </c>
      <c r="C45" s="88" t="inlineStr">
        <is>
          <t>The formulas read rows 10 to 6009. If you add rows below 6009, select the formulas in Calc and Dashboard and use Find &amp; Replace to change 6009 to your new last row (or convert them to table references).</t>
        </is>
      </c>
      <c r="D45" s="88" t="inlineStr"/>
    </row>
    <row r="46" ht="30" customHeight="1">
      <c r="B46" s="87" t="inlineStr">
        <is>
          <t>Refresh</t>
        </is>
      </c>
      <c r="C46" s="88" t="inlineStr">
        <is>
          <t>Formulas recalculate automatically. If the file is set to manual, press F9 (Excel) or Ctrl+Shift+F9 (LibreOffice).</t>
        </is>
      </c>
      <c r="D46" s="88" t="inlineStr"/>
    </row>
    <row r="47" ht="45" customHeight="1">
      <c r="B47" s="87" t="inlineStr">
        <is>
          <t>New list item</t>
        </is>
      </c>
      <c r="C47" s="88" t="inlineStr">
        <is>
          <t>If you add a new Region, add it to the Lists sheet and the Calc tables too, or it will not appear in the drop-down and charts.</t>
        </is>
      </c>
      <c r="D47" s="88" t="inlineStr"/>
    </row>
    <row r="48" ht="30" customHeight="1">
      <c r="B48" s="87" t="inlineStr">
        <is>
          <t>Check</t>
        </is>
      </c>
      <c r="C48" s="88" t="inlineStr">
        <is>
          <t>After pasting, filter the Data sheet for blanks and wrong spellings: the SUMIFS/COUNTIFS formulas match text exactly.</t>
        </is>
      </c>
      <c r="D48" s="88" t="inlineStr"/>
    </row>
    <row r="50">
      <c r="B50" s="86" t="inlineStr">
        <is>
          <t xml:space="preserve">  5. Do's and don'ts</t>
        </is>
      </c>
      <c r="C50" s="86" t="n"/>
      <c r="D50" s="86" t="n"/>
    </row>
    <row r="51" ht="30" customHeight="1">
      <c r="B51" s="87" t="inlineStr">
        <is>
          <t>Do</t>
        </is>
      </c>
      <c r="C51" s="88" t="inlineStr">
        <is>
          <t>Keep one row per one month of sales of one medicine in one country and channel, with every column filled.</t>
        </is>
      </c>
      <c r="D51" s="88" t="inlineStr"/>
    </row>
    <row r="52" ht="18" customHeight="1">
      <c r="B52" s="87" t="inlineStr">
        <is>
          <t>Do</t>
        </is>
      </c>
      <c r="C52" s="88" t="inlineStr">
        <is>
          <t>Use the drop-downs only; type nothing else into row 6.</t>
        </is>
      </c>
      <c r="D52" s="88" t="inlineStr"/>
    </row>
    <row r="53" ht="30" customHeight="1">
      <c r="B53" s="87" t="inlineStr">
        <is>
          <t>Do</t>
        </is>
      </c>
      <c r="C53" s="88" t="inlineStr">
        <is>
          <t>Keep numbers as numbers (no ₹ sign or text typed in amount cells).</t>
        </is>
      </c>
      <c r="D53" s="88" t="inlineStr"/>
    </row>
    <row r="54" ht="18" customHeight="1">
      <c r="B54" s="87" t="inlineStr">
        <is>
          <t>Do</t>
        </is>
      </c>
      <c r="C54" s="88" t="inlineStr">
        <is>
          <t>Save a copy before big changes.</t>
        </is>
      </c>
      <c r="D54" s="88" t="inlineStr"/>
    </row>
    <row r="55" ht="30" customHeight="1">
      <c r="B55" s="87" t="inlineStr">
        <is>
          <t>Don't</t>
        </is>
      </c>
      <c r="C55" s="88" t="inlineStr">
        <is>
          <t>Don't type over KPI cards, the Inc column or the Calc sheet: they hold formulas.</t>
        </is>
      </c>
      <c r="D55" s="88" t="inlineStr"/>
    </row>
    <row r="56" ht="18" customHeight="1">
      <c r="B56" s="87" t="inlineStr">
        <is>
          <t>Don't</t>
        </is>
      </c>
      <c r="C56" s="88" t="inlineStr">
        <is>
          <t>Don't merge cells or insert blank rows inside the Data table.</t>
        </is>
      </c>
      <c r="D56" s="88" t="inlineStr"/>
    </row>
    <row r="57" ht="18" customHeight="1">
      <c r="B57" s="87" t="inlineStr">
        <is>
          <t>Don't</t>
        </is>
      </c>
      <c r="C57" s="88" t="inlineStr">
        <is>
          <t>Don't rename sheets or column headers; the formulas use them.</t>
        </is>
      </c>
      <c r="D57" s="88" t="inlineStr"/>
    </row>
    <row r="58" ht="30" customHeight="1">
      <c r="B58" s="87" t="inlineStr">
        <is>
          <t>Don't</t>
        </is>
      </c>
      <c r="C58" s="88" t="inlineStr">
        <is>
          <t>Don't present these numbers as real Pfizer figures: they are example data.</t>
        </is>
      </c>
      <c r="D58" s="88" t="inlineStr"/>
    </row>
  </sheetData>
  <mergeCells count="7">
    <mergeCell ref="B1:D1"/>
    <mergeCell ref="B4:D4"/>
    <mergeCell ref="B50:D50"/>
    <mergeCell ref="B27:D27"/>
    <mergeCell ref="B43:D43"/>
    <mergeCell ref="B12:D12"/>
    <mergeCell ref="B2:D2"/>
  </mergeCells>
  <pageMargins left="0.75" right="0.75" top="1" bottom="1" header="0.5" footer="0.5"/>
  <pageSetup orientation="landscape" fitToHeight="1" fitToWidth="1"/>
</worksheet>
</file>

<file path=xl/worksheets/sheet9.xml><?xml version="1.0" encoding="utf-8"?>
<worksheet xmlns="http://schemas.openxmlformats.org/spreadsheetml/2006/main">
  <sheetPr>
    <tabColor rgb="000000C9"/>
    <outlinePr summaryBelow="1" summaryRight="1"/>
    <pageSetUpPr fitToPage="1"/>
  </sheetPr>
  <dimension ref="A1:C47"/>
  <sheetViews>
    <sheetView workbookViewId="0">
      <selection activeCell="A1" sqref="A1"/>
    </sheetView>
  </sheetViews>
  <sheetFormatPr baseColWidth="8" defaultRowHeight="15"/>
  <cols>
    <col width="20" customWidth="1" min="1" max="1"/>
    <col width="110" customWidth="1" min="2" max="2"/>
    <col width="55" customWidth="1" min="3" max="3"/>
  </cols>
  <sheetData>
    <row r="1">
      <c r="A1" s="89" t="inlineStr">
        <is>
          <t>Formulas used in this workbook</t>
        </is>
      </c>
      <c r="B1" s="89" t="n"/>
      <c r="C1" s="89" t="n"/>
    </row>
    <row r="2">
      <c r="A2" s="85" t="inlineStr">
        <is>
          <t>EXAMPLE DATA: every number in this workbook is made up for practice. It is not real Pfizer data and not an official report.</t>
        </is>
      </c>
      <c r="B2" s="85" t="n"/>
      <c r="C2" s="85" t="n"/>
    </row>
    <row r="4">
      <c r="A4" s="90" t="inlineStr">
        <is>
          <t>Cell</t>
        </is>
      </c>
      <c r="B4" s="90" t="inlineStr">
        <is>
          <t>Formula</t>
        </is>
      </c>
      <c r="C4" s="90" t="inlineStr">
        <is>
          <t>What it does</t>
        </is>
      </c>
    </row>
    <row r="5">
      <c r="A5" s="49" t="inlineStr">
        <is>
          <t>Data!V10</t>
        </is>
      </c>
      <c r="B5" s="91" t="inlineStr">
        <is>
          <t xml:space="preserve"> =IF(AND(OR(Dashboard!$C$6="All",E10=Dashboard!$C$6),OR(Dashboard!$F$6="All",G10=Dashboard!$F$6),OR(Dashboard!$I$6="All",H10=Dashboard!$I$6)),1,0)</t>
        </is>
      </c>
      <c r="C5" s="92" t="inlineStr">
        <is>
          <t>Inc flag: 1 when the row matches every Dashboard filter (copied down every row)</t>
        </is>
      </c>
    </row>
    <row r="6">
      <c r="A6" s="49" t="inlineStr">
        <is>
          <t>Dashboard!L6</t>
        </is>
      </c>
      <c r="B6" s="91" t="inlineStr">
        <is>
          <t xml:space="preserve"> ="Rows in view: "&amp;TEXT(SUM(Data!$V$10:$V$6009),"#,##0")&amp;" of 6,000  ·  yellow cells = drop-down filters  "</t>
        </is>
      </c>
      <c r="C6" s="92" t="inlineStr">
        <is>
          <t>Counts rows in view</t>
        </is>
      </c>
    </row>
    <row r="7">
      <c r="A7" s="49" t="inlineStr">
        <is>
          <t>Dashboard!B9</t>
        </is>
      </c>
      <c r="B7" s="91" t="inlineStr">
        <is>
          <t xml:space="preserve"> =SUMIFS(Data!$O$10:$O$6009,Data!$V$10:$V$6009,1)</t>
        </is>
      </c>
      <c r="C7" s="92" t="inlineStr">
        <is>
          <t>KPI: 💰 Revenue</t>
        </is>
      </c>
    </row>
    <row r="8">
      <c r="A8" s="49" t="inlineStr">
        <is>
          <t>Dashboard!F9</t>
        </is>
      </c>
      <c r="B8" s="91" t="inlineStr">
        <is>
          <t xml:space="preserve"> =SUMIFS(Data!$Q$10:$Q$6009,Data!$V$10:$V$6009,1)</t>
        </is>
      </c>
      <c r="C8" s="92" t="inlineStr">
        <is>
          <t>KPI: 📈 Profit</t>
        </is>
      </c>
    </row>
    <row r="9">
      <c r="A9" s="49" t="inlineStr">
        <is>
          <t>Dashboard!J9</t>
        </is>
      </c>
      <c r="B9" s="91" t="inlineStr">
        <is>
          <t xml:space="preserve"> =IFERROR(SUMIFS(Data!$Q$10:$Q$6009,Data!$V$10:$V$6009,1)/SUMIFS(Data!$O$10:$O$6009,Data!$V$10:$V$6009,1),0)</t>
        </is>
      </c>
      <c r="C9" s="92" t="inlineStr">
        <is>
          <t>KPI: 🎯 Margin %</t>
        </is>
      </c>
    </row>
    <row r="10">
      <c r="A10" s="49" t="inlineStr">
        <is>
          <t>Dashboard!N9</t>
        </is>
      </c>
      <c r="B10" s="91" t="inlineStr">
        <is>
          <t xml:space="preserve"> =IFERROR(SUMIFS(Data!$O$10:$O$6009,Data!$V$10:$V$6009,1,Data!$C$10:$C$6009,2026)/SUMIFS(Data!$O$10:$O$6009,Data!$V$10:$V$6009,1,Data!$C$10:$C$6009,2025)-1,0)</t>
        </is>
      </c>
      <c r="C10" s="92" t="inlineStr">
        <is>
          <t>KPI: 🚀 YoY growth</t>
        </is>
      </c>
    </row>
    <row r="11">
      <c r="A11" s="49" t="inlineStr">
        <is>
          <t>Dashboard!R9</t>
        </is>
      </c>
      <c r="B11" s="91" t="inlineStr">
        <is>
          <t xml:space="preserve"> =SUMIFS(Data!$K$10:$K$6009,Data!$V$10:$V$6009,1)</t>
        </is>
      </c>
      <c r="C11" s="92" t="inlineStr">
        <is>
          <t>KPI: 📦 Packs sold</t>
        </is>
      </c>
    </row>
    <row r="12">
      <c r="A12" s="49" t="inlineStr">
        <is>
          <t>Dashboard!V9</t>
        </is>
      </c>
      <c r="B12" s="91" t="inlineStr">
        <is>
          <t xml:space="preserve"> =IFERROR(SUMIFS(Data!$N$10:$N$6009,Data!$V$10:$V$6009,1)/SUMIFS(Data!$M$10:$M$6009,Data!$V$10:$V$6009,1),0)</t>
        </is>
      </c>
      <c r="C12" s="92" t="inlineStr">
        <is>
          <t>KPI: 🏷️ Discount %</t>
        </is>
      </c>
    </row>
    <row r="13">
      <c r="A13" s="49" t="inlineStr">
        <is>
          <t>Dashboard!B13</t>
        </is>
      </c>
      <c r="B13" s="91" t="inlineStr">
        <is>
          <t xml:space="preserve"> =SUMIFS(Data!$S$10:$S$6009,Data!$V$10:$V$6009,1)</t>
        </is>
      </c>
      <c r="C13" s="92" t="inlineStr">
        <is>
          <t>KPI: 📝 Prescriptions</t>
        </is>
      </c>
    </row>
    <row r="14">
      <c r="A14" s="49" t="inlineStr">
        <is>
          <t>Dashboard!F13</t>
        </is>
      </c>
      <c r="B14" s="91" t="inlineStr">
        <is>
          <t xml:space="preserve"> =IFERROR(SUMIFS(Data!$O$10:$O$6009,Data!$V$10:$V$6009,1)/SUMIFS(Data!$S$10:$S$6009,Data!$V$10:$V$6009,1),0)</t>
        </is>
      </c>
      <c r="C14" s="92" t="inlineStr">
        <is>
          <t>KPI: 💊 Revenue per Rx</t>
        </is>
      </c>
    </row>
    <row r="15">
      <c r="A15" s="49" t="inlineStr">
        <is>
          <t>Dashboard!J13</t>
        </is>
      </c>
      <c r="B15" s="91" t="inlineStr">
        <is>
          <t xml:space="preserve"> =IFERROR(SUMIFS(Data!$T$10:$T$6009,Data!$V$10:$V$6009,1)/SUMIFS(Data!$O$10:$O$6009,Data!$V$10:$V$6009,1),0)</t>
        </is>
      </c>
      <c r="C15" s="92" t="inlineStr">
        <is>
          <t>KPI: 🔬 R&amp;D % of revenue</t>
        </is>
      </c>
    </row>
    <row r="16">
      <c r="A16" s="49" t="inlineStr">
        <is>
          <t>Dashboard!N13</t>
        </is>
      </c>
      <c r="B16" s="91" t="inlineStr">
        <is>
          <t xml:space="preserve"> =IFERROR(SUMIFS(Data!$O$10:$O$6009,Data!$V$10:$V$6009,1,Data!$U$10:$U$6009,"High")/SUMIFS(Data!$O$10:$O$6009,Data!$V$10:$V$6009,1),0)</t>
        </is>
      </c>
      <c r="C16" s="92" t="inlineStr">
        <is>
          <t>KPI: ⏳ Patent-risk revenue</t>
        </is>
      </c>
    </row>
    <row r="17">
      <c r="A17" s="49" t="inlineStr">
        <is>
          <t>Dashboard!R13</t>
        </is>
      </c>
      <c r="B17" s="91" t="inlineStr">
        <is>
          <t xml:space="preserve"> =IFERROR(SUMIFS(Data!$O$10:$O$6009,Data!$V$10:$V$6009,1,Data!$E$10:$E$6009,"United States")/SUMIFS(Data!$O$10:$O$6009,Data!$V$10:$V$6009,1),0)</t>
        </is>
      </c>
      <c r="C17" s="92" t="inlineStr">
        <is>
          <t>KPI: 🇺🇸 US share</t>
        </is>
      </c>
    </row>
    <row r="18">
      <c r="A18" s="49" t="inlineStr">
        <is>
          <t>Dashboard!V13</t>
        </is>
      </c>
      <c r="B18" s="91" t="inlineStr">
        <is>
          <t xml:space="preserve"> =IFERROR(SUMIFS(Data!$O$10:$O$6009,Data!$V$10:$V$6009,1,Data!$R$10:$R$6009,"Vaccines")/SUMIFS(Data!$O$10:$O$6009,Data!$V$10:$V$6009,1),0)</t>
        </is>
      </c>
      <c r="C18" s="92" t="inlineStr">
        <is>
          <t>KPI: 💉 Vaccines share</t>
        </is>
      </c>
    </row>
    <row r="19">
      <c r="A19" s="49" t="inlineStr">
        <is>
          <t>Calc!B5</t>
        </is>
      </c>
      <c r="B19" s="91" t="inlineStr">
        <is>
          <t xml:space="preserve"> =SUMIFS(Data!$O$10:$O$6009,Data!$V$10:$V$6009,1,Data!$D$10:$D$6009,$A5,Data!$C$10:$C$6009,2025)</t>
        </is>
      </c>
      <c r="C19" s="92" t="inlineStr">
        <is>
          <t>Monthly trend: AC 2026 vs PY 2025: PY 2025 for Jan (copied down)</t>
        </is>
      </c>
    </row>
    <row r="20">
      <c r="A20" s="49" t="inlineStr">
        <is>
          <t>Calc!C5</t>
        </is>
      </c>
      <c r="B20" s="91" t="inlineStr">
        <is>
          <t xml:space="preserve"> =SUMIFS(Data!$O$10:$O$6009,Data!$V$10:$V$6009,1,Data!$D$10:$D$6009,$A5,Data!$C$10:$C$6009,2026)</t>
        </is>
      </c>
      <c r="C20" s="92" t="inlineStr">
        <is>
          <t>Monthly trend: AC 2026 vs PY 2025: AC 2026 for Jan (copied down)</t>
        </is>
      </c>
    </row>
    <row r="21">
      <c r="A21" s="49" t="inlineStr">
        <is>
          <t>Calc!D5</t>
        </is>
      </c>
      <c r="B21" s="91" t="inlineStr">
        <is>
          <t xml:space="preserve"> =IFERROR(C5/B5-1,0)</t>
        </is>
      </c>
      <c r="C21" s="92" t="inlineStr">
        <is>
          <t>Monthly trend: AC 2026 vs PY 2025: ΔPY% for Jan (copied down)</t>
        </is>
      </c>
    </row>
    <row r="22">
      <c r="A22" s="49" t="inlineStr">
        <is>
          <t>Calc!B21</t>
        </is>
      </c>
      <c r="B22" s="91" t="inlineStr">
        <is>
          <t xml:space="preserve"> =SUMIFS(Data!$O$10:$O$6009,Data!$V$10:$V$6009,1,Data!$E$10:$E$6009,$A21)</t>
        </is>
      </c>
      <c r="C22" s="92" t="inlineStr">
        <is>
          <t>By region: Revenue for United States (copied down)</t>
        </is>
      </c>
    </row>
    <row r="23">
      <c r="A23" s="49" t="inlineStr">
        <is>
          <t>Calc!C21</t>
        </is>
      </c>
      <c r="B23" s="91" t="inlineStr">
        <is>
          <t xml:space="preserve"> =SUMIFS(Data!$Q$10:$Q$6009,Data!$V$10:$V$6009,1,Data!$E$10:$E$6009,$A21)</t>
        </is>
      </c>
      <c r="C23" s="92" t="inlineStr">
        <is>
          <t>By region: Profit for United States (copied down)</t>
        </is>
      </c>
    </row>
    <row r="24">
      <c r="A24" s="49" t="inlineStr">
        <is>
          <t>Calc!D21</t>
        </is>
      </c>
      <c r="B24" s="91" t="inlineStr">
        <is>
          <t xml:space="preserve"> =IFERROR(C21/B21,0)</t>
        </is>
      </c>
      <c r="C24" s="92" t="inlineStr">
        <is>
          <t>By region: Margin % for United States (copied down)</t>
        </is>
      </c>
    </row>
    <row r="25">
      <c r="A25" s="49" t="inlineStr">
        <is>
          <t>Calc!E21</t>
        </is>
      </c>
      <c r="B25" s="91" t="inlineStr">
        <is>
          <t xml:space="preserve"> =IFERROR(B21/SUM(Calc!$B$21:$B$24),0)</t>
        </is>
      </c>
      <c r="C25" s="92" t="inlineStr">
        <is>
          <t>By region: Share for United States (copied down)</t>
        </is>
      </c>
    </row>
    <row r="26">
      <c r="A26" s="49" t="inlineStr">
        <is>
          <t>Calc!B29</t>
        </is>
      </c>
      <c r="B26" s="91" t="inlineStr">
        <is>
          <t xml:space="preserve"> =SUMIFS(Data!$O$10:$O$6009,Data!$V$10:$V$6009,1,Data!$G$10:$G$6009,$A29)</t>
        </is>
      </c>
      <c r="C26" s="92" t="inlineStr">
        <is>
          <t>By medicine: Revenue for Eliquis (copied down)</t>
        </is>
      </c>
    </row>
    <row r="27">
      <c r="A27" s="49" t="inlineStr">
        <is>
          <t>Calc!C29</t>
        </is>
      </c>
      <c r="B27" s="91" t="inlineStr">
        <is>
          <t xml:space="preserve"> =SUMIFS(Data!$K$10:$K$6009,Data!$V$10:$V$6009,1,Data!$G$10:$G$6009,$A29)</t>
        </is>
      </c>
      <c r="C27" s="92" t="inlineStr">
        <is>
          <t>By medicine: Packs sold for Eliquis (copied down)</t>
        </is>
      </c>
    </row>
    <row r="28">
      <c r="A28" s="49" t="inlineStr">
        <is>
          <t>Calc!D29</t>
        </is>
      </c>
      <c r="B28" s="91" t="inlineStr">
        <is>
          <t xml:space="preserve"> =SUMIFS(Data!$Q$10:$Q$6009,Data!$V$10:$V$6009,1,Data!$G$10:$G$6009,$A29)</t>
        </is>
      </c>
      <c r="C28" s="92" t="inlineStr">
        <is>
          <t>By medicine: Profit for Eliquis (copied down)</t>
        </is>
      </c>
    </row>
    <row r="29">
      <c r="A29" s="49" t="inlineStr">
        <is>
          <t>Calc!E29</t>
        </is>
      </c>
      <c r="B29" s="91" t="inlineStr">
        <is>
          <t xml:space="preserve"> =IFERROR(D29/B29,0)</t>
        </is>
      </c>
      <c r="C29" s="92" t="inlineStr">
        <is>
          <t>By medicine: Margin % for Eliquis (copied down)</t>
        </is>
      </c>
    </row>
    <row r="30">
      <c r="A30" s="49" t="inlineStr">
        <is>
          <t>Calc!F29</t>
        </is>
      </c>
      <c r="B30" s="91" t="inlineStr">
        <is>
          <t xml:space="preserve"> =B29+ROW()/1000000</t>
        </is>
      </c>
      <c r="C30" s="92" t="inlineStr">
        <is>
          <t>By medicine: Rank key for Eliquis (copied down)</t>
        </is>
      </c>
    </row>
    <row r="31">
      <c r="A31" s="49" t="inlineStr">
        <is>
          <t>Calc!B41</t>
        </is>
      </c>
      <c r="B31" s="91" t="inlineStr">
        <is>
          <t xml:space="preserve"> =SUMIFS(Data!$O$10:$O$6009,Data!$V$10:$V$6009,1,Data!$H$10:$H$6009,$A41)</t>
        </is>
      </c>
      <c r="C31" s="92" t="inlineStr">
        <is>
          <t>By channel: Revenue for Hospital (copied down)</t>
        </is>
      </c>
    </row>
    <row r="32">
      <c r="A32" s="49" t="inlineStr">
        <is>
          <t>Calc!C41</t>
        </is>
      </c>
      <c r="B32" s="91" t="inlineStr">
        <is>
          <t xml:space="preserve"> =IFERROR(SUMIFS(Data!$Q$10:$Q$6009,Data!$V$10:$V$6009,1,Data!$H$10:$H$6009,$A41)/B41,0)</t>
        </is>
      </c>
      <c r="C32" s="92" t="inlineStr">
        <is>
          <t>By channel: Margin % for Hospital (copied down)</t>
        </is>
      </c>
    </row>
    <row r="33">
      <c r="A33" s="49" t="inlineStr">
        <is>
          <t>Calc!B48</t>
        </is>
      </c>
      <c r="B33" s="91" t="inlineStr">
        <is>
          <t xml:space="preserve"> =SUMIFS(Data!$O$10:$O$6009,Data!$V$10:$V$6009,1,Data!$R$10:$R$6009,$A48)</t>
        </is>
      </c>
      <c r="C33" s="92" t="inlineStr">
        <is>
          <t>By therapy area: Revenue for Cardiology (copied down)</t>
        </is>
      </c>
    </row>
    <row r="34">
      <c r="A34" s="49" t="inlineStr">
        <is>
          <t>Dashboard!B17</t>
        </is>
      </c>
      <c r="B34" s="91" t="inlineStr">
        <is>
          <t xml:space="preserve"> ="Top region: "&amp;INDEX(Calc!$A$21:$A$24,MATCH(MAX(Calc!$B$21:$B$24),Calc!$B$21:$B$24,0))&amp;" with "&amp;TEXT(IFERROR(MAX(Calc!$B$21:$B$24)/SUM(Calc!$B$21:$B$24),0),"0%")&amp;" of revenue"</t>
        </is>
      </c>
      <c r="C34" s="92" t="inlineStr">
        <is>
          <t>Insight headline 1</t>
        </is>
      </c>
    </row>
    <row r="35">
      <c r="A35" s="49" t="inlineStr">
        <is>
          <t>Dashboard!B18</t>
        </is>
      </c>
      <c r="B35" s="91" t="inlineStr">
        <is>
          <t xml:space="preserve"> ="Biggest medicine: "&amp;INDEX(Calc!$A$29:$A$36,MATCH(MAX(Calc!$B$29:$B$36),Calc!$B$29:$B$36,0))&amp;"  |  Best margin: "&amp;INDEX(Calc!$A$29:$A$36,MATCH(MAX(Calc!$E$29:$E$36),Calc!$E$29:$E$36,0))&amp;" ("&amp;TEXT(MAX(Calc!$E$29:$E$36),"0%")&amp;")"</t>
        </is>
      </c>
      <c r="C35" s="92" t="inlineStr">
        <is>
          <t>Insight headline 2</t>
        </is>
      </c>
    </row>
    <row r="36">
      <c r="A36" s="49" t="inlineStr">
        <is>
          <t>Dashboard!B19</t>
        </is>
      </c>
      <c r="B36" s="91" t="inlineStr">
        <is>
          <t xml:space="preserve"> ="Revenue is "&amp;IF(SUMIFS(Data!$O$10:$O$6009,Data!$V$10:$V$6009,1,Data!$C$10:$C$6009,2026)&gt;=SUMIFS(Data!$O$10:$O$6009,Data!$V$10:$V$6009,1,Data!$C$10:$C$6009,2025),"UP ","DOWN ")&amp;TEXT(IFERROR(SUMIFS(Data!$O$10:$O$6009,Data!$V$10:$V$6009,1,Data!$C$10:$C$6009,2026)/SUMIFS(Data!$O$10:$O$6009,Data!$V$10:$V$6009,1,Data!$C$10:$C$6009,2025)-1,0),"+0.0%;-0.0%")&amp;" vs last year; best month in 2026: "&amp;INDEX(Calc!$A$5:$A$16,MATCH(MAX(Calc!$C$5:$C$16),Calc!$C$5:$C$16,0))</t>
        </is>
      </c>
      <c r="C36" s="92" t="inlineStr">
        <is>
          <t>Insight headline 3</t>
        </is>
      </c>
    </row>
    <row r="37">
      <c r="A37" s="49" t="inlineStr">
        <is>
          <t>Calc!AD16</t>
        </is>
      </c>
      <c r="B37" s="91" t="inlineStr">
        <is>
          <t xml:space="preserve"> ="Revenue "&amp;IF(SUM(Calc!$C$5:$C$16)&gt;=SUM(Calc!$B$5:$B$16),"up ","down ")&amp;TEXT(ABS(IFERROR(SUM(Calc!$C$5:$C$16)/SUM(Calc!$B$5:$B$16)-1,0)),"0.0%")&amp;" vs 2025 · AC 2026 vs PY 2025"</t>
        </is>
      </c>
      <c r="C37" s="92" t="inlineStr">
        <is>
          <t>Insight title of chart 1 (Revenue by month: AC 2026 vs PY 2025)</t>
        </is>
      </c>
    </row>
    <row r="38">
      <c r="A38" s="49" t="inlineStr">
        <is>
          <t>Calc!AD17</t>
        </is>
      </c>
      <c r="B38" s="91" t="inlineStr">
        <is>
          <t xml:space="preserve"> =INDEX(Calc!$A$21:$A$24,MATCH(MAX(Calc!$B$21:$B$24),Calc!$B$21:$B$24,0))&amp;" leads revenue ("&amp;TEXT(IFERROR(MAX(Calc!$B$21:$B$24)/SUM(Calc!$B$21:$B$24),0),"0%")&amp;") · bars = revenue, line = margin %"</t>
        </is>
      </c>
      <c r="C38" s="92" t="inlineStr">
        <is>
          <t>Insight title of chart 2 (Revenue by region (bars) and margin % (line))</t>
        </is>
      </c>
    </row>
    <row r="39">
      <c r="A39" s="49" t="inlineStr">
        <is>
          <t>Calc!AD18</t>
        </is>
      </c>
      <c r="B39" s="91" t="inlineStr">
        <is>
          <t xml:space="preserve"> =INDEX(Calc!$A$29:$A$36,MATCH(MAX(Calc!$B$29:$B$36),Calc!$B$29:$B$36,0))&amp;" leads with "&amp;TEXT(IFERROR(MAX(Calc!$B$29:$B$36)/SUM(Calc!$B$29:$B$36),0),"0%")&amp;" · Medicine revenue mix"</t>
        </is>
      </c>
      <c r="C39" s="92" t="inlineStr">
        <is>
          <t>Insight title of chart 3 (Medicine revenue mix)</t>
        </is>
      </c>
    </row>
    <row r="40">
      <c r="A40" s="49" t="inlineStr">
        <is>
          <t>Calc!AD19</t>
        </is>
      </c>
      <c r="B40" s="91" t="inlineStr">
        <is>
          <t xml:space="preserve"> =INDEX(Calc!$A$41:$A$43,MATCH(MAX(Calc!$B$41:$B$43),Calc!$B$41:$B$43,0))&amp;" leads with "&amp;TEXT(IFERROR(MAX(Calc!$B$41:$B$43)/SUM(Calc!$B$41:$B$43),0),"0%")&amp;" · Revenue by channel"</t>
        </is>
      </c>
      <c r="C40" s="92" t="inlineStr">
        <is>
          <t>Insight title of chart 4 (Revenue by channel)</t>
        </is>
      </c>
    </row>
    <row r="41">
      <c r="A41" s="49" t="inlineStr">
        <is>
          <t>Calc!AD20</t>
        </is>
      </c>
      <c r="B41" s="91" t="inlineStr">
        <is>
          <t xml:space="preserve"> =INDEX(Calc!$A$29:$A$36,MATCH(MAX(Calc!$D$29:$D$36),Calc!$D$29:$D$36,0))&amp;" leads with "&amp;TEXT(IFERROR(MAX(Calc!$D$29:$D$36)/SUM(Calc!$D$29:$D$36),0),"0%")&amp;" · Profit by medicine"</t>
        </is>
      </c>
      <c r="C41" s="92" t="inlineStr">
        <is>
          <t>Insight title of chart 5 (Profit by medicine)</t>
        </is>
      </c>
    </row>
    <row r="42">
      <c r="A42" s="49" t="inlineStr">
        <is>
          <t>Calc!AD21</t>
        </is>
      </c>
      <c r="B42" s="91" t="inlineStr">
        <is>
          <t xml:space="preserve"> =INDEX(Calc!$A$48:$A$53,MATCH(MAX(Calc!$B$48:$B$53),Calc!$B$48:$B$53,0))&amp;" leads with "&amp;TEXT(IFERROR(MAX(Calc!$B$48:$B$53)/SUM(Calc!$B$48:$B$53),0),"0%")&amp;" · Revenue by therapy area"</t>
        </is>
      </c>
      <c r="C42" s="92" t="inlineStr">
        <is>
          <t>Insight title of chart 6 (Revenue by therapy area)</t>
        </is>
      </c>
    </row>
    <row r="43">
      <c r="A43" s="49" t="inlineStr">
        <is>
          <t>Dashboard!F55</t>
        </is>
      </c>
      <c r="B43" s="91" t="inlineStr">
        <is>
          <t xml:space="preserve"> =IFERROR(INDEX(Calc!$A$29:$A$36,MATCH(LARGE(Calc!$F$29:$F$36,$B55),Calc!$F$29:$F$36,0)),"-")</t>
        </is>
      </c>
      <c r="C43" s="92" t="inlineStr">
        <is>
          <t>Top 5 medicines by revenue: column 'Medicine' (copied down)</t>
        </is>
      </c>
    </row>
    <row r="44">
      <c r="A44" s="49" t="inlineStr">
        <is>
          <t>Dashboard!J55</t>
        </is>
      </c>
      <c r="B44" s="91" t="inlineStr">
        <is>
          <t xml:space="preserve"> =IFERROR(INDEX(Calc!$B$29:$B$36,MATCH(LARGE(Calc!$F$29:$F$36,$B55),Calc!$F$29:$F$36,0)),"-")</t>
        </is>
      </c>
      <c r="C44" s="92" t="inlineStr">
        <is>
          <t>Top 5 medicines by revenue: column 'Revenue' (copied down)</t>
        </is>
      </c>
    </row>
    <row r="45">
      <c r="A45" s="49" t="inlineStr">
        <is>
          <t>Dashboard!N55</t>
        </is>
      </c>
      <c r="B45" s="91" t="inlineStr">
        <is>
          <t xml:space="preserve"> =IFERROR(INDEX(Calc!$C$29:$C$36,MATCH(LARGE(Calc!$F$29:$F$36,$B55),Calc!$F$29:$F$36,0)),"-")</t>
        </is>
      </c>
      <c r="C45" s="92" t="inlineStr">
        <is>
          <t>Top 5 medicines by revenue: column 'Packs sold' (copied down)</t>
        </is>
      </c>
    </row>
    <row r="46">
      <c r="A46" s="49" t="inlineStr">
        <is>
          <t>Dashboard!R55</t>
        </is>
      </c>
      <c r="B46" s="91" t="inlineStr">
        <is>
          <t xml:space="preserve"> =IFERROR(INDEX(Calc!$D$29:$D$36,MATCH(LARGE(Calc!$F$29:$F$36,$B55),Calc!$F$29:$F$36,0)),"-")</t>
        </is>
      </c>
      <c r="C46" s="92" t="inlineStr">
        <is>
          <t>Top 5 medicines by revenue: column 'Profit' (copied down)</t>
        </is>
      </c>
    </row>
    <row r="47">
      <c r="A47" s="49" t="inlineStr">
        <is>
          <t>Dashboard!V55</t>
        </is>
      </c>
      <c r="B47" s="91" t="inlineStr">
        <is>
          <t xml:space="preserve"> =IFERROR(INDEX(Calc!$E$29:$E$36,MATCH(LARGE(Calc!$F$29:$F$36,$B55),Calc!$F$29:$F$36,0)),"-")</t>
        </is>
      </c>
      <c r="C47" s="92" t="inlineStr">
        <is>
          <t>Top 5 medicines by revenue: column 'Margin %' (copied down)</t>
        </is>
      </c>
    </row>
  </sheetData>
  <mergeCells count="2">
    <mergeCell ref="A1:C1"/>
    <mergeCell ref="A2:C2"/>
  </mergeCells>
  <pageMargins left="0.75" right="0.75" top="1" bottom="1" header="0.5" footer="0.5"/>
  <pageSetup orientation="landscape" fitToHeight="1" fitToWidth="1"/>
</worksheet>
</file>

<file path=xl/worksheets/sheet10.xml><?xml version="1.0" encoding="utf-8"?>
<worksheet xmlns="http://schemas.openxmlformats.org/spreadsheetml/2006/main">
  <sheetPr>
    <tabColor rgb="000000C9"/>
    <outlinePr summaryBelow="1" summaryRight="1"/>
    <pageSetUpPr fitToPage="1"/>
  </sheetPr>
  <dimension ref="A1:E1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>
      <c r="A1" s="93" t="inlineStr">
        <is>
          <t>Region</t>
        </is>
      </c>
      <c r="B1" s="93" t="inlineStr">
        <is>
          <t>Medicine</t>
        </is>
      </c>
      <c r="C1" s="93" t="inlineStr">
        <is>
          <t>Channel</t>
        </is>
      </c>
      <c r="E1" s="72" t="inlineStr">
        <is>
          <t>EXAMPLE DATA: every number in this workbook is made up for practice. It is not real Pfizer data and not an official report.</t>
        </is>
      </c>
    </row>
    <row r="2">
      <c r="A2" t="inlineStr">
        <is>
          <t>All</t>
        </is>
      </c>
      <c r="B2" t="inlineStr">
        <is>
          <t>All</t>
        </is>
      </c>
      <c r="C2" t="inlineStr">
        <is>
          <t>All</t>
        </is>
      </c>
    </row>
    <row r="3">
      <c r="A3" t="inlineStr">
        <is>
          <t>United States</t>
        </is>
      </c>
      <c r="B3" t="inlineStr">
        <is>
          <t>Eliquis</t>
        </is>
      </c>
      <c r="C3" t="inlineStr">
        <is>
          <t>Hospital</t>
        </is>
      </c>
    </row>
    <row r="4">
      <c r="A4" t="inlineStr">
        <is>
          <t>Europe</t>
        </is>
      </c>
      <c r="B4" t="inlineStr">
        <is>
          <t>Prevnar 20</t>
        </is>
      </c>
      <c r="C4" t="inlineStr">
        <is>
          <t>Retail pharmacy</t>
        </is>
      </c>
    </row>
    <row r="5">
      <c r="A5" t="inlineStr">
        <is>
          <t>International developed</t>
        </is>
      </c>
      <c r="B5" t="inlineStr">
        <is>
          <t>Ibrance</t>
        </is>
      </c>
      <c r="C5" t="inlineStr">
        <is>
          <t>Government / tender</t>
        </is>
      </c>
    </row>
    <row r="6">
      <c r="A6" t="inlineStr">
        <is>
          <t>Emerging markets</t>
        </is>
      </c>
      <c r="B6" t="inlineStr">
        <is>
          <t>Vyndaqel</t>
        </is>
      </c>
    </row>
    <row r="7">
      <c r="B7" t="inlineStr">
        <is>
          <t>Comirnaty</t>
        </is>
      </c>
    </row>
    <row r="8">
      <c r="B8" t="inlineStr">
        <is>
          <t>Paxlovid</t>
        </is>
      </c>
    </row>
    <row r="9">
      <c r="B9" t="inlineStr">
        <is>
          <t>Xeljanz</t>
        </is>
      </c>
    </row>
    <row r="10">
      <c r="B10" t="inlineStr">
        <is>
          <t>Abrysvo</t>
        </is>
      </c>
    </row>
  </sheetData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2026-10-27T16:01:32Z</dcterms:created>
  <dcterms:modified xmlns:dcterms="http://purl.org/dc/terms/" xmlns:xsi="http://www.w3.org/2001/XMLSchema-instance" xsi:type="dcterms:W3CDTF">2026-10-27T16:01:32Z</dcterms:modified>
</cp:coreProperties>
</file>